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3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4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5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6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7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9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1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3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4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5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26.xml" ContentType="application/vnd.openxmlformats-officedocument.drawing+xml"/>
  <Override PartName="/xl/charts/chart65.xml" ContentType="application/vnd.openxmlformats-officedocument.drawingml.chart+xml"/>
  <Override PartName="/xl/drawings/drawing27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2025 County Council Work\Budget\Tentative Budget\"/>
    </mc:Choice>
  </mc:AlternateContent>
  <bookViews>
    <workbookView xWindow="0" yWindow="0" windowWidth="28800" windowHeight="11685" tabRatio="761"/>
  </bookViews>
  <sheets>
    <sheet name="Summary " sheetId="1" r:id="rId1"/>
    <sheet name="Council" sheetId="2" r:id="rId2"/>
    <sheet name="Executive" sheetId="3" r:id="rId3"/>
    <sheet name="Personnel Management" sheetId="4" r:id="rId4"/>
    <sheet name="Auditor (2)" sheetId="5" r:id="rId5"/>
    <sheet name="Clerk (2)" sheetId="6" r:id="rId6"/>
    <sheet name="Recorder" sheetId="7" r:id="rId7"/>
    <sheet name="Attorney" sheetId="10" r:id="rId8"/>
    <sheet name="Victim Services" sheetId="11" r:id="rId9"/>
    <sheet name="Public Defender" sheetId="13" r:id="rId10"/>
    <sheet name="Sheriff" sheetId="14" r:id="rId11"/>
    <sheet name="Sheriff Admin" sheetId="15" r:id="rId12"/>
    <sheet name="Sheriff Support" sheetId="16" r:id="rId13"/>
    <sheet name="Sheriff - IT" sheetId="17" r:id="rId14"/>
    <sheet name="Sheriff Patrol" sheetId="18" r:id="rId15"/>
    <sheet name="Sheriff Criminal" sheetId="19" r:id="rId16"/>
    <sheet name="Sheriff - Search &amp; Rescue" sheetId="20" r:id="rId17"/>
    <sheet name="Sheriff - Corrections" sheetId="21" r:id="rId18"/>
    <sheet name="Sheriff - Animal Control" sheetId="22" r:id="rId19"/>
    <sheet name="Sheriff - Animal Shelter" sheetId="23" r:id="rId20"/>
    <sheet name="Sheriff - Emergency Mgmt." sheetId="45" r:id="rId21"/>
    <sheet name="Fire &amp; Ambulance" sheetId="24" r:id="rId22"/>
    <sheet name="GIS" sheetId="28" r:id="rId23"/>
    <sheet name="Trails Mgmt." sheetId="30" r:id="rId24"/>
    <sheet name="IT" sheetId="35" r:id="rId25"/>
    <sheet name="Building &amp; Grounds" sheetId="36" r:id="rId26"/>
    <sheet name="Fairgrounds" sheetId="37" r:id="rId27"/>
    <sheet name="Fair" sheetId="38" r:id="rId28"/>
    <sheet name="Rodeo" sheetId="46" r:id="rId29"/>
    <sheet name="Library" sheetId="40" r:id="rId30"/>
    <sheet name="Public Works" sheetId="31" r:id="rId31"/>
    <sheet name="Public Works - Engineering" sheetId="32" r:id="rId32"/>
    <sheet name="Public Works - Roads" sheetId="33" r:id="rId33"/>
    <sheet name="Public Works - Vegetation" sheetId="34" r:id="rId34"/>
    <sheet name="TB" sheetId="44" r:id="rId35"/>
  </sheets>
  <externalReferences>
    <externalReference r:id="rId36"/>
  </externalReferences>
  <definedNames>
    <definedName name="_xlnm.Print_Area" localSheetId="7">Attorney!$A$1:$S$62</definedName>
    <definedName name="_xlnm.Print_Area" localSheetId="4">'Auditor (2)'!$A$85:$S$110</definedName>
    <definedName name="_xlnm.Print_Area" localSheetId="25">'Building &amp; Grounds'!$A$1:$S$29</definedName>
    <definedName name="_xlnm.Print_Area" localSheetId="5">'Clerk (2)'!$A$85:$S$120</definedName>
    <definedName name="_xlnm.Print_Area" localSheetId="1">Council!$A$1:$S$27</definedName>
    <definedName name="_xlnm.Print_Area" localSheetId="2">Executive!$A$1:$S$29</definedName>
    <definedName name="_xlnm.Print_Area" localSheetId="27">Fair!$A$1:$S$38</definedName>
    <definedName name="_xlnm.Print_Area" localSheetId="26">Fairgrounds!$A$4:$S$57</definedName>
    <definedName name="_xlnm.Print_Area" localSheetId="21">'Fire &amp; Ambulance'!$A$1:$S$197</definedName>
    <definedName name="_xlnm.Print_Area" localSheetId="22">GIS!$A$1:$S$21</definedName>
    <definedName name="_xlnm.Print_Area" localSheetId="24">IT!$A$1:$S$32</definedName>
    <definedName name="_xlnm.Print_Area" localSheetId="29">Library!$A$1:$S$25</definedName>
    <definedName name="_xlnm.Print_Area" localSheetId="3">'Personnel Management'!$A$1:$T$26</definedName>
    <definedName name="_xlnm.Print_Area" localSheetId="9">'Public Defender'!$A$1:$S$33</definedName>
    <definedName name="_xlnm.Print_Area" localSheetId="30">'Public Works'!$A$1:$V$84</definedName>
    <definedName name="_xlnm.Print_Area" localSheetId="31">'Public Works - Engineering'!$A$1:$V$103</definedName>
    <definedName name="_xlnm.Print_Area" localSheetId="32">'Public Works - Roads'!$A$1:$S$151</definedName>
    <definedName name="_xlnm.Print_Area" localSheetId="33">'Public Works - Vegetation'!$A$1:$S$447</definedName>
    <definedName name="_xlnm.Print_Area" localSheetId="6">Recorder!$A$1:$T$28</definedName>
    <definedName name="_xlnm.Print_Area" localSheetId="28">Rodeo!$A$1:$S$31</definedName>
    <definedName name="_xlnm.Print_Area" localSheetId="10">Sheriff!$A$1:$S$18</definedName>
    <definedName name="_xlnm.Print_Area" localSheetId="18">'Sheriff - Animal Control'!$A$1:$S$20</definedName>
    <definedName name="_xlnm.Print_Area" localSheetId="19">'Sheriff - Animal Shelter'!$A$1:$S$32</definedName>
    <definedName name="_xlnm.Print_Area" localSheetId="17">'Sheriff - Corrections'!$A$1:$S$55</definedName>
    <definedName name="_xlnm.Print_Area" localSheetId="20">'Sheriff - Emergency Mgmt.'!$A$1:$S$28</definedName>
    <definedName name="_xlnm.Print_Area" localSheetId="13">'Sheriff - IT'!$A$1:$S$13</definedName>
    <definedName name="_xlnm.Print_Area" localSheetId="16">'Sheriff - Search &amp; Rescue'!$A$1:$S$31</definedName>
    <definedName name="_xlnm.Print_Area" localSheetId="11">'Sheriff Admin'!$A$1:$S$42</definedName>
    <definedName name="_xlnm.Print_Area" localSheetId="15">'Sheriff Criminal'!$A$1:$S$32</definedName>
    <definedName name="_xlnm.Print_Area" localSheetId="14">'Sheriff Patrol'!$A$65:$S$92</definedName>
    <definedName name="_xlnm.Print_Area" localSheetId="12">'Sheriff Support'!$A$1:$S$32</definedName>
    <definedName name="_xlnm.Print_Area" localSheetId="0">'Summary '!$A$1:$D$50</definedName>
    <definedName name="_xlnm.Print_Area" localSheetId="23">'Trails Mgmt.'!$A$1:$S$33</definedName>
    <definedName name="_xlnm.Print_Area" localSheetId="8">'Victim Services'!$A$1:$S$98</definedName>
  </definedNames>
  <calcPr calcId="162913"/>
  <extLst>
    <ext uri="GoogleSheetsCustomDataVersion2">
      <go:sheetsCustomData xmlns:go="http://customooxmlschemas.google.com/" r:id="rId49" roundtripDataChecksum="LAJ+UyCn1DXpF76fUNbjxSseqkDRLKaeM7dWAY8w1tY="/>
    </ext>
  </extLst>
</workbook>
</file>

<file path=xl/calcChain.xml><?xml version="1.0" encoding="utf-8"?>
<calcChain xmlns="http://schemas.openxmlformats.org/spreadsheetml/2006/main">
  <c r="R31" i="46" l="1"/>
  <c r="Q31" i="46"/>
  <c r="I31" i="46" s="1"/>
  <c r="J31" i="46"/>
  <c r="G31" i="46"/>
  <c r="H31" i="46" s="1"/>
  <c r="F31" i="46"/>
  <c r="E31" i="46"/>
  <c r="D31" i="46"/>
  <c r="R29" i="46"/>
  <c r="Q29" i="46"/>
  <c r="O29" i="46"/>
  <c r="O31" i="46" s="1"/>
  <c r="N29" i="46"/>
  <c r="N31" i="46" s="1"/>
  <c r="M29" i="46"/>
  <c r="M31" i="46" s="1"/>
  <c r="L29" i="46"/>
  <c r="L31" i="46" s="1"/>
  <c r="J29" i="46"/>
  <c r="I29" i="46"/>
  <c r="G29" i="46"/>
  <c r="H29" i="46" s="1"/>
  <c r="F29" i="46"/>
  <c r="E29" i="46"/>
  <c r="D29" i="46"/>
  <c r="S28" i="46"/>
  <c r="P28" i="46"/>
  <c r="I28" i="46"/>
  <c r="H28" i="46"/>
  <c r="S27" i="46"/>
  <c r="P27" i="46"/>
  <c r="S26" i="46"/>
  <c r="S29" i="46" s="1"/>
  <c r="S31" i="46" s="1"/>
  <c r="P26" i="46"/>
  <c r="P29" i="46" s="1"/>
  <c r="P31" i="46" s="1"/>
  <c r="R23" i="46"/>
  <c r="Q23" i="46"/>
  <c r="O23" i="46"/>
  <c r="N23" i="46"/>
  <c r="M23" i="46"/>
  <c r="L23" i="46"/>
  <c r="J23" i="46"/>
  <c r="H23" i="46"/>
  <c r="G23" i="46"/>
  <c r="F23" i="46"/>
  <c r="E23" i="46"/>
  <c r="D23" i="46"/>
  <c r="S22" i="46"/>
  <c r="P22" i="46"/>
  <c r="I22" i="46"/>
  <c r="H22" i="46"/>
  <c r="S21" i="46"/>
  <c r="P21" i="46"/>
  <c r="I21" i="46"/>
  <c r="H21" i="46"/>
  <c r="S20" i="46"/>
  <c r="P20" i="46"/>
  <c r="I20" i="46"/>
  <c r="H20" i="46"/>
  <c r="S19" i="46"/>
  <c r="P19" i="46"/>
  <c r="I19" i="46"/>
  <c r="H19" i="46"/>
  <c r="S18" i="46"/>
  <c r="P18" i="46"/>
  <c r="I18" i="46"/>
  <c r="H18" i="46"/>
  <c r="S17" i="46"/>
  <c r="P17" i="46"/>
  <c r="I17" i="46"/>
  <c r="H17" i="46"/>
  <c r="S16" i="46"/>
  <c r="P16" i="46"/>
  <c r="I16" i="46"/>
  <c r="H16" i="46"/>
  <c r="S15" i="46"/>
  <c r="P15" i="46"/>
  <c r="I15" i="46"/>
  <c r="H15" i="46"/>
  <c r="S14" i="46"/>
  <c r="P14" i="46"/>
  <c r="I14" i="46"/>
  <c r="H14" i="46"/>
  <c r="S13" i="46"/>
  <c r="P13" i="46"/>
  <c r="I13" i="46"/>
  <c r="H13" i="46"/>
  <c r="S12" i="46"/>
  <c r="P12" i="46"/>
  <c r="I12" i="46"/>
  <c r="H12" i="46"/>
  <c r="S11" i="46"/>
  <c r="P11" i="46"/>
  <c r="I11" i="46"/>
  <c r="H11" i="46"/>
  <c r="S10" i="46"/>
  <c r="P10" i="46"/>
  <c r="I10" i="46"/>
  <c r="H10" i="46"/>
  <c r="S9" i="46"/>
  <c r="P9" i="46"/>
  <c r="I9" i="46"/>
  <c r="H9" i="46"/>
  <c r="S8" i="46"/>
  <c r="P8" i="46"/>
  <c r="I8" i="46"/>
  <c r="H8" i="46"/>
  <c r="S7" i="46"/>
  <c r="P7" i="46"/>
  <c r="I7" i="46"/>
  <c r="H7" i="46"/>
  <c r="S6" i="46"/>
  <c r="P6" i="46"/>
  <c r="I6" i="46"/>
  <c r="H6" i="46"/>
  <c r="S5" i="46"/>
  <c r="P5" i="46"/>
  <c r="I5" i="46"/>
  <c r="H5" i="46"/>
  <c r="S4" i="46"/>
  <c r="P4" i="46"/>
  <c r="I4" i="46"/>
  <c r="H4" i="46"/>
  <c r="S3" i="46"/>
  <c r="S23" i="46" s="1"/>
  <c r="P3" i="46"/>
  <c r="P23" i="46" s="1"/>
  <c r="I3" i="46"/>
  <c r="I23" i="46" s="1"/>
  <c r="H3" i="46"/>
  <c r="R26" i="45" l="1"/>
  <c r="Q26" i="45"/>
  <c r="P26" i="45"/>
  <c r="O26" i="45"/>
  <c r="N26" i="45"/>
  <c r="M26" i="45"/>
  <c r="L26" i="45"/>
  <c r="J26" i="45"/>
  <c r="J28" i="45" s="1"/>
  <c r="D26" i="45"/>
  <c r="D28" i="45" s="1"/>
  <c r="S25" i="45"/>
  <c r="S26" i="45" s="1"/>
  <c r="G25" i="45"/>
  <c r="G26" i="45" s="1"/>
  <c r="F25" i="45"/>
  <c r="F26" i="45" s="1"/>
  <c r="E25" i="45"/>
  <c r="E26" i="45" s="1"/>
  <c r="Q22" i="45"/>
  <c r="Q28" i="45" s="1"/>
  <c r="N22" i="45"/>
  <c r="M22" i="45"/>
  <c r="L22" i="45"/>
  <c r="J22" i="45"/>
  <c r="D22" i="45"/>
  <c r="R21" i="45"/>
  <c r="S21" i="45" s="1"/>
  <c r="P21" i="45"/>
  <c r="O21" i="45"/>
  <c r="G21" i="45"/>
  <c r="H21" i="45" s="1"/>
  <c r="F21" i="45"/>
  <c r="E21" i="45"/>
  <c r="R20" i="45"/>
  <c r="S20" i="45" s="1"/>
  <c r="P20" i="45"/>
  <c r="O20" i="45"/>
  <c r="G20" i="45"/>
  <c r="I20" i="45" s="1"/>
  <c r="F20" i="45"/>
  <c r="E20" i="45"/>
  <c r="R19" i="45"/>
  <c r="S19" i="45" s="1"/>
  <c r="P19" i="45"/>
  <c r="O19" i="45"/>
  <c r="G19" i="45"/>
  <c r="I19" i="45" s="1"/>
  <c r="F19" i="45"/>
  <c r="E19" i="45"/>
  <c r="R18" i="45"/>
  <c r="S18" i="45" s="1"/>
  <c r="O18" i="45"/>
  <c r="P18" i="45" s="1"/>
  <c r="G18" i="45"/>
  <c r="H18" i="45" s="1"/>
  <c r="F18" i="45"/>
  <c r="E18" i="45"/>
  <c r="R17" i="45"/>
  <c r="S17" i="45" s="1"/>
  <c r="P17" i="45"/>
  <c r="O17" i="45"/>
  <c r="G17" i="45"/>
  <c r="I17" i="45" s="1"/>
  <c r="F17" i="45"/>
  <c r="E17" i="45"/>
  <c r="R16" i="45"/>
  <c r="S16" i="45" s="1"/>
  <c r="O16" i="45"/>
  <c r="P16" i="45" s="1"/>
  <c r="G16" i="45"/>
  <c r="I16" i="45" s="1"/>
  <c r="F16" i="45"/>
  <c r="E16" i="45"/>
  <c r="R15" i="45"/>
  <c r="S15" i="45" s="1"/>
  <c r="P15" i="45"/>
  <c r="O15" i="45"/>
  <c r="G15" i="45"/>
  <c r="I15" i="45" s="1"/>
  <c r="F15" i="45"/>
  <c r="E15" i="45"/>
  <c r="R14" i="45"/>
  <c r="S14" i="45" s="1"/>
  <c r="O14" i="45"/>
  <c r="P14" i="45" s="1"/>
  <c r="I14" i="45"/>
  <c r="G14" i="45"/>
  <c r="H14" i="45" s="1"/>
  <c r="F14" i="45"/>
  <c r="E14" i="45"/>
  <c r="R13" i="45"/>
  <c r="S13" i="45" s="1"/>
  <c r="P13" i="45"/>
  <c r="O13" i="45"/>
  <c r="G13" i="45"/>
  <c r="I13" i="45" s="1"/>
  <c r="F13" i="45"/>
  <c r="E13" i="45"/>
  <c r="S12" i="45"/>
  <c r="O12" i="45"/>
  <c r="P12" i="45" s="1"/>
  <c r="G12" i="45"/>
  <c r="I12" i="45" s="1"/>
  <c r="F12" i="45"/>
  <c r="E12" i="45"/>
  <c r="R11" i="45"/>
  <c r="S11" i="45" s="1"/>
  <c r="P11" i="45"/>
  <c r="O11" i="45"/>
  <c r="G11" i="45"/>
  <c r="I11" i="45" s="1"/>
  <c r="F11" i="45"/>
  <c r="E11" i="45"/>
  <c r="R10" i="45"/>
  <c r="S10" i="45" s="1"/>
  <c r="P10" i="45"/>
  <c r="O10" i="45"/>
  <c r="G10" i="45"/>
  <c r="I10" i="45" s="1"/>
  <c r="F10" i="45"/>
  <c r="E10" i="45"/>
  <c r="R9" i="45"/>
  <c r="S9" i="45" s="1"/>
  <c r="O9" i="45"/>
  <c r="P9" i="45" s="1"/>
  <c r="G9" i="45"/>
  <c r="I9" i="45" s="1"/>
  <c r="F9" i="45"/>
  <c r="E9" i="45"/>
  <c r="R8" i="45"/>
  <c r="S8" i="45" s="1"/>
  <c r="P8" i="45"/>
  <c r="O8" i="45"/>
  <c r="G8" i="45"/>
  <c r="I8" i="45" s="1"/>
  <c r="F8" i="45"/>
  <c r="E8" i="45"/>
  <c r="R7" i="45"/>
  <c r="S7" i="45" s="1"/>
  <c r="P7" i="45"/>
  <c r="O7" i="45"/>
  <c r="G7" i="45"/>
  <c r="I7" i="45" s="1"/>
  <c r="F7" i="45"/>
  <c r="E7" i="45"/>
  <c r="R6" i="45"/>
  <c r="S6" i="45" s="1"/>
  <c r="O6" i="45"/>
  <c r="P6" i="45" s="1"/>
  <c r="G6" i="45"/>
  <c r="I6" i="45" s="1"/>
  <c r="F6" i="45"/>
  <c r="E6" i="45"/>
  <c r="R5" i="45"/>
  <c r="S5" i="45" s="1"/>
  <c r="O5" i="45"/>
  <c r="P5" i="45" s="1"/>
  <c r="G5" i="45"/>
  <c r="I5" i="45" s="1"/>
  <c r="F5" i="45"/>
  <c r="E5" i="45"/>
  <c r="R4" i="45"/>
  <c r="S4" i="45" s="1"/>
  <c r="O4" i="45"/>
  <c r="P4" i="45" s="1"/>
  <c r="G4" i="45"/>
  <c r="I4" i="45" s="1"/>
  <c r="F4" i="45"/>
  <c r="E4" i="45"/>
  <c r="R3" i="45"/>
  <c r="O3" i="45"/>
  <c r="G3" i="45"/>
  <c r="I3" i="45" s="1"/>
  <c r="F3" i="45"/>
  <c r="F22" i="45" s="1"/>
  <c r="E3" i="45"/>
  <c r="E22" i="45" s="1"/>
  <c r="O29" i="40"/>
  <c r="M29" i="40"/>
  <c r="L29" i="40"/>
  <c r="R28" i="40"/>
  <c r="Q28" i="40"/>
  <c r="P28" i="40"/>
  <c r="O28" i="40"/>
  <c r="N28" i="40"/>
  <c r="M28" i="40"/>
  <c r="L28" i="40"/>
  <c r="O25" i="40"/>
  <c r="N25" i="40"/>
  <c r="M25" i="40"/>
  <c r="L25" i="40"/>
  <c r="R23" i="40"/>
  <c r="Q23" i="40"/>
  <c r="P23" i="40"/>
  <c r="O23" i="40"/>
  <c r="N23" i="40"/>
  <c r="M23" i="40"/>
  <c r="L23" i="40"/>
  <c r="D23" i="40"/>
  <c r="R22" i="40"/>
  <c r="S22" i="40" s="1"/>
  <c r="P22" i="40"/>
  <c r="J22" i="40"/>
  <c r="G22" i="40"/>
  <c r="I22" i="40" s="1"/>
  <c r="F22" i="40"/>
  <c r="E22" i="40"/>
  <c r="S21" i="40"/>
  <c r="R21" i="40"/>
  <c r="P21" i="40"/>
  <c r="J21" i="40"/>
  <c r="G21" i="40"/>
  <c r="G23" i="40" s="1"/>
  <c r="F21" i="40"/>
  <c r="E21" i="40"/>
  <c r="E23" i="40" s="1"/>
  <c r="Q18" i="40"/>
  <c r="Q29" i="40" s="1"/>
  <c r="O18" i="40"/>
  <c r="N18" i="40"/>
  <c r="N29" i="40" s="1"/>
  <c r="M18" i="40"/>
  <c r="L18" i="40"/>
  <c r="D18" i="40"/>
  <c r="S17" i="40"/>
  <c r="R17" i="40"/>
  <c r="P17" i="40"/>
  <c r="J17" i="40"/>
  <c r="G17" i="40"/>
  <c r="I17" i="40" s="1"/>
  <c r="F17" i="40"/>
  <c r="E17" i="40"/>
  <c r="R16" i="40"/>
  <c r="S16" i="40" s="1"/>
  <c r="P16" i="40"/>
  <c r="J16" i="40"/>
  <c r="G16" i="40"/>
  <c r="F16" i="40"/>
  <c r="E16" i="40"/>
  <c r="S15" i="40"/>
  <c r="R15" i="40"/>
  <c r="P15" i="40"/>
  <c r="J15" i="40"/>
  <c r="G15" i="40"/>
  <c r="H15" i="40" s="1"/>
  <c r="F15" i="40"/>
  <c r="E15" i="40"/>
  <c r="R14" i="40"/>
  <c r="S14" i="40" s="1"/>
  <c r="J14" i="40"/>
  <c r="G14" i="40"/>
  <c r="F14" i="40"/>
  <c r="E14" i="40"/>
  <c r="S13" i="40"/>
  <c r="P13" i="40"/>
  <c r="J13" i="40"/>
  <c r="G13" i="40"/>
  <c r="F13" i="40"/>
  <c r="E13" i="40"/>
  <c r="R12" i="40"/>
  <c r="S12" i="40" s="1"/>
  <c r="P12" i="40"/>
  <c r="J12" i="40"/>
  <c r="G12" i="40"/>
  <c r="F12" i="40"/>
  <c r="E12" i="40"/>
  <c r="S11" i="40"/>
  <c r="P11" i="40"/>
  <c r="J11" i="40"/>
  <c r="G11" i="40"/>
  <c r="I11" i="40" s="1"/>
  <c r="F11" i="40"/>
  <c r="E11" i="40"/>
  <c r="S10" i="40"/>
  <c r="R10" i="40"/>
  <c r="P10" i="40"/>
  <c r="J10" i="40"/>
  <c r="G10" i="40"/>
  <c r="F10" i="40"/>
  <c r="E10" i="40"/>
  <c r="R9" i="40"/>
  <c r="S9" i="40" s="1"/>
  <c r="P9" i="40"/>
  <c r="J9" i="40"/>
  <c r="G9" i="40"/>
  <c r="F9" i="40"/>
  <c r="E9" i="40"/>
  <c r="S8" i="40"/>
  <c r="R8" i="40"/>
  <c r="P8" i="40"/>
  <c r="J8" i="40"/>
  <c r="G8" i="40"/>
  <c r="F8" i="40"/>
  <c r="E8" i="40"/>
  <c r="R7" i="40"/>
  <c r="S7" i="40" s="1"/>
  <c r="J7" i="40"/>
  <c r="G7" i="40"/>
  <c r="F7" i="40"/>
  <c r="E7" i="40"/>
  <c r="R6" i="40"/>
  <c r="S6" i="40" s="1"/>
  <c r="P6" i="40"/>
  <c r="J6" i="40"/>
  <c r="G6" i="40"/>
  <c r="H6" i="40" s="1"/>
  <c r="F6" i="40"/>
  <c r="E6" i="40"/>
  <c r="R5" i="40"/>
  <c r="S5" i="40" s="1"/>
  <c r="P5" i="40"/>
  <c r="J5" i="40"/>
  <c r="G5" i="40"/>
  <c r="F5" i="40"/>
  <c r="E5" i="40"/>
  <c r="S4" i="40"/>
  <c r="R4" i="40"/>
  <c r="P4" i="40"/>
  <c r="J4" i="40"/>
  <c r="G4" i="40"/>
  <c r="F4" i="40"/>
  <c r="E4" i="40"/>
  <c r="S3" i="40"/>
  <c r="S18" i="40" s="1"/>
  <c r="R3" i="40"/>
  <c r="P3" i="40"/>
  <c r="J3" i="40"/>
  <c r="G3" i="40"/>
  <c r="H3" i="40" s="1"/>
  <c r="F3" i="40"/>
  <c r="E3" i="40"/>
  <c r="S125" i="38"/>
  <c r="R125" i="38"/>
  <c r="O122" i="38"/>
  <c r="N122" i="38"/>
  <c r="J122" i="38"/>
  <c r="R120" i="38"/>
  <c r="Q120" i="38"/>
  <c r="P120" i="38"/>
  <c r="O120" i="38"/>
  <c r="N120" i="38"/>
  <c r="M120" i="38"/>
  <c r="M122" i="38" s="1"/>
  <c r="L120" i="38"/>
  <c r="J120" i="38"/>
  <c r="G120" i="38"/>
  <c r="F120" i="38"/>
  <c r="F122" i="38" s="1"/>
  <c r="E120" i="38"/>
  <c r="E122" i="38" s="1"/>
  <c r="D120" i="38"/>
  <c r="D122" i="38" s="1"/>
  <c r="S119" i="38"/>
  <c r="S120" i="38" s="1"/>
  <c r="P119" i="38"/>
  <c r="I119" i="38"/>
  <c r="I120" i="38" s="1"/>
  <c r="H119" i="38"/>
  <c r="S118" i="38"/>
  <c r="P118" i="38"/>
  <c r="S117" i="38"/>
  <c r="P117" i="38"/>
  <c r="R114" i="38"/>
  <c r="R122" i="38" s="1"/>
  <c r="Q114" i="38"/>
  <c r="P114" i="38"/>
  <c r="O114" i="38"/>
  <c r="P125" i="38" s="1"/>
  <c r="N114" i="38"/>
  <c r="O125" i="38" s="1"/>
  <c r="M114" i="38"/>
  <c r="N125" i="38" s="1"/>
  <c r="L114" i="38"/>
  <c r="J114" i="38"/>
  <c r="G114" i="38"/>
  <c r="G122" i="38" s="1"/>
  <c r="F114" i="38"/>
  <c r="E114" i="38"/>
  <c r="D114" i="38"/>
  <c r="S113" i="38"/>
  <c r="P113" i="38"/>
  <c r="I113" i="38"/>
  <c r="H113" i="38"/>
  <c r="S112" i="38"/>
  <c r="P112" i="38"/>
  <c r="I112" i="38"/>
  <c r="H112" i="38"/>
  <c r="S111" i="38"/>
  <c r="P111" i="38"/>
  <c r="I111" i="38"/>
  <c r="H111" i="38"/>
  <c r="S110" i="38"/>
  <c r="P110" i="38"/>
  <c r="I110" i="38"/>
  <c r="H110" i="38"/>
  <c r="S109" i="38"/>
  <c r="P109" i="38"/>
  <c r="I109" i="38"/>
  <c r="H109" i="38"/>
  <c r="S108" i="38"/>
  <c r="P108" i="38"/>
  <c r="I108" i="38"/>
  <c r="H108" i="38"/>
  <c r="S107" i="38"/>
  <c r="P107" i="38"/>
  <c r="I107" i="38"/>
  <c r="H107" i="38"/>
  <c r="S106" i="38"/>
  <c r="P106" i="38"/>
  <c r="I106" i="38"/>
  <c r="H106" i="38"/>
  <c r="S105" i="38"/>
  <c r="P105" i="38"/>
  <c r="I105" i="38"/>
  <c r="H105" i="38"/>
  <c r="S104" i="38"/>
  <c r="P104" i="38"/>
  <c r="I104" i="38"/>
  <c r="H104" i="38"/>
  <c r="S103" i="38"/>
  <c r="P103" i="38"/>
  <c r="I103" i="38"/>
  <c r="H103" i="38"/>
  <c r="S102" i="38"/>
  <c r="P102" i="38"/>
  <c r="I102" i="38"/>
  <c r="H102" i="38"/>
  <c r="S101" i="38"/>
  <c r="P101" i="38"/>
  <c r="I101" i="38"/>
  <c r="H101" i="38"/>
  <c r="S100" i="38"/>
  <c r="P100" i="38"/>
  <c r="I100" i="38"/>
  <c r="H100" i="38"/>
  <c r="S99" i="38"/>
  <c r="P99" i="38"/>
  <c r="I99" i="38"/>
  <c r="H99" i="38"/>
  <c r="S98" i="38"/>
  <c r="P98" i="38"/>
  <c r="I98" i="38"/>
  <c r="H98" i="38"/>
  <c r="S97" i="38"/>
  <c r="P97" i="38"/>
  <c r="I97" i="38"/>
  <c r="H97" i="38"/>
  <c r="S96" i="38"/>
  <c r="P96" i="38"/>
  <c r="I96" i="38"/>
  <c r="H96" i="38"/>
  <c r="S95" i="38"/>
  <c r="P95" i="38"/>
  <c r="I95" i="38"/>
  <c r="H95" i="38"/>
  <c r="S94" i="38"/>
  <c r="P94" i="38"/>
  <c r="I94" i="38"/>
  <c r="I114" i="38" s="1"/>
  <c r="H94" i="38"/>
  <c r="S41" i="38"/>
  <c r="O41" i="38"/>
  <c r="N41" i="38"/>
  <c r="M41" i="38"/>
  <c r="S38" i="38"/>
  <c r="R38" i="38"/>
  <c r="J38" i="38"/>
  <c r="S36" i="38"/>
  <c r="R36" i="38"/>
  <c r="Q36" i="38"/>
  <c r="O36" i="38"/>
  <c r="O38" i="38" s="1"/>
  <c r="N36" i="38"/>
  <c r="N38" i="38" s="1"/>
  <c r="M36" i="38"/>
  <c r="M38" i="38" s="1"/>
  <c r="L36" i="38"/>
  <c r="L38" i="38" s="1"/>
  <c r="J36" i="38"/>
  <c r="D36" i="38"/>
  <c r="D38" i="38" s="1"/>
  <c r="S35" i="38"/>
  <c r="P35" i="38"/>
  <c r="P36" i="38" s="1"/>
  <c r="G35" i="38"/>
  <c r="G36" i="38" s="1"/>
  <c r="F35" i="38"/>
  <c r="F36" i="38" s="1"/>
  <c r="E35" i="38"/>
  <c r="E36" i="38" s="1"/>
  <c r="E38" i="38" s="1"/>
  <c r="R32" i="38"/>
  <c r="Q32" i="38"/>
  <c r="R41" i="38" s="1"/>
  <c r="O32" i="38"/>
  <c r="P41" i="38" s="1"/>
  <c r="N32" i="38"/>
  <c r="M32" i="38"/>
  <c r="L32" i="38"/>
  <c r="J32" i="38"/>
  <c r="G32" i="38"/>
  <c r="H32" i="38" s="1"/>
  <c r="F32" i="38"/>
  <c r="E32" i="38"/>
  <c r="D32" i="38"/>
  <c r="S31" i="38"/>
  <c r="P31" i="38"/>
  <c r="I31" i="38"/>
  <c r="H31" i="38"/>
  <c r="S30" i="38"/>
  <c r="P30" i="38"/>
  <c r="I30" i="38"/>
  <c r="H30" i="38"/>
  <c r="S29" i="38"/>
  <c r="P29" i="38"/>
  <c r="I29" i="38"/>
  <c r="H29" i="38"/>
  <c r="S28" i="38"/>
  <c r="P28" i="38"/>
  <c r="I28" i="38"/>
  <c r="H28" i="38"/>
  <c r="S27" i="38"/>
  <c r="P27" i="38"/>
  <c r="I27" i="38"/>
  <c r="H27" i="38"/>
  <c r="S26" i="38"/>
  <c r="P26" i="38"/>
  <c r="I26" i="38"/>
  <c r="H26" i="38"/>
  <c r="S25" i="38"/>
  <c r="P25" i="38"/>
  <c r="I25" i="38"/>
  <c r="H25" i="38"/>
  <c r="S24" i="38"/>
  <c r="P24" i="38"/>
  <c r="I24" i="38"/>
  <c r="H24" i="38"/>
  <c r="S23" i="38"/>
  <c r="P23" i="38"/>
  <c r="I23" i="38"/>
  <c r="H23" i="38"/>
  <c r="S22" i="38"/>
  <c r="P22" i="38"/>
  <c r="I22" i="38"/>
  <c r="H22" i="38"/>
  <c r="S21" i="38"/>
  <c r="P21" i="38"/>
  <c r="I21" i="38"/>
  <c r="H21" i="38"/>
  <c r="S20" i="38"/>
  <c r="P20" i="38"/>
  <c r="I20" i="38"/>
  <c r="H20" i="38"/>
  <c r="S19" i="38"/>
  <c r="P19" i="38"/>
  <c r="I19" i="38"/>
  <c r="H19" i="38"/>
  <c r="S18" i="38"/>
  <c r="P18" i="38"/>
  <c r="I18" i="38"/>
  <c r="H18" i="38"/>
  <c r="S17" i="38"/>
  <c r="P17" i="38"/>
  <c r="I17" i="38"/>
  <c r="H17" i="38"/>
  <c r="S16" i="38"/>
  <c r="P16" i="38"/>
  <c r="I16" i="38"/>
  <c r="H16" i="38"/>
  <c r="S15" i="38"/>
  <c r="P15" i="38"/>
  <c r="I15" i="38"/>
  <c r="H15" i="38"/>
  <c r="S14" i="38"/>
  <c r="P14" i="38"/>
  <c r="I14" i="38"/>
  <c r="H14" i="38"/>
  <c r="S13" i="38"/>
  <c r="P13" i="38"/>
  <c r="I13" i="38"/>
  <c r="H13" i="38"/>
  <c r="S12" i="38"/>
  <c r="P12" i="38"/>
  <c r="I12" i="38"/>
  <c r="H12" i="38"/>
  <c r="S11" i="38"/>
  <c r="P11" i="38"/>
  <c r="I11" i="38"/>
  <c r="H11" i="38"/>
  <c r="S10" i="38"/>
  <c r="P10" i="38"/>
  <c r="I10" i="38"/>
  <c r="H10" i="38"/>
  <c r="S9" i="38"/>
  <c r="P9" i="38"/>
  <c r="I9" i="38"/>
  <c r="H9" i="38"/>
  <c r="S8" i="38"/>
  <c r="S32" i="38" s="1"/>
  <c r="P8" i="38"/>
  <c r="I8" i="38"/>
  <c r="H8" i="38"/>
  <c r="S7" i="38"/>
  <c r="P7" i="38"/>
  <c r="I7" i="38"/>
  <c r="H7" i="38"/>
  <c r="S6" i="38"/>
  <c r="P6" i="38"/>
  <c r="I6" i="38"/>
  <c r="I32" i="38" s="1"/>
  <c r="H6" i="38"/>
  <c r="R232" i="37"/>
  <c r="O232" i="37"/>
  <c r="N232" i="37"/>
  <c r="S229" i="37"/>
  <c r="O229" i="37"/>
  <c r="N229" i="37"/>
  <c r="M229" i="37"/>
  <c r="J229" i="37"/>
  <c r="D229" i="37"/>
  <c r="S227" i="37"/>
  <c r="R227" i="37"/>
  <c r="Q227" i="37"/>
  <c r="Q229" i="37" s="1"/>
  <c r="O227" i="37"/>
  <c r="N227" i="37"/>
  <c r="M227" i="37"/>
  <c r="L227" i="37"/>
  <c r="L229" i="37" s="1"/>
  <c r="J227" i="37"/>
  <c r="I227" i="37"/>
  <c r="H227" i="37"/>
  <c r="G227" i="37"/>
  <c r="G229" i="37" s="1"/>
  <c r="F227" i="37"/>
  <c r="F229" i="37" s="1"/>
  <c r="E227" i="37"/>
  <c r="D227" i="37"/>
  <c r="S226" i="37"/>
  <c r="P226" i="37"/>
  <c r="I226" i="37"/>
  <c r="H226" i="37"/>
  <c r="S225" i="37"/>
  <c r="P225" i="37"/>
  <c r="S224" i="37"/>
  <c r="P224" i="37"/>
  <c r="P227" i="37" s="1"/>
  <c r="S221" i="37"/>
  <c r="R221" i="37"/>
  <c r="S232" i="37" s="1"/>
  <c r="Q221" i="37"/>
  <c r="O221" i="37"/>
  <c r="P232" i="37" s="1"/>
  <c r="N221" i="37"/>
  <c r="M221" i="37"/>
  <c r="L221" i="37"/>
  <c r="M232" i="37" s="1"/>
  <c r="J221" i="37"/>
  <c r="G221" i="37"/>
  <c r="H221" i="37" s="1"/>
  <c r="F221" i="37"/>
  <c r="E221" i="37"/>
  <c r="E229" i="37" s="1"/>
  <c r="D221" i="37"/>
  <c r="S220" i="37"/>
  <c r="P220" i="37"/>
  <c r="I220" i="37"/>
  <c r="H220" i="37"/>
  <c r="S219" i="37"/>
  <c r="P219" i="37"/>
  <c r="I219" i="37"/>
  <c r="H219" i="37"/>
  <c r="S218" i="37"/>
  <c r="P218" i="37"/>
  <c r="I218" i="37"/>
  <c r="H218" i="37"/>
  <c r="S217" i="37"/>
  <c r="P217" i="37"/>
  <c r="I217" i="37"/>
  <c r="H217" i="37"/>
  <c r="S216" i="37"/>
  <c r="P216" i="37"/>
  <c r="I216" i="37"/>
  <c r="H216" i="37"/>
  <c r="S215" i="37"/>
  <c r="P215" i="37"/>
  <c r="I215" i="37"/>
  <c r="H215" i="37"/>
  <c r="S214" i="37"/>
  <c r="P214" i="37"/>
  <c r="I214" i="37"/>
  <c r="H214" i="37"/>
  <c r="S213" i="37"/>
  <c r="P213" i="37"/>
  <c r="I213" i="37"/>
  <c r="H213" i="37"/>
  <c r="S212" i="37"/>
  <c r="P212" i="37"/>
  <c r="I212" i="37"/>
  <c r="H212" i="37"/>
  <c r="S211" i="37"/>
  <c r="P211" i="37"/>
  <c r="I211" i="37"/>
  <c r="H211" i="37"/>
  <c r="S210" i="37"/>
  <c r="P210" i="37"/>
  <c r="I210" i="37"/>
  <c r="H210" i="37"/>
  <c r="S209" i="37"/>
  <c r="P209" i="37"/>
  <c r="I209" i="37"/>
  <c r="H209" i="37"/>
  <c r="S208" i="37"/>
  <c r="P208" i="37"/>
  <c r="I208" i="37"/>
  <c r="H208" i="37"/>
  <c r="S207" i="37"/>
  <c r="P207" i="37"/>
  <c r="I207" i="37"/>
  <c r="H207" i="37"/>
  <c r="S206" i="37"/>
  <c r="P206" i="37"/>
  <c r="I206" i="37"/>
  <c r="H206" i="37"/>
  <c r="S205" i="37"/>
  <c r="P205" i="37"/>
  <c r="I205" i="37"/>
  <c r="H205" i="37"/>
  <c r="S204" i="37"/>
  <c r="P204" i="37"/>
  <c r="I204" i="37"/>
  <c r="H204" i="37"/>
  <c r="S203" i="37"/>
  <c r="P203" i="37"/>
  <c r="I203" i="37"/>
  <c r="H203" i="37"/>
  <c r="S202" i="37"/>
  <c r="P202" i="37"/>
  <c r="I202" i="37"/>
  <c r="H202" i="37"/>
  <c r="S201" i="37"/>
  <c r="P201" i="37"/>
  <c r="P221" i="37" s="1"/>
  <c r="Q232" i="37" s="1"/>
  <c r="I201" i="37"/>
  <c r="I221" i="37" s="1"/>
  <c r="H201" i="37"/>
  <c r="R148" i="37"/>
  <c r="Q148" i="37"/>
  <c r="N145" i="37"/>
  <c r="L145" i="37"/>
  <c r="J145" i="37"/>
  <c r="R143" i="37"/>
  <c r="Q143" i="37"/>
  <c r="Q145" i="37" s="1"/>
  <c r="O143" i="37"/>
  <c r="N143" i="37"/>
  <c r="M143" i="37"/>
  <c r="M145" i="37" s="1"/>
  <c r="L143" i="37"/>
  <c r="J143" i="37"/>
  <c r="G143" i="37"/>
  <c r="D143" i="37"/>
  <c r="D145" i="37" s="1"/>
  <c r="S142" i="37"/>
  <c r="S143" i="37" s="1"/>
  <c r="P142" i="37"/>
  <c r="P143" i="37" s="1"/>
  <c r="G142" i="37"/>
  <c r="F142" i="37"/>
  <c r="F143" i="37" s="1"/>
  <c r="F145" i="37" s="1"/>
  <c r="E142" i="37"/>
  <c r="E143" i="37" s="1"/>
  <c r="R139" i="37"/>
  <c r="S148" i="37" s="1"/>
  <c r="Q139" i="37"/>
  <c r="O139" i="37"/>
  <c r="N139" i="37"/>
  <c r="O148" i="37" s="1"/>
  <c r="M139" i="37"/>
  <c r="N148" i="37" s="1"/>
  <c r="L139" i="37"/>
  <c r="M148" i="37" s="1"/>
  <c r="J139" i="37"/>
  <c r="G139" i="37"/>
  <c r="H139" i="37" s="1"/>
  <c r="F139" i="37"/>
  <c r="E139" i="37"/>
  <c r="D139" i="37"/>
  <c r="S138" i="37"/>
  <c r="P138" i="37"/>
  <c r="I138" i="37"/>
  <c r="H138" i="37"/>
  <c r="S137" i="37"/>
  <c r="P137" i="37"/>
  <c r="I137" i="37"/>
  <c r="H137" i="37"/>
  <c r="S136" i="37"/>
  <c r="P136" i="37"/>
  <c r="I136" i="37"/>
  <c r="H136" i="37"/>
  <c r="S135" i="37"/>
  <c r="P135" i="37"/>
  <c r="I135" i="37"/>
  <c r="H135" i="37"/>
  <c r="S134" i="37"/>
  <c r="P134" i="37"/>
  <c r="I134" i="37"/>
  <c r="H134" i="37"/>
  <c r="S133" i="37"/>
  <c r="P133" i="37"/>
  <c r="I133" i="37"/>
  <c r="H133" i="37"/>
  <c r="S132" i="37"/>
  <c r="P132" i="37"/>
  <c r="I132" i="37"/>
  <c r="H132" i="37"/>
  <c r="S131" i="37"/>
  <c r="P131" i="37"/>
  <c r="I131" i="37"/>
  <c r="H131" i="37"/>
  <c r="S130" i="37"/>
  <c r="P130" i="37"/>
  <c r="I130" i="37"/>
  <c r="H130" i="37"/>
  <c r="S129" i="37"/>
  <c r="P129" i="37"/>
  <c r="I129" i="37"/>
  <c r="H129" i="37"/>
  <c r="S128" i="37"/>
  <c r="P128" i="37"/>
  <c r="I128" i="37"/>
  <c r="H128" i="37"/>
  <c r="S127" i="37"/>
  <c r="P127" i="37"/>
  <c r="I127" i="37"/>
  <c r="H127" i="37"/>
  <c r="S126" i="37"/>
  <c r="P126" i="37"/>
  <c r="I126" i="37"/>
  <c r="H126" i="37"/>
  <c r="S125" i="37"/>
  <c r="P125" i="37"/>
  <c r="I125" i="37"/>
  <c r="H125" i="37"/>
  <c r="S124" i="37"/>
  <c r="P124" i="37"/>
  <c r="I124" i="37"/>
  <c r="H124" i="37"/>
  <c r="S123" i="37"/>
  <c r="P123" i="37"/>
  <c r="I123" i="37"/>
  <c r="H123" i="37"/>
  <c r="S122" i="37"/>
  <c r="P122" i="37"/>
  <c r="I122" i="37"/>
  <c r="H122" i="37"/>
  <c r="S121" i="37"/>
  <c r="P121" i="37"/>
  <c r="I121" i="37"/>
  <c r="H121" i="37"/>
  <c r="S120" i="37"/>
  <c r="P120" i="37"/>
  <c r="I120" i="37"/>
  <c r="H120" i="37"/>
  <c r="S119" i="37"/>
  <c r="P119" i="37"/>
  <c r="I119" i="37"/>
  <c r="H119" i="37"/>
  <c r="S118" i="37"/>
  <c r="P118" i="37"/>
  <c r="I118" i="37"/>
  <c r="H118" i="37"/>
  <c r="S117" i="37"/>
  <c r="P117" i="37"/>
  <c r="I117" i="37"/>
  <c r="H117" i="37"/>
  <c r="S116" i="37"/>
  <c r="P116" i="37"/>
  <c r="I116" i="37"/>
  <c r="H116" i="37"/>
  <c r="S115" i="37"/>
  <c r="S139" i="37" s="1"/>
  <c r="P115" i="37"/>
  <c r="I115" i="37"/>
  <c r="H115" i="37"/>
  <c r="S114" i="37"/>
  <c r="P114" i="37"/>
  <c r="P139" i="37" s="1"/>
  <c r="I114" i="37"/>
  <c r="H114" i="37"/>
  <c r="S113" i="37"/>
  <c r="P113" i="37"/>
  <c r="I113" i="37"/>
  <c r="H113" i="37"/>
  <c r="S60" i="37"/>
  <c r="O60" i="37"/>
  <c r="N60" i="37"/>
  <c r="M57" i="37"/>
  <c r="J57" i="37"/>
  <c r="R55" i="37"/>
  <c r="Q55" i="37"/>
  <c r="O55" i="37"/>
  <c r="N55" i="37"/>
  <c r="M55" i="37"/>
  <c r="L55" i="37"/>
  <c r="L57" i="37" s="1"/>
  <c r="J55" i="37"/>
  <c r="D55" i="37"/>
  <c r="S54" i="37"/>
  <c r="P54" i="37"/>
  <c r="G54" i="37"/>
  <c r="F54" i="37"/>
  <c r="E54" i="37"/>
  <c r="S53" i="37"/>
  <c r="P53" i="37"/>
  <c r="G53" i="37"/>
  <c r="F53" i="37"/>
  <c r="E53" i="37"/>
  <c r="S52" i="37"/>
  <c r="P52" i="37"/>
  <c r="G52" i="37"/>
  <c r="F52" i="37"/>
  <c r="E52" i="37"/>
  <c r="S51" i="37"/>
  <c r="P51" i="37"/>
  <c r="G51" i="37"/>
  <c r="H51" i="37" s="1"/>
  <c r="F51" i="37"/>
  <c r="E51" i="37"/>
  <c r="S50" i="37"/>
  <c r="P50" i="37"/>
  <c r="P55" i="37" s="1"/>
  <c r="G50" i="37"/>
  <c r="I50" i="37" s="1"/>
  <c r="F50" i="37"/>
  <c r="E50" i="37"/>
  <c r="S49" i="37"/>
  <c r="P49" i="37"/>
  <c r="G49" i="37"/>
  <c r="H49" i="37" s="1"/>
  <c r="F49" i="37"/>
  <c r="E49" i="37"/>
  <c r="S48" i="37"/>
  <c r="P48" i="37"/>
  <c r="G48" i="37"/>
  <c r="F48" i="37"/>
  <c r="E48" i="37"/>
  <c r="S47" i="37"/>
  <c r="P47" i="37"/>
  <c r="G47" i="37"/>
  <c r="G55" i="37" s="1"/>
  <c r="F47" i="37"/>
  <c r="E47" i="37"/>
  <c r="E55" i="37" s="1"/>
  <c r="R42" i="37"/>
  <c r="R44" i="37" s="1"/>
  <c r="R57" i="37" s="1"/>
  <c r="Q42" i="37"/>
  <c r="N42" i="37"/>
  <c r="M42" i="37"/>
  <c r="L42" i="37"/>
  <c r="J42" i="37"/>
  <c r="S41" i="37"/>
  <c r="P41" i="37"/>
  <c r="G41" i="37"/>
  <c r="H41" i="37" s="1"/>
  <c r="F41" i="37"/>
  <c r="E41" i="37"/>
  <c r="S40" i="37"/>
  <c r="S42" i="37" s="1"/>
  <c r="O40" i="37"/>
  <c r="G40" i="37"/>
  <c r="H40" i="37" s="1"/>
  <c r="F40" i="37"/>
  <c r="E40" i="37"/>
  <c r="S39" i="37"/>
  <c r="P39" i="37"/>
  <c r="D39" i="37"/>
  <c r="R37" i="37"/>
  <c r="Q37" i="37"/>
  <c r="O37" i="37"/>
  <c r="N37" i="37"/>
  <c r="N44" i="37" s="1"/>
  <c r="N57" i="37" s="1"/>
  <c r="M37" i="37"/>
  <c r="M44" i="37" s="1"/>
  <c r="L37" i="37"/>
  <c r="L44" i="37" s="1"/>
  <c r="M60" i="37" s="1"/>
  <c r="J37" i="37"/>
  <c r="J44" i="37" s="1"/>
  <c r="D37" i="37"/>
  <c r="S36" i="37"/>
  <c r="P36" i="37"/>
  <c r="G36" i="37"/>
  <c r="I36" i="37" s="1"/>
  <c r="F36" i="37"/>
  <c r="E36" i="37"/>
  <c r="S35" i="37"/>
  <c r="P35" i="37"/>
  <c r="G35" i="37"/>
  <c r="H35" i="37" s="1"/>
  <c r="F35" i="37"/>
  <c r="E35" i="37"/>
  <c r="S34" i="37"/>
  <c r="P34" i="37"/>
  <c r="G34" i="37"/>
  <c r="I34" i="37" s="1"/>
  <c r="F34" i="37"/>
  <c r="E34" i="37"/>
  <c r="S33" i="37"/>
  <c r="P33" i="37"/>
  <c r="G33" i="37"/>
  <c r="I33" i="37" s="1"/>
  <c r="F33" i="37"/>
  <c r="E33" i="37"/>
  <c r="S32" i="37"/>
  <c r="P32" i="37"/>
  <c r="G32" i="37"/>
  <c r="I32" i="37" s="1"/>
  <c r="F32" i="37"/>
  <c r="E32" i="37"/>
  <c r="S31" i="37"/>
  <c r="P31" i="37"/>
  <c r="G31" i="37"/>
  <c r="H31" i="37" s="1"/>
  <c r="F31" i="37"/>
  <c r="E31" i="37"/>
  <c r="S30" i="37"/>
  <c r="P30" i="37"/>
  <c r="G30" i="37"/>
  <c r="H30" i="37" s="1"/>
  <c r="F30" i="37"/>
  <c r="E30" i="37"/>
  <c r="S29" i="37"/>
  <c r="P29" i="37"/>
  <c r="G29" i="37"/>
  <c r="H29" i="37" s="1"/>
  <c r="F29" i="37"/>
  <c r="E29" i="37"/>
  <c r="S28" i="37"/>
  <c r="P28" i="37"/>
  <c r="G28" i="37"/>
  <c r="F28" i="37"/>
  <c r="E28" i="37"/>
  <c r="S27" i="37"/>
  <c r="P27" i="37"/>
  <c r="G27" i="37"/>
  <c r="F27" i="37"/>
  <c r="E27" i="37"/>
  <c r="S26" i="37"/>
  <c r="P26" i="37"/>
  <c r="G26" i="37"/>
  <c r="I26" i="37" s="1"/>
  <c r="F26" i="37"/>
  <c r="E26" i="37"/>
  <c r="S25" i="37"/>
  <c r="P25" i="37"/>
  <c r="G25" i="37"/>
  <c r="I25" i="37" s="1"/>
  <c r="F25" i="37"/>
  <c r="E25" i="37"/>
  <c r="S24" i="37"/>
  <c r="P24" i="37"/>
  <c r="G24" i="37"/>
  <c r="I24" i="37" s="1"/>
  <c r="F24" i="37"/>
  <c r="E24" i="37"/>
  <c r="S23" i="37"/>
  <c r="P23" i="37"/>
  <c r="G23" i="37"/>
  <c r="F23" i="37"/>
  <c r="E23" i="37"/>
  <c r="S22" i="37"/>
  <c r="P22" i="37"/>
  <c r="G22" i="37"/>
  <c r="F22" i="37"/>
  <c r="E22" i="37"/>
  <c r="S21" i="37"/>
  <c r="P21" i="37"/>
  <c r="G21" i="37"/>
  <c r="F21" i="37"/>
  <c r="E21" i="37"/>
  <c r="S20" i="37"/>
  <c r="P20" i="37"/>
  <c r="G20" i="37"/>
  <c r="I20" i="37" s="1"/>
  <c r="F20" i="37"/>
  <c r="E20" i="37"/>
  <c r="S19" i="37"/>
  <c r="P19" i="37"/>
  <c r="G19" i="37"/>
  <c r="F19" i="37"/>
  <c r="E19" i="37"/>
  <c r="S18" i="37"/>
  <c r="P18" i="37"/>
  <c r="G18" i="37"/>
  <c r="F18" i="37"/>
  <c r="E18" i="37"/>
  <c r="S17" i="37"/>
  <c r="P17" i="37"/>
  <c r="G17" i="37"/>
  <c r="I17" i="37" s="1"/>
  <c r="F17" i="37"/>
  <c r="E17" i="37"/>
  <c r="S16" i="37"/>
  <c r="P16" i="37"/>
  <c r="G16" i="37"/>
  <c r="F16" i="37"/>
  <c r="E16" i="37"/>
  <c r="S15" i="37"/>
  <c r="P15" i="37"/>
  <c r="G15" i="37"/>
  <c r="F15" i="37"/>
  <c r="E15" i="37"/>
  <c r="S14" i="37"/>
  <c r="P14" i="37"/>
  <c r="G14" i="37"/>
  <c r="F14" i="37"/>
  <c r="E14" i="37"/>
  <c r="S13" i="37"/>
  <c r="P13" i="37"/>
  <c r="G13" i="37"/>
  <c r="H13" i="37" s="1"/>
  <c r="F13" i="37"/>
  <c r="E13" i="37"/>
  <c r="S12" i="37"/>
  <c r="P12" i="37"/>
  <c r="G12" i="37"/>
  <c r="F12" i="37"/>
  <c r="E12" i="37"/>
  <c r="S11" i="37"/>
  <c r="P11" i="37"/>
  <c r="G11" i="37"/>
  <c r="H11" i="37" s="1"/>
  <c r="F11" i="37"/>
  <c r="E11" i="37"/>
  <c r="S10" i="37"/>
  <c r="S37" i="37" s="1"/>
  <c r="S44" i="37" s="1"/>
  <c r="P10" i="37"/>
  <c r="G10" i="37"/>
  <c r="I10" i="37" s="1"/>
  <c r="F10" i="37"/>
  <c r="E10" i="37"/>
  <c r="S9" i="37"/>
  <c r="P9" i="37"/>
  <c r="G9" i="37"/>
  <c r="F9" i="37"/>
  <c r="E9" i="37"/>
  <c r="S8" i="37"/>
  <c r="P8" i="37"/>
  <c r="G8" i="37"/>
  <c r="I8" i="37" s="1"/>
  <c r="F8" i="37"/>
  <c r="E8" i="37"/>
  <c r="S7" i="37"/>
  <c r="P7" i="37"/>
  <c r="G7" i="37"/>
  <c r="I7" i="37" s="1"/>
  <c r="F7" i="37"/>
  <c r="E7" i="37"/>
  <c r="S6" i="37"/>
  <c r="P6" i="37"/>
  <c r="G6" i="37"/>
  <c r="F6" i="37"/>
  <c r="E6" i="37"/>
  <c r="E117" i="36"/>
  <c r="D117" i="36"/>
  <c r="E116" i="36"/>
  <c r="D116" i="36"/>
  <c r="E115" i="36"/>
  <c r="D115" i="36"/>
  <c r="E114" i="36"/>
  <c r="D114" i="36"/>
  <c r="D113" i="36"/>
  <c r="E113" i="36" s="1"/>
  <c r="E112" i="36"/>
  <c r="D112" i="36"/>
  <c r="E111" i="36"/>
  <c r="D111" i="36"/>
  <c r="E110" i="36"/>
  <c r="D110" i="36"/>
  <c r="D109" i="36"/>
  <c r="E109" i="36" s="1"/>
  <c r="E108" i="36"/>
  <c r="D108" i="36"/>
  <c r="D107" i="36"/>
  <c r="E107" i="36" s="1"/>
  <c r="E106" i="36"/>
  <c r="D106" i="36"/>
  <c r="E105" i="36"/>
  <c r="D105" i="36"/>
  <c r="E104" i="36"/>
  <c r="D104" i="36"/>
  <c r="D103" i="36"/>
  <c r="E103" i="36" s="1"/>
  <c r="E102" i="36"/>
  <c r="D102" i="36"/>
  <c r="D101" i="36"/>
  <c r="E101" i="36" s="1"/>
  <c r="E100" i="36"/>
  <c r="D100" i="36"/>
  <c r="G89" i="36"/>
  <c r="D89" i="36"/>
  <c r="F88" i="36"/>
  <c r="M88" i="36" s="1"/>
  <c r="E88" i="36"/>
  <c r="E87" i="36"/>
  <c r="F87" i="36" s="1"/>
  <c r="M87" i="36" s="1"/>
  <c r="F86" i="36"/>
  <c r="M86" i="36" s="1"/>
  <c r="E86" i="36"/>
  <c r="E85" i="36"/>
  <c r="F85" i="36" s="1"/>
  <c r="M85" i="36" s="1"/>
  <c r="F84" i="36"/>
  <c r="M84" i="36" s="1"/>
  <c r="E84" i="36"/>
  <c r="F83" i="36"/>
  <c r="M83" i="36" s="1"/>
  <c r="E83" i="36"/>
  <c r="F82" i="36"/>
  <c r="M82" i="36" s="1"/>
  <c r="E82" i="36"/>
  <c r="E81" i="36"/>
  <c r="F81" i="36" s="1"/>
  <c r="M81" i="36" s="1"/>
  <c r="F80" i="36"/>
  <c r="M80" i="36" s="1"/>
  <c r="E80" i="36"/>
  <c r="E79" i="36"/>
  <c r="F79" i="36" s="1"/>
  <c r="M79" i="36" s="1"/>
  <c r="F78" i="36"/>
  <c r="M78" i="36" s="1"/>
  <c r="E78" i="36"/>
  <c r="E77" i="36"/>
  <c r="F77" i="36" s="1"/>
  <c r="M77" i="36" s="1"/>
  <c r="F76" i="36"/>
  <c r="M76" i="36" s="1"/>
  <c r="E76" i="36"/>
  <c r="M75" i="36"/>
  <c r="F75" i="36"/>
  <c r="E75" i="36"/>
  <c r="M74" i="36"/>
  <c r="F74" i="36"/>
  <c r="E74" i="36"/>
  <c r="E73" i="36"/>
  <c r="F73" i="36" s="1"/>
  <c r="M73" i="36" s="1"/>
  <c r="F72" i="36"/>
  <c r="M72" i="36" s="1"/>
  <c r="E72" i="36"/>
  <c r="M71" i="36"/>
  <c r="E71" i="36"/>
  <c r="F71" i="36" s="1"/>
  <c r="S32" i="36"/>
  <c r="N32" i="36"/>
  <c r="M32" i="36"/>
  <c r="M29" i="36"/>
  <c r="L29" i="36"/>
  <c r="J29" i="36"/>
  <c r="S27" i="36"/>
  <c r="R27" i="36"/>
  <c r="Q27" i="36"/>
  <c r="N27" i="36"/>
  <c r="N29" i="36" s="1"/>
  <c r="O32" i="36" s="1"/>
  <c r="M27" i="36"/>
  <c r="L27" i="36"/>
  <c r="J27" i="36"/>
  <c r="D27" i="36"/>
  <c r="S26" i="36"/>
  <c r="O26" i="36"/>
  <c r="P26" i="36" s="1"/>
  <c r="G26" i="36"/>
  <c r="H26" i="36" s="1"/>
  <c r="F26" i="36"/>
  <c r="E26" i="36"/>
  <c r="S25" i="36"/>
  <c r="P25" i="36"/>
  <c r="P27" i="36" s="1"/>
  <c r="O25" i="36"/>
  <c r="O27" i="36" s="1"/>
  <c r="O29" i="36" s="1"/>
  <c r="P32" i="36" s="1"/>
  <c r="G25" i="36"/>
  <c r="I25" i="36" s="1"/>
  <c r="F25" i="36"/>
  <c r="E25" i="36"/>
  <c r="S24" i="36"/>
  <c r="P24" i="36"/>
  <c r="G24" i="36"/>
  <c r="G27" i="36" s="1"/>
  <c r="F24" i="36"/>
  <c r="F27" i="36" s="1"/>
  <c r="E24" i="36"/>
  <c r="E27" i="36" s="1"/>
  <c r="R21" i="36"/>
  <c r="R29" i="36" s="1"/>
  <c r="Q21" i="36"/>
  <c r="O21" i="36"/>
  <c r="N21" i="36"/>
  <c r="M21" i="36"/>
  <c r="L21" i="36"/>
  <c r="J21" i="36"/>
  <c r="D21" i="36"/>
  <c r="D29" i="36" s="1"/>
  <c r="S20" i="36"/>
  <c r="G20" i="36"/>
  <c r="F20" i="36"/>
  <c r="E20" i="36"/>
  <c r="S19" i="36"/>
  <c r="P19" i="36"/>
  <c r="G19" i="36"/>
  <c r="F19" i="36"/>
  <c r="E19" i="36"/>
  <c r="S18" i="36"/>
  <c r="P18" i="36"/>
  <c r="G18" i="36"/>
  <c r="F18" i="36"/>
  <c r="E18" i="36"/>
  <c r="S17" i="36"/>
  <c r="P17" i="36"/>
  <c r="G17" i="36"/>
  <c r="F17" i="36"/>
  <c r="E17" i="36"/>
  <c r="S16" i="36"/>
  <c r="P16" i="36"/>
  <c r="G16" i="36"/>
  <c r="F16" i="36"/>
  <c r="E16" i="36"/>
  <c r="S15" i="36"/>
  <c r="P15" i="36"/>
  <c r="G15" i="36"/>
  <c r="I15" i="36" s="1"/>
  <c r="F15" i="36"/>
  <c r="E15" i="36"/>
  <c r="S14" i="36"/>
  <c r="P14" i="36"/>
  <c r="G14" i="36"/>
  <c r="I14" i="36" s="1"/>
  <c r="F14" i="36"/>
  <c r="E14" i="36"/>
  <c r="S13" i="36"/>
  <c r="P13" i="36"/>
  <c r="G13" i="36"/>
  <c r="F13" i="36"/>
  <c r="E13" i="36"/>
  <c r="S12" i="36"/>
  <c r="P12" i="36"/>
  <c r="G12" i="36"/>
  <c r="F12" i="36"/>
  <c r="E12" i="36"/>
  <c r="S11" i="36"/>
  <c r="P11" i="36"/>
  <c r="G11" i="36"/>
  <c r="I11" i="36" s="1"/>
  <c r="F11" i="36"/>
  <c r="E11" i="36"/>
  <c r="S10" i="36"/>
  <c r="P10" i="36"/>
  <c r="G10" i="36"/>
  <c r="F10" i="36"/>
  <c r="E10" i="36"/>
  <c r="S9" i="36"/>
  <c r="P9" i="36"/>
  <c r="G9" i="36"/>
  <c r="F9" i="36"/>
  <c r="E9" i="36"/>
  <c r="S8" i="36"/>
  <c r="P8" i="36"/>
  <c r="G8" i="36"/>
  <c r="F8" i="36"/>
  <c r="E8" i="36"/>
  <c r="S7" i="36"/>
  <c r="P7" i="36"/>
  <c r="G7" i="36"/>
  <c r="I7" i="36" s="1"/>
  <c r="F7" i="36"/>
  <c r="E7" i="36"/>
  <c r="S6" i="36"/>
  <c r="S21" i="36" s="1"/>
  <c r="S29" i="36" s="1"/>
  <c r="P6" i="36"/>
  <c r="G6" i="36"/>
  <c r="F6" i="36"/>
  <c r="E6" i="36"/>
  <c r="E21" i="36" s="1"/>
  <c r="O101" i="35"/>
  <c r="M101" i="35"/>
  <c r="L101" i="35"/>
  <c r="R100" i="35"/>
  <c r="Q100" i="35"/>
  <c r="P100" i="35"/>
  <c r="O100" i="35"/>
  <c r="N100" i="35"/>
  <c r="M100" i="35"/>
  <c r="L100" i="35"/>
  <c r="O97" i="35"/>
  <c r="M97" i="35"/>
  <c r="J97" i="35"/>
  <c r="Q95" i="35"/>
  <c r="P95" i="35"/>
  <c r="O95" i="35"/>
  <c r="N95" i="35"/>
  <c r="M95" i="35"/>
  <c r="L95" i="35"/>
  <c r="L97" i="35" s="1"/>
  <c r="D95" i="35"/>
  <c r="D97" i="35" s="1"/>
  <c r="R94" i="35"/>
  <c r="Q94" i="35"/>
  <c r="G94" i="35"/>
  <c r="F94" i="35"/>
  <c r="F95" i="35" s="1"/>
  <c r="E94" i="35"/>
  <c r="E95" i="35" s="1"/>
  <c r="P91" i="35"/>
  <c r="O91" i="35"/>
  <c r="N91" i="35"/>
  <c r="N97" i="35" s="1"/>
  <c r="N101" i="35" s="1"/>
  <c r="M91" i="35"/>
  <c r="L91" i="35"/>
  <c r="G91" i="35"/>
  <c r="H91" i="35" s="1"/>
  <c r="D91" i="35"/>
  <c r="S90" i="35"/>
  <c r="R90" i="35"/>
  <c r="Q90" i="35"/>
  <c r="P90" i="35"/>
  <c r="G90" i="35"/>
  <c r="F90" i="35"/>
  <c r="E90" i="35"/>
  <c r="R89" i="35"/>
  <c r="S89" i="35" s="1"/>
  <c r="Q89" i="35"/>
  <c r="P89" i="35"/>
  <c r="G89" i="35"/>
  <c r="I89" i="35" s="1"/>
  <c r="F89" i="35"/>
  <c r="E89" i="35"/>
  <c r="R88" i="35"/>
  <c r="Q88" i="35"/>
  <c r="Q91" i="35" s="1"/>
  <c r="Q97" i="35" s="1"/>
  <c r="Q101" i="35" s="1"/>
  <c r="P88" i="35"/>
  <c r="I88" i="35"/>
  <c r="G88" i="35"/>
  <c r="H88" i="35" s="1"/>
  <c r="F88" i="35"/>
  <c r="F91" i="35" s="1"/>
  <c r="E88" i="35"/>
  <c r="N36" i="35"/>
  <c r="R35" i="35"/>
  <c r="Q35" i="35"/>
  <c r="P35" i="35"/>
  <c r="O35" i="35"/>
  <c r="N35" i="35"/>
  <c r="M35" i="35"/>
  <c r="L35" i="35"/>
  <c r="J32" i="35"/>
  <c r="R30" i="35"/>
  <c r="P30" i="35"/>
  <c r="O30" i="35"/>
  <c r="N30" i="35"/>
  <c r="N32" i="35" s="1"/>
  <c r="M30" i="35"/>
  <c r="L30" i="35"/>
  <c r="L32" i="35" s="1"/>
  <c r="L36" i="35" s="1"/>
  <c r="J30" i="35"/>
  <c r="D30" i="35"/>
  <c r="S29" i="35"/>
  <c r="G29" i="35"/>
  <c r="I29" i="35" s="1"/>
  <c r="F29" i="35"/>
  <c r="E29" i="35"/>
  <c r="R28" i="35"/>
  <c r="Q28" i="35"/>
  <c r="S28" i="35" s="1"/>
  <c r="P28" i="35"/>
  <c r="G28" i="35"/>
  <c r="F28" i="35"/>
  <c r="E28" i="35"/>
  <c r="R27" i="35"/>
  <c r="Q27" i="35"/>
  <c r="G27" i="35"/>
  <c r="G30" i="35" s="1"/>
  <c r="F27" i="35"/>
  <c r="F30" i="35" s="1"/>
  <c r="E27" i="35"/>
  <c r="O24" i="35"/>
  <c r="O32" i="35" s="1"/>
  <c r="O36" i="35" s="1"/>
  <c r="N24" i="35"/>
  <c r="M24" i="35"/>
  <c r="M32" i="35" s="1"/>
  <c r="M36" i="35" s="1"/>
  <c r="L24" i="35"/>
  <c r="J24" i="35"/>
  <c r="D24" i="35"/>
  <c r="D32" i="35" s="1"/>
  <c r="R23" i="35"/>
  <c r="S23" i="35" s="1"/>
  <c r="Q23" i="35"/>
  <c r="O23" i="35"/>
  <c r="G23" i="35"/>
  <c r="F23" i="35"/>
  <c r="E23" i="35"/>
  <c r="S22" i="35"/>
  <c r="R22" i="35"/>
  <c r="Q22" i="35"/>
  <c r="P22" i="35"/>
  <c r="O22" i="35"/>
  <c r="G22" i="35"/>
  <c r="I22" i="35" s="1"/>
  <c r="F22" i="35"/>
  <c r="E22" i="35"/>
  <c r="S21" i="35"/>
  <c r="R21" i="35"/>
  <c r="Q21" i="35"/>
  <c r="P21" i="35"/>
  <c r="O21" i="35"/>
  <c r="G21" i="35"/>
  <c r="F21" i="35"/>
  <c r="E21" i="35"/>
  <c r="R20" i="35"/>
  <c r="S20" i="35" s="1"/>
  <c r="Q20" i="35"/>
  <c r="O20" i="35"/>
  <c r="P20" i="35" s="1"/>
  <c r="G20" i="35"/>
  <c r="F20" i="35"/>
  <c r="E20" i="35"/>
  <c r="R19" i="35"/>
  <c r="Q19" i="35"/>
  <c r="S19" i="35" s="1"/>
  <c r="P19" i="35"/>
  <c r="O19" i="35"/>
  <c r="G19" i="35"/>
  <c r="F19" i="35"/>
  <c r="E19" i="35"/>
  <c r="R18" i="35"/>
  <c r="S18" i="35" s="1"/>
  <c r="Q18" i="35"/>
  <c r="O18" i="35"/>
  <c r="P18" i="35" s="1"/>
  <c r="G18" i="35"/>
  <c r="I18" i="35" s="1"/>
  <c r="F18" i="35"/>
  <c r="E18" i="35"/>
  <c r="S17" i="35"/>
  <c r="R17" i="35"/>
  <c r="Q17" i="35"/>
  <c r="P17" i="35"/>
  <c r="O17" i="35"/>
  <c r="G17" i="35"/>
  <c r="H17" i="35" s="1"/>
  <c r="F17" i="35"/>
  <c r="E17" i="35"/>
  <c r="R16" i="35"/>
  <c r="S16" i="35" s="1"/>
  <c r="Q16" i="35"/>
  <c r="O16" i="35"/>
  <c r="P16" i="35" s="1"/>
  <c r="G16" i="35"/>
  <c r="F16" i="35"/>
  <c r="E16" i="35"/>
  <c r="R15" i="35"/>
  <c r="Q15" i="35"/>
  <c r="O15" i="35"/>
  <c r="P15" i="35" s="1"/>
  <c r="G15" i="35"/>
  <c r="H15" i="35" s="1"/>
  <c r="F15" i="35"/>
  <c r="E15" i="35"/>
  <c r="R14" i="35"/>
  <c r="S14" i="35" s="1"/>
  <c r="Q14" i="35"/>
  <c r="P14" i="35"/>
  <c r="O14" i="35"/>
  <c r="G14" i="35"/>
  <c r="I14" i="35" s="1"/>
  <c r="F14" i="35"/>
  <c r="E14" i="35"/>
  <c r="R13" i="35"/>
  <c r="Q13" i="35"/>
  <c r="S13" i="35" s="1"/>
  <c r="O13" i="35"/>
  <c r="P13" i="35" s="1"/>
  <c r="G13" i="35"/>
  <c r="H13" i="35" s="1"/>
  <c r="F13" i="35"/>
  <c r="E13" i="35"/>
  <c r="S12" i="35"/>
  <c r="R12" i="35"/>
  <c r="Q12" i="35"/>
  <c r="O12" i="35"/>
  <c r="P12" i="35" s="1"/>
  <c r="G12" i="35"/>
  <c r="F12" i="35"/>
  <c r="E12" i="35"/>
  <c r="R11" i="35"/>
  <c r="S11" i="35" s="1"/>
  <c r="Q11" i="35"/>
  <c r="P11" i="35"/>
  <c r="O11" i="35"/>
  <c r="G11" i="35"/>
  <c r="H11" i="35" s="1"/>
  <c r="F11" i="35"/>
  <c r="E11" i="35"/>
  <c r="R10" i="35"/>
  <c r="Q10" i="35"/>
  <c r="S10" i="35" s="1"/>
  <c r="O10" i="35"/>
  <c r="P10" i="35" s="1"/>
  <c r="G10" i="35"/>
  <c r="F10" i="35"/>
  <c r="E10" i="35"/>
  <c r="R9" i="35"/>
  <c r="S9" i="35" s="1"/>
  <c r="Q9" i="35"/>
  <c r="O9" i="35"/>
  <c r="P9" i="35" s="1"/>
  <c r="G9" i="35"/>
  <c r="F9" i="35"/>
  <c r="E9" i="35"/>
  <c r="S8" i="35"/>
  <c r="R8" i="35"/>
  <c r="Q8" i="35"/>
  <c r="O8" i="35"/>
  <c r="P8" i="35" s="1"/>
  <c r="G8" i="35"/>
  <c r="F8" i="35"/>
  <c r="E8" i="35"/>
  <c r="R7" i="35"/>
  <c r="Q7" i="35"/>
  <c r="S7" i="35" s="1"/>
  <c r="O7" i="35"/>
  <c r="P7" i="35" s="1"/>
  <c r="G7" i="35"/>
  <c r="H7" i="35" s="1"/>
  <c r="F7" i="35"/>
  <c r="E7" i="35"/>
  <c r="R6" i="35"/>
  <c r="Q6" i="35"/>
  <c r="O6" i="35"/>
  <c r="P6" i="35" s="1"/>
  <c r="G6" i="35"/>
  <c r="F6" i="35"/>
  <c r="E6" i="35"/>
  <c r="R611" i="34"/>
  <c r="Q611" i="34"/>
  <c r="P611" i="34"/>
  <c r="O611" i="34"/>
  <c r="N611" i="34"/>
  <c r="M611" i="34"/>
  <c r="L611" i="34"/>
  <c r="R606" i="34"/>
  <c r="Q606" i="34"/>
  <c r="N606" i="34"/>
  <c r="M606" i="34"/>
  <c r="L606" i="34"/>
  <c r="J606" i="34"/>
  <c r="J608" i="34" s="1"/>
  <c r="D606" i="34"/>
  <c r="S605" i="34"/>
  <c r="R605" i="34"/>
  <c r="P605" i="34"/>
  <c r="O605" i="34"/>
  <c r="I605" i="34"/>
  <c r="H605" i="34"/>
  <c r="R604" i="34"/>
  <c r="S604" i="34" s="1"/>
  <c r="P604" i="34"/>
  <c r="O604" i="34"/>
  <c r="I604" i="34"/>
  <c r="H604" i="34"/>
  <c r="S603" i="34"/>
  <c r="R603" i="34"/>
  <c r="P603" i="34"/>
  <c r="O603" i="34"/>
  <c r="I603" i="34"/>
  <c r="H603" i="34"/>
  <c r="R602" i="34"/>
  <c r="S602" i="34" s="1"/>
  <c r="P602" i="34"/>
  <c r="O602" i="34"/>
  <c r="I602" i="34"/>
  <c r="H602" i="34"/>
  <c r="S601" i="34"/>
  <c r="R601" i="34"/>
  <c r="P601" i="34"/>
  <c r="O601" i="34"/>
  <c r="I601" i="34"/>
  <c r="H601" i="34"/>
  <c r="R600" i="34"/>
  <c r="S600" i="34" s="1"/>
  <c r="P600" i="34"/>
  <c r="O600" i="34"/>
  <c r="I600" i="34"/>
  <c r="H600" i="34"/>
  <c r="R599" i="34"/>
  <c r="S599" i="34" s="1"/>
  <c r="P599" i="34"/>
  <c r="O599" i="34"/>
  <c r="I599" i="34"/>
  <c r="H599" i="34"/>
  <c r="R598" i="34"/>
  <c r="S598" i="34" s="1"/>
  <c r="P598" i="34"/>
  <c r="O598" i="34"/>
  <c r="I598" i="34"/>
  <c r="H598" i="34"/>
  <c r="S597" i="34"/>
  <c r="S606" i="34" s="1"/>
  <c r="R597" i="34"/>
  <c r="O597" i="34"/>
  <c r="G597" i="34"/>
  <c r="I597" i="34" s="1"/>
  <c r="F597" i="34"/>
  <c r="F606" i="34" s="1"/>
  <c r="E597" i="34"/>
  <c r="E606" i="34" s="1"/>
  <c r="J592" i="34"/>
  <c r="J594" i="34" s="1"/>
  <c r="N591" i="34"/>
  <c r="L591" i="34"/>
  <c r="L592" i="34" s="1"/>
  <c r="B591" i="34"/>
  <c r="S590" i="34"/>
  <c r="R590" i="34"/>
  <c r="Q590" i="34"/>
  <c r="N590" i="34"/>
  <c r="M590" i="34"/>
  <c r="L590" i="34"/>
  <c r="D590" i="34"/>
  <c r="S589" i="34"/>
  <c r="R589" i="34"/>
  <c r="Q589" i="34"/>
  <c r="P589" i="34"/>
  <c r="O589" i="34"/>
  <c r="N589" i="34"/>
  <c r="M589" i="34"/>
  <c r="L589" i="34"/>
  <c r="D589" i="34"/>
  <c r="R588" i="34"/>
  <c r="Q588" i="34"/>
  <c r="N588" i="34"/>
  <c r="M588" i="34"/>
  <c r="L588" i="34"/>
  <c r="D588" i="34"/>
  <c r="J586" i="34"/>
  <c r="Q585" i="34"/>
  <c r="P585" i="34"/>
  <c r="O585" i="34"/>
  <c r="N585" i="34"/>
  <c r="M585" i="34"/>
  <c r="L585" i="34"/>
  <c r="D585" i="34"/>
  <c r="R584" i="34"/>
  <c r="Q584" i="34"/>
  <c r="N584" i="34"/>
  <c r="M584" i="34"/>
  <c r="L584" i="34"/>
  <c r="D584" i="34"/>
  <c r="Q583" i="34"/>
  <c r="P583" i="34"/>
  <c r="O583" i="34"/>
  <c r="N583" i="34"/>
  <c r="M583" i="34"/>
  <c r="L583" i="34"/>
  <c r="F583" i="34"/>
  <c r="D583" i="34"/>
  <c r="G583" i="34" s="1"/>
  <c r="H583" i="34" s="1"/>
  <c r="R582" i="34"/>
  <c r="S582" i="34" s="1"/>
  <c r="Q582" i="34"/>
  <c r="P582" i="34"/>
  <c r="N582" i="34"/>
  <c r="M582" i="34"/>
  <c r="L582" i="34"/>
  <c r="G582" i="34"/>
  <c r="H582" i="34" s="1"/>
  <c r="F582" i="34"/>
  <c r="D582" i="34"/>
  <c r="E582" i="34" s="1"/>
  <c r="R581" i="34"/>
  <c r="S581" i="34" s="1"/>
  <c r="Q581" i="34"/>
  <c r="N581" i="34"/>
  <c r="M581" i="34"/>
  <c r="L581" i="34"/>
  <c r="G581" i="34"/>
  <c r="F581" i="34"/>
  <c r="D581" i="34"/>
  <c r="E581" i="34" s="1"/>
  <c r="S580" i="34"/>
  <c r="R580" i="34"/>
  <c r="Q580" i="34"/>
  <c r="P580" i="34"/>
  <c r="O580" i="34"/>
  <c r="N580" i="34"/>
  <c r="M580" i="34"/>
  <c r="L580" i="34"/>
  <c r="G580" i="34"/>
  <c r="I580" i="34" s="1"/>
  <c r="F580" i="34"/>
  <c r="E580" i="34"/>
  <c r="D580" i="34"/>
  <c r="Q579" i="34"/>
  <c r="O579" i="34"/>
  <c r="P579" i="34" s="1"/>
  <c r="N579" i="34"/>
  <c r="M579" i="34"/>
  <c r="L579" i="34"/>
  <c r="D579" i="34"/>
  <c r="R578" i="34"/>
  <c r="Q578" i="34"/>
  <c r="O578" i="34"/>
  <c r="P578" i="34" s="1"/>
  <c r="N578" i="34"/>
  <c r="M578" i="34"/>
  <c r="L578" i="34"/>
  <c r="F578" i="34"/>
  <c r="D578" i="34"/>
  <c r="Q577" i="34"/>
  <c r="N577" i="34"/>
  <c r="M577" i="34"/>
  <c r="L577" i="34"/>
  <c r="D577" i="34"/>
  <c r="G577" i="34" s="1"/>
  <c r="H577" i="34" s="1"/>
  <c r="Q576" i="34"/>
  <c r="N576" i="34"/>
  <c r="M576" i="34"/>
  <c r="L576" i="34"/>
  <c r="G576" i="34"/>
  <c r="H576" i="34" s="1"/>
  <c r="F576" i="34"/>
  <c r="E576" i="34"/>
  <c r="D576" i="34"/>
  <c r="Q575" i="34"/>
  <c r="N575" i="34"/>
  <c r="M575" i="34"/>
  <c r="L575" i="34"/>
  <c r="D575" i="34"/>
  <c r="Q574" i="34"/>
  <c r="N574" i="34"/>
  <c r="M574" i="34"/>
  <c r="L574" i="34"/>
  <c r="G574" i="34"/>
  <c r="F574" i="34"/>
  <c r="E574" i="34"/>
  <c r="D574" i="34"/>
  <c r="R573" i="34"/>
  <c r="S573" i="34" s="1"/>
  <c r="Q573" i="34"/>
  <c r="N573" i="34"/>
  <c r="M573" i="34"/>
  <c r="L573" i="34"/>
  <c r="D573" i="34"/>
  <c r="R572" i="34"/>
  <c r="S572" i="34" s="1"/>
  <c r="Q572" i="34"/>
  <c r="P572" i="34"/>
  <c r="O572" i="34"/>
  <c r="N572" i="34"/>
  <c r="M572" i="34"/>
  <c r="L572" i="34"/>
  <c r="F572" i="34"/>
  <c r="D572" i="34"/>
  <c r="R571" i="34"/>
  <c r="S571" i="34" s="1"/>
  <c r="Q571" i="34"/>
  <c r="N571" i="34"/>
  <c r="M571" i="34"/>
  <c r="L571" i="34"/>
  <c r="F571" i="34"/>
  <c r="E571" i="34"/>
  <c r="D571" i="34"/>
  <c r="G571" i="34" s="1"/>
  <c r="R570" i="34"/>
  <c r="Q570" i="34"/>
  <c r="N570" i="34"/>
  <c r="M570" i="34"/>
  <c r="L570" i="34"/>
  <c r="F570" i="34"/>
  <c r="D570" i="34"/>
  <c r="S569" i="34"/>
  <c r="R569" i="34"/>
  <c r="Q569" i="34"/>
  <c r="N569" i="34"/>
  <c r="M569" i="34"/>
  <c r="L569" i="34"/>
  <c r="D569" i="34"/>
  <c r="Q568" i="34"/>
  <c r="O568" i="34"/>
  <c r="P568" i="34" s="1"/>
  <c r="N568" i="34"/>
  <c r="M568" i="34"/>
  <c r="L568" i="34"/>
  <c r="G568" i="34"/>
  <c r="I568" i="34" s="1"/>
  <c r="F568" i="34"/>
  <c r="E568" i="34"/>
  <c r="D568" i="34"/>
  <c r="R567" i="34"/>
  <c r="Q567" i="34"/>
  <c r="O567" i="34"/>
  <c r="P567" i="34" s="1"/>
  <c r="N567" i="34"/>
  <c r="M567" i="34"/>
  <c r="L567" i="34"/>
  <c r="D567" i="34"/>
  <c r="Q566" i="34"/>
  <c r="N566" i="34"/>
  <c r="M566" i="34"/>
  <c r="L566" i="34"/>
  <c r="L586" i="34" s="1"/>
  <c r="E566" i="34"/>
  <c r="D566" i="34"/>
  <c r="S563" i="34"/>
  <c r="Q563" i="34"/>
  <c r="P563" i="34"/>
  <c r="N563" i="34"/>
  <c r="M563" i="34"/>
  <c r="L563" i="34"/>
  <c r="D563" i="34"/>
  <c r="S562" i="34"/>
  <c r="H562" i="34"/>
  <c r="G562" i="34"/>
  <c r="I562" i="34" s="1"/>
  <c r="F562" i="34"/>
  <c r="E562" i="34"/>
  <c r="R561" i="34"/>
  <c r="S561" i="34" s="1"/>
  <c r="O561" i="34"/>
  <c r="O563" i="34" s="1"/>
  <c r="H561" i="34"/>
  <c r="G561" i="34"/>
  <c r="F561" i="34"/>
  <c r="F563" i="34" s="1"/>
  <c r="E561" i="34"/>
  <c r="E563" i="34" s="1"/>
  <c r="S560" i="34"/>
  <c r="R560" i="34"/>
  <c r="O560" i="34"/>
  <c r="G560" i="34"/>
  <c r="F560" i="34"/>
  <c r="E560" i="34"/>
  <c r="S559" i="34"/>
  <c r="R559" i="34"/>
  <c r="R563" i="34" s="1"/>
  <c r="O559" i="34"/>
  <c r="G559" i="34"/>
  <c r="F559" i="34"/>
  <c r="E559" i="34"/>
  <c r="Q556" i="34"/>
  <c r="P556" i="34"/>
  <c r="N556" i="34"/>
  <c r="M556" i="34"/>
  <c r="L556" i="34"/>
  <c r="D556" i="34"/>
  <c r="H556" i="34" s="1"/>
  <c r="S555" i="34"/>
  <c r="R555" i="34"/>
  <c r="O555" i="34"/>
  <c r="H555" i="34"/>
  <c r="G555" i="34"/>
  <c r="I555" i="34" s="1"/>
  <c r="F555" i="34"/>
  <c r="E555" i="34"/>
  <c r="R554" i="34"/>
  <c r="S554" i="34" s="1"/>
  <c r="O554" i="34"/>
  <c r="H554" i="34"/>
  <c r="G554" i="34"/>
  <c r="I554" i="34" s="1"/>
  <c r="F554" i="34"/>
  <c r="E554" i="34"/>
  <c r="S553" i="34"/>
  <c r="R553" i="34"/>
  <c r="R585" i="34" s="1"/>
  <c r="S585" i="34" s="1"/>
  <c r="O553" i="34"/>
  <c r="H553" i="34"/>
  <c r="G553" i="34"/>
  <c r="I553" i="34" s="1"/>
  <c r="F553" i="34"/>
  <c r="E553" i="34"/>
  <c r="S552" i="34"/>
  <c r="R552" i="34"/>
  <c r="O552" i="34"/>
  <c r="H552" i="34"/>
  <c r="G552" i="34"/>
  <c r="I552" i="34" s="1"/>
  <c r="F552" i="34"/>
  <c r="E552" i="34"/>
  <c r="R551" i="34"/>
  <c r="O551" i="34"/>
  <c r="H551" i="34"/>
  <c r="G551" i="34"/>
  <c r="I551" i="34" s="1"/>
  <c r="F551" i="34"/>
  <c r="E551" i="34"/>
  <c r="R550" i="34"/>
  <c r="S550" i="34" s="1"/>
  <c r="O550" i="34"/>
  <c r="O582" i="34" s="1"/>
  <c r="H550" i="34"/>
  <c r="G550" i="34"/>
  <c r="I550" i="34" s="1"/>
  <c r="F550" i="34"/>
  <c r="E550" i="34"/>
  <c r="S549" i="34"/>
  <c r="R549" i="34"/>
  <c r="O549" i="34"/>
  <c r="H549" i="34"/>
  <c r="G549" i="34"/>
  <c r="I549" i="34" s="1"/>
  <c r="F549" i="34"/>
  <c r="E549" i="34"/>
  <c r="S548" i="34"/>
  <c r="H548" i="34"/>
  <c r="G548" i="34"/>
  <c r="I548" i="34" s="1"/>
  <c r="F548" i="34"/>
  <c r="E548" i="34"/>
  <c r="R547" i="34"/>
  <c r="S547" i="34" s="1"/>
  <c r="O547" i="34"/>
  <c r="H547" i="34"/>
  <c r="G547" i="34"/>
  <c r="I547" i="34" s="1"/>
  <c r="F547" i="34"/>
  <c r="E547" i="34"/>
  <c r="S546" i="34"/>
  <c r="R546" i="34"/>
  <c r="O546" i="34"/>
  <c r="H546" i="34"/>
  <c r="G546" i="34"/>
  <c r="I546" i="34" s="1"/>
  <c r="F546" i="34"/>
  <c r="E546" i="34"/>
  <c r="R545" i="34"/>
  <c r="O545" i="34"/>
  <c r="H545" i="34"/>
  <c r="G545" i="34"/>
  <c r="I545" i="34" s="1"/>
  <c r="F545" i="34"/>
  <c r="E545" i="34"/>
  <c r="R544" i="34"/>
  <c r="S544" i="34" s="1"/>
  <c r="O544" i="34"/>
  <c r="H544" i="34"/>
  <c r="G544" i="34"/>
  <c r="I544" i="34" s="1"/>
  <c r="F544" i="34"/>
  <c r="E544" i="34"/>
  <c r="S543" i="34"/>
  <c r="R543" i="34"/>
  <c r="R575" i="34" s="1"/>
  <c r="S575" i="34" s="1"/>
  <c r="O543" i="34"/>
  <c r="H543" i="34"/>
  <c r="G543" i="34"/>
  <c r="I543" i="34" s="1"/>
  <c r="F543" i="34"/>
  <c r="E543" i="34"/>
  <c r="R542" i="34"/>
  <c r="S542" i="34" s="1"/>
  <c r="O542" i="34"/>
  <c r="H542" i="34"/>
  <c r="G542" i="34"/>
  <c r="I542" i="34" s="1"/>
  <c r="F542" i="34"/>
  <c r="E542" i="34"/>
  <c r="R541" i="34"/>
  <c r="S541" i="34" s="1"/>
  <c r="O541" i="34"/>
  <c r="H541" i="34"/>
  <c r="G541" i="34"/>
  <c r="I541" i="34" s="1"/>
  <c r="F541" i="34"/>
  <c r="E541" i="34"/>
  <c r="S540" i="34"/>
  <c r="R540" i="34"/>
  <c r="O540" i="34"/>
  <c r="H540" i="34"/>
  <c r="G540" i="34"/>
  <c r="I540" i="34" s="1"/>
  <c r="F540" i="34"/>
  <c r="E540" i="34"/>
  <c r="S539" i="34"/>
  <c r="R539" i="34"/>
  <c r="O539" i="34"/>
  <c r="H539" i="34"/>
  <c r="G539" i="34"/>
  <c r="I539" i="34" s="1"/>
  <c r="F539" i="34"/>
  <c r="E539" i="34"/>
  <c r="R538" i="34"/>
  <c r="S538" i="34" s="1"/>
  <c r="O538" i="34"/>
  <c r="H538" i="34"/>
  <c r="G538" i="34"/>
  <c r="I538" i="34" s="1"/>
  <c r="F538" i="34"/>
  <c r="E538" i="34"/>
  <c r="R537" i="34"/>
  <c r="S537" i="34" s="1"/>
  <c r="O537" i="34"/>
  <c r="H537" i="34"/>
  <c r="G537" i="34"/>
  <c r="I537" i="34" s="1"/>
  <c r="F537" i="34"/>
  <c r="E537" i="34"/>
  <c r="R536" i="34"/>
  <c r="O536" i="34"/>
  <c r="I536" i="34"/>
  <c r="H536" i="34"/>
  <c r="G536" i="34"/>
  <c r="F536" i="34"/>
  <c r="E536" i="34"/>
  <c r="R535" i="34"/>
  <c r="S535" i="34" s="1"/>
  <c r="O535" i="34"/>
  <c r="H535" i="34"/>
  <c r="G535" i="34"/>
  <c r="I535" i="34" s="1"/>
  <c r="F535" i="34"/>
  <c r="E535" i="34"/>
  <c r="S534" i="34"/>
  <c r="R534" i="34"/>
  <c r="R566" i="34" s="1"/>
  <c r="O534" i="34"/>
  <c r="H534" i="34"/>
  <c r="G534" i="34"/>
  <c r="F534" i="34"/>
  <c r="F556" i="34" s="1"/>
  <c r="E534" i="34"/>
  <c r="R530" i="34"/>
  <c r="Q530" i="34"/>
  <c r="P530" i="34"/>
  <c r="O530" i="34"/>
  <c r="N530" i="34"/>
  <c r="M530" i="34"/>
  <c r="L530" i="34"/>
  <c r="H530" i="34"/>
  <c r="D530" i="34"/>
  <c r="S529" i="34"/>
  <c r="R529" i="34"/>
  <c r="O529" i="34"/>
  <c r="O590" i="34" s="1"/>
  <c r="H529" i="34"/>
  <c r="G529" i="34"/>
  <c r="I529" i="34" s="1"/>
  <c r="F529" i="34"/>
  <c r="E529" i="34"/>
  <c r="S528" i="34"/>
  <c r="R528" i="34"/>
  <c r="O528" i="34"/>
  <c r="O588" i="34" s="1"/>
  <c r="H528" i="34"/>
  <c r="G528" i="34"/>
  <c r="I528" i="34" s="1"/>
  <c r="F528" i="34"/>
  <c r="E528" i="34"/>
  <c r="S527" i="34"/>
  <c r="R527" i="34"/>
  <c r="O527" i="34"/>
  <c r="H527" i="34"/>
  <c r="G527" i="34"/>
  <c r="I527" i="34" s="1"/>
  <c r="F527" i="34"/>
  <c r="E527" i="34"/>
  <c r="S526" i="34"/>
  <c r="R526" i="34"/>
  <c r="O526" i="34"/>
  <c r="O584" i="34" s="1"/>
  <c r="P584" i="34" s="1"/>
  <c r="H526" i="34"/>
  <c r="G526" i="34"/>
  <c r="I526" i="34" s="1"/>
  <c r="F526" i="34"/>
  <c r="E526" i="34"/>
  <c r="S525" i="34"/>
  <c r="R525" i="34"/>
  <c r="O525" i="34"/>
  <c r="H525" i="34"/>
  <c r="G525" i="34"/>
  <c r="I525" i="34" s="1"/>
  <c r="F525" i="34"/>
  <c r="E525" i="34"/>
  <c r="S524" i="34"/>
  <c r="R524" i="34"/>
  <c r="O524" i="34"/>
  <c r="H524" i="34"/>
  <c r="G524" i="34"/>
  <c r="I524" i="34" s="1"/>
  <c r="F524" i="34"/>
  <c r="E524" i="34"/>
  <c r="S523" i="34"/>
  <c r="R523" i="34"/>
  <c r="O523" i="34"/>
  <c r="O581" i="34" s="1"/>
  <c r="P581" i="34" s="1"/>
  <c r="H523" i="34"/>
  <c r="G523" i="34"/>
  <c r="I523" i="34" s="1"/>
  <c r="F523" i="34"/>
  <c r="E523" i="34"/>
  <c r="S522" i="34"/>
  <c r="R522" i="34"/>
  <c r="O522" i="34"/>
  <c r="H522" i="34"/>
  <c r="G522" i="34"/>
  <c r="I522" i="34" s="1"/>
  <c r="F522" i="34"/>
  <c r="E522" i="34"/>
  <c r="S521" i="34"/>
  <c r="R521" i="34"/>
  <c r="O521" i="34"/>
  <c r="H521" i="34"/>
  <c r="G521" i="34"/>
  <c r="I521" i="34" s="1"/>
  <c r="F521" i="34"/>
  <c r="E521" i="34"/>
  <c r="S520" i="34"/>
  <c r="R520" i="34"/>
  <c r="O520" i="34"/>
  <c r="O577" i="34" s="1"/>
  <c r="P577" i="34" s="1"/>
  <c r="I520" i="34"/>
  <c r="H520" i="34"/>
  <c r="G520" i="34"/>
  <c r="F520" i="34"/>
  <c r="E520" i="34"/>
  <c r="S519" i="34"/>
  <c r="R519" i="34"/>
  <c r="O519" i="34"/>
  <c r="H519" i="34"/>
  <c r="G519" i="34"/>
  <c r="I519" i="34" s="1"/>
  <c r="F519" i="34"/>
  <c r="E519" i="34"/>
  <c r="S518" i="34"/>
  <c r="R518" i="34"/>
  <c r="O518" i="34"/>
  <c r="O575" i="34" s="1"/>
  <c r="P575" i="34" s="1"/>
  <c r="H518" i="34"/>
  <c r="G518" i="34"/>
  <c r="I518" i="34" s="1"/>
  <c r="F518" i="34"/>
  <c r="E518" i="34"/>
  <c r="S517" i="34"/>
  <c r="R517" i="34"/>
  <c r="O517" i="34"/>
  <c r="O574" i="34" s="1"/>
  <c r="P574" i="34" s="1"/>
  <c r="H517" i="34"/>
  <c r="G517" i="34"/>
  <c r="I517" i="34" s="1"/>
  <c r="F517" i="34"/>
  <c r="E517" i="34"/>
  <c r="S516" i="34"/>
  <c r="R516" i="34"/>
  <c r="O516" i="34"/>
  <c r="H516" i="34"/>
  <c r="G516" i="34"/>
  <c r="I516" i="34" s="1"/>
  <c r="F516" i="34"/>
  <c r="E516" i="34"/>
  <c r="S515" i="34"/>
  <c r="R515" i="34"/>
  <c r="O515" i="34"/>
  <c r="I515" i="34"/>
  <c r="H515" i="34"/>
  <c r="G515" i="34"/>
  <c r="F515" i="34"/>
  <c r="E515" i="34"/>
  <c r="S514" i="34"/>
  <c r="R514" i="34"/>
  <c r="O514" i="34"/>
  <c r="O571" i="34" s="1"/>
  <c r="P571" i="34" s="1"/>
  <c r="H514" i="34"/>
  <c r="G514" i="34"/>
  <c r="I514" i="34" s="1"/>
  <c r="F514" i="34"/>
  <c r="E514" i="34"/>
  <c r="S513" i="34"/>
  <c r="R513" i="34"/>
  <c r="O513" i="34"/>
  <c r="H513" i="34"/>
  <c r="G513" i="34"/>
  <c r="I513" i="34" s="1"/>
  <c r="F513" i="34"/>
  <c r="E513" i="34"/>
  <c r="S512" i="34"/>
  <c r="R512" i="34"/>
  <c r="O512" i="34"/>
  <c r="O569" i="34" s="1"/>
  <c r="P569" i="34" s="1"/>
  <c r="H512" i="34"/>
  <c r="G512" i="34"/>
  <c r="I512" i="34" s="1"/>
  <c r="F512" i="34"/>
  <c r="E512" i="34"/>
  <c r="S511" i="34"/>
  <c r="R511" i="34"/>
  <c r="O511" i="34"/>
  <c r="H511" i="34"/>
  <c r="G511" i="34"/>
  <c r="I511" i="34" s="1"/>
  <c r="F511" i="34"/>
  <c r="E511" i="34"/>
  <c r="S510" i="34"/>
  <c r="R510" i="34"/>
  <c r="O510" i="34"/>
  <c r="H510" i="34"/>
  <c r="G510" i="34"/>
  <c r="I510" i="34" s="1"/>
  <c r="F510" i="34"/>
  <c r="E510" i="34"/>
  <c r="S509" i="34"/>
  <c r="R509" i="34"/>
  <c r="O509" i="34"/>
  <c r="H509" i="34"/>
  <c r="G509" i="34"/>
  <c r="I509" i="34" s="1"/>
  <c r="F509" i="34"/>
  <c r="E509" i="34"/>
  <c r="S508" i="34"/>
  <c r="R508" i="34"/>
  <c r="O508" i="34"/>
  <c r="O566" i="34" s="1"/>
  <c r="H508" i="34"/>
  <c r="G508" i="34"/>
  <c r="G530" i="34" s="1"/>
  <c r="F508" i="34"/>
  <c r="E508" i="34"/>
  <c r="S507" i="34"/>
  <c r="R507" i="34"/>
  <c r="Q507" i="34"/>
  <c r="P507" i="34"/>
  <c r="O507" i="34"/>
  <c r="N507" i="34"/>
  <c r="M507" i="34"/>
  <c r="L507" i="34"/>
  <c r="R450" i="34"/>
  <c r="Q450" i="34"/>
  <c r="P450" i="34"/>
  <c r="O450" i="34"/>
  <c r="N450" i="34"/>
  <c r="M450" i="34"/>
  <c r="L450" i="34"/>
  <c r="R445" i="34"/>
  <c r="Q445" i="34"/>
  <c r="O445" i="34"/>
  <c r="N445" i="34"/>
  <c r="M445" i="34"/>
  <c r="L445" i="34"/>
  <c r="J445" i="34"/>
  <c r="D445" i="34"/>
  <c r="R444" i="34"/>
  <c r="S444" i="34" s="1"/>
  <c r="P444" i="34"/>
  <c r="G444" i="34"/>
  <c r="F444" i="34"/>
  <c r="E444" i="34"/>
  <c r="S443" i="34"/>
  <c r="R443" i="34"/>
  <c r="P443" i="34"/>
  <c r="G443" i="34"/>
  <c r="F443" i="34"/>
  <c r="E443" i="34"/>
  <c r="R442" i="34"/>
  <c r="S442" i="34" s="1"/>
  <c r="P442" i="34"/>
  <c r="G442" i="34"/>
  <c r="F442" i="34"/>
  <c r="E442" i="34"/>
  <c r="S441" i="34"/>
  <c r="R441" i="34"/>
  <c r="P441" i="34"/>
  <c r="G441" i="34"/>
  <c r="F441" i="34"/>
  <c r="E441" i="34"/>
  <c r="S440" i="34"/>
  <c r="R440" i="34"/>
  <c r="P440" i="34"/>
  <c r="G440" i="34"/>
  <c r="F440" i="34"/>
  <c r="E440" i="34"/>
  <c r="R439" i="34"/>
  <c r="S439" i="34" s="1"/>
  <c r="P439" i="34"/>
  <c r="G439" i="34"/>
  <c r="H439" i="34" s="1"/>
  <c r="F439" i="34"/>
  <c r="E439" i="34"/>
  <c r="R438" i="34"/>
  <c r="S438" i="34" s="1"/>
  <c r="P438" i="34"/>
  <c r="G438" i="34"/>
  <c r="F438" i="34"/>
  <c r="E438" i="34"/>
  <c r="S437" i="34"/>
  <c r="R437" i="34"/>
  <c r="P437" i="34"/>
  <c r="I437" i="34"/>
  <c r="H437" i="34"/>
  <c r="R436" i="34"/>
  <c r="S436" i="34" s="1"/>
  <c r="P436" i="34"/>
  <c r="G436" i="34"/>
  <c r="F436" i="34"/>
  <c r="E436" i="34"/>
  <c r="R435" i="34"/>
  <c r="S435" i="34" s="1"/>
  <c r="P435" i="34"/>
  <c r="G435" i="34"/>
  <c r="H435" i="34" s="1"/>
  <c r="F435" i="34"/>
  <c r="E435" i="34"/>
  <c r="S434" i="34"/>
  <c r="R434" i="34"/>
  <c r="P434" i="34"/>
  <c r="P445" i="34" s="1"/>
  <c r="G434" i="34"/>
  <c r="H434" i="34" s="1"/>
  <c r="F434" i="34"/>
  <c r="E434" i="34"/>
  <c r="P429" i="34"/>
  <c r="N429" i="34"/>
  <c r="L429" i="34"/>
  <c r="J429" i="34"/>
  <c r="D429" i="34"/>
  <c r="Q428" i="34"/>
  <c r="Q429" i="34" s="1"/>
  <c r="P428" i="34"/>
  <c r="N428" i="34"/>
  <c r="M428" i="34"/>
  <c r="M429" i="34" s="1"/>
  <c r="L428" i="34"/>
  <c r="D428" i="34"/>
  <c r="J426" i="34"/>
  <c r="J431" i="34" s="1"/>
  <c r="J447" i="34" s="1"/>
  <c r="Q425" i="34"/>
  <c r="O425" i="34"/>
  <c r="P425" i="34" s="1"/>
  <c r="N425" i="34"/>
  <c r="M425" i="34"/>
  <c r="L425" i="34"/>
  <c r="G425" i="34"/>
  <c r="H425" i="34" s="1"/>
  <c r="D425" i="34"/>
  <c r="E425" i="34" s="1"/>
  <c r="Q424" i="34"/>
  <c r="O424" i="34"/>
  <c r="P424" i="34" s="1"/>
  <c r="N424" i="34"/>
  <c r="M424" i="34"/>
  <c r="L424" i="34"/>
  <c r="F424" i="34"/>
  <c r="D424" i="34"/>
  <c r="S423" i="34"/>
  <c r="Q423" i="34"/>
  <c r="O423" i="34"/>
  <c r="P423" i="34" s="1"/>
  <c r="N423" i="34"/>
  <c r="M423" i="34"/>
  <c r="L423" i="34"/>
  <c r="D423" i="34"/>
  <c r="G423" i="34" s="1"/>
  <c r="H423" i="34" s="1"/>
  <c r="Q422" i="34"/>
  <c r="O422" i="34"/>
  <c r="P422" i="34" s="1"/>
  <c r="N422" i="34"/>
  <c r="M422" i="34"/>
  <c r="L422" i="34"/>
  <c r="G422" i="34"/>
  <c r="H422" i="34" s="1"/>
  <c r="F422" i="34"/>
  <c r="E422" i="34"/>
  <c r="D422" i="34"/>
  <c r="Q421" i="34"/>
  <c r="P421" i="34"/>
  <c r="N421" i="34"/>
  <c r="M421" i="34"/>
  <c r="L421" i="34"/>
  <c r="G421" i="34"/>
  <c r="I421" i="34" s="1"/>
  <c r="F421" i="34"/>
  <c r="E421" i="34"/>
  <c r="D421" i="34"/>
  <c r="Q420" i="34"/>
  <c r="N420" i="34"/>
  <c r="M420" i="34"/>
  <c r="L420" i="34"/>
  <c r="G420" i="34"/>
  <c r="I420" i="34" s="1"/>
  <c r="F420" i="34"/>
  <c r="D420" i="34"/>
  <c r="E420" i="34" s="1"/>
  <c r="Q419" i="34"/>
  <c r="N419" i="34"/>
  <c r="M419" i="34"/>
  <c r="L419" i="34"/>
  <c r="G419" i="34"/>
  <c r="H419" i="34" s="1"/>
  <c r="D419" i="34"/>
  <c r="E419" i="34" s="1"/>
  <c r="R418" i="34"/>
  <c r="Q418" i="34"/>
  <c r="O418" i="34"/>
  <c r="P418" i="34" s="1"/>
  <c r="N418" i="34"/>
  <c r="M418" i="34"/>
  <c r="L418" i="34"/>
  <c r="F418" i="34"/>
  <c r="D418" i="34"/>
  <c r="Q417" i="34"/>
  <c r="N417" i="34"/>
  <c r="M417" i="34"/>
  <c r="L417" i="34"/>
  <c r="F417" i="34"/>
  <c r="E417" i="34"/>
  <c r="D417" i="34"/>
  <c r="G417" i="34" s="1"/>
  <c r="H417" i="34" s="1"/>
  <c r="Q416" i="34"/>
  <c r="N416" i="34"/>
  <c r="M416" i="34"/>
  <c r="L416" i="34"/>
  <c r="G416" i="34"/>
  <c r="H416" i="34" s="1"/>
  <c r="F416" i="34"/>
  <c r="D416" i="34"/>
  <c r="E416" i="34" s="1"/>
  <c r="R415" i="34"/>
  <c r="Q415" i="34"/>
  <c r="N415" i="34"/>
  <c r="P415" i="34" s="1"/>
  <c r="M415" i="34"/>
  <c r="L415" i="34"/>
  <c r="G415" i="34"/>
  <c r="F415" i="34"/>
  <c r="E415" i="34"/>
  <c r="D415" i="34"/>
  <c r="S414" i="34"/>
  <c r="Q414" i="34"/>
  <c r="N414" i="34"/>
  <c r="P414" i="34" s="1"/>
  <c r="M414" i="34"/>
  <c r="L414" i="34"/>
  <c r="D414" i="34"/>
  <c r="R413" i="34"/>
  <c r="Q413" i="34"/>
  <c r="P413" i="34"/>
  <c r="O413" i="34"/>
  <c r="N413" i="34"/>
  <c r="M413" i="34"/>
  <c r="L413" i="34"/>
  <c r="F413" i="34"/>
  <c r="D413" i="34"/>
  <c r="R412" i="34"/>
  <c r="Q412" i="34"/>
  <c r="N412" i="34"/>
  <c r="M412" i="34"/>
  <c r="L412" i="34"/>
  <c r="G412" i="34"/>
  <c r="D412" i="34"/>
  <c r="R411" i="34"/>
  <c r="Q411" i="34"/>
  <c r="O411" i="34"/>
  <c r="P411" i="34" s="1"/>
  <c r="N411" i="34"/>
  <c r="M411" i="34"/>
  <c r="L411" i="34"/>
  <c r="E411" i="34"/>
  <c r="D411" i="34"/>
  <c r="Q410" i="34"/>
  <c r="O410" i="34"/>
  <c r="P410" i="34" s="1"/>
  <c r="N410" i="34"/>
  <c r="M410" i="34"/>
  <c r="L410" i="34"/>
  <c r="F410" i="34"/>
  <c r="E410" i="34"/>
  <c r="D410" i="34"/>
  <c r="G410" i="34" s="1"/>
  <c r="H410" i="34" s="1"/>
  <c r="R409" i="34"/>
  <c r="Q409" i="34"/>
  <c r="N409" i="34"/>
  <c r="M409" i="34"/>
  <c r="L409" i="34"/>
  <c r="G409" i="34"/>
  <c r="H409" i="34" s="1"/>
  <c r="F409" i="34"/>
  <c r="E409" i="34"/>
  <c r="D409" i="34"/>
  <c r="R408" i="34"/>
  <c r="Q408" i="34"/>
  <c r="N408" i="34"/>
  <c r="M408" i="34"/>
  <c r="L408" i="34"/>
  <c r="G408" i="34"/>
  <c r="I408" i="34" s="1"/>
  <c r="F408" i="34"/>
  <c r="E408" i="34"/>
  <c r="D408" i="34"/>
  <c r="Q407" i="34"/>
  <c r="P407" i="34"/>
  <c r="N407" i="34"/>
  <c r="M407" i="34"/>
  <c r="L407" i="34"/>
  <c r="G407" i="34"/>
  <c r="F407" i="34"/>
  <c r="E407" i="34"/>
  <c r="D407" i="34"/>
  <c r="Q406" i="34"/>
  <c r="O406" i="34"/>
  <c r="P406" i="34" s="1"/>
  <c r="N406" i="34"/>
  <c r="M406" i="34"/>
  <c r="L406" i="34"/>
  <c r="G406" i="34"/>
  <c r="H406" i="34" s="1"/>
  <c r="F406" i="34"/>
  <c r="E406" i="34"/>
  <c r="D406" i="34"/>
  <c r="Q405" i="34"/>
  <c r="O405" i="34"/>
  <c r="N405" i="34"/>
  <c r="P405" i="34" s="1"/>
  <c r="M405" i="34"/>
  <c r="L405" i="34"/>
  <c r="D405" i="34"/>
  <c r="R404" i="34"/>
  <c r="Q404" i="34"/>
  <c r="N404" i="34"/>
  <c r="M404" i="34"/>
  <c r="L404" i="34"/>
  <c r="F404" i="34"/>
  <c r="D404" i="34"/>
  <c r="R403" i="34"/>
  <c r="Q403" i="34"/>
  <c r="N403" i="34"/>
  <c r="M403" i="34"/>
  <c r="L403" i="34"/>
  <c r="D403" i="34"/>
  <c r="Q398" i="34"/>
  <c r="P398" i="34"/>
  <c r="O398" i="34"/>
  <c r="N398" i="34"/>
  <c r="M398" i="34"/>
  <c r="L398" i="34"/>
  <c r="D398" i="34"/>
  <c r="R397" i="34"/>
  <c r="P397" i="34"/>
  <c r="H397" i="34"/>
  <c r="G397" i="34"/>
  <c r="F397" i="34"/>
  <c r="F398" i="34" s="1"/>
  <c r="E397" i="34"/>
  <c r="E398" i="34" s="1"/>
  <c r="R396" i="34"/>
  <c r="P396" i="34"/>
  <c r="Q394" i="34"/>
  <c r="P394" i="34"/>
  <c r="N394" i="34"/>
  <c r="M394" i="34"/>
  <c r="L394" i="34"/>
  <c r="F394" i="34"/>
  <c r="D394" i="34"/>
  <c r="S393" i="34"/>
  <c r="R393" i="34"/>
  <c r="O393" i="34"/>
  <c r="H393" i="34"/>
  <c r="G393" i="34"/>
  <c r="I393" i="34" s="1"/>
  <c r="F393" i="34"/>
  <c r="E393" i="34"/>
  <c r="R392" i="34"/>
  <c r="O392" i="34"/>
  <c r="H392" i="34"/>
  <c r="G392" i="34"/>
  <c r="I392" i="34" s="1"/>
  <c r="F392" i="34"/>
  <c r="E392" i="34"/>
  <c r="R391" i="34"/>
  <c r="R394" i="34" s="1"/>
  <c r="H391" i="34"/>
  <c r="G391" i="34"/>
  <c r="I391" i="34" s="1"/>
  <c r="F391" i="34"/>
  <c r="E391" i="34"/>
  <c r="S390" i="34"/>
  <c r="S422" i="34" s="1"/>
  <c r="R390" i="34"/>
  <c r="O390" i="34"/>
  <c r="H390" i="34"/>
  <c r="G390" i="34"/>
  <c r="I390" i="34" s="1"/>
  <c r="F390" i="34"/>
  <c r="E390" i="34"/>
  <c r="S389" i="34"/>
  <c r="S421" i="34" s="1"/>
  <c r="R389" i="34"/>
  <c r="O389" i="34"/>
  <c r="H389" i="34"/>
  <c r="G389" i="34"/>
  <c r="I389" i="34" s="1"/>
  <c r="F389" i="34"/>
  <c r="E389" i="34"/>
  <c r="S388" i="34"/>
  <c r="S420" i="34" s="1"/>
  <c r="R388" i="34"/>
  <c r="R420" i="34" s="1"/>
  <c r="O388" i="34"/>
  <c r="O420" i="34" s="1"/>
  <c r="P420" i="34" s="1"/>
  <c r="H388" i="34"/>
  <c r="G388" i="34"/>
  <c r="I388" i="34" s="1"/>
  <c r="F388" i="34"/>
  <c r="E388" i="34"/>
  <c r="S387" i="34"/>
  <c r="S419" i="34" s="1"/>
  <c r="R387" i="34"/>
  <c r="O387" i="34"/>
  <c r="O419" i="34" s="1"/>
  <c r="P419" i="34" s="1"/>
  <c r="H387" i="34"/>
  <c r="G387" i="34"/>
  <c r="I387" i="34" s="1"/>
  <c r="F387" i="34"/>
  <c r="E387" i="34"/>
  <c r="S386" i="34"/>
  <c r="S418" i="34" s="1"/>
  <c r="R386" i="34"/>
  <c r="O386" i="34"/>
  <c r="H386" i="34"/>
  <c r="G386" i="34"/>
  <c r="I386" i="34" s="1"/>
  <c r="F386" i="34"/>
  <c r="E386" i="34"/>
  <c r="S385" i="34"/>
  <c r="S417" i="34" s="1"/>
  <c r="R385" i="34"/>
  <c r="O385" i="34"/>
  <c r="H385" i="34"/>
  <c r="G385" i="34"/>
  <c r="I385" i="34" s="1"/>
  <c r="F385" i="34"/>
  <c r="E385" i="34"/>
  <c r="S384" i="34"/>
  <c r="S416" i="34" s="1"/>
  <c r="R384" i="34"/>
  <c r="O384" i="34"/>
  <c r="O416" i="34" s="1"/>
  <c r="P416" i="34" s="1"/>
  <c r="H384" i="34"/>
  <c r="G384" i="34"/>
  <c r="I384" i="34" s="1"/>
  <c r="F384" i="34"/>
  <c r="E384" i="34"/>
  <c r="S383" i="34"/>
  <c r="R383" i="34"/>
  <c r="O383" i="34"/>
  <c r="H383" i="34"/>
  <c r="G383" i="34"/>
  <c r="I383" i="34" s="1"/>
  <c r="F383" i="34"/>
  <c r="E383" i="34"/>
  <c r="S382" i="34"/>
  <c r="S415" i="34" s="1"/>
  <c r="R382" i="34"/>
  <c r="O382" i="34"/>
  <c r="H382" i="34"/>
  <c r="G382" i="34"/>
  <c r="I382" i="34" s="1"/>
  <c r="F382" i="34"/>
  <c r="E382" i="34"/>
  <c r="S381" i="34"/>
  <c r="R381" i="34"/>
  <c r="O381" i="34"/>
  <c r="H381" i="34"/>
  <c r="G381" i="34"/>
  <c r="I381" i="34" s="1"/>
  <c r="F381" i="34"/>
  <c r="E381" i="34"/>
  <c r="S380" i="34"/>
  <c r="S413" i="34" s="1"/>
  <c r="R380" i="34"/>
  <c r="O380" i="34"/>
  <c r="H380" i="34"/>
  <c r="G380" i="34"/>
  <c r="I380" i="34" s="1"/>
  <c r="F380" i="34"/>
  <c r="E380" i="34"/>
  <c r="S379" i="34"/>
  <c r="S412" i="34" s="1"/>
  <c r="R379" i="34"/>
  <c r="O379" i="34"/>
  <c r="H379" i="34"/>
  <c r="G379" i="34"/>
  <c r="I379" i="34" s="1"/>
  <c r="F379" i="34"/>
  <c r="E379" i="34"/>
  <c r="S378" i="34"/>
  <c r="S411" i="34" s="1"/>
  <c r="R378" i="34"/>
  <c r="O378" i="34"/>
  <c r="H378" i="34"/>
  <c r="G378" i="34"/>
  <c r="I378" i="34" s="1"/>
  <c r="F378" i="34"/>
  <c r="E378" i="34"/>
  <c r="S377" i="34"/>
  <c r="S410" i="34" s="1"/>
  <c r="R377" i="34"/>
  <c r="O377" i="34"/>
  <c r="H377" i="34"/>
  <c r="G377" i="34"/>
  <c r="I377" i="34" s="1"/>
  <c r="F377" i="34"/>
  <c r="E377" i="34"/>
  <c r="S376" i="34"/>
  <c r="S409" i="34" s="1"/>
  <c r="R376" i="34"/>
  <c r="O376" i="34"/>
  <c r="O409" i="34" s="1"/>
  <c r="P409" i="34" s="1"/>
  <c r="H376" i="34"/>
  <c r="G376" i="34"/>
  <c r="I376" i="34" s="1"/>
  <c r="F376" i="34"/>
  <c r="E376" i="34"/>
  <c r="S375" i="34"/>
  <c r="S408" i="34" s="1"/>
  <c r="R375" i="34"/>
  <c r="O375" i="34"/>
  <c r="O408" i="34" s="1"/>
  <c r="P408" i="34" s="1"/>
  <c r="H375" i="34"/>
  <c r="G375" i="34"/>
  <c r="I375" i="34" s="1"/>
  <c r="F375" i="34"/>
  <c r="E375" i="34"/>
  <c r="S374" i="34"/>
  <c r="S407" i="34" s="1"/>
  <c r="R374" i="34"/>
  <c r="O374" i="34"/>
  <c r="H374" i="34"/>
  <c r="G374" i="34"/>
  <c r="I374" i="34" s="1"/>
  <c r="F374" i="34"/>
  <c r="E374" i="34"/>
  <c r="S373" i="34"/>
  <c r="S406" i="34" s="1"/>
  <c r="R373" i="34"/>
  <c r="O373" i="34"/>
  <c r="H373" i="34"/>
  <c r="G373" i="34"/>
  <c r="I373" i="34" s="1"/>
  <c r="F373" i="34"/>
  <c r="E373" i="34"/>
  <c r="S372" i="34"/>
  <c r="S405" i="34" s="1"/>
  <c r="R372" i="34"/>
  <c r="O372" i="34"/>
  <c r="H372" i="34"/>
  <c r="G372" i="34"/>
  <c r="I372" i="34" s="1"/>
  <c r="F372" i="34"/>
  <c r="E372" i="34"/>
  <c r="S371" i="34"/>
  <c r="S404" i="34" s="1"/>
  <c r="R371" i="34"/>
  <c r="O371" i="34"/>
  <c r="H371" i="34"/>
  <c r="G371" i="34"/>
  <c r="I371" i="34" s="1"/>
  <c r="F371" i="34"/>
  <c r="E371" i="34"/>
  <c r="S370" i="34"/>
  <c r="R370" i="34"/>
  <c r="O370" i="34"/>
  <c r="O394" i="34" s="1"/>
  <c r="H370" i="34"/>
  <c r="G370" i="34"/>
  <c r="I370" i="34" s="1"/>
  <c r="F370" i="34"/>
  <c r="E370" i="34"/>
  <c r="R369" i="34"/>
  <c r="P369" i="34"/>
  <c r="S367" i="34"/>
  <c r="Q367" i="34"/>
  <c r="P367" i="34"/>
  <c r="N367" i="34"/>
  <c r="M367" i="34"/>
  <c r="L367" i="34"/>
  <c r="D367" i="34"/>
  <c r="R366" i="34"/>
  <c r="O366" i="34"/>
  <c r="O428" i="34" s="1"/>
  <c r="O429" i="34" s="1"/>
  <c r="H366" i="34"/>
  <c r="G366" i="34"/>
  <c r="F366" i="34"/>
  <c r="E366" i="34"/>
  <c r="R365" i="34"/>
  <c r="R423" i="34" s="1"/>
  <c r="O365" i="34"/>
  <c r="H365" i="34"/>
  <c r="G365" i="34"/>
  <c r="I365" i="34" s="1"/>
  <c r="F365" i="34"/>
  <c r="E365" i="34"/>
  <c r="R364" i="34"/>
  <c r="R422" i="34" s="1"/>
  <c r="O364" i="34"/>
  <c r="H364" i="34"/>
  <c r="G364" i="34"/>
  <c r="I364" i="34" s="1"/>
  <c r="F364" i="34"/>
  <c r="E364" i="34"/>
  <c r="R363" i="34"/>
  <c r="R421" i="34" s="1"/>
  <c r="O363" i="34"/>
  <c r="O421" i="34" s="1"/>
  <c r="H363" i="34"/>
  <c r="G363" i="34"/>
  <c r="I363" i="34" s="1"/>
  <c r="F363" i="34"/>
  <c r="E363" i="34"/>
  <c r="R362" i="34"/>
  <c r="R419" i="34" s="1"/>
  <c r="O362" i="34"/>
  <c r="H362" i="34"/>
  <c r="G362" i="34"/>
  <c r="I362" i="34" s="1"/>
  <c r="F362" i="34"/>
  <c r="E362" i="34"/>
  <c r="R361" i="34"/>
  <c r="R417" i="34" s="1"/>
  <c r="O361" i="34"/>
  <c r="O417" i="34" s="1"/>
  <c r="P417" i="34" s="1"/>
  <c r="H361" i="34"/>
  <c r="G361" i="34"/>
  <c r="I361" i="34" s="1"/>
  <c r="F361" i="34"/>
  <c r="E361" i="34"/>
  <c r="R360" i="34"/>
  <c r="R416" i="34" s="1"/>
  <c r="O360" i="34"/>
  <c r="H360" i="34"/>
  <c r="G360" i="34"/>
  <c r="I360" i="34" s="1"/>
  <c r="F360" i="34"/>
  <c r="E360" i="34"/>
  <c r="R359" i="34"/>
  <c r="O359" i="34"/>
  <c r="O415" i="34" s="1"/>
  <c r="H359" i="34"/>
  <c r="G359" i="34"/>
  <c r="I359" i="34" s="1"/>
  <c r="F359" i="34"/>
  <c r="E359" i="34"/>
  <c r="R358" i="34"/>
  <c r="R414" i="34" s="1"/>
  <c r="O358" i="34"/>
  <c r="H358" i="34"/>
  <c r="G358" i="34"/>
  <c r="I358" i="34" s="1"/>
  <c r="F358" i="34"/>
  <c r="E358" i="34"/>
  <c r="R357" i="34"/>
  <c r="O357" i="34"/>
  <c r="H357" i="34"/>
  <c r="G357" i="34"/>
  <c r="I357" i="34" s="1"/>
  <c r="F357" i="34"/>
  <c r="E357" i="34"/>
  <c r="R356" i="34"/>
  <c r="O356" i="34"/>
  <c r="O412" i="34" s="1"/>
  <c r="P412" i="34" s="1"/>
  <c r="H356" i="34"/>
  <c r="G356" i="34"/>
  <c r="I356" i="34" s="1"/>
  <c r="F356" i="34"/>
  <c r="E356" i="34"/>
  <c r="R355" i="34"/>
  <c r="O355" i="34"/>
  <c r="H355" i="34"/>
  <c r="G355" i="34"/>
  <c r="I355" i="34" s="1"/>
  <c r="F355" i="34"/>
  <c r="E355" i="34"/>
  <c r="R354" i="34"/>
  <c r="R410" i="34" s="1"/>
  <c r="O354" i="34"/>
  <c r="H354" i="34"/>
  <c r="G354" i="34"/>
  <c r="I354" i="34" s="1"/>
  <c r="F354" i="34"/>
  <c r="E354" i="34"/>
  <c r="R353" i="34"/>
  <c r="R407" i="34" s="1"/>
  <c r="O353" i="34"/>
  <c r="H353" i="34"/>
  <c r="G353" i="34"/>
  <c r="F353" i="34"/>
  <c r="E353" i="34"/>
  <c r="R352" i="34"/>
  <c r="O352" i="34"/>
  <c r="H352" i="34"/>
  <c r="G352" i="34"/>
  <c r="I352" i="34" s="1"/>
  <c r="F352" i="34"/>
  <c r="E352" i="34"/>
  <c r="R351" i="34"/>
  <c r="R405" i="34" s="1"/>
  <c r="O351" i="34"/>
  <c r="H351" i="34"/>
  <c r="G351" i="34"/>
  <c r="I351" i="34" s="1"/>
  <c r="F351" i="34"/>
  <c r="E351" i="34"/>
  <c r="R350" i="34"/>
  <c r="O350" i="34"/>
  <c r="H350" i="34"/>
  <c r="G350" i="34"/>
  <c r="I350" i="34" s="1"/>
  <c r="F350" i="34"/>
  <c r="E350" i="34"/>
  <c r="R349" i="34"/>
  <c r="O349" i="34"/>
  <c r="H349" i="34"/>
  <c r="G349" i="34"/>
  <c r="I349" i="34" s="1"/>
  <c r="F349" i="34"/>
  <c r="E349" i="34"/>
  <c r="R348" i="34"/>
  <c r="O348" i="34"/>
  <c r="O403" i="34" s="1"/>
  <c r="H348" i="34"/>
  <c r="G348" i="34"/>
  <c r="I348" i="34" s="1"/>
  <c r="F348" i="34"/>
  <c r="E348" i="34"/>
  <c r="R347" i="34"/>
  <c r="P347" i="34"/>
  <c r="R292" i="34"/>
  <c r="Q292" i="34"/>
  <c r="P292" i="34"/>
  <c r="O292" i="34"/>
  <c r="N292" i="34"/>
  <c r="M292" i="34"/>
  <c r="L292" i="34"/>
  <c r="O288" i="34"/>
  <c r="N288" i="34"/>
  <c r="M288" i="34"/>
  <c r="L288" i="34"/>
  <c r="J288" i="34"/>
  <c r="D288" i="34"/>
  <c r="S287" i="34"/>
  <c r="R287" i="34"/>
  <c r="P287" i="34"/>
  <c r="G287" i="34"/>
  <c r="H287" i="34" s="1"/>
  <c r="F287" i="34"/>
  <c r="E287" i="34"/>
  <c r="R286" i="34"/>
  <c r="S286" i="34" s="1"/>
  <c r="P286" i="34"/>
  <c r="G286" i="34"/>
  <c r="F286" i="34"/>
  <c r="E286" i="34"/>
  <c r="R285" i="34"/>
  <c r="S285" i="34" s="1"/>
  <c r="P285" i="34"/>
  <c r="G285" i="34"/>
  <c r="H285" i="34" s="1"/>
  <c r="F285" i="34"/>
  <c r="E285" i="34"/>
  <c r="R284" i="34"/>
  <c r="S284" i="34" s="1"/>
  <c r="Q284" i="34"/>
  <c r="P284" i="34"/>
  <c r="G284" i="34"/>
  <c r="F284" i="34"/>
  <c r="E284" i="34"/>
  <c r="R283" i="34"/>
  <c r="S283" i="34" s="1"/>
  <c r="P283" i="34"/>
  <c r="G283" i="34"/>
  <c r="I283" i="34" s="1"/>
  <c r="F283" i="34"/>
  <c r="E283" i="34"/>
  <c r="S282" i="34"/>
  <c r="R282" i="34"/>
  <c r="P282" i="34"/>
  <c r="G282" i="34"/>
  <c r="I282" i="34" s="1"/>
  <c r="F282" i="34"/>
  <c r="E282" i="34"/>
  <c r="S281" i="34"/>
  <c r="P281" i="34"/>
  <c r="G281" i="34"/>
  <c r="H281" i="34" s="1"/>
  <c r="F281" i="34"/>
  <c r="E281" i="34"/>
  <c r="R280" i="34"/>
  <c r="S280" i="34" s="1"/>
  <c r="P280" i="34"/>
  <c r="G280" i="34"/>
  <c r="I280" i="34" s="1"/>
  <c r="F280" i="34"/>
  <c r="E280" i="34"/>
  <c r="R279" i="34"/>
  <c r="S279" i="34" s="1"/>
  <c r="P279" i="34"/>
  <c r="G279" i="34"/>
  <c r="F279" i="34"/>
  <c r="E279" i="34"/>
  <c r="S278" i="34"/>
  <c r="R278" i="34"/>
  <c r="P278" i="34"/>
  <c r="G278" i="34"/>
  <c r="F278" i="34"/>
  <c r="E278" i="34"/>
  <c r="S277" i="34"/>
  <c r="P277" i="34"/>
  <c r="G277" i="34"/>
  <c r="F277" i="34"/>
  <c r="E277" i="34"/>
  <c r="S276" i="34"/>
  <c r="R276" i="34"/>
  <c r="P276" i="34"/>
  <c r="G276" i="34"/>
  <c r="F276" i="34"/>
  <c r="E276" i="34"/>
  <c r="R275" i="34"/>
  <c r="S275" i="34" s="1"/>
  <c r="P275" i="34"/>
  <c r="G275" i="34"/>
  <c r="I275" i="34" s="1"/>
  <c r="F275" i="34"/>
  <c r="E275" i="34"/>
  <c r="S274" i="34"/>
  <c r="R274" i="34"/>
  <c r="P274" i="34"/>
  <c r="G274" i="34"/>
  <c r="I274" i="34" s="1"/>
  <c r="F274" i="34"/>
  <c r="E274" i="34"/>
  <c r="R273" i="34"/>
  <c r="P273" i="34"/>
  <c r="G273" i="34"/>
  <c r="I273" i="34" s="1"/>
  <c r="F273" i="34"/>
  <c r="E273" i="34"/>
  <c r="S272" i="34"/>
  <c r="R272" i="34"/>
  <c r="P272" i="34"/>
  <c r="G272" i="34"/>
  <c r="H272" i="34" s="1"/>
  <c r="F272" i="34"/>
  <c r="E272" i="34"/>
  <c r="S271" i="34"/>
  <c r="R271" i="34"/>
  <c r="P271" i="34"/>
  <c r="G271" i="34"/>
  <c r="I271" i="34" s="1"/>
  <c r="F271" i="34"/>
  <c r="E271" i="34"/>
  <c r="S270" i="34"/>
  <c r="R270" i="34"/>
  <c r="P270" i="34"/>
  <c r="G270" i="34"/>
  <c r="H270" i="34" s="1"/>
  <c r="F270" i="34"/>
  <c r="E270" i="34"/>
  <c r="S269" i="34"/>
  <c r="R269" i="34"/>
  <c r="P269" i="34"/>
  <c r="G269" i="34"/>
  <c r="I269" i="34" s="1"/>
  <c r="F269" i="34"/>
  <c r="E269" i="34"/>
  <c r="S268" i="34"/>
  <c r="R268" i="34"/>
  <c r="P268" i="34"/>
  <c r="G268" i="34"/>
  <c r="F268" i="34"/>
  <c r="E268" i="34"/>
  <c r="S267" i="34"/>
  <c r="P267" i="34"/>
  <c r="G267" i="34"/>
  <c r="H267" i="34" s="1"/>
  <c r="F267" i="34"/>
  <c r="E267" i="34"/>
  <c r="Q262" i="34"/>
  <c r="J262" i="34"/>
  <c r="J264" i="34" s="1"/>
  <c r="R261" i="34"/>
  <c r="S261" i="34" s="1"/>
  <c r="N261" i="34"/>
  <c r="L261" i="34"/>
  <c r="D261" i="34"/>
  <c r="B261" i="34"/>
  <c r="Q261" i="34" s="1"/>
  <c r="Q260" i="34"/>
  <c r="O260" i="34"/>
  <c r="P260" i="34" s="1"/>
  <c r="M260" i="34"/>
  <c r="L260" i="34"/>
  <c r="B260" i="34"/>
  <c r="N260" i="34" s="1"/>
  <c r="Q259" i="34"/>
  <c r="P259" i="34"/>
  <c r="O259" i="34"/>
  <c r="N259" i="34"/>
  <c r="M259" i="34"/>
  <c r="L259" i="34"/>
  <c r="D259" i="34"/>
  <c r="Q258" i="34"/>
  <c r="N258" i="34"/>
  <c r="P258" i="34" s="1"/>
  <c r="M258" i="34"/>
  <c r="L258" i="34"/>
  <c r="D258" i="34"/>
  <c r="Q257" i="34"/>
  <c r="N257" i="34"/>
  <c r="M257" i="34"/>
  <c r="L257" i="34"/>
  <c r="G257" i="34"/>
  <c r="H257" i="34" s="1"/>
  <c r="F257" i="34"/>
  <c r="E257" i="34"/>
  <c r="D257" i="34"/>
  <c r="Q256" i="34"/>
  <c r="N256" i="34"/>
  <c r="M256" i="34"/>
  <c r="L256" i="34"/>
  <c r="G256" i="34"/>
  <c r="F256" i="34"/>
  <c r="D256" i="34"/>
  <c r="E256" i="34" s="1"/>
  <c r="Q255" i="34"/>
  <c r="N255" i="34"/>
  <c r="M255" i="34"/>
  <c r="L255" i="34"/>
  <c r="G255" i="34"/>
  <c r="I255" i="34" s="1"/>
  <c r="D255" i="34"/>
  <c r="R254" i="34"/>
  <c r="Q254" i="34"/>
  <c r="N254" i="34"/>
  <c r="M254" i="34"/>
  <c r="L254" i="34"/>
  <c r="D254" i="34"/>
  <c r="J252" i="34"/>
  <c r="Q251" i="34"/>
  <c r="P251" i="34"/>
  <c r="N251" i="34"/>
  <c r="M251" i="34"/>
  <c r="L251" i="34"/>
  <c r="E251" i="34"/>
  <c r="D251" i="34"/>
  <c r="R250" i="34"/>
  <c r="S250" i="34" s="1"/>
  <c r="Q250" i="34"/>
  <c r="O250" i="34"/>
  <c r="P250" i="34" s="1"/>
  <c r="N250" i="34"/>
  <c r="M250" i="34"/>
  <c r="L250" i="34"/>
  <c r="D250" i="34"/>
  <c r="R249" i="34"/>
  <c r="Q249" i="34"/>
  <c r="P249" i="34"/>
  <c r="N249" i="34"/>
  <c r="M249" i="34"/>
  <c r="L249" i="34"/>
  <c r="F249" i="34"/>
  <c r="E249" i="34"/>
  <c r="D249" i="34"/>
  <c r="G249" i="34" s="1"/>
  <c r="R248" i="34"/>
  <c r="S248" i="34" s="1"/>
  <c r="Q248" i="34"/>
  <c r="N248" i="34"/>
  <c r="M248" i="34"/>
  <c r="L248" i="34"/>
  <c r="G248" i="34"/>
  <c r="F248" i="34"/>
  <c r="E248" i="34"/>
  <c r="D248" i="34"/>
  <c r="Q247" i="34"/>
  <c r="P247" i="34"/>
  <c r="N247" i="34"/>
  <c r="M247" i="34"/>
  <c r="L247" i="34"/>
  <c r="G247" i="34"/>
  <c r="H247" i="34" s="1"/>
  <c r="F247" i="34"/>
  <c r="E247" i="34"/>
  <c r="D247" i="34"/>
  <c r="Q246" i="34"/>
  <c r="P246" i="34"/>
  <c r="N246" i="34"/>
  <c r="M246" i="34"/>
  <c r="L246" i="34"/>
  <c r="G246" i="34"/>
  <c r="F246" i="34"/>
  <c r="D246" i="34"/>
  <c r="E246" i="34" s="1"/>
  <c r="Q245" i="34"/>
  <c r="N245" i="34"/>
  <c r="P245" i="34" s="1"/>
  <c r="M245" i="34"/>
  <c r="L245" i="34"/>
  <c r="D245" i="34"/>
  <c r="S244" i="34"/>
  <c r="Q244" i="34"/>
  <c r="N244" i="34"/>
  <c r="M244" i="34"/>
  <c r="L244" i="34"/>
  <c r="D244" i="34"/>
  <c r="G244" i="34" s="1"/>
  <c r="I244" i="34" s="1"/>
  <c r="S243" i="34"/>
  <c r="Q243" i="34"/>
  <c r="O243" i="34"/>
  <c r="P243" i="34" s="1"/>
  <c r="N243" i="34"/>
  <c r="M243" i="34"/>
  <c r="L243" i="34"/>
  <c r="G243" i="34"/>
  <c r="F243" i="34"/>
  <c r="E243" i="34"/>
  <c r="D243" i="34"/>
  <c r="Q242" i="34"/>
  <c r="N242" i="34"/>
  <c r="M242" i="34"/>
  <c r="L242" i="34"/>
  <c r="D242" i="34"/>
  <c r="Q241" i="34"/>
  <c r="N241" i="34"/>
  <c r="P241" i="34" s="1"/>
  <c r="M241" i="34"/>
  <c r="L241" i="34"/>
  <c r="D241" i="34"/>
  <c r="Q240" i="34"/>
  <c r="P240" i="34"/>
  <c r="N240" i="34"/>
  <c r="M240" i="34"/>
  <c r="L240" i="34"/>
  <c r="G240" i="34"/>
  <c r="I240" i="34" s="1"/>
  <c r="F240" i="34"/>
  <c r="E240" i="34"/>
  <c r="D240" i="34"/>
  <c r="Q239" i="34"/>
  <c r="N239" i="34"/>
  <c r="M239" i="34"/>
  <c r="L239" i="34"/>
  <c r="D239" i="34"/>
  <c r="S238" i="34"/>
  <c r="R238" i="34"/>
  <c r="Q238" i="34"/>
  <c r="O238" i="34"/>
  <c r="P238" i="34" s="1"/>
  <c r="N238" i="34"/>
  <c r="M238" i="34"/>
  <c r="L238" i="34"/>
  <c r="D238" i="34"/>
  <c r="R237" i="34"/>
  <c r="S237" i="34" s="1"/>
  <c r="Q237" i="34"/>
  <c r="P237" i="34"/>
  <c r="O237" i="34"/>
  <c r="N237" i="34"/>
  <c r="M237" i="34"/>
  <c r="L237" i="34"/>
  <c r="E237" i="34"/>
  <c r="D237" i="34"/>
  <c r="R236" i="34"/>
  <c r="S236" i="34" s="1"/>
  <c r="Q236" i="34"/>
  <c r="N236" i="34"/>
  <c r="M236" i="34"/>
  <c r="L236" i="34"/>
  <c r="E236" i="34"/>
  <c r="D236" i="34"/>
  <c r="S235" i="34"/>
  <c r="Q235" i="34"/>
  <c r="N235" i="34"/>
  <c r="M235" i="34"/>
  <c r="L235" i="34"/>
  <c r="G235" i="34"/>
  <c r="D235" i="34"/>
  <c r="F235" i="34" s="1"/>
  <c r="Q234" i="34"/>
  <c r="N234" i="34"/>
  <c r="M234" i="34"/>
  <c r="L234" i="34"/>
  <c r="G234" i="34"/>
  <c r="I234" i="34" s="1"/>
  <c r="F234" i="34"/>
  <c r="E234" i="34"/>
  <c r="D234" i="34"/>
  <c r="Q233" i="34"/>
  <c r="O233" i="34"/>
  <c r="P233" i="34" s="1"/>
  <c r="N233" i="34"/>
  <c r="M233" i="34"/>
  <c r="L233" i="34"/>
  <c r="G233" i="34"/>
  <c r="E233" i="34"/>
  <c r="D233" i="34"/>
  <c r="F233" i="34" s="1"/>
  <c r="S232" i="34"/>
  <c r="R232" i="34"/>
  <c r="Q232" i="34"/>
  <c r="O232" i="34"/>
  <c r="N232" i="34"/>
  <c r="P232" i="34" s="1"/>
  <c r="M232" i="34"/>
  <c r="L232" i="34"/>
  <c r="G232" i="34"/>
  <c r="I232" i="34" s="1"/>
  <c r="D232" i="34"/>
  <c r="Q231" i="34"/>
  <c r="N231" i="34"/>
  <c r="M231" i="34"/>
  <c r="L231" i="34"/>
  <c r="G231" i="34"/>
  <c r="F231" i="34"/>
  <c r="E231" i="34"/>
  <c r="D231" i="34"/>
  <c r="Q230" i="34"/>
  <c r="N230" i="34"/>
  <c r="M230" i="34"/>
  <c r="L230" i="34"/>
  <c r="G230" i="34"/>
  <c r="E230" i="34"/>
  <c r="D230" i="34"/>
  <c r="F230" i="34" s="1"/>
  <c r="Q229" i="34"/>
  <c r="O229" i="34"/>
  <c r="P229" i="34" s="1"/>
  <c r="N229" i="34"/>
  <c r="M229" i="34"/>
  <c r="L229" i="34"/>
  <c r="F229" i="34"/>
  <c r="E229" i="34"/>
  <c r="D229" i="34"/>
  <c r="G229" i="34" s="1"/>
  <c r="Q228" i="34"/>
  <c r="O228" i="34"/>
  <c r="P228" i="34" s="1"/>
  <c r="N228" i="34"/>
  <c r="M228" i="34"/>
  <c r="L228" i="34"/>
  <c r="G228" i="34"/>
  <c r="F228" i="34"/>
  <c r="E228" i="34"/>
  <c r="D228" i="34"/>
  <c r="Q227" i="34"/>
  <c r="N227" i="34"/>
  <c r="M227" i="34"/>
  <c r="L227" i="34"/>
  <c r="G227" i="34"/>
  <c r="E227" i="34"/>
  <c r="D227" i="34"/>
  <c r="F227" i="34" s="1"/>
  <c r="Q226" i="34"/>
  <c r="O226" i="34"/>
  <c r="P226" i="34" s="1"/>
  <c r="N226" i="34"/>
  <c r="M226" i="34"/>
  <c r="L226" i="34"/>
  <c r="G226" i="34"/>
  <c r="F226" i="34"/>
  <c r="E226" i="34"/>
  <c r="D226" i="34"/>
  <c r="S225" i="34"/>
  <c r="R225" i="34"/>
  <c r="Q225" i="34"/>
  <c r="P225" i="34"/>
  <c r="O225" i="34"/>
  <c r="N225" i="34"/>
  <c r="M225" i="34"/>
  <c r="L225" i="34"/>
  <c r="G225" i="34"/>
  <c r="D225" i="34"/>
  <c r="F225" i="34" s="1"/>
  <c r="R224" i="34"/>
  <c r="S224" i="34" s="1"/>
  <c r="Q224" i="34"/>
  <c r="O224" i="34"/>
  <c r="P224" i="34" s="1"/>
  <c r="N224" i="34"/>
  <c r="M224" i="34"/>
  <c r="L224" i="34"/>
  <c r="G224" i="34"/>
  <c r="D224" i="34"/>
  <c r="Q223" i="34"/>
  <c r="N223" i="34"/>
  <c r="M223" i="34"/>
  <c r="L223" i="34"/>
  <c r="D223" i="34"/>
  <c r="Q222" i="34"/>
  <c r="N222" i="34"/>
  <c r="M222" i="34"/>
  <c r="L222" i="34"/>
  <c r="G222" i="34"/>
  <c r="F222" i="34"/>
  <c r="E222" i="34"/>
  <c r="D222" i="34"/>
  <c r="R218" i="34"/>
  <c r="Q218" i="34"/>
  <c r="N218" i="34"/>
  <c r="M218" i="34"/>
  <c r="L218" i="34"/>
  <c r="D218" i="34"/>
  <c r="R217" i="34"/>
  <c r="O217" i="34"/>
  <c r="H217" i="34"/>
  <c r="G217" i="34"/>
  <c r="I217" i="34" s="1"/>
  <c r="F217" i="34"/>
  <c r="E217" i="34"/>
  <c r="R216" i="34"/>
  <c r="O216" i="34"/>
  <c r="H216" i="34"/>
  <c r="G216" i="34"/>
  <c r="I216" i="34" s="1"/>
  <c r="F216" i="34"/>
  <c r="E216" i="34"/>
  <c r="R215" i="34"/>
  <c r="O215" i="34"/>
  <c r="H215" i="34"/>
  <c r="G215" i="34"/>
  <c r="I215" i="34" s="1"/>
  <c r="F215" i="34"/>
  <c r="E215" i="34"/>
  <c r="O214" i="34"/>
  <c r="H214" i="34"/>
  <c r="G214" i="34"/>
  <c r="F214" i="34"/>
  <c r="E214" i="34"/>
  <c r="R213" i="34"/>
  <c r="O213" i="34"/>
  <c r="H213" i="34"/>
  <c r="G213" i="34"/>
  <c r="I213" i="34" s="1"/>
  <c r="F213" i="34"/>
  <c r="E213" i="34"/>
  <c r="E218" i="34" s="1"/>
  <c r="Q210" i="34"/>
  <c r="N210" i="34"/>
  <c r="M210" i="34"/>
  <c r="L210" i="34"/>
  <c r="H210" i="34"/>
  <c r="D210" i="34"/>
  <c r="R209" i="34"/>
  <c r="R259" i="34" s="1"/>
  <c r="S259" i="34" s="1"/>
  <c r="O209" i="34"/>
  <c r="I209" i="34"/>
  <c r="H209" i="34"/>
  <c r="G209" i="34"/>
  <c r="F209" i="34"/>
  <c r="E209" i="34"/>
  <c r="R208" i="34"/>
  <c r="R258" i="34" s="1"/>
  <c r="S258" i="34" s="1"/>
  <c r="O208" i="34"/>
  <c r="H208" i="34"/>
  <c r="G208" i="34"/>
  <c r="I208" i="34" s="1"/>
  <c r="F208" i="34"/>
  <c r="E208" i="34"/>
  <c r="R207" i="34"/>
  <c r="O207" i="34"/>
  <c r="H207" i="34"/>
  <c r="G207" i="34"/>
  <c r="I207" i="34" s="1"/>
  <c r="F207" i="34"/>
  <c r="E207" i="34"/>
  <c r="R206" i="34"/>
  <c r="O206" i="34"/>
  <c r="H206" i="34"/>
  <c r="G206" i="34"/>
  <c r="I206" i="34" s="1"/>
  <c r="F206" i="34"/>
  <c r="E206" i="34"/>
  <c r="R205" i="34"/>
  <c r="O205" i="34"/>
  <c r="H205" i="34"/>
  <c r="G205" i="34"/>
  <c r="I205" i="34" s="1"/>
  <c r="F205" i="34"/>
  <c r="E205" i="34"/>
  <c r="R204" i="34"/>
  <c r="O204" i="34"/>
  <c r="H204" i="34"/>
  <c r="G204" i="34"/>
  <c r="I204" i="34" s="1"/>
  <c r="F204" i="34"/>
  <c r="E204" i="34"/>
  <c r="R203" i="34"/>
  <c r="R247" i="34" s="1"/>
  <c r="S247" i="34" s="1"/>
  <c r="O203" i="34"/>
  <c r="O247" i="34" s="1"/>
  <c r="H203" i="34"/>
  <c r="G203" i="34"/>
  <c r="I203" i="34" s="1"/>
  <c r="F203" i="34"/>
  <c r="E203" i="34"/>
  <c r="R202" i="34"/>
  <c r="O202" i="34"/>
  <c r="H202" i="34"/>
  <c r="G202" i="34"/>
  <c r="I202" i="34" s="1"/>
  <c r="F202" i="34"/>
  <c r="E202" i="34"/>
  <c r="R201" i="34"/>
  <c r="O201" i="34"/>
  <c r="H201" i="34"/>
  <c r="G201" i="34"/>
  <c r="I201" i="34" s="1"/>
  <c r="F201" i="34"/>
  <c r="E201" i="34"/>
  <c r="R200" i="34"/>
  <c r="O200" i="34"/>
  <c r="H200" i="34"/>
  <c r="G200" i="34"/>
  <c r="I200" i="34" s="1"/>
  <c r="F200" i="34"/>
  <c r="E200" i="34"/>
  <c r="R199" i="34"/>
  <c r="R243" i="34" s="1"/>
  <c r="O199" i="34"/>
  <c r="H199" i="34"/>
  <c r="G199" i="34"/>
  <c r="I199" i="34" s="1"/>
  <c r="F199" i="34"/>
  <c r="E199" i="34"/>
  <c r="R198" i="34"/>
  <c r="R242" i="34" s="1"/>
  <c r="S242" i="34" s="1"/>
  <c r="O198" i="34"/>
  <c r="H198" i="34"/>
  <c r="G198" i="34"/>
  <c r="I198" i="34" s="1"/>
  <c r="F198" i="34"/>
  <c r="E198" i="34"/>
  <c r="R197" i="34"/>
  <c r="O197" i="34"/>
  <c r="H197" i="34"/>
  <c r="G197" i="34"/>
  <c r="I197" i="34" s="1"/>
  <c r="F197" i="34"/>
  <c r="E197" i="34"/>
  <c r="R196" i="34"/>
  <c r="O196" i="34"/>
  <c r="O240" i="34" s="1"/>
  <c r="H196" i="34"/>
  <c r="G196" i="34"/>
  <c r="I196" i="34" s="1"/>
  <c r="F196" i="34"/>
  <c r="E196" i="34"/>
  <c r="R195" i="34"/>
  <c r="O195" i="34"/>
  <c r="H195" i="34"/>
  <c r="G195" i="34"/>
  <c r="I195" i="34" s="1"/>
  <c r="F195" i="34"/>
  <c r="E195" i="34"/>
  <c r="R194" i="34"/>
  <c r="O194" i="34"/>
  <c r="H194" i="34"/>
  <c r="G194" i="34"/>
  <c r="I194" i="34" s="1"/>
  <c r="F194" i="34"/>
  <c r="E194" i="34"/>
  <c r="R193" i="34"/>
  <c r="O193" i="34"/>
  <c r="H193" i="34"/>
  <c r="G193" i="34"/>
  <c r="I193" i="34" s="1"/>
  <c r="F193" i="34"/>
  <c r="E193" i="34"/>
  <c r="R192" i="34"/>
  <c r="O192" i="34"/>
  <c r="H192" i="34"/>
  <c r="G192" i="34"/>
  <c r="I192" i="34" s="1"/>
  <c r="F192" i="34"/>
  <c r="E192" i="34"/>
  <c r="R191" i="34"/>
  <c r="O191" i="34"/>
  <c r="O235" i="34" s="1"/>
  <c r="P235" i="34" s="1"/>
  <c r="H191" i="34"/>
  <c r="G191" i="34"/>
  <c r="I191" i="34" s="1"/>
  <c r="F191" i="34"/>
  <c r="E191" i="34"/>
  <c r="R190" i="34"/>
  <c r="O190" i="34"/>
  <c r="O234" i="34" s="1"/>
  <c r="P234" i="34" s="1"/>
  <c r="H190" i="34"/>
  <c r="G190" i="34"/>
  <c r="I190" i="34" s="1"/>
  <c r="F190" i="34"/>
  <c r="E190" i="34"/>
  <c r="R189" i="34"/>
  <c r="O189" i="34"/>
  <c r="H189" i="34"/>
  <c r="G189" i="34"/>
  <c r="I189" i="34" s="1"/>
  <c r="F189" i="34"/>
  <c r="E189" i="34"/>
  <c r="R188" i="34"/>
  <c r="O188" i="34"/>
  <c r="H188" i="34"/>
  <c r="G188" i="34"/>
  <c r="I188" i="34" s="1"/>
  <c r="F188" i="34"/>
  <c r="E188" i="34"/>
  <c r="R187" i="34"/>
  <c r="R231" i="34" s="1"/>
  <c r="S231" i="34" s="1"/>
  <c r="O187" i="34"/>
  <c r="H187" i="34"/>
  <c r="G187" i="34"/>
  <c r="I187" i="34" s="1"/>
  <c r="F187" i="34"/>
  <c r="E187" i="34"/>
  <c r="R186" i="34"/>
  <c r="O186" i="34"/>
  <c r="H186" i="34"/>
  <c r="G186" i="34"/>
  <c r="I186" i="34" s="1"/>
  <c r="F186" i="34"/>
  <c r="E186" i="34"/>
  <c r="R185" i="34"/>
  <c r="O185" i="34"/>
  <c r="H185" i="34"/>
  <c r="G185" i="34"/>
  <c r="I185" i="34" s="1"/>
  <c r="F185" i="34"/>
  <c r="E185" i="34"/>
  <c r="R184" i="34"/>
  <c r="O184" i="34"/>
  <c r="H184" i="34"/>
  <c r="G184" i="34"/>
  <c r="I184" i="34" s="1"/>
  <c r="F184" i="34"/>
  <c r="E184" i="34"/>
  <c r="R183" i="34"/>
  <c r="R226" i="34" s="1"/>
  <c r="S226" i="34" s="1"/>
  <c r="O183" i="34"/>
  <c r="H183" i="34"/>
  <c r="G183" i="34"/>
  <c r="I183" i="34" s="1"/>
  <c r="F183" i="34"/>
  <c r="E183" i="34"/>
  <c r="R182" i="34"/>
  <c r="O182" i="34"/>
  <c r="H182" i="34"/>
  <c r="G182" i="34"/>
  <c r="I182" i="34" s="1"/>
  <c r="F182" i="34"/>
  <c r="E182" i="34"/>
  <c r="R181" i="34"/>
  <c r="O181" i="34"/>
  <c r="H181" i="34"/>
  <c r="G181" i="34"/>
  <c r="I181" i="34" s="1"/>
  <c r="F181" i="34"/>
  <c r="E181" i="34"/>
  <c r="R180" i="34"/>
  <c r="O180" i="34"/>
  <c r="H180" i="34"/>
  <c r="G180" i="34"/>
  <c r="I180" i="34" s="1"/>
  <c r="F180" i="34"/>
  <c r="E180" i="34"/>
  <c r="R179" i="34"/>
  <c r="O179" i="34"/>
  <c r="H179" i="34"/>
  <c r="G179" i="34"/>
  <c r="F179" i="34"/>
  <c r="E179" i="34"/>
  <c r="E210" i="34" s="1"/>
  <c r="Q175" i="34"/>
  <c r="N175" i="34"/>
  <c r="M175" i="34"/>
  <c r="L175" i="34"/>
  <c r="H175" i="34"/>
  <c r="D175" i="34"/>
  <c r="R174" i="34"/>
  <c r="O174" i="34"/>
  <c r="O258" i="34" s="1"/>
  <c r="H174" i="34"/>
  <c r="G174" i="34"/>
  <c r="I174" i="34" s="1"/>
  <c r="F174" i="34"/>
  <c r="E174" i="34"/>
  <c r="R173" i="34"/>
  <c r="R257" i="34" s="1"/>
  <c r="S257" i="34" s="1"/>
  <c r="O173" i="34"/>
  <c r="H173" i="34"/>
  <c r="G173" i="34"/>
  <c r="I173" i="34" s="1"/>
  <c r="F173" i="34"/>
  <c r="E173" i="34"/>
  <c r="R172" i="34"/>
  <c r="R256" i="34" s="1"/>
  <c r="S256" i="34" s="1"/>
  <c r="O172" i="34"/>
  <c r="O256" i="34" s="1"/>
  <c r="P256" i="34" s="1"/>
  <c r="H172" i="34"/>
  <c r="G172" i="34"/>
  <c r="I172" i="34" s="1"/>
  <c r="F172" i="34"/>
  <c r="E172" i="34"/>
  <c r="R171" i="34"/>
  <c r="R255" i="34" s="1"/>
  <c r="S255" i="34" s="1"/>
  <c r="O171" i="34"/>
  <c r="O255" i="34" s="1"/>
  <c r="H171" i="34"/>
  <c r="G171" i="34"/>
  <c r="I171" i="34" s="1"/>
  <c r="F171" i="34"/>
  <c r="E171" i="34"/>
  <c r="R170" i="34"/>
  <c r="R251" i="34" s="1"/>
  <c r="S251" i="34" s="1"/>
  <c r="O170" i="34"/>
  <c r="O251" i="34" s="1"/>
  <c r="H170" i="34"/>
  <c r="G170" i="34"/>
  <c r="I170" i="34" s="1"/>
  <c r="F170" i="34"/>
  <c r="E170" i="34"/>
  <c r="R169" i="34"/>
  <c r="O169" i="34"/>
  <c r="H169" i="34"/>
  <c r="G169" i="34"/>
  <c r="I169" i="34" s="1"/>
  <c r="F169" i="34"/>
  <c r="E169" i="34"/>
  <c r="R168" i="34"/>
  <c r="O168" i="34"/>
  <c r="O249" i="34" s="1"/>
  <c r="H168" i="34"/>
  <c r="G168" i="34"/>
  <c r="I168" i="34" s="1"/>
  <c r="F168" i="34"/>
  <c r="E168" i="34"/>
  <c r="R167" i="34"/>
  <c r="O167" i="34"/>
  <c r="O248" i="34" s="1"/>
  <c r="P248" i="34" s="1"/>
  <c r="H167" i="34"/>
  <c r="G167" i="34"/>
  <c r="I167" i="34" s="1"/>
  <c r="F167" i="34"/>
  <c r="E167" i="34"/>
  <c r="R166" i="34"/>
  <c r="R246" i="34" s="1"/>
  <c r="S246" i="34" s="1"/>
  <c r="O166" i="34"/>
  <c r="H166" i="34"/>
  <c r="G166" i="34"/>
  <c r="I166" i="34" s="1"/>
  <c r="F166" i="34"/>
  <c r="E166" i="34"/>
  <c r="R165" i="34"/>
  <c r="R245" i="34" s="1"/>
  <c r="S245" i="34" s="1"/>
  <c r="O165" i="34"/>
  <c r="H165" i="34"/>
  <c r="G165" i="34"/>
  <c r="I165" i="34" s="1"/>
  <c r="F165" i="34"/>
  <c r="E165" i="34"/>
  <c r="R164" i="34"/>
  <c r="R244" i="34" s="1"/>
  <c r="O164" i="34"/>
  <c r="O244" i="34" s="1"/>
  <c r="P244" i="34" s="1"/>
  <c r="H164" i="34"/>
  <c r="G164" i="34"/>
  <c r="I164" i="34" s="1"/>
  <c r="F164" i="34"/>
  <c r="E164" i="34"/>
  <c r="R163" i="34"/>
  <c r="O163" i="34"/>
  <c r="H163" i="34"/>
  <c r="G163" i="34"/>
  <c r="I163" i="34" s="1"/>
  <c r="F163" i="34"/>
  <c r="E163" i="34"/>
  <c r="R162" i="34"/>
  <c r="O162" i="34"/>
  <c r="O242" i="34" s="1"/>
  <c r="P242" i="34" s="1"/>
  <c r="H162" i="34"/>
  <c r="G162" i="34"/>
  <c r="I162" i="34" s="1"/>
  <c r="F162" i="34"/>
  <c r="E162" i="34"/>
  <c r="R161" i="34"/>
  <c r="O161" i="34"/>
  <c r="O241" i="34" s="1"/>
  <c r="H161" i="34"/>
  <c r="G161" i="34"/>
  <c r="I161" i="34" s="1"/>
  <c r="F161" i="34"/>
  <c r="E161" i="34"/>
  <c r="R160" i="34"/>
  <c r="R240" i="34" s="1"/>
  <c r="S240" i="34" s="1"/>
  <c r="O160" i="34"/>
  <c r="H160" i="34"/>
  <c r="G160" i="34"/>
  <c r="I160" i="34" s="1"/>
  <c r="F160" i="34"/>
  <c r="E160" i="34"/>
  <c r="R159" i="34"/>
  <c r="R239" i="34" s="1"/>
  <c r="S239" i="34" s="1"/>
  <c r="O159" i="34"/>
  <c r="O239" i="34" s="1"/>
  <c r="P239" i="34" s="1"/>
  <c r="H159" i="34"/>
  <c r="G159" i="34"/>
  <c r="I159" i="34" s="1"/>
  <c r="F159" i="34"/>
  <c r="E159" i="34"/>
  <c r="R158" i="34"/>
  <c r="O158" i="34"/>
  <c r="H158" i="34"/>
  <c r="G158" i="34"/>
  <c r="I158" i="34" s="1"/>
  <c r="F158" i="34"/>
  <c r="E158" i="34"/>
  <c r="R157" i="34"/>
  <c r="O157" i="34"/>
  <c r="H157" i="34"/>
  <c r="G157" i="34"/>
  <c r="I157" i="34" s="1"/>
  <c r="F157" i="34"/>
  <c r="E157" i="34"/>
  <c r="R156" i="34"/>
  <c r="O156" i="34"/>
  <c r="H156" i="34"/>
  <c r="G156" i="34"/>
  <c r="I156" i="34" s="1"/>
  <c r="F156" i="34"/>
  <c r="E156" i="34"/>
  <c r="R155" i="34"/>
  <c r="O155" i="34"/>
  <c r="O236" i="34" s="1"/>
  <c r="P236" i="34" s="1"/>
  <c r="H155" i="34"/>
  <c r="G155" i="34"/>
  <c r="I155" i="34" s="1"/>
  <c r="F155" i="34"/>
  <c r="E155" i="34"/>
  <c r="R154" i="34"/>
  <c r="R235" i="34" s="1"/>
  <c r="O154" i="34"/>
  <c r="H154" i="34"/>
  <c r="G154" i="34"/>
  <c r="I154" i="34" s="1"/>
  <c r="F154" i="34"/>
  <c r="E154" i="34"/>
  <c r="R153" i="34"/>
  <c r="O153" i="34"/>
  <c r="H153" i="34"/>
  <c r="G153" i="34"/>
  <c r="I153" i="34" s="1"/>
  <c r="F153" i="34"/>
  <c r="E153" i="34"/>
  <c r="R152" i="34"/>
  <c r="O152" i="34"/>
  <c r="H152" i="34"/>
  <c r="G152" i="34"/>
  <c r="I152" i="34" s="1"/>
  <c r="F152" i="34"/>
  <c r="E152" i="34"/>
  <c r="R151" i="34"/>
  <c r="O151" i="34"/>
  <c r="H151" i="34"/>
  <c r="G151" i="34"/>
  <c r="I151" i="34" s="1"/>
  <c r="F151" i="34"/>
  <c r="E151" i="34"/>
  <c r="R150" i="34"/>
  <c r="O150" i="34"/>
  <c r="H150" i="34"/>
  <c r="G150" i="34"/>
  <c r="I150" i="34" s="1"/>
  <c r="F150" i="34"/>
  <c r="E150" i="34"/>
  <c r="R149" i="34"/>
  <c r="R230" i="34" s="1"/>
  <c r="S230" i="34" s="1"/>
  <c r="O149" i="34"/>
  <c r="O230" i="34" s="1"/>
  <c r="P230" i="34" s="1"/>
  <c r="H149" i="34"/>
  <c r="G149" i="34"/>
  <c r="I149" i="34" s="1"/>
  <c r="F149" i="34"/>
  <c r="E149" i="34"/>
  <c r="R148" i="34"/>
  <c r="R229" i="34" s="1"/>
  <c r="S229" i="34" s="1"/>
  <c r="O148" i="34"/>
  <c r="H148" i="34"/>
  <c r="G148" i="34"/>
  <c r="I148" i="34" s="1"/>
  <c r="F148" i="34"/>
  <c r="E148" i="34"/>
  <c r="R147" i="34"/>
  <c r="R228" i="34" s="1"/>
  <c r="O147" i="34"/>
  <c r="H147" i="34"/>
  <c r="G147" i="34"/>
  <c r="I147" i="34" s="1"/>
  <c r="F147" i="34"/>
  <c r="E147" i="34"/>
  <c r="R146" i="34"/>
  <c r="R227" i="34" s="1"/>
  <c r="S227" i="34" s="1"/>
  <c r="O146" i="34"/>
  <c r="H146" i="34"/>
  <c r="G146" i="34"/>
  <c r="I146" i="34" s="1"/>
  <c r="F146" i="34"/>
  <c r="E146" i="34"/>
  <c r="R145" i="34"/>
  <c r="O145" i="34"/>
  <c r="H145" i="34"/>
  <c r="G145" i="34"/>
  <c r="I145" i="34" s="1"/>
  <c r="F145" i="34"/>
  <c r="E145" i="34"/>
  <c r="R144" i="34"/>
  <c r="O144" i="34"/>
  <c r="H144" i="34"/>
  <c r="G144" i="34"/>
  <c r="I144" i="34" s="1"/>
  <c r="F144" i="34"/>
  <c r="E144" i="34"/>
  <c r="R143" i="34"/>
  <c r="R223" i="34" s="1"/>
  <c r="S223" i="34" s="1"/>
  <c r="O143" i="34"/>
  <c r="O223" i="34" s="1"/>
  <c r="P223" i="34" s="1"/>
  <c r="H143" i="34"/>
  <c r="G143" i="34"/>
  <c r="I143" i="34" s="1"/>
  <c r="F143" i="34"/>
  <c r="E143" i="34"/>
  <c r="R142" i="34"/>
  <c r="O142" i="34"/>
  <c r="H142" i="34"/>
  <c r="G142" i="34"/>
  <c r="I142" i="34" s="1"/>
  <c r="F142" i="34"/>
  <c r="E142" i="34"/>
  <c r="R86" i="34"/>
  <c r="Q86" i="34"/>
  <c r="P86" i="34"/>
  <c r="O86" i="34"/>
  <c r="N86" i="34"/>
  <c r="M86" i="34"/>
  <c r="L86" i="34"/>
  <c r="S81" i="34"/>
  <c r="R81" i="34"/>
  <c r="Q81" i="34"/>
  <c r="P81" i="34"/>
  <c r="O81" i="34"/>
  <c r="N81" i="34"/>
  <c r="M81" i="34"/>
  <c r="L81" i="34"/>
  <c r="J81" i="34"/>
  <c r="D81" i="34"/>
  <c r="G80" i="34"/>
  <c r="I80" i="34" s="1"/>
  <c r="F80" i="34"/>
  <c r="F81" i="34" s="1"/>
  <c r="E80" i="34"/>
  <c r="E81" i="34" s="1"/>
  <c r="N74" i="34"/>
  <c r="L74" i="34"/>
  <c r="J74" i="34"/>
  <c r="D74" i="34"/>
  <c r="Q73" i="34"/>
  <c r="P73" i="34"/>
  <c r="N73" i="34"/>
  <c r="M73" i="34"/>
  <c r="L73" i="34"/>
  <c r="F73" i="34"/>
  <c r="D73" i="34"/>
  <c r="G73" i="34" s="1"/>
  <c r="R72" i="34"/>
  <c r="R74" i="34" s="1"/>
  <c r="Q72" i="34"/>
  <c r="P72" i="34"/>
  <c r="P74" i="34" s="1"/>
  <c r="N72" i="34"/>
  <c r="M72" i="34"/>
  <c r="M74" i="34" s="1"/>
  <c r="L72" i="34"/>
  <c r="D72" i="34"/>
  <c r="J70" i="34"/>
  <c r="S69" i="34"/>
  <c r="R69" i="34"/>
  <c r="Q69" i="34"/>
  <c r="O69" i="34"/>
  <c r="N69" i="34"/>
  <c r="M69" i="34"/>
  <c r="L69" i="34"/>
  <c r="D69" i="34"/>
  <c r="Q68" i="34"/>
  <c r="O68" i="34"/>
  <c r="P68" i="34" s="1"/>
  <c r="N68" i="34"/>
  <c r="M68" i="34"/>
  <c r="L68" i="34"/>
  <c r="G68" i="34"/>
  <c r="H68" i="34" s="1"/>
  <c r="F68" i="34"/>
  <c r="E68" i="34"/>
  <c r="D68" i="34"/>
  <c r="Q67" i="34"/>
  <c r="N67" i="34"/>
  <c r="M67" i="34"/>
  <c r="L67" i="34"/>
  <c r="G67" i="34"/>
  <c r="D67" i="34"/>
  <c r="F67" i="34" s="1"/>
  <c r="Q66" i="34"/>
  <c r="N66" i="34"/>
  <c r="M66" i="34"/>
  <c r="L66" i="34"/>
  <c r="G66" i="34"/>
  <c r="I66" i="34" s="1"/>
  <c r="F66" i="34"/>
  <c r="E66" i="34"/>
  <c r="D66" i="34"/>
  <c r="Q65" i="34"/>
  <c r="N65" i="34"/>
  <c r="M65" i="34"/>
  <c r="L65" i="34"/>
  <c r="G65" i="34"/>
  <c r="H65" i="34" s="1"/>
  <c r="F65" i="34"/>
  <c r="E65" i="34"/>
  <c r="D65" i="34"/>
  <c r="Q64" i="34"/>
  <c r="N64" i="34"/>
  <c r="M64" i="34"/>
  <c r="L64" i="34"/>
  <c r="D64" i="34"/>
  <c r="Q63" i="34"/>
  <c r="N63" i="34"/>
  <c r="M63" i="34"/>
  <c r="L63" i="34"/>
  <c r="D63" i="34"/>
  <c r="Q62" i="34"/>
  <c r="O62" i="34"/>
  <c r="P62" i="34" s="1"/>
  <c r="N62" i="34"/>
  <c r="M62" i="34"/>
  <c r="L62" i="34"/>
  <c r="G62" i="34"/>
  <c r="I62" i="34" s="1"/>
  <c r="F62" i="34"/>
  <c r="E62" i="34"/>
  <c r="D62" i="34"/>
  <c r="Q61" i="34"/>
  <c r="N61" i="34"/>
  <c r="M61" i="34"/>
  <c r="L61" i="34"/>
  <c r="E61" i="34"/>
  <c r="D61" i="34"/>
  <c r="R60" i="34"/>
  <c r="Q60" i="34"/>
  <c r="N60" i="34"/>
  <c r="M60" i="34"/>
  <c r="L60" i="34"/>
  <c r="G60" i="34"/>
  <c r="F60" i="34"/>
  <c r="E60" i="34"/>
  <c r="D60" i="34"/>
  <c r="R59" i="34"/>
  <c r="Q59" i="34"/>
  <c r="P59" i="34"/>
  <c r="O59" i="34"/>
  <c r="N59" i="34"/>
  <c r="M59" i="34"/>
  <c r="L59" i="34"/>
  <c r="D59" i="34"/>
  <c r="R58" i="34"/>
  <c r="S58" i="34" s="1"/>
  <c r="Q58" i="34"/>
  <c r="O58" i="34"/>
  <c r="P58" i="34" s="1"/>
  <c r="N58" i="34"/>
  <c r="M58" i="34"/>
  <c r="L58" i="34"/>
  <c r="D58" i="34"/>
  <c r="Q57" i="34"/>
  <c r="N57" i="34"/>
  <c r="M57" i="34"/>
  <c r="L57" i="34"/>
  <c r="E57" i="34"/>
  <c r="D57" i="34"/>
  <c r="G57" i="34" s="1"/>
  <c r="I57" i="34" s="1"/>
  <c r="Q56" i="34"/>
  <c r="O56" i="34"/>
  <c r="P56" i="34" s="1"/>
  <c r="N56" i="34"/>
  <c r="M56" i="34"/>
  <c r="L56" i="34"/>
  <c r="G56" i="34"/>
  <c r="F56" i="34"/>
  <c r="E56" i="34"/>
  <c r="D56" i="34"/>
  <c r="Q55" i="34"/>
  <c r="N55" i="34"/>
  <c r="M55" i="34"/>
  <c r="L55" i="34"/>
  <c r="G55" i="34"/>
  <c r="D55" i="34"/>
  <c r="Q54" i="34"/>
  <c r="N54" i="34"/>
  <c r="M54" i="34"/>
  <c r="L54" i="34"/>
  <c r="G54" i="34"/>
  <c r="E54" i="34"/>
  <c r="D54" i="34"/>
  <c r="F54" i="34" s="1"/>
  <c r="Q53" i="34"/>
  <c r="P53" i="34"/>
  <c r="O53" i="34"/>
  <c r="N53" i="34"/>
  <c r="M53" i="34"/>
  <c r="L53" i="34"/>
  <c r="G53" i="34"/>
  <c r="F53" i="34"/>
  <c r="E53" i="34"/>
  <c r="D53" i="34"/>
  <c r="Q52" i="34"/>
  <c r="N52" i="34"/>
  <c r="M52" i="34"/>
  <c r="L52" i="34"/>
  <c r="E52" i="34"/>
  <c r="D52" i="34"/>
  <c r="R48" i="34"/>
  <c r="Q48" i="34"/>
  <c r="N48" i="34"/>
  <c r="M48" i="34"/>
  <c r="L48" i="34"/>
  <c r="D48" i="34"/>
  <c r="R47" i="34"/>
  <c r="R73" i="34" s="1"/>
  <c r="S73" i="34" s="1"/>
  <c r="O47" i="34"/>
  <c r="O73" i="34" s="1"/>
  <c r="G47" i="34"/>
  <c r="F47" i="34"/>
  <c r="E47" i="34"/>
  <c r="R46" i="34"/>
  <c r="O46" i="34"/>
  <c r="O48" i="34" s="1"/>
  <c r="G46" i="34"/>
  <c r="I46" i="34" s="1"/>
  <c r="F46" i="34"/>
  <c r="F48" i="34" s="1"/>
  <c r="E46" i="34"/>
  <c r="E48" i="34" s="1"/>
  <c r="Q43" i="34"/>
  <c r="N43" i="34"/>
  <c r="M43" i="34"/>
  <c r="L43" i="34"/>
  <c r="D43" i="34"/>
  <c r="R42" i="34"/>
  <c r="O42" i="34"/>
  <c r="G42" i="34"/>
  <c r="I42" i="34" s="1"/>
  <c r="F42" i="34"/>
  <c r="E42" i="34"/>
  <c r="R41" i="34"/>
  <c r="O41" i="34"/>
  <c r="O72" i="34" s="1"/>
  <c r="G41" i="34"/>
  <c r="H41" i="34" s="1"/>
  <c r="F41" i="34"/>
  <c r="E41" i="34"/>
  <c r="G40" i="34"/>
  <c r="F40" i="34"/>
  <c r="E40" i="34"/>
  <c r="R39" i="34"/>
  <c r="O39" i="34"/>
  <c r="G39" i="34"/>
  <c r="H39" i="34" s="1"/>
  <c r="F39" i="34"/>
  <c r="E39" i="34"/>
  <c r="R38" i="34"/>
  <c r="R67" i="34" s="1"/>
  <c r="S67" i="34" s="1"/>
  <c r="O38" i="34"/>
  <c r="G38" i="34"/>
  <c r="F38" i="34"/>
  <c r="E38" i="34"/>
  <c r="R37" i="34"/>
  <c r="R66" i="34" s="1"/>
  <c r="S66" i="34" s="1"/>
  <c r="O37" i="34"/>
  <c r="O66" i="34" s="1"/>
  <c r="P66" i="34" s="1"/>
  <c r="G37" i="34"/>
  <c r="H37" i="34" s="1"/>
  <c r="F37" i="34"/>
  <c r="E37" i="34"/>
  <c r="R36" i="34"/>
  <c r="R65" i="34" s="1"/>
  <c r="S65" i="34" s="1"/>
  <c r="O36" i="34"/>
  <c r="G36" i="34"/>
  <c r="F36" i="34"/>
  <c r="E36" i="34"/>
  <c r="R35" i="34"/>
  <c r="O35" i="34"/>
  <c r="O64" i="34" s="1"/>
  <c r="P64" i="34" s="1"/>
  <c r="G35" i="34"/>
  <c r="I35" i="34" s="1"/>
  <c r="F35" i="34"/>
  <c r="E35" i="34"/>
  <c r="R34" i="34"/>
  <c r="O34" i="34"/>
  <c r="O63" i="34" s="1"/>
  <c r="P63" i="34" s="1"/>
  <c r="G34" i="34"/>
  <c r="H34" i="34" s="1"/>
  <c r="F34" i="34"/>
  <c r="E34" i="34"/>
  <c r="R33" i="34"/>
  <c r="O33" i="34"/>
  <c r="G33" i="34"/>
  <c r="I33" i="34" s="1"/>
  <c r="F33" i="34"/>
  <c r="E33" i="34"/>
  <c r="R32" i="34"/>
  <c r="O32" i="34"/>
  <c r="G32" i="34"/>
  <c r="F32" i="34"/>
  <c r="E32" i="34"/>
  <c r="R31" i="34"/>
  <c r="O31" i="34"/>
  <c r="G31" i="34"/>
  <c r="I31" i="34" s="1"/>
  <c r="F31" i="34"/>
  <c r="E31" i="34"/>
  <c r="R30" i="34"/>
  <c r="O30" i="34"/>
  <c r="G30" i="34"/>
  <c r="F30" i="34"/>
  <c r="E30" i="34"/>
  <c r="R29" i="34"/>
  <c r="O29" i="34"/>
  <c r="G29" i="34"/>
  <c r="H29" i="34" s="1"/>
  <c r="F29" i="34"/>
  <c r="E29" i="34"/>
  <c r="R28" i="34"/>
  <c r="R57" i="34" s="1"/>
  <c r="S57" i="34" s="1"/>
  <c r="O28" i="34"/>
  <c r="G28" i="34"/>
  <c r="I28" i="34" s="1"/>
  <c r="F28" i="34"/>
  <c r="E28" i="34"/>
  <c r="R27" i="34"/>
  <c r="R56" i="34" s="1"/>
  <c r="S56" i="34" s="1"/>
  <c r="O27" i="34"/>
  <c r="G27" i="34"/>
  <c r="I27" i="34" s="1"/>
  <c r="F27" i="34"/>
  <c r="E27" i="34"/>
  <c r="R26" i="34"/>
  <c r="R55" i="34" s="1"/>
  <c r="S55" i="34" s="1"/>
  <c r="O26" i="34"/>
  <c r="G26" i="34"/>
  <c r="I26" i="34" s="1"/>
  <c r="F26" i="34"/>
  <c r="E26" i="34"/>
  <c r="R25" i="34"/>
  <c r="R54" i="34" s="1"/>
  <c r="S54" i="34" s="1"/>
  <c r="O25" i="34"/>
  <c r="G25" i="34"/>
  <c r="F25" i="34"/>
  <c r="E25" i="34"/>
  <c r="R24" i="34"/>
  <c r="O24" i="34"/>
  <c r="G24" i="34"/>
  <c r="F24" i="34"/>
  <c r="E24" i="34"/>
  <c r="R23" i="34"/>
  <c r="O23" i="34"/>
  <c r="O52" i="34" s="1"/>
  <c r="G23" i="34"/>
  <c r="F23" i="34"/>
  <c r="F43" i="34" s="1"/>
  <c r="E23" i="34"/>
  <c r="E43" i="34" s="1"/>
  <c r="Q19" i="34"/>
  <c r="N19" i="34"/>
  <c r="M19" i="34"/>
  <c r="L19" i="34"/>
  <c r="D19" i="34"/>
  <c r="R18" i="34"/>
  <c r="O18" i="34"/>
  <c r="G18" i="34"/>
  <c r="F18" i="34"/>
  <c r="E18" i="34"/>
  <c r="R17" i="34"/>
  <c r="O17" i="34"/>
  <c r="O67" i="34" s="1"/>
  <c r="P67" i="34" s="1"/>
  <c r="G17" i="34"/>
  <c r="I17" i="34" s="1"/>
  <c r="F17" i="34"/>
  <c r="E17" i="34"/>
  <c r="R16" i="34"/>
  <c r="O16" i="34"/>
  <c r="G16" i="34"/>
  <c r="H16" i="34" s="1"/>
  <c r="F16" i="34"/>
  <c r="E16" i="34"/>
  <c r="R15" i="34"/>
  <c r="O15" i="34"/>
  <c r="G15" i="34"/>
  <c r="H15" i="34" s="1"/>
  <c r="F15" i="34"/>
  <c r="E15" i="34"/>
  <c r="R14" i="34"/>
  <c r="O14" i="34"/>
  <c r="G14" i="34"/>
  <c r="F14" i="34"/>
  <c r="E14" i="34"/>
  <c r="R13" i="34"/>
  <c r="O13" i="34"/>
  <c r="G13" i="34"/>
  <c r="F13" i="34"/>
  <c r="E13" i="34"/>
  <c r="R12" i="34"/>
  <c r="O12" i="34"/>
  <c r="G12" i="34"/>
  <c r="F12" i="34"/>
  <c r="E12" i="34"/>
  <c r="R11" i="34"/>
  <c r="O11" i="34"/>
  <c r="G11" i="34"/>
  <c r="F11" i="34"/>
  <c r="E11" i="34"/>
  <c r="R10" i="34"/>
  <c r="O10" i="34"/>
  <c r="G10" i="34"/>
  <c r="F10" i="34"/>
  <c r="E10" i="34"/>
  <c r="R9" i="34"/>
  <c r="O9" i="34"/>
  <c r="G9" i="34"/>
  <c r="I9" i="34" s="1"/>
  <c r="F9" i="34"/>
  <c r="E9" i="34"/>
  <c r="R8" i="34"/>
  <c r="O8" i="34"/>
  <c r="G8" i="34"/>
  <c r="I8" i="34" s="1"/>
  <c r="F8" i="34"/>
  <c r="E8" i="34"/>
  <c r="R7" i="34"/>
  <c r="O7" i="34"/>
  <c r="O57" i="34" s="1"/>
  <c r="P57" i="34" s="1"/>
  <c r="G7" i="34"/>
  <c r="I7" i="34" s="1"/>
  <c r="F7" i="34"/>
  <c r="E7" i="34"/>
  <c r="R6" i="34"/>
  <c r="O6" i="34"/>
  <c r="G6" i="34"/>
  <c r="F6" i="34"/>
  <c r="E6" i="34"/>
  <c r="R5" i="34"/>
  <c r="O5" i="34"/>
  <c r="G5" i="34"/>
  <c r="I5" i="34" s="1"/>
  <c r="F5" i="34"/>
  <c r="E5" i="34"/>
  <c r="R4" i="34"/>
  <c r="O4" i="34"/>
  <c r="G4" i="34"/>
  <c r="F4" i="34"/>
  <c r="E4" i="34"/>
  <c r="R3" i="34"/>
  <c r="O3" i="34"/>
  <c r="G3" i="34"/>
  <c r="G19" i="34" s="1"/>
  <c r="I19" i="34" s="1"/>
  <c r="F3" i="34"/>
  <c r="E3" i="34"/>
  <c r="R474" i="33"/>
  <c r="Q474" i="33"/>
  <c r="P474" i="33"/>
  <c r="O474" i="33"/>
  <c r="N474" i="33"/>
  <c r="M474" i="33"/>
  <c r="L474" i="33"/>
  <c r="R469" i="33"/>
  <c r="Q469" i="33"/>
  <c r="N469" i="33"/>
  <c r="M469" i="33"/>
  <c r="L469" i="33"/>
  <c r="J469" i="33"/>
  <c r="J471" i="33" s="1"/>
  <c r="D469" i="33"/>
  <c r="S468" i="33"/>
  <c r="R468" i="33"/>
  <c r="P468" i="33"/>
  <c r="O468" i="33"/>
  <c r="I468" i="33"/>
  <c r="H468" i="33"/>
  <c r="S467" i="33"/>
  <c r="R467" i="33"/>
  <c r="P467" i="33"/>
  <c r="O467" i="33"/>
  <c r="I467" i="33"/>
  <c r="H467" i="33"/>
  <c r="S466" i="33"/>
  <c r="R466" i="33"/>
  <c r="P466" i="33"/>
  <c r="O466" i="33"/>
  <c r="I466" i="33"/>
  <c r="H466" i="33"/>
  <c r="S465" i="33"/>
  <c r="R465" i="33"/>
  <c r="P465" i="33"/>
  <c r="O465" i="33"/>
  <c r="I465" i="33"/>
  <c r="H465" i="33"/>
  <c r="S464" i="33"/>
  <c r="R464" i="33"/>
  <c r="P464" i="33"/>
  <c r="O464" i="33"/>
  <c r="I464" i="33"/>
  <c r="H464" i="33"/>
  <c r="S463" i="33"/>
  <c r="R463" i="33"/>
  <c r="P463" i="33"/>
  <c r="O463" i="33"/>
  <c r="I463" i="33"/>
  <c r="H463" i="33"/>
  <c r="S462" i="33"/>
  <c r="R462" i="33"/>
  <c r="P462" i="33"/>
  <c r="O462" i="33"/>
  <c r="O469" i="33" s="1"/>
  <c r="I462" i="33"/>
  <c r="H462" i="33"/>
  <c r="P461" i="33"/>
  <c r="R461" i="33" s="1"/>
  <c r="S461" i="33" s="1"/>
  <c r="S469" i="33" s="1"/>
  <c r="O461" i="33"/>
  <c r="I461" i="33"/>
  <c r="H461" i="33"/>
  <c r="R460" i="33"/>
  <c r="S460" i="33" s="1"/>
  <c r="P460" i="33"/>
  <c r="P469" i="33" s="1"/>
  <c r="O460" i="33"/>
  <c r="G460" i="33"/>
  <c r="F460" i="33"/>
  <c r="F469" i="33" s="1"/>
  <c r="E460" i="33"/>
  <c r="E469" i="33" s="1"/>
  <c r="J455" i="33"/>
  <c r="J457" i="33" s="1"/>
  <c r="G454" i="33"/>
  <c r="D454" i="33"/>
  <c r="E454" i="33" s="1"/>
  <c r="B454" i="33"/>
  <c r="Q453" i="33"/>
  <c r="N453" i="33"/>
  <c r="M453" i="33"/>
  <c r="L453" i="33"/>
  <c r="E453" i="33"/>
  <c r="D453" i="33"/>
  <c r="Q452" i="33"/>
  <c r="O452" i="33"/>
  <c r="N452" i="33"/>
  <c r="P452" i="33" s="1"/>
  <c r="M452" i="33"/>
  <c r="L452" i="33"/>
  <c r="D452" i="33"/>
  <c r="Q451" i="33"/>
  <c r="O451" i="33"/>
  <c r="N451" i="33"/>
  <c r="M451" i="33"/>
  <c r="L451" i="33"/>
  <c r="G451" i="33"/>
  <c r="I451" i="33" s="1"/>
  <c r="F451" i="33"/>
  <c r="E451" i="33"/>
  <c r="D451" i="33"/>
  <c r="J449" i="33"/>
  <c r="R448" i="33"/>
  <c r="Q448" i="33"/>
  <c r="O448" i="33"/>
  <c r="N448" i="33"/>
  <c r="P448" i="33" s="1"/>
  <c r="M448" i="33"/>
  <c r="L448" i="33"/>
  <c r="F448" i="33"/>
  <c r="E448" i="33"/>
  <c r="D448" i="33"/>
  <c r="G448" i="33" s="1"/>
  <c r="R447" i="33"/>
  <c r="S447" i="33" s="1"/>
  <c r="Q447" i="33"/>
  <c r="O447" i="33"/>
  <c r="P447" i="33" s="1"/>
  <c r="N447" i="33"/>
  <c r="M447" i="33"/>
  <c r="L447" i="33"/>
  <c r="D447" i="33"/>
  <c r="Q446" i="33"/>
  <c r="P446" i="33"/>
  <c r="O446" i="33"/>
  <c r="N446" i="33"/>
  <c r="M446" i="33"/>
  <c r="L446" i="33"/>
  <c r="G446" i="33"/>
  <c r="I446" i="33" s="1"/>
  <c r="F446" i="33"/>
  <c r="E446" i="33"/>
  <c r="D446" i="33"/>
  <c r="Q445" i="33"/>
  <c r="N445" i="33"/>
  <c r="M445" i="33"/>
  <c r="L445" i="33"/>
  <c r="G445" i="33"/>
  <c r="D445" i="33"/>
  <c r="E445" i="33" s="1"/>
  <c r="R444" i="33"/>
  <c r="S444" i="33" s="1"/>
  <c r="Q444" i="33"/>
  <c r="N444" i="33"/>
  <c r="M444" i="33"/>
  <c r="L444" i="33"/>
  <c r="E444" i="33"/>
  <c r="D444" i="33"/>
  <c r="G444" i="33" s="1"/>
  <c r="R443" i="33"/>
  <c r="S443" i="33" s="1"/>
  <c r="Q443" i="33"/>
  <c r="P443" i="33"/>
  <c r="O443" i="33"/>
  <c r="N443" i="33"/>
  <c r="M443" i="33"/>
  <c r="L443" i="33"/>
  <c r="G443" i="33"/>
  <c r="I443" i="33" s="1"/>
  <c r="D443" i="33"/>
  <c r="E443" i="33" s="1"/>
  <c r="Q442" i="33"/>
  <c r="P442" i="33"/>
  <c r="N442" i="33"/>
  <c r="M442" i="33"/>
  <c r="L442" i="33"/>
  <c r="F442" i="33"/>
  <c r="E442" i="33"/>
  <c r="D442" i="33"/>
  <c r="G442" i="33" s="1"/>
  <c r="H442" i="33" s="1"/>
  <c r="Q441" i="33"/>
  <c r="N441" i="33"/>
  <c r="M441" i="33"/>
  <c r="L441" i="33"/>
  <c r="G441" i="33"/>
  <c r="H441" i="33" s="1"/>
  <c r="F441" i="33"/>
  <c r="E441" i="33"/>
  <c r="D441" i="33"/>
  <c r="Q440" i="33"/>
  <c r="N440" i="33"/>
  <c r="M440" i="33"/>
  <c r="L440" i="33"/>
  <c r="G440" i="33"/>
  <c r="I440" i="33" s="1"/>
  <c r="F440" i="33"/>
  <c r="D440" i="33"/>
  <c r="E440" i="33" s="1"/>
  <c r="Q439" i="33"/>
  <c r="N439" i="33"/>
  <c r="M439" i="33"/>
  <c r="L439" i="33"/>
  <c r="G439" i="33"/>
  <c r="H439" i="33" s="1"/>
  <c r="F439" i="33"/>
  <c r="D439" i="33"/>
  <c r="E439" i="33" s="1"/>
  <c r="Q438" i="33"/>
  <c r="O438" i="33"/>
  <c r="P438" i="33" s="1"/>
  <c r="N438" i="33"/>
  <c r="M438" i="33"/>
  <c r="L438" i="33"/>
  <c r="G438" i="33"/>
  <c r="F438" i="33"/>
  <c r="D438" i="33"/>
  <c r="E438" i="33" s="1"/>
  <c r="Q437" i="33"/>
  <c r="N437" i="33"/>
  <c r="M437" i="33"/>
  <c r="L437" i="33"/>
  <c r="D437" i="33"/>
  <c r="Q436" i="33"/>
  <c r="N436" i="33"/>
  <c r="M436" i="33"/>
  <c r="L436" i="33"/>
  <c r="D436" i="33"/>
  <c r="R435" i="33"/>
  <c r="S435" i="33" s="1"/>
  <c r="Q435" i="33"/>
  <c r="N435" i="33"/>
  <c r="M435" i="33"/>
  <c r="L435" i="33"/>
  <c r="G435" i="33"/>
  <c r="H435" i="33" s="1"/>
  <c r="F435" i="33"/>
  <c r="E435" i="33"/>
  <c r="D435" i="33"/>
  <c r="Q434" i="33"/>
  <c r="N434" i="33"/>
  <c r="M434" i="33"/>
  <c r="L434" i="33"/>
  <c r="D434" i="33"/>
  <c r="F434" i="33" s="1"/>
  <c r="S433" i="33"/>
  <c r="R433" i="33"/>
  <c r="Q433" i="33"/>
  <c r="N433" i="33"/>
  <c r="M433" i="33"/>
  <c r="L433" i="33"/>
  <c r="F433" i="33"/>
  <c r="D433" i="33"/>
  <c r="Q432" i="33"/>
  <c r="O432" i="33"/>
  <c r="P432" i="33" s="1"/>
  <c r="N432" i="33"/>
  <c r="M432" i="33"/>
  <c r="L432" i="33"/>
  <c r="D432" i="33"/>
  <c r="G432" i="33" s="1"/>
  <c r="Q431" i="33"/>
  <c r="N431" i="33"/>
  <c r="M431" i="33"/>
  <c r="L431" i="33"/>
  <c r="D431" i="33"/>
  <c r="E431" i="33" s="1"/>
  <c r="Q430" i="33"/>
  <c r="N430" i="33"/>
  <c r="M430" i="33"/>
  <c r="L430" i="33"/>
  <c r="F430" i="33"/>
  <c r="E430" i="33"/>
  <c r="D430" i="33"/>
  <c r="G430" i="33" s="1"/>
  <c r="I430" i="33" s="1"/>
  <c r="Q429" i="33"/>
  <c r="O429" i="33"/>
  <c r="N429" i="33"/>
  <c r="M429" i="33"/>
  <c r="L429" i="33"/>
  <c r="L449" i="33" s="1"/>
  <c r="D429" i="33"/>
  <c r="Q425" i="33"/>
  <c r="P425" i="33"/>
  <c r="N425" i="33"/>
  <c r="M425" i="33"/>
  <c r="L425" i="33"/>
  <c r="H425" i="33"/>
  <c r="G425" i="33"/>
  <c r="I425" i="33" s="1"/>
  <c r="F425" i="33"/>
  <c r="D425" i="33"/>
  <c r="S424" i="33"/>
  <c r="H424" i="33"/>
  <c r="G424" i="33"/>
  <c r="I424" i="33" s="1"/>
  <c r="F424" i="33"/>
  <c r="E424" i="33"/>
  <c r="R423" i="33"/>
  <c r="S423" i="33" s="1"/>
  <c r="O423" i="33"/>
  <c r="H423" i="33"/>
  <c r="G423" i="33"/>
  <c r="I423" i="33" s="1"/>
  <c r="F423" i="33"/>
  <c r="E423" i="33"/>
  <c r="E425" i="33" s="1"/>
  <c r="R422" i="33"/>
  <c r="O422" i="33"/>
  <c r="G422" i="33"/>
  <c r="F422" i="33"/>
  <c r="E422" i="33"/>
  <c r="R421" i="33"/>
  <c r="O421" i="33"/>
  <c r="O425" i="33" s="1"/>
  <c r="G421" i="33"/>
  <c r="F421" i="33"/>
  <c r="E421" i="33"/>
  <c r="Q418" i="33"/>
  <c r="P418" i="33"/>
  <c r="N418" i="33"/>
  <c r="M418" i="33"/>
  <c r="L418" i="33"/>
  <c r="D418" i="33"/>
  <c r="H418" i="33" s="1"/>
  <c r="R417" i="33"/>
  <c r="S417" i="33" s="1"/>
  <c r="O417" i="33"/>
  <c r="H417" i="33"/>
  <c r="G417" i="33"/>
  <c r="I417" i="33" s="1"/>
  <c r="F417" i="33"/>
  <c r="E417" i="33"/>
  <c r="R416" i="33"/>
  <c r="S416" i="33" s="1"/>
  <c r="O416" i="33"/>
  <c r="H416" i="33"/>
  <c r="G416" i="33"/>
  <c r="I416" i="33" s="1"/>
  <c r="F416" i="33"/>
  <c r="E416" i="33"/>
  <c r="S415" i="33"/>
  <c r="R415" i="33"/>
  <c r="O415" i="33"/>
  <c r="H415" i="33"/>
  <c r="G415" i="33"/>
  <c r="I415" i="33" s="1"/>
  <c r="F415" i="33"/>
  <c r="E415" i="33"/>
  <c r="R414" i="33"/>
  <c r="S414" i="33" s="1"/>
  <c r="O414" i="33"/>
  <c r="H414" i="33"/>
  <c r="G414" i="33"/>
  <c r="I414" i="33" s="1"/>
  <c r="F414" i="33"/>
  <c r="E414" i="33"/>
  <c r="S413" i="33"/>
  <c r="R413" i="33"/>
  <c r="O413" i="33"/>
  <c r="H413" i="33"/>
  <c r="G413" i="33"/>
  <c r="I413" i="33" s="1"/>
  <c r="F413" i="33"/>
  <c r="E413" i="33"/>
  <c r="R412" i="33"/>
  <c r="S412" i="33" s="1"/>
  <c r="O412" i="33"/>
  <c r="H412" i="33"/>
  <c r="G412" i="33"/>
  <c r="I412" i="33" s="1"/>
  <c r="F412" i="33"/>
  <c r="E412" i="33"/>
  <c r="R411" i="33"/>
  <c r="S411" i="33" s="1"/>
  <c r="O411" i="33"/>
  <c r="O444" i="33" s="1"/>
  <c r="P444" i="33" s="1"/>
  <c r="H411" i="33"/>
  <c r="G411" i="33"/>
  <c r="I411" i="33" s="1"/>
  <c r="F411" i="33"/>
  <c r="E411" i="33"/>
  <c r="S410" i="33"/>
  <c r="H410" i="33"/>
  <c r="G410" i="33"/>
  <c r="I410" i="33" s="1"/>
  <c r="F410" i="33"/>
  <c r="E410" i="33"/>
  <c r="R409" i="33"/>
  <c r="O409" i="33"/>
  <c r="H409" i="33"/>
  <c r="G409" i="33"/>
  <c r="I409" i="33" s="1"/>
  <c r="F409" i="33"/>
  <c r="E409" i="33"/>
  <c r="R408" i="33"/>
  <c r="O408" i="33"/>
  <c r="H408" i="33"/>
  <c r="G408" i="33"/>
  <c r="I408" i="33" s="1"/>
  <c r="F408" i="33"/>
  <c r="E408" i="33"/>
  <c r="S407" i="33"/>
  <c r="R407" i="33"/>
  <c r="O407" i="33"/>
  <c r="H407" i="33"/>
  <c r="G407" i="33"/>
  <c r="I407" i="33" s="1"/>
  <c r="F407" i="33"/>
  <c r="E407" i="33"/>
  <c r="S406" i="33"/>
  <c r="R406" i="33"/>
  <c r="O406" i="33"/>
  <c r="H406" i="33"/>
  <c r="G406" i="33"/>
  <c r="I406" i="33" s="1"/>
  <c r="F406" i="33"/>
  <c r="E406" i="33"/>
  <c r="R405" i="33"/>
  <c r="S405" i="33" s="1"/>
  <c r="O405" i="33"/>
  <c r="H405" i="33"/>
  <c r="G405" i="33"/>
  <c r="I405" i="33" s="1"/>
  <c r="F405" i="33"/>
  <c r="E405" i="33"/>
  <c r="R404" i="33"/>
  <c r="S404" i="33" s="1"/>
  <c r="O404" i="33"/>
  <c r="H404" i="33"/>
  <c r="G404" i="33"/>
  <c r="I404" i="33" s="1"/>
  <c r="F404" i="33"/>
  <c r="E404" i="33"/>
  <c r="S403" i="33"/>
  <c r="R403" i="33"/>
  <c r="O403" i="33"/>
  <c r="H403" i="33"/>
  <c r="G403" i="33"/>
  <c r="I403" i="33" s="1"/>
  <c r="F403" i="33"/>
  <c r="E403" i="33"/>
  <c r="R402" i="33"/>
  <c r="S402" i="33" s="1"/>
  <c r="O402" i="33"/>
  <c r="H402" i="33"/>
  <c r="G402" i="33"/>
  <c r="I402" i="33" s="1"/>
  <c r="F402" i="33"/>
  <c r="E402" i="33"/>
  <c r="S401" i="33"/>
  <c r="R401" i="33"/>
  <c r="O401" i="33"/>
  <c r="H401" i="33"/>
  <c r="G401" i="33"/>
  <c r="I401" i="33" s="1"/>
  <c r="F401" i="33"/>
  <c r="E401" i="33"/>
  <c r="S400" i="33"/>
  <c r="R400" i="33"/>
  <c r="O400" i="33"/>
  <c r="H400" i="33"/>
  <c r="G400" i="33"/>
  <c r="I400" i="33" s="1"/>
  <c r="F400" i="33"/>
  <c r="E400" i="33"/>
  <c r="R399" i="33"/>
  <c r="S399" i="33" s="1"/>
  <c r="O399" i="33"/>
  <c r="H399" i="33"/>
  <c r="G399" i="33"/>
  <c r="I399" i="33" s="1"/>
  <c r="F399" i="33"/>
  <c r="E399" i="33"/>
  <c r="S398" i="33"/>
  <c r="R398" i="33"/>
  <c r="O398" i="33"/>
  <c r="H398" i="33"/>
  <c r="G398" i="33"/>
  <c r="I398" i="33" s="1"/>
  <c r="F398" i="33"/>
  <c r="E398" i="33"/>
  <c r="S397" i="33"/>
  <c r="R397" i="33"/>
  <c r="O397" i="33"/>
  <c r="H397" i="33"/>
  <c r="G397" i="33"/>
  <c r="I397" i="33" s="1"/>
  <c r="F397" i="33"/>
  <c r="E397" i="33"/>
  <c r="R396" i="33"/>
  <c r="O396" i="33"/>
  <c r="H396" i="33"/>
  <c r="G396" i="33"/>
  <c r="I396" i="33" s="1"/>
  <c r="F396" i="33"/>
  <c r="E396" i="33"/>
  <c r="Q392" i="33"/>
  <c r="P392" i="33"/>
  <c r="N392" i="33"/>
  <c r="M392" i="33"/>
  <c r="L392" i="33"/>
  <c r="D392" i="33"/>
  <c r="R391" i="33"/>
  <c r="O391" i="33"/>
  <c r="H391" i="33"/>
  <c r="G391" i="33"/>
  <c r="I391" i="33" s="1"/>
  <c r="F391" i="33"/>
  <c r="E391" i="33"/>
  <c r="R390" i="33"/>
  <c r="O390" i="33"/>
  <c r="H390" i="33"/>
  <c r="G390" i="33"/>
  <c r="I390" i="33" s="1"/>
  <c r="F390" i="33"/>
  <c r="E390" i="33"/>
  <c r="R389" i="33"/>
  <c r="S389" i="33" s="1"/>
  <c r="O389" i="33"/>
  <c r="H389" i="33"/>
  <c r="G389" i="33"/>
  <c r="I389" i="33" s="1"/>
  <c r="F389" i="33"/>
  <c r="E389" i="33"/>
  <c r="S388" i="33"/>
  <c r="R388" i="33"/>
  <c r="O388" i="33"/>
  <c r="H388" i="33"/>
  <c r="G388" i="33"/>
  <c r="I388" i="33" s="1"/>
  <c r="F388" i="33"/>
  <c r="E388" i="33"/>
  <c r="R387" i="33"/>
  <c r="O387" i="33"/>
  <c r="H387" i="33"/>
  <c r="G387" i="33"/>
  <c r="I387" i="33" s="1"/>
  <c r="F387" i="33"/>
  <c r="E387" i="33"/>
  <c r="R386" i="33"/>
  <c r="O386" i="33"/>
  <c r="O445" i="33" s="1"/>
  <c r="P445" i="33" s="1"/>
  <c r="H386" i="33"/>
  <c r="G386" i="33"/>
  <c r="I386" i="33" s="1"/>
  <c r="F386" i="33"/>
  <c r="E386" i="33"/>
  <c r="R385" i="33"/>
  <c r="S385" i="33" s="1"/>
  <c r="O385" i="33"/>
  <c r="H385" i="33"/>
  <c r="G385" i="33"/>
  <c r="I385" i="33" s="1"/>
  <c r="F385" i="33"/>
  <c r="E385" i="33"/>
  <c r="S384" i="33"/>
  <c r="R384" i="33"/>
  <c r="O384" i="33"/>
  <c r="O442" i="33" s="1"/>
  <c r="H384" i="33"/>
  <c r="G384" i="33"/>
  <c r="I384" i="33" s="1"/>
  <c r="F384" i="33"/>
  <c r="E384" i="33"/>
  <c r="R383" i="33"/>
  <c r="S383" i="33" s="1"/>
  <c r="O383" i="33"/>
  <c r="O441" i="33" s="1"/>
  <c r="P441" i="33" s="1"/>
  <c r="H383" i="33"/>
  <c r="G383" i="33"/>
  <c r="I383" i="33" s="1"/>
  <c r="F383" i="33"/>
  <c r="E383" i="33"/>
  <c r="S382" i="33"/>
  <c r="R382" i="33"/>
  <c r="R440" i="33" s="1"/>
  <c r="S440" i="33" s="1"/>
  <c r="O382" i="33"/>
  <c r="O440" i="33" s="1"/>
  <c r="P440" i="33" s="1"/>
  <c r="H382" i="33"/>
  <c r="G382" i="33"/>
  <c r="I382" i="33" s="1"/>
  <c r="F382" i="33"/>
  <c r="E382" i="33"/>
  <c r="R381" i="33"/>
  <c r="O381" i="33"/>
  <c r="O439" i="33" s="1"/>
  <c r="P439" i="33" s="1"/>
  <c r="H381" i="33"/>
  <c r="G381" i="33"/>
  <c r="I381" i="33" s="1"/>
  <c r="F381" i="33"/>
  <c r="E381" i="33"/>
  <c r="R380" i="33"/>
  <c r="S380" i="33" s="1"/>
  <c r="O380" i="33"/>
  <c r="H380" i="33"/>
  <c r="G380" i="33"/>
  <c r="I380" i="33" s="1"/>
  <c r="F380" i="33"/>
  <c r="E380" i="33"/>
  <c r="S379" i="33"/>
  <c r="R379" i="33"/>
  <c r="O379" i="33"/>
  <c r="H379" i="33"/>
  <c r="G379" i="33"/>
  <c r="I379" i="33" s="1"/>
  <c r="F379" i="33"/>
  <c r="E379" i="33"/>
  <c r="S378" i="33"/>
  <c r="R378" i="33"/>
  <c r="O378" i="33"/>
  <c r="O436" i="33" s="1"/>
  <c r="P436" i="33" s="1"/>
  <c r="H378" i="33"/>
  <c r="G378" i="33"/>
  <c r="I378" i="33" s="1"/>
  <c r="F378" i="33"/>
  <c r="E378" i="33"/>
  <c r="R377" i="33"/>
  <c r="S377" i="33" s="1"/>
  <c r="O377" i="33"/>
  <c r="O435" i="33" s="1"/>
  <c r="P435" i="33" s="1"/>
  <c r="H377" i="33"/>
  <c r="G377" i="33"/>
  <c r="I377" i="33" s="1"/>
  <c r="F377" i="33"/>
  <c r="E377" i="33"/>
  <c r="R376" i="33"/>
  <c r="R434" i="33" s="1"/>
  <c r="S434" i="33" s="1"/>
  <c r="O376" i="33"/>
  <c r="O434" i="33" s="1"/>
  <c r="P434" i="33" s="1"/>
  <c r="H376" i="33"/>
  <c r="G376" i="33"/>
  <c r="I376" i="33" s="1"/>
  <c r="F376" i="33"/>
  <c r="E376" i="33"/>
  <c r="S375" i="33"/>
  <c r="R375" i="33"/>
  <c r="O375" i="33"/>
  <c r="H375" i="33"/>
  <c r="G375" i="33"/>
  <c r="I375" i="33" s="1"/>
  <c r="F375" i="33"/>
  <c r="E375" i="33"/>
  <c r="R374" i="33"/>
  <c r="O374" i="33"/>
  <c r="H374" i="33"/>
  <c r="G374" i="33"/>
  <c r="I374" i="33" s="1"/>
  <c r="F374" i="33"/>
  <c r="E374" i="33"/>
  <c r="R373" i="33"/>
  <c r="S373" i="33" s="1"/>
  <c r="O373" i="33"/>
  <c r="H373" i="33"/>
  <c r="G373" i="33"/>
  <c r="I373" i="33" s="1"/>
  <c r="F373" i="33"/>
  <c r="E373" i="33"/>
  <c r="R372" i="33"/>
  <c r="S372" i="33" s="1"/>
  <c r="O372" i="33"/>
  <c r="O431" i="33" s="1"/>
  <c r="P431" i="33" s="1"/>
  <c r="H372" i="33"/>
  <c r="G372" i="33"/>
  <c r="I372" i="33" s="1"/>
  <c r="F372" i="33"/>
  <c r="E372" i="33"/>
  <c r="R371" i="33"/>
  <c r="O371" i="33"/>
  <c r="H371" i="33"/>
  <c r="G371" i="33"/>
  <c r="I371" i="33" s="1"/>
  <c r="F371" i="33"/>
  <c r="E371" i="33"/>
  <c r="R370" i="33"/>
  <c r="O370" i="33"/>
  <c r="H370" i="33"/>
  <c r="G370" i="33"/>
  <c r="F370" i="33"/>
  <c r="F392" i="33" s="1"/>
  <c r="E370" i="33"/>
  <c r="S369" i="33"/>
  <c r="R369" i="33"/>
  <c r="Q369" i="33"/>
  <c r="P369" i="33"/>
  <c r="O369" i="33"/>
  <c r="N369" i="33"/>
  <c r="M369" i="33"/>
  <c r="L369" i="33"/>
  <c r="R312" i="33"/>
  <c r="Q312" i="33"/>
  <c r="P312" i="33"/>
  <c r="O312" i="33"/>
  <c r="N312" i="33"/>
  <c r="M312" i="33"/>
  <c r="L312" i="33"/>
  <c r="Q307" i="33"/>
  <c r="O307" i="33"/>
  <c r="N307" i="33"/>
  <c r="M307" i="33"/>
  <c r="L307" i="33"/>
  <c r="J307" i="33"/>
  <c r="D307" i="33"/>
  <c r="S306" i="33"/>
  <c r="R306" i="33"/>
  <c r="P306" i="33"/>
  <c r="G306" i="33"/>
  <c r="H306" i="33" s="1"/>
  <c r="F306" i="33"/>
  <c r="E306" i="33"/>
  <c r="R305" i="33"/>
  <c r="S305" i="33" s="1"/>
  <c r="P305" i="33"/>
  <c r="G305" i="33"/>
  <c r="F305" i="33"/>
  <c r="E305" i="33"/>
  <c r="R304" i="33"/>
  <c r="S304" i="33" s="1"/>
  <c r="P304" i="33"/>
  <c r="G304" i="33"/>
  <c r="F304" i="33"/>
  <c r="E304" i="33"/>
  <c r="S303" i="33"/>
  <c r="R303" i="33"/>
  <c r="P303" i="33"/>
  <c r="G303" i="33"/>
  <c r="H303" i="33" s="1"/>
  <c r="F303" i="33"/>
  <c r="E303" i="33"/>
  <c r="S302" i="33"/>
  <c r="R302" i="33"/>
  <c r="P302" i="33"/>
  <c r="G302" i="33"/>
  <c r="F302" i="33"/>
  <c r="E302" i="33"/>
  <c r="R301" i="33"/>
  <c r="S301" i="33" s="1"/>
  <c r="P301" i="33"/>
  <c r="G301" i="33"/>
  <c r="H301" i="33" s="1"/>
  <c r="F301" i="33"/>
  <c r="E301" i="33"/>
  <c r="R300" i="33"/>
  <c r="S300" i="33" s="1"/>
  <c r="P300" i="33"/>
  <c r="G300" i="33"/>
  <c r="F300" i="33"/>
  <c r="E300" i="33"/>
  <c r="R299" i="33"/>
  <c r="P299" i="33"/>
  <c r="I299" i="33"/>
  <c r="H299" i="33"/>
  <c r="S298" i="33"/>
  <c r="R298" i="33"/>
  <c r="P298" i="33"/>
  <c r="G298" i="33"/>
  <c r="F298" i="33"/>
  <c r="E298" i="33"/>
  <c r="R297" i="33"/>
  <c r="S297" i="33" s="1"/>
  <c r="P297" i="33"/>
  <c r="I297" i="33"/>
  <c r="H297" i="33"/>
  <c r="G297" i="33"/>
  <c r="F297" i="33"/>
  <c r="E297" i="33"/>
  <c r="R296" i="33"/>
  <c r="S296" i="33" s="1"/>
  <c r="P296" i="33"/>
  <c r="G296" i="33"/>
  <c r="F296" i="33"/>
  <c r="F307" i="33" s="1"/>
  <c r="E296" i="33"/>
  <c r="P291" i="33"/>
  <c r="N291" i="33"/>
  <c r="M291" i="33"/>
  <c r="J291" i="33"/>
  <c r="R290" i="33"/>
  <c r="R291" i="33" s="1"/>
  <c r="Q290" i="33"/>
  <c r="P290" i="33"/>
  <c r="N290" i="33"/>
  <c r="M290" i="33"/>
  <c r="L290" i="33"/>
  <c r="L291" i="33" s="1"/>
  <c r="D290" i="33"/>
  <c r="D291" i="33" s="1"/>
  <c r="J288" i="33"/>
  <c r="J293" i="33" s="1"/>
  <c r="J309" i="33" s="1"/>
  <c r="Q287" i="33"/>
  <c r="P287" i="33"/>
  <c r="O287" i="33"/>
  <c r="N287" i="33"/>
  <c r="M287" i="33"/>
  <c r="L287" i="33"/>
  <c r="D287" i="33"/>
  <c r="Q286" i="33"/>
  <c r="O286" i="33"/>
  <c r="N286" i="33"/>
  <c r="P286" i="33" s="1"/>
  <c r="M286" i="33"/>
  <c r="L286" i="33"/>
  <c r="I286" i="33"/>
  <c r="H286" i="33"/>
  <c r="F286" i="33"/>
  <c r="E286" i="33"/>
  <c r="D286" i="33"/>
  <c r="G286" i="33" s="1"/>
  <c r="S285" i="33"/>
  <c r="R285" i="33"/>
  <c r="Q285" i="33"/>
  <c r="N285" i="33"/>
  <c r="M285" i="33"/>
  <c r="L285" i="33"/>
  <c r="G285" i="33"/>
  <c r="F285" i="33"/>
  <c r="E285" i="33"/>
  <c r="D285" i="33"/>
  <c r="Q284" i="33"/>
  <c r="N284" i="33"/>
  <c r="M284" i="33"/>
  <c r="L284" i="33"/>
  <c r="G284" i="33"/>
  <c r="F284" i="33"/>
  <c r="E284" i="33"/>
  <c r="D284" i="33"/>
  <c r="Q283" i="33"/>
  <c r="N283" i="33"/>
  <c r="M283" i="33"/>
  <c r="L283" i="33"/>
  <c r="I283" i="33"/>
  <c r="G283" i="33"/>
  <c r="H283" i="33" s="1"/>
  <c r="F283" i="33"/>
  <c r="E283" i="33"/>
  <c r="D283" i="33"/>
  <c r="R282" i="33"/>
  <c r="Q282" i="33"/>
  <c r="O282" i="33"/>
  <c r="P282" i="33" s="1"/>
  <c r="N282" i="33"/>
  <c r="M282" i="33"/>
  <c r="L282" i="33"/>
  <c r="E282" i="33"/>
  <c r="D282" i="33"/>
  <c r="F282" i="33" s="1"/>
  <c r="Q281" i="33"/>
  <c r="N281" i="33"/>
  <c r="M281" i="33"/>
  <c r="L281" i="33"/>
  <c r="G281" i="33"/>
  <c r="I281" i="33" s="1"/>
  <c r="D281" i="33"/>
  <c r="E281" i="33" s="1"/>
  <c r="R280" i="33"/>
  <c r="Q280" i="33"/>
  <c r="P280" i="33"/>
  <c r="N280" i="33"/>
  <c r="M280" i="33"/>
  <c r="L280" i="33"/>
  <c r="E280" i="33"/>
  <c r="D280" i="33"/>
  <c r="G280" i="33" s="1"/>
  <c r="S279" i="33"/>
  <c r="Q279" i="33"/>
  <c r="P279" i="33"/>
  <c r="O279" i="33"/>
  <c r="N279" i="33"/>
  <c r="M279" i="33"/>
  <c r="L279" i="33"/>
  <c r="D279" i="33"/>
  <c r="R278" i="33"/>
  <c r="Q278" i="33"/>
  <c r="O278" i="33"/>
  <c r="P278" i="33" s="1"/>
  <c r="N278" i="33"/>
  <c r="M278" i="33"/>
  <c r="L278" i="33"/>
  <c r="G278" i="33"/>
  <c r="F278" i="33"/>
  <c r="E278" i="33"/>
  <c r="D278" i="33"/>
  <c r="Q277" i="33"/>
  <c r="P277" i="33"/>
  <c r="N277" i="33"/>
  <c r="M277" i="33"/>
  <c r="L277" i="33"/>
  <c r="G277" i="33"/>
  <c r="I277" i="33" s="1"/>
  <c r="F277" i="33"/>
  <c r="E277" i="33"/>
  <c r="D277" i="33"/>
  <c r="R276" i="33"/>
  <c r="Q276" i="33"/>
  <c r="P276" i="33"/>
  <c r="O276" i="33"/>
  <c r="N276" i="33"/>
  <c r="M276" i="33"/>
  <c r="L276" i="33"/>
  <c r="G276" i="33"/>
  <c r="D276" i="33"/>
  <c r="Q275" i="33"/>
  <c r="N275" i="33"/>
  <c r="P275" i="33" s="1"/>
  <c r="M275" i="33"/>
  <c r="L275" i="33"/>
  <c r="G275" i="33"/>
  <c r="F275" i="33"/>
  <c r="D275" i="33"/>
  <c r="E275" i="33" s="1"/>
  <c r="Q274" i="33"/>
  <c r="O274" i="33"/>
  <c r="P274" i="33" s="1"/>
  <c r="N274" i="33"/>
  <c r="M274" i="33"/>
  <c r="L274" i="33"/>
  <c r="F274" i="33"/>
  <c r="D274" i="33"/>
  <c r="S273" i="33"/>
  <c r="Q273" i="33"/>
  <c r="N273" i="33"/>
  <c r="M273" i="33"/>
  <c r="L273" i="33"/>
  <c r="G273" i="33"/>
  <c r="D273" i="33"/>
  <c r="F273" i="33" s="1"/>
  <c r="S272" i="33"/>
  <c r="R272" i="33"/>
  <c r="Q272" i="33"/>
  <c r="N272" i="33"/>
  <c r="M272" i="33"/>
  <c r="L272" i="33"/>
  <c r="F272" i="33"/>
  <c r="E272" i="33"/>
  <c r="D272" i="33"/>
  <c r="G272" i="33" s="1"/>
  <c r="H272" i="33" s="1"/>
  <c r="Q271" i="33"/>
  <c r="N271" i="33"/>
  <c r="N288" i="33" s="1"/>
  <c r="N293" i="33" s="1"/>
  <c r="N309" i="33" s="1"/>
  <c r="N313" i="33" s="1"/>
  <c r="M271" i="33"/>
  <c r="L271" i="33"/>
  <c r="G271" i="33"/>
  <c r="F271" i="33"/>
  <c r="E271" i="33"/>
  <c r="D271" i="33"/>
  <c r="S270" i="33"/>
  <c r="Q270" i="33"/>
  <c r="P270" i="33"/>
  <c r="O270" i="33"/>
  <c r="N270" i="33"/>
  <c r="M270" i="33"/>
  <c r="L270" i="33"/>
  <c r="D270" i="33"/>
  <c r="F270" i="33" s="1"/>
  <c r="R269" i="33"/>
  <c r="Q269" i="33"/>
  <c r="P269" i="33"/>
  <c r="N269" i="33"/>
  <c r="M269" i="33"/>
  <c r="L269" i="33"/>
  <c r="G269" i="33"/>
  <c r="F269" i="33"/>
  <c r="E269" i="33"/>
  <c r="D269" i="33"/>
  <c r="S268" i="33"/>
  <c r="R268" i="33"/>
  <c r="Q268" i="33"/>
  <c r="N268" i="33"/>
  <c r="M268" i="33"/>
  <c r="L268" i="33"/>
  <c r="D268" i="33"/>
  <c r="F268" i="33" s="1"/>
  <c r="R267" i="33"/>
  <c r="Q267" i="33"/>
  <c r="O267" i="33"/>
  <c r="N267" i="33"/>
  <c r="P267" i="33" s="1"/>
  <c r="M267" i="33"/>
  <c r="L267" i="33"/>
  <c r="G267" i="33"/>
  <c r="I267" i="33" s="1"/>
  <c r="D267" i="33"/>
  <c r="F267" i="33" s="1"/>
  <c r="S266" i="33"/>
  <c r="R266" i="33"/>
  <c r="Q266" i="33"/>
  <c r="N266" i="33"/>
  <c r="M266" i="33"/>
  <c r="L266" i="33"/>
  <c r="G266" i="33"/>
  <c r="D266" i="33"/>
  <c r="F266" i="33" s="1"/>
  <c r="Q265" i="33"/>
  <c r="O265" i="33"/>
  <c r="N265" i="33"/>
  <c r="M265" i="33"/>
  <c r="L265" i="33"/>
  <c r="G265" i="33"/>
  <c r="H265" i="33" s="1"/>
  <c r="F265" i="33"/>
  <c r="E265" i="33"/>
  <c r="D265" i="33"/>
  <c r="R260" i="33"/>
  <c r="Q260" i="33"/>
  <c r="O260" i="33"/>
  <c r="N260" i="33"/>
  <c r="M260" i="33"/>
  <c r="L260" i="33"/>
  <c r="H260" i="33"/>
  <c r="D260" i="33"/>
  <c r="S259" i="33"/>
  <c r="S260" i="33" s="1"/>
  <c r="R259" i="33"/>
  <c r="P259" i="33"/>
  <c r="P260" i="33" s="1"/>
  <c r="H259" i="33"/>
  <c r="G259" i="33"/>
  <c r="F259" i="33"/>
  <c r="F260" i="33" s="1"/>
  <c r="E259" i="33"/>
  <c r="E260" i="33" s="1"/>
  <c r="R258" i="33"/>
  <c r="P258" i="33"/>
  <c r="Q256" i="33"/>
  <c r="P256" i="33"/>
  <c r="N256" i="33"/>
  <c r="M256" i="33"/>
  <c r="L256" i="33"/>
  <c r="D256" i="33"/>
  <c r="H256" i="33" s="1"/>
  <c r="S255" i="33"/>
  <c r="S290" i="33" s="1"/>
  <c r="S291" i="33" s="1"/>
  <c r="R255" i="33"/>
  <c r="O255" i="33"/>
  <c r="H255" i="33"/>
  <c r="G255" i="33"/>
  <c r="I255" i="33" s="1"/>
  <c r="F255" i="33"/>
  <c r="E255" i="33"/>
  <c r="R254" i="33"/>
  <c r="O254" i="33"/>
  <c r="H254" i="33"/>
  <c r="G254" i="33"/>
  <c r="I254" i="33" s="1"/>
  <c r="F254" i="33"/>
  <c r="E254" i="33"/>
  <c r="R253" i="33"/>
  <c r="H253" i="33"/>
  <c r="G253" i="33"/>
  <c r="I253" i="33" s="1"/>
  <c r="F253" i="33"/>
  <c r="E253" i="33"/>
  <c r="R252" i="33"/>
  <c r="S252" i="33" s="1"/>
  <c r="S284" i="33" s="1"/>
  <c r="O252" i="33"/>
  <c r="H252" i="33"/>
  <c r="G252" i="33"/>
  <c r="I252" i="33" s="1"/>
  <c r="F252" i="33"/>
  <c r="E252" i="33"/>
  <c r="R251" i="33"/>
  <c r="O251" i="33"/>
  <c r="H251" i="33"/>
  <c r="G251" i="33"/>
  <c r="I251" i="33" s="1"/>
  <c r="F251" i="33"/>
  <c r="E251" i="33"/>
  <c r="R250" i="33"/>
  <c r="S250" i="33" s="1"/>
  <c r="S282" i="33" s="1"/>
  <c r="O250" i="33"/>
  <c r="H250" i="33"/>
  <c r="G250" i="33"/>
  <c r="I250" i="33" s="1"/>
  <c r="F250" i="33"/>
  <c r="E250" i="33"/>
  <c r="S249" i="33"/>
  <c r="S281" i="33" s="1"/>
  <c r="R249" i="33"/>
  <c r="O249" i="33"/>
  <c r="H249" i="33"/>
  <c r="G249" i="33"/>
  <c r="I249" i="33" s="1"/>
  <c r="F249" i="33"/>
  <c r="E249" i="33"/>
  <c r="R248" i="33"/>
  <c r="S248" i="33" s="1"/>
  <c r="S280" i="33" s="1"/>
  <c r="O248" i="33"/>
  <c r="O280" i="33" s="1"/>
  <c r="H248" i="33"/>
  <c r="G248" i="33"/>
  <c r="I248" i="33" s="1"/>
  <c r="F248" i="33"/>
  <c r="E248" i="33"/>
  <c r="S247" i="33"/>
  <c r="R247" i="33"/>
  <c r="O247" i="33"/>
  <c r="I247" i="33"/>
  <c r="H247" i="33"/>
  <c r="G247" i="33"/>
  <c r="F247" i="33"/>
  <c r="E247" i="33"/>
  <c r="S246" i="33"/>
  <c r="S278" i="33" s="1"/>
  <c r="R246" i="33"/>
  <c r="O246" i="33"/>
  <c r="H246" i="33"/>
  <c r="G246" i="33"/>
  <c r="I246" i="33" s="1"/>
  <c r="F246" i="33"/>
  <c r="E246" i="33"/>
  <c r="S245" i="33"/>
  <c r="R245" i="33"/>
  <c r="O245" i="33"/>
  <c r="H245" i="33"/>
  <c r="G245" i="33"/>
  <c r="I245" i="33" s="1"/>
  <c r="F245" i="33"/>
  <c r="E245" i="33"/>
  <c r="R244" i="33"/>
  <c r="S244" i="33" s="1"/>
  <c r="S277" i="33" s="1"/>
  <c r="O244" i="33"/>
  <c r="H244" i="33"/>
  <c r="G244" i="33"/>
  <c r="I244" i="33" s="1"/>
  <c r="F244" i="33"/>
  <c r="E244" i="33"/>
  <c r="R243" i="33"/>
  <c r="S243" i="33" s="1"/>
  <c r="O243" i="33"/>
  <c r="H243" i="33"/>
  <c r="G243" i="33"/>
  <c r="I243" i="33" s="1"/>
  <c r="F243" i="33"/>
  <c r="E243" i="33"/>
  <c r="R242" i="33"/>
  <c r="S242" i="33" s="1"/>
  <c r="S275" i="33" s="1"/>
  <c r="O242" i="33"/>
  <c r="H242" i="33"/>
  <c r="G242" i="33"/>
  <c r="I242" i="33" s="1"/>
  <c r="F242" i="33"/>
  <c r="E242" i="33"/>
  <c r="R241" i="33"/>
  <c r="R274" i="33" s="1"/>
  <c r="O241" i="33"/>
  <c r="H241" i="33"/>
  <c r="G241" i="33"/>
  <c r="I241" i="33" s="1"/>
  <c r="F241" i="33"/>
  <c r="E241" i="33"/>
  <c r="S240" i="33"/>
  <c r="R240" i="33"/>
  <c r="O240" i="33"/>
  <c r="H240" i="33"/>
  <c r="G240" i="33"/>
  <c r="I240" i="33" s="1"/>
  <c r="F240" i="33"/>
  <c r="E240" i="33"/>
  <c r="S239" i="33"/>
  <c r="R239" i="33"/>
  <c r="O239" i="33"/>
  <c r="H239" i="33"/>
  <c r="G239" i="33"/>
  <c r="I239" i="33" s="1"/>
  <c r="F239" i="33"/>
  <c r="E239" i="33"/>
  <c r="R238" i="33"/>
  <c r="O238" i="33"/>
  <c r="O271" i="33" s="1"/>
  <c r="P271" i="33" s="1"/>
  <c r="I238" i="33"/>
  <c r="H238" i="33"/>
  <c r="G238" i="33"/>
  <c r="F238" i="33"/>
  <c r="E238" i="33"/>
  <c r="R237" i="33"/>
  <c r="S237" i="33" s="1"/>
  <c r="O237" i="33"/>
  <c r="H237" i="33"/>
  <c r="G237" i="33"/>
  <c r="I237" i="33" s="1"/>
  <c r="F237" i="33"/>
  <c r="E237" i="33"/>
  <c r="R236" i="33"/>
  <c r="S236" i="33" s="1"/>
  <c r="S269" i="33" s="1"/>
  <c r="O236" i="33"/>
  <c r="H236" i="33"/>
  <c r="G236" i="33"/>
  <c r="I236" i="33" s="1"/>
  <c r="F236" i="33"/>
  <c r="E236" i="33"/>
  <c r="S235" i="33"/>
  <c r="R235" i="33"/>
  <c r="O235" i="33"/>
  <c r="H235" i="33"/>
  <c r="G235" i="33"/>
  <c r="I235" i="33" s="1"/>
  <c r="F235" i="33"/>
  <c r="E235" i="33"/>
  <c r="S234" i="33"/>
  <c r="S267" i="33" s="1"/>
  <c r="R234" i="33"/>
  <c r="O234" i="33"/>
  <c r="H234" i="33"/>
  <c r="G234" i="33"/>
  <c r="I234" i="33" s="1"/>
  <c r="F234" i="33"/>
  <c r="E234" i="33"/>
  <c r="S233" i="33"/>
  <c r="R233" i="33"/>
  <c r="O233" i="33"/>
  <c r="H233" i="33"/>
  <c r="G233" i="33"/>
  <c r="I233" i="33" s="1"/>
  <c r="F233" i="33"/>
  <c r="E233" i="33"/>
  <c r="R232" i="33"/>
  <c r="O232" i="33"/>
  <c r="H232" i="33"/>
  <c r="G232" i="33"/>
  <c r="I232" i="33" s="1"/>
  <c r="F232" i="33"/>
  <c r="E232" i="33"/>
  <c r="R231" i="33"/>
  <c r="P231" i="33"/>
  <c r="S229" i="33"/>
  <c r="Q229" i="33"/>
  <c r="P229" i="33"/>
  <c r="N229" i="33"/>
  <c r="M229" i="33"/>
  <c r="L229" i="33"/>
  <c r="D229" i="33"/>
  <c r="R228" i="33"/>
  <c r="O228" i="33"/>
  <c r="O290" i="33" s="1"/>
  <c r="O291" i="33" s="1"/>
  <c r="H228" i="33"/>
  <c r="G228" i="33"/>
  <c r="F228" i="33"/>
  <c r="E228" i="33"/>
  <c r="R227" i="33"/>
  <c r="O227" i="33"/>
  <c r="O285" i="33" s="1"/>
  <c r="H227" i="33"/>
  <c r="G227" i="33"/>
  <c r="I227" i="33" s="1"/>
  <c r="F227" i="33"/>
  <c r="E227" i="33"/>
  <c r="R226" i="33"/>
  <c r="O226" i="33"/>
  <c r="O284" i="33" s="1"/>
  <c r="P284" i="33" s="1"/>
  <c r="H226" i="33"/>
  <c r="G226" i="33"/>
  <c r="I226" i="33" s="1"/>
  <c r="F226" i="33"/>
  <c r="E226" i="33"/>
  <c r="R225" i="33"/>
  <c r="O225" i="33"/>
  <c r="H225" i="33"/>
  <c r="G225" i="33"/>
  <c r="I225" i="33" s="1"/>
  <c r="F225" i="33"/>
  <c r="E225" i="33"/>
  <c r="R224" i="33"/>
  <c r="R281" i="33" s="1"/>
  <c r="O224" i="33"/>
  <c r="O281" i="33" s="1"/>
  <c r="P281" i="33" s="1"/>
  <c r="H224" i="33"/>
  <c r="G224" i="33"/>
  <c r="I224" i="33" s="1"/>
  <c r="F224" i="33"/>
  <c r="E224" i="33"/>
  <c r="R223" i="33"/>
  <c r="R279" i="33" s="1"/>
  <c r="O223" i="33"/>
  <c r="H223" i="33"/>
  <c r="G223" i="33"/>
  <c r="I223" i="33" s="1"/>
  <c r="F223" i="33"/>
  <c r="E223" i="33"/>
  <c r="R222" i="33"/>
  <c r="O222" i="33"/>
  <c r="H222" i="33"/>
  <c r="G222" i="33"/>
  <c r="I222" i="33" s="1"/>
  <c r="F222" i="33"/>
  <c r="E222" i="33"/>
  <c r="R221" i="33"/>
  <c r="R277" i="33" s="1"/>
  <c r="O221" i="33"/>
  <c r="O277" i="33" s="1"/>
  <c r="H221" i="33"/>
  <c r="G221" i="33"/>
  <c r="I221" i="33" s="1"/>
  <c r="F221" i="33"/>
  <c r="E221" i="33"/>
  <c r="R220" i="33"/>
  <c r="O220" i="33"/>
  <c r="H220" i="33"/>
  <c r="G220" i="33"/>
  <c r="I220" i="33" s="1"/>
  <c r="F220" i="33"/>
  <c r="E220" i="33"/>
  <c r="R219" i="33"/>
  <c r="O219" i="33"/>
  <c r="O275" i="33" s="1"/>
  <c r="I219" i="33"/>
  <c r="H219" i="33"/>
  <c r="G219" i="33"/>
  <c r="F219" i="33"/>
  <c r="E219" i="33"/>
  <c r="R218" i="33"/>
  <c r="O218" i="33"/>
  <c r="H218" i="33"/>
  <c r="G218" i="33"/>
  <c r="I218" i="33" s="1"/>
  <c r="F218" i="33"/>
  <c r="E218" i="33"/>
  <c r="R217" i="33"/>
  <c r="R273" i="33" s="1"/>
  <c r="O217" i="33"/>
  <c r="O273" i="33" s="1"/>
  <c r="P273" i="33" s="1"/>
  <c r="H217" i="33"/>
  <c r="G217" i="33"/>
  <c r="I217" i="33" s="1"/>
  <c r="F217" i="33"/>
  <c r="E217" i="33"/>
  <c r="R216" i="33"/>
  <c r="O216" i="33"/>
  <c r="O272" i="33" s="1"/>
  <c r="P272" i="33" s="1"/>
  <c r="H216" i="33"/>
  <c r="G216" i="33"/>
  <c r="I216" i="33" s="1"/>
  <c r="F216" i="33"/>
  <c r="E216" i="33"/>
  <c r="R215" i="33"/>
  <c r="O215" i="33"/>
  <c r="H215" i="33"/>
  <c r="G215" i="33"/>
  <c r="I215" i="33" s="1"/>
  <c r="F215" i="33"/>
  <c r="E215" i="33"/>
  <c r="R214" i="33"/>
  <c r="O214" i="33"/>
  <c r="O268" i="33" s="1"/>
  <c r="P268" i="33" s="1"/>
  <c r="H214" i="33"/>
  <c r="G214" i="33"/>
  <c r="I214" i="33" s="1"/>
  <c r="F214" i="33"/>
  <c r="E214" i="33"/>
  <c r="R213" i="33"/>
  <c r="O213" i="33"/>
  <c r="H213" i="33"/>
  <c r="G213" i="33"/>
  <c r="I213" i="33" s="1"/>
  <c r="F213" i="33"/>
  <c r="E213" i="33"/>
  <c r="R212" i="33"/>
  <c r="O212" i="33"/>
  <c r="H212" i="33"/>
  <c r="G212" i="33"/>
  <c r="I212" i="33" s="1"/>
  <c r="F212" i="33"/>
  <c r="E212" i="33"/>
  <c r="R211" i="33"/>
  <c r="O211" i="33"/>
  <c r="H211" i="33"/>
  <c r="G211" i="33"/>
  <c r="F211" i="33"/>
  <c r="E211" i="33"/>
  <c r="R210" i="33"/>
  <c r="O210" i="33"/>
  <c r="H210" i="33"/>
  <c r="G210" i="33"/>
  <c r="I210" i="33" s="1"/>
  <c r="F210" i="33"/>
  <c r="E210" i="33"/>
  <c r="R209" i="33"/>
  <c r="P209" i="33"/>
  <c r="R153" i="33"/>
  <c r="Q153" i="33"/>
  <c r="P153" i="33"/>
  <c r="O153" i="33"/>
  <c r="N153" i="33"/>
  <c r="M153" i="33"/>
  <c r="L153" i="33"/>
  <c r="O149" i="33"/>
  <c r="N149" i="33"/>
  <c r="M149" i="33"/>
  <c r="L149" i="33"/>
  <c r="J149" i="33"/>
  <c r="J151" i="33" s="1"/>
  <c r="D149" i="33"/>
  <c r="S148" i="33"/>
  <c r="R148" i="33"/>
  <c r="P148" i="33"/>
  <c r="G148" i="33"/>
  <c r="I148" i="33" s="1"/>
  <c r="F148" i="33"/>
  <c r="E148" i="33"/>
  <c r="R147" i="33"/>
  <c r="S147" i="33" s="1"/>
  <c r="P147" i="33"/>
  <c r="G147" i="33"/>
  <c r="F147" i="33"/>
  <c r="E147" i="33"/>
  <c r="S146" i="33"/>
  <c r="R146" i="33"/>
  <c r="P146" i="33"/>
  <c r="G146" i="33"/>
  <c r="H146" i="33" s="1"/>
  <c r="F146" i="33"/>
  <c r="E146" i="33"/>
  <c r="R145" i="33"/>
  <c r="Q145" i="33"/>
  <c r="P145" i="33"/>
  <c r="G145" i="33"/>
  <c r="H145" i="33" s="1"/>
  <c r="F145" i="33"/>
  <c r="E145" i="33"/>
  <c r="S144" i="33"/>
  <c r="R144" i="33"/>
  <c r="P144" i="33"/>
  <c r="G144" i="33"/>
  <c r="F144" i="33"/>
  <c r="E144" i="33"/>
  <c r="S143" i="33"/>
  <c r="R143" i="33"/>
  <c r="P143" i="33"/>
  <c r="G143" i="33"/>
  <c r="H143" i="33" s="1"/>
  <c r="F143" i="33"/>
  <c r="E143" i="33"/>
  <c r="S142" i="33"/>
  <c r="P142" i="33"/>
  <c r="G142" i="33"/>
  <c r="I142" i="33" s="1"/>
  <c r="F142" i="33"/>
  <c r="E142" i="33"/>
  <c r="S141" i="33"/>
  <c r="R141" i="33"/>
  <c r="P141" i="33"/>
  <c r="G141" i="33"/>
  <c r="I141" i="33" s="1"/>
  <c r="F141" i="33"/>
  <c r="E141" i="33"/>
  <c r="S140" i="33"/>
  <c r="R140" i="33"/>
  <c r="P140" i="33"/>
  <c r="G140" i="33"/>
  <c r="F140" i="33"/>
  <c r="E140" i="33"/>
  <c r="S139" i="33"/>
  <c r="R139" i="33"/>
  <c r="P139" i="33"/>
  <c r="G139" i="33"/>
  <c r="I139" i="33" s="1"/>
  <c r="F139" i="33"/>
  <c r="E139" i="33"/>
  <c r="S138" i="33"/>
  <c r="P138" i="33"/>
  <c r="G138" i="33"/>
  <c r="F138" i="33"/>
  <c r="E138" i="33"/>
  <c r="R137" i="33"/>
  <c r="S137" i="33" s="1"/>
  <c r="P137" i="33"/>
  <c r="G137" i="33"/>
  <c r="I137" i="33" s="1"/>
  <c r="F137" i="33"/>
  <c r="E137" i="33"/>
  <c r="S136" i="33"/>
  <c r="R136" i="33"/>
  <c r="P136" i="33"/>
  <c r="G136" i="33"/>
  <c r="F136" i="33"/>
  <c r="E136" i="33"/>
  <c r="R135" i="33"/>
  <c r="S135" i="33" s="1"/>
  <c r="P135" i="33"/>
  <c r="G135" i="33"/>
  <c r="H135" i="33" s="1"/>
  <c r="F135" i="33"/>
  <c r="E135" i="33"/>
  <c r="R134" i="33"/>
  <c r="S134" i="33" s="1"/>
  <c r="P134" i="33"/>
  <c r="G134" i="33"/>
  <c r="I134" i="33" s="1"/>
  <c r="F134" i="33"/>
  <c r="E134" i="33"/>
  <c r="S133" i="33"/>
  <c r="R133" i="33"/>
  <c r="P133" i="33"/>
  <c r="G133" i="33"/>
  <c r="H133" i="33" s="1"/>
  <c r="F133" i="33"/>
  <c r="E133" i="33"/>
  <c r="R132" i="33"/>
  <c r="S132" i="33" s="1"/>
  <c r="P132" i="33"/>
  <c r="G132" i="33"/>
  <c r="F132" i="33"/>
  <c r="E132" i="33"/>
  <c r="R131" i="33"/>
  <c r="S131" i="33" s="1"/>
  <c r="P131" i="33"/>
  <c r="G131" i="33"/>
  <c r="I131" i="33" s="1"/>
  <c r="F131" i="33"/>
  <c r="E131" i="33"/>
  <c r="S130" i="33"/>
  <c r="R130" i="33"/>
  <c r="P130" i="33"/>
  <c r="G130" i="33"/>
  <c r="H130" i="33" s="1"/>
  <c r="F130" i="33"/>
  <c r="E130" i="33"/>
  <c r="R129" i="33"/>
  <c r="P129" i="33"/>
  <c r="G129" i="33"/>
  <c r="F129" i="33"/>
  <c r="E129" i="33"/>
  <c r="S128" i="33"/>
  <c r="P128" i="33"/>
  <c r="G128" i="33"/>
  <c r="H128" i="33" s="1"/>
  <c r="F128" i="33"/>
  <c r="E128" i="33"/>
  <c r="J125" i="33"/>
  <c r="J123" i="33"/>
  <c r="R122" i="33"/>
  <c r="S122" i="33" s="1"/>
  <c r="Q122" i="33"/>
  <c r="O122" i="33"/>
  <c r="P122" i="33" s="1"/>
  <c r="N122" i="33"/>
  <c r="M122" i="33"/>
  <c r="B122" i="33"/>
  <c r="L122" i="33" s="1"/>
  <c r="S121" i="33"/>
  <c r="R121" i="33"/>
  <c r="Q121" i="33"/>
  <c r="O121" i="33"/>
  <c r="D121" i="33"/>
  <c r="B121" i="33"/>
  <c r="R120" i="33"/>
  <c r="Q120" i="33"/>
  <c r="N120" i="33"/>
  <c r="M120" i="33"/>
  <c r="L120" i="33"/>
  <c r="G120" i="33"/>
  <c r="F120" i="33"/>
  <c r="E120" i="33"/>
  <c r="D120" i="33"/>
  <c r="Q119" i="33"/>
  <c r="N119" i="33"/>
  <c r="M119" i="33"/>
  <c r="L119" i="33"/>
  <c r="F119" i="33"/>
  <c r="E119" i="33"/>
  <c r="D119" i="33"/>
  <c r="G119" i="33" s="1"/>
  <c r="H119" i="33" s="1"/>
  <c r="Q118" i="33"/>
  <c r="N118" i="33"/>
  <c r="M118" i="33"/>
  <c r="L118" i="33"/>
  <c r="G118" i="33"/>
  <c r="F118" i="33"/>
  <c r="E118" i="33"/>
  <c r="D118" i="33"/>
  <c r="Q117" i="33"/>
  <c r="N117" i="33"/>
  <c r="M117" i="33"/>
  <c r="L117" i="33"/>
  <c r="G117" i="33"/>
  <c r="D117" i="33"/>
  <c r="F117" i="33" s="1"/>
  <c r="R116" i="33"/>
  <c r="S116" i="33" s="1"/>
  <c r="Q116" i="33"/>
  <c r="O116" i="33"/>
  <c r="N116" i="33"/>
  <c r="M116" i="33"/>
  <c r="L116" i="33"/>
  <c r="G116" i="33"/>
  <c r="I116" i="33" s="1"/>
  <c r="E116" i="33"/>
  <c r="D116" i="33"/>
  <c r="F116" i="33" s="1"/>
  <c r="Q115" i="33"/>
  <c r="P115" i="33"/>
  <c r="O115" i="33"/>
  <c r="N115" i="33"/>
  <c r="M115" i="33"/>
  <c r="L115" i="33"/>
  <c r="G115" i="33"/>
  <c r="F115" i="33"/>
  <c r="E115" i="33"/>
  <c r="D115" i="33"/>
  <c r="J113" i="33"/>
  <c r="Q112" i="33"/>
  <c r="P112" i="33"/>
  <c r="O112" i="33"/>
  <c r="N112" i="33"/>
  <c r="M112" i="33"/>
  <c r="L112" i="33"/>
  <c r="G112" i="33"/>
  <c r="F112" i="33"/>
  <c r="E112" i="33"/>
  <c r="D112" i="33"/>
  <c r="Q111" i="33"/>
  <c r="P111" i="33"/>
  <c r="N111" i="33"/>
  <c r="M111" i="33"/>
  <c r="L111" i="33"/>
  <c r="F111" i="33"/>
  <c r="D111" i="33"/>
  <c r="R110" i="33"/>
  <c r="Q110" i="33"/>
  <c r="N110" i="33"/>
  <c r="M110" i="33"/>
  <c r="L110" i="33"/>
  <c r="D110" i="33"/>
  <c r="S109" i="33"/>
  <c r="R109" i="33"/>
  <c r="Q109" i="33"/>
  <c r="N109" i="33"/>
  <c r="M109" i="33"/>
  <c r="L109" i="33"/>
  <c r="G109" i="33"/>
  <c r="H109" i="33" s="1"/>
  <c r="D109" i="33"/>
  <c r="F109" i="33" s="1"/>
  <c r="S108" i="33"/>
  <c r="R108" i="33"/>
  <c r="Q108" i="33"/>
  <c r="O108" i="33"/>
  <c r="P108" i="33" s="1"/>
  <c r="N108" i="33"/>
  <c r="M108" i="33"/>
  <c r="L108" i="33"/>
  <c r="G108" i="33"/>
  <c r="H108" i="33" s="1"/>
  <c r="F108" i="33"/>
  <c r="E108" i="33"/>
  <c r="D108" i="33"/>
  <c r="Q107" i="33"/>
  <c r="P107" i="33"/>
  <c r="N107" i="33"/>
  <c r="M107" i="33"/>
  <c r="L107" i="33"/>
  <c r="G107" i="33"/>
  <c r="I107" i="33" s="1"/>
  <c r="F107" i="33"/>
  <c r="D107" i="33"/>
  <c r="E107" i="33" s="1"/>
  <c r="R106" i="33"/>
  <c r="S106" i="33" s="1"/>
  <c r="Q106" i="33"/>
  <c r="N106" i="33"/>
  <c r="P106" i="33" s="1"/>
  <c r="M106" i="33"/>
  <c r="L106" i="33"/>
  <c r="G106" i="33"/>
  <c r="F106" i="33"/>
  <c r="D106" i="33"/>
  <c r="E106" i="33" s="1"/>
  <c r="Q105" i="33"/>
  <c r="N105" i="33"/>
  <c r="M105" i="33"/>
  <c r="L105" i="33"/>
  <c r="D105" i="33"/>
  <c r="Q104" i="33"/>
  <c r="N104" i="33"/>
  <c r="M104" i="33"/>
  <c r="L104" i="33"/>
  <c r="D104" i="33"/>
  <c r="Q103" i="33"/>
  <c r="O103" i="33"/>
  <c r="P103" i="33" s="1"/>
  <c r="N103" i="33"/>
  <c r="M103" i="33"/>
  <c r="L103" i="33"/>
  <c r="F103" i="33"/>
  <c r="E103" i="33"/>
  <c r="D103" i="33"/>
  <c r="G103" i="33" s="1"/>
  <c r="R102" i="33"/>
  <c r="S102" i="33" s="1"/>
  <c r="Q102" i="33"/>
  <c r="O102" i="33"/>
  <c r="N102" i="33"/>
  <c r="P102" i="33" s="1"/>
  <c r="M102" i="33"/>
  <c r="L102" i="33"/>
  <c r="F102" i="33"/>
  <c r="D102" i="33"/>
  <c r="R101" i="33"/>
  <c r="S101" i="33" s="1"/>
  <c r="Q101" i="33"/>
  <c r="O101" i="33"/>
  <c r="P101" i="33" s="1"/>
  <c r="N101" i="33"/>
  <c r="M101" i="33"/>
  <c r="L101" i="33"/>
  <c r="F101" i="33"/>
  <c r="E101" i="33"/>
  <c r="D101" i="33"/>
  <c r="G101" i="33" s="1"/>
  <c r="H101" i="33" s="1"/>
  <c r="Q100" i="33"/>
  <c r="N100" i="33"/>
  <c r="M100" i="33"/>
  <c r="L100" i="33"/>
  <c r="G100" i="33"/>
  <c r="F100" i="33"/>
  <c r="E100" i="33"/>
  <c r="D100" i="33"/>
  <c r="R99" i="33"/>
  <c r="S99" i="33" s="1"/>
  <c r="Q99" i="33"/>
  <c r="N99" i="33"/>
  <c r="M99" i="33"/>
  <c r="L99" i="33"/>
  <c r="G99" i="33"/>
  <c r="F99" i="33"/>
  <c r="E99" i="33"/>
  <c r="D99" i="33"/>
  <c r="Q98" i="33"/>
  <c r="N98" i="33"/>
  <c r="M98" i="33"/>
  <c r="L98" i="33"/>
  <c r="G98" i="33"/>
  <c r="H98" i="33" s="1"/>
  <c r="D98" i="33"/>
  <c r="E98" i="33" s="1"/>
  <c r="Q97" i="33"/>
  <c r="N97" i="33"/>
  <c r="M97" i="33"/>
  <c r="L97" i="33"/>
  <c r="F97" i="33"/>
  <c r="E97" i="33"/>
  <c r="D97" i="33"/>
  <c r="G97" i="33" s="1"/>
  <c r="Q96" i="33"/>
  <c r="N96" i="33"/>
  <c r="M96" i="33"/>
  <c r="L96" i="33"/>
  <c r="G96" i="33"/>
  <c r="H96" i="33" s="1"/>
  <c r="F96" i="33"/>
  <c r="E96" i="33"/>
  <c r="D96" i="33"/>
  <c r="Q95" i="33"/>
  <c r="N95" i="33"/>
  <c r="M95" i="33"/>
  <c r="L95" i="33"/>
  <c r="G95" i="33"/>
  <c r="E95" i="33"/>
  <c r="D95" i="33"/>
  <c r="F95" i="33" s="1"/>
  <c r="Q94" i="33"/>
  <c r="N94" i="33"/>
  <c r="M94" i="33"/>
  <c r="L94" i="33"/>
  <c r="D94" i="33"/>
  <c r="R93" i="33"/>
  <c r="S93" i="33" s="1"/>
  <c r="Q93" i="33"/>
  <c r="N93" i="33"/>
  <c r="P93" i="33" s="1"/>
  <c r="M93" i="33"/>
  <c r="L93" i="33"/>
  <c r="F93" i="33"/>
  <c r="D93" i="33"/>
  <c r="Q92" i="33"/>
  <c r="N92" i="33"/>
  <c r="M92" i="33"/>
  <c r="L92" i="33"/>
  <c r="G92" i="33"/>
  <c r="D92" i="33"/>
  <c r="R91" i="33"/>
  <c r="S91" i="33" s="1"/>
  <c r="Q91" i="33"/>
  <c r="N91" i="33"/>
  <c r="M91" i="33"/>
  <c r="L91" i="33"/>
  <c r="D91" i="33"/>
  <c r="Q90" i="33"/>
  <c r="P90" i="33"/>
  <c r="O90" i="33"/>
  <c r="N90" i="33"/>
  <c r="M90" i="33"/>
  <c r="L90" i="33"/>
  <c r="F90" i="33"/>
  <c r="D90" i="33"/>
  <c r="G90" i="33" s="1"/>
  <c r="S89" i="33"/>
  <c r="R89" i="33"/>
  <c r="Q89" i="33"/>
  <c r="N89" i="33"/>
  <c r="M89" i="33"/>
  <c r="L89" i="33"/>
  <c r="G89" i="33"/>
  <c r="E89" i="33"/>
  <c r="D89" i="33"/>
  <c r="F89" i="33" s="1"/>
  <c r="R88" i="33"/>
  <c r="S88" i="33" s="1"/>
  <c r="Q88" i="33"/>
  <c r="N88" i="33"/>
  <c r="M88" i="33"/>
  <c r="L88" i="33"/>
  <c r="G88" i="33"/>
  <c r="E88" i="33"/>
  <c r="D88" i="33"/>
  <c r="Q87" i="33"/>
  <c r="O87" i="33"/>
  <c r="P87" i="33" s="1"/>
  <c r="N87" i="33"/>
  <c r="M87" i="33"/>
  <c r="L87" i="33"/>
  <c r="G87" i="33"/>
  <c r="I87" i="33" s="1"/>
  <c r="F87" i="33"/>
  <c r="E87" i="33"/>
  <c r="D87" i="33"/>
  <c r="Q86" i="33"/>
  <c r="P86" i="33"/>
  <c r="N86" i="33"/>
  <c r="M86" i="33"/>
  <c r="L86" i="33"/>
  <c r="G86" i="33"/>
  <c r="H86" i="33" s="1"/>
  <c r="F86" i="33"/>
  <c r="D86" i="33"/>
  <c r="E86" i="33" s="1"/>
  <c r="Q85" i="33"/>
  <c r="O85" i="33"/>
  <c r="P85" i="33" s="1"/>
  <c r="N85" i="33"/>
  <c r="M85" i="33"/>
  <c r="L85" i="33"/>
  <c r="F85" i="33"/>
  <c r="D85" i="33"/>
  <c r="G85" i="33" s="1"/>
  <c r="R84" i="33"/>
  <c r="S84" i="33" s="1"/>
  <c r="Q84" i="33"/>
  <c r="P84" i="33"/>
  <c r="N84" i="33"/>
  <c r="M84" i="33"/>
  <c r="L84" i="33"/>
  <c r="G84" i="33"/>
  <c r="H84" i="33" s="1"/>
  <c r="F84" i="33"/>
  <c r="E84" i="33"/>
  <c r="D84" i="33"/>
  <c r="Q83" i="33"/>
  <c r="N83" i="33"/>
  <c r="M83" i="33"/>
  <c r="L83" i="33"/>
  <c r="G83" i="33"/>
  <c r="F83" i="33"/>
  <c r="E83" i="33"/>
  <c r="D83" i="33"/>
  <c r="R81" i="33"/>
  <c r="Q81" i="33"/>
  <c r="O81" i="33"/>
  <c r="N81" i="33"/>
  <c r="M81" i="33"/>
  <c r="L81" i="33"/>
  <c r="D81" i="33"/>
  <c r="R80" i="33"/>
  <c r="O80" i="33"/>
  <c r="H80" i="33"/>
  <c r="G80" i="33"/>
  <c r="I80" i="33" s="1"/>
  <c r="F80" i="33"/>
  <c r="E80" i="33"/>
  <c r="R79" i="33"/>
  <c r="O79" i="33"/>
  <c r="H79" i="33"/>
  <c r="G79" i="33"/>
  <c r="I79" i="33" s="1"/>
  <c r="F79" i="33"/>
  <c r="E79" i="33"/>
  <c r="R78" i="33"/>
  <c r="O78" i="33"/>
  <c r="H78" i="33"/>
  <c r="G78" i="33"/>
  <c r="I78" i="33" s="1"/>
  <c r="F78" i="33"/>
  <c r="E78" i="33"/>
  <c r="O77" i="33"/>
  <c r="H77" i="33"/>
  <c r="G77" i="33"/>
  <c r="I77" i="33" s="1"/>
  <c r="F77" i="33"/>
  <c r="E77" i="33"/>
  <c r="R76" i="33"/>
  <c r="R115" i="33" s="1"/>
  <c r="O76" i="33"/>
  <c r="H76" i="33"/>
  <c r="G76" i="33"/>
  <c r="G81" i="33" s="1"/>
  <c r="F76" i="33"/>
  <c r="E76" i="33"/>
  <c r="Q73" i="33"/>
  <c r="N73" i="33"/>
  <c r="M73" i="33"/>
  <c r="L73" i="33"/>
  <c r="D73" i="33"/>
  <c r="R72" i="33"/>
  <c r="O72" i="33"/>
  <c r="O120" i="33" s="1"/>
  <c r="P120" i="33" s="1"/>
  <c r="H72" i="33"/>
  <c r="G72" i="33"/>
  <c r="I72" i="33" s="1"/>
  <c r="F72" i="33"/>
  <c r="E72" i="33"/>
  <c r="R71" i="33"/>
  <c r="O71" i="33"/>
  <c r="H71" i="33"/>
  <c r="G71" i="33"/>
  <c r="I71" i="33" s="1"/>
  <c r="F71" i="33"/>
  <c r="E71" i="33"/>
  <c r="R70" i="33"/>
  <c r="O70" i="33"/>
  <c r="H70" i="33"/>
  <c r="G70" i="33"/>
  <c r="I70" i="33" s="1"/>
  <c r="F70" i="33"/>
  <c r="E70" i="33"/>
  <c r="R69" i="33"/>
  <c r="O69" i="33"/>
  <c r="O117" i="33" s="1"/>
  <c r="P117" i="33" s="1"/>
  <c r="H69" i="33"/>
  <c r="G69" i="33"/>
  <c r="I69" i="33" s="1"/>
  <c r="F69" i="33"/>
  <c r="E69" i="33"/>
  <c r="R68" i="33"/>
  <c r="O68" i="33"/>
  <c r="H68" i="33"/>
  <c r="G68" i="33"/>
  <c r="I68" i="33" s="1"/>
  <c r="F68" i="33"/>
  <c r="E68" i="33"/>
  <c r="R67" i="33"/>
  <c r="R111" i="33" s="1"/>
  <c r="S111" i="33" s="1"/>
  <c r="O67" i="33"/>
  <c r="H67" i="33"/>
  <c r="G67" i="33"/>
  <c r="I67" i="33" s="1"/>
  <c r="F67" i="33"/>
  <c r="E67" i="33"/>
  <c r="R66" i="33"/>
  <c r="O66" i="33"/>
  <c r="H66" i="33"/>
  <c r="G66" i="33"/>
  <c r="I66" i="33" s="1"/>
  <c r="F66" i="33"/>
  <c r="E66" i="33"/>
  <c r="R65" i="33"/>
  <c r="O65" i="33"/>
  <c r="H65" i="33"/>
  <c r="G65" i="33"/>
  <c r="I65" i="33" s="1"/>
  <c r="F65" i="33"/>
  <c r="E65" i="33"/>
  <c r="R64" i="33"/>
  <c r="O64" i="33"/>
  <c r="H64" i="33"/>
  <c r="G64" i="33"/>
  <c r="I64" i="33" s="1"/>
  <c r="F64" i="33"/>
  <c r="E64" i="33"/>
  <c r="R63" i="33"/>
  <c r="O63" i="33"/>
  <c r="H63" i="33"/>
  <c r="G63" i="33"/>
  <c r="I63" i="33" s="1"/>
  <c r="F63" i="33"/>
  <c r="E63" i="33"/>
  <c r="R62" i="33"/>
  <c r="R104" i="33" s="1"/>
  <c r="S104" i="33" s="1"/>
  <c r="O62" i="33"/>
  <c r="O104" i="33" s="1"/>
  <c r="P104" i="33" s="1"/>
  <c r="H62" i="33"/>
  <c r="G62" i="33"/>
  <c r="I62" i="33" s="1"/>
  <c r="F62" i="33"/>
  <c r="E62" i="33"/>
  <c r="R61" i="33"/>
  <c r="O61" i="33"/>
  <c r="H61" i="33"/>
  <c r="G61" i="33"/>
  <c r="I61" i="33" s="1"/>
  <c r="F61" i="33"/>
  <c r="E61" i="33"/>
  <c r="R60" i="33"/>
  <c r="O60" i="33"/>
  <c r="H60" i="33"/>
  <c r="G60" i="33"/>
  <c r="I60" i="33" s="1"/>
  <c r="F60" i="33"/>
  <c r="E60" i="33"/>
  <c r="R59" i="33"/>
  <c r="O59" i="33"/>
  <c r="H59" i="33"/>
  <c r="G59" i="33"/>
  <c r="I59" i="33" s="1"/>
  <c r="F59" i="33"/>
  <c r="E59" i="33"/>
  <c r="R58" i="33"/>
  <c r="O58" i="33"/>
  <c r="O99" i="33" s="1"/>
  <c r="P99" i="33" s="1"/>
  <c r="H58" i="33"/>
  <c r="G58" i="33"/>
  <c r="I58" i="33" s="1"/>
  <c r="F58" i="33"/>
  <c r="E58" i="33"/>
  <c r="R57" i="33"/>
  <c r="O57" i="33"/>
  <c r="H57" i="33"/>
  <c r="G57" i="33"/>
  <c r="I57" i="33" s="1"/>
  <c r="F57" i="33"/>
  <c r="E57" i="33"/>
  <c r="R56" i="33"/>
  <c r="O56" i="33"/>
  <c r="H56" i="33"/>
  <c r="G56" i="33"/>
  <c r="I56" i="33" s="1"/>
  <c r="F56" i="33"/>
  <c r="E56" i="33"/>
  <c r="R55" i="33"/>
  <c r="O55" i="33"/>
  <c r="O97" i="33" s="1"/>
  <c r="P97" i="33" s="1"/>
  <c r="H55" i="33"/>
  <c r="G55" i="33"/>
  <c r="I55" i="33" s="1"/>
  <c r="F55" i="33"/>
  <c r="E55" i="33"/>
  <c r="R54" i="33"/>
  <c r="O54" i="33"/>
  <c r="H54" i="33"/>
  <c r="G54" i="33"/>
  <c r="I54" i="33" s="1"/>
  <c r="F54" i="33"/>
  <c r="E54" i="33"/>
  <c r="R53" i="33"/>
  <c r="O53" i="33"/>
  <c r="H53" i="33"/>
  <c r="G53" i="33"/>
  <c r="I53" i="33" s="1"/>
  <c r="F53" i="33"/>
  <c r="E53" i="33"/>
  <c r="R52" i="33"/>
  <c r="O52" i="33"/>
  <c r="H52" i="33"/>
  <c r="G52" i="33"/>
  <c r="I52" i="33" s="1"/>
  <c r="F52" i="33"/>
  <c r="E52" i="33"/>
  <c r="R51" i="33"/>
  <c r="O51" i="33"/>
  <c r="H51" i="33"/>
  <c r="G51" i="33"/>
  <c r="I51" i="33" s="1"/>
  <c r="F51" i="33"/>
  <c r="E51" i="33"/>
  <c r="R50" i="33"/>
  <c r="O50" i="33"/>
  <c r="H50" i="33"/>
  <c r="G50" i="33"/>
  <c r="I50" i="33" s="1"/>
  <c r="F50" i="33"/>
  <c r="E50" i="33"/>
  <c r="R49" i="33"/>
  <c r="O49" i="33"/>
  <c r="H49" i="33"/>
  <c r="G49" i="33"/>
  <c r="I49" i="33" s="1"/>
  <c r="F49" i="33"/>
  <c r="E49" i="33"/>
  <c r="R48" i="33"/>
  <c r="O48" i="33"/>
  <c r="H48" i="33"/>
  <c r="G48" i="33"/>
  <c r="I48" i="33" s="1"/>
  <c r="F48" i="33"/>
  <c r="E48" i="33"/>
  <c r="R47" i="33"/>
  <c r="O47" i="33"/>
  <c r="H47" i="33"/>
  <c r="G47" i="33"/>
  <c r="I47" i="33" s="1"/>
  <c r="F47" i="33"/>
  <c r="E47" i="33"/>
  <c r="R46" i="33"/>
  <c r="O46" i="33"/>
  <c r="H46" i="33"/>
  <c r="G46" i="33"/>
  <c r="I46" i="33" s="1"/>
  <c r="F46" i="33"/>
  <c r="E46" i="33"/>
  <c r="R45" i="33"/>
  <c r="O45" i="33"/>
  <c r="H45" i="33"/>
  <c r="G45" i="33"/>
  <c r="I45" i="33" s="1"/>
  <c r="F45" i="33"/>
  <c r="E45" i="33"/>
  <c r="R44" i="33"/>
  <c r="R85" i="33" s="1"/>
  <c r="S85" i="33" s="1"/>
  <c r="O44" i="33"/>
  <c r="H44" i="33"/>
  <c r="G44" i="33"/>
  <c r="I44" i="33" s="1"/>
  <c r="F44" i="33"/>
  <c r="E44" i="33"/>
  <c r="R43" i="33"/>
  <c r="O43" i="33"/>
  <c r="H43" i="33"/>
  <c r="G43" i="33"/>
  <c r="I43" i="33" s="1"/>
  <c r="F43" i="33"/>
  <c r="E43" i="33"/>
  <c r="R42" i="33"/>
  <c r="O42" i="33"/>
  <c r="H42" i="33"/>
  <c r="G42" i="33"/>
  <c r="F42" i="33"/>
  <c r="E42" i="33"/>
  <c r="Q38" i="33"/>
  <c r="N38" i="33"/>
  <c r="M38" i="33"/>
  <c r="L38" i="33"/>
  <c r="H38" i="33"/>
  <c r="D38" i="33"/>
  <c r="R37" i="33"/>
  <c r="O37" i="33"/>
  <c r="H37" i="33"/>
  <c r="G37" i="33"/>
  <c r="I37" i="33" s="1"/>
  <c r="F37" i="33"/>
  <c r="E37" i="33"/>
  <c r="R36" i="33"/>
  <c r="O36" i="33"/>
  <c r="H36" i="33"/>
  <c r="G36" i="33"/>
  <c r="I36" i="33" s="1"/>
  <c r="F36" i="33"/>
  <c r="E36" i="33"/>
  <c r="R35" i="33"/>
  <c r="O35" i="33"/>
  <c r="H35" i="33"/>
  <c r="G35" i="33"/>
  <c r="I35" i="33" s="1"/>
  <c r="F35" i="33"/>
  <c r="E35" i="33"/>
  <c r="R34" i="33"/>
  <c r="O34" i="33"/>
  <c r="H34" i="33"/>
  <c r="G34" i="33"/>
  <c r="I34" i="33" s="1"/>
  <c r="F34" i="33"/>
  <c r="E34" i="33"/>
  <c r="R33" i="33"/>
  <c r="R112" i="33" s="1"/>
  <c r="S112" i="33" s="1"/>
  <c r="O33" i="33"/>
  <c r="H33" i="33"/>
  <c r="G33" i="33"/>
  <c r="I33" i="33" s="1"/>
  <c r="F33" i="33"/>
  <c r="E33" i="33"/>
  <c r="R32" i="33"/>
  <c r="O32" i="33"/>
  <c r="O111" i="33" s="1"/>
  <c r="H32" i="33"/>
  <c r="G32" i="33"/>
  <c r="I32" i="33" s="1"/>
  <c r="F32" i="33"/>
  <c r="E32" i="33"/>
  <c r="R31" i="33"/>
  <c r="O31" i="33"/>
  <c r="O110" i="33" s="1"/>
  <c r="P110" i="33" s="1"/>
  <c r="H31" i="33"/>
  <c r="G31" i="33"/>
  <c r="I31" i="33" s="1"/>
  <c r="F31" i="33"/>
  <c r="E31" i="33"/>
  <c r="R30" i="33"/>
  <c r="O30" i="33"/>
  <c r="H30" i="33"/>
  <c r="G30" i="33"/>
  <c r="I30" i="33" s="1"/>
  <c r="F30" i="33"/>
  <c r="E30" i="33"/>
  <c r="R29" i="33"/>
  <c r="R107" i="33" s="1"/>
  <c r="S107" i="33" s="1"/>
  <c r="O29" i="33"/>
  <c r="H29" i="33"/>
  <c r="G29" i="33"/>
  <c r="I29" i="33" s="1"/>
  <c r="F29" i="33"/>
  <c r="E29" i="33"/>
  <c r="R28" i="33"/>
  <c r="O28" i="33"/>
  <c r="H28" i="33"/>
  <c r="G28" i="33"/>
  <c r="I28" i="33" s="1"/>
  <c r="F28" i="33"/>
  <c r="E28" i="33"/>
  <c r="R27" i="33"/>
  <c r="O27" i="33"/>
  <c r="O105" i="33" s="1"/>
  <c r="H27" i="33"/>
  <c r="G27" i="33"/>
  <c r="I27" i="33" s="1"/>
  <c r="F27" i="33"/>
  <c r="E27" i="33"/>
  <c r="R26" i="33"/>
  <c r="O26" i="33"/>
  <c r="H26" i="33"/>
  <c r="G26" i="33"/>
  <c r="I26" i="33" s="1"/>
  <c r="F26" i="33"/>
  <c r="E26" i="33"/>
  <c r="R25" i="33"/>
  <c r="O25" i="33"/>
  <c r="H25" i="33"/>
  <c r="G25" i="33"/>
  <c r="I25" i="33" s="1"/>
  <c r="F25" i="33"/>
  <c r="E25" i="33"/>
  <c r="R24" i="33"/>
  <c r="O24" i="33"/>
  <c r="H24" i="33"/>
  <c r="G24" i="33"/>
  <c r="I24" i="33" s="1"/>
  <c r="F24" i="33"/>
  <c r="E24" i="33"/>
  <c r="R23" i="33"/>
  <c r="O23" i="33"/>
  <c r="H23" i="33"/>
  <c r="G23" i="33"/>
  <c r="I23" i="33" s="1"/>
  <c r="F23" i="33"/>
  <c r="E23" i="33"/>
  <c r="R22" i="33"/>
  <c r="R100" i="33" s="1"/>
  <c r="S100" i="33" s="1"/>
  <c r="O22" i="33"/>
  <c r="O100" i="33" s="1"/>
  <c r="P100" i="33" s="1"/>
  <c r="H22" i="33"/>
  <c r="G22" i="33"/>
  <c r="I22" i="33" s="1"/>
  <c r="F22" i="33"/>
  <c r="E22" i="33"/>
  <c r="R21" i="33"/>
  <c r="O21" i="33"/>
  <c r="H21" i="33"/>
  <c r="G21" i="33"/>
  <c r="I21" i="33" s="1"/>
  <c r="F21" i="33"/>
  <c r="E21" i="33"/>
  <c r="R20" i="33"/>
  <c r="R98" i="33" s="1"/>
  <c r="S98" i="33" s="1"/>
  <c r="O20" i="33"/>
  <c r="O98" i="33" s="1"/>
  <c r="I20" i="33"/>
  <c r="H20" i="33"/>
  <c r="G20" i="33"/>
  <c r="F20" i="33"/>
  <c r="E20" i="33"/>
  <c r="R19" i="33"/>
  <c r="O19" i="33"/>
  <c r="O95" i="33" s="1"/>
  <c r="P95" i="33" s="1"/>
  <c r="H19" i="33"/>
  <c r="G19" i="33"/>
  <c r="I19" i="33" s="1"/>
  <c r="F19" i="33"/>
  <c r="E19" i="33"/>
  <c r="R18" i="33"/>
  <c r="R97" i="33" s="1"/>
  <c r="S97" i="33" s="1"/>
  <c r="O18" i="33"/>
  <c r="H18" i="33"/>
  <c r="G18" i="33"/>
  <c r="I18" i="33" s="1"/>
  <c r="F18" i="33"/>
  <c r="E18" i="33"/>
  <c r="R17" i="33"/>
  <c r="R96" i="33" s="1"/>
  <c r="S96" i="33" s="1"/>
  <c r="O17" i="33"/>
  <c r="H17" i="33"/>
  <c r="G17" i="33"/>
  <c r="I17" i="33" s="1"/>
  <c r="F17" i="33"/>
  <c r="E17" i="33"/>
  <c r="R16" i="33"/>
  <c r="R95" i="33" s="1"/>
  <c r="O16" i="33"/>
  <c r="H16" i="33"/>
  <c r="G16" i="33"/>
  <c r="I16" i="33" s="1"/>
  <c r="F16" i="33"/>
  <c r="E16" i="33"/>
  <c r="R15" i="33"/>
  <c r="R94" i="33" s="1"/>
  <c r="O15" i="33"/>
  <c r="O94" i="33" s="1"/>
  <c r="P94" i="33" s="1"/>
  <c r="H15" i="33"/>
  <c r="G15" i="33"/>
  <c r="I15" i="33" s="1"/>
  <c r="F15" i="33"/>
  <c r="E15" i="33"/>
  <c r="R14" i="33"/>
  <c r="O14" i="33"/>
  <c r="H14" i="33"/>
  <c r="G14" i="33"/>
  <c r="I14" i="33" s="1"/>
  <c r="F14" i="33"/>
  <c r="E14" i="33"/>
  <c r="R13" i="33"/>
  <c r="R92" i="33" s="1"/>
  <c r="S92" i="33" s="1"/>
  <c r="O13" i="33"/>
  <c r="O92" i="33" s="1"/>
  <c r="P92" i="33" s="1"/>
  <c r="H13" i="33"/>
  <c r="G13" i="33"/>
  <c r="I13" i="33" s="1"/>
  <c r="F13" i="33"/>
  <c r="E13" i="33"/>
  <c r="R12" i="33"/>
  <c r="O12" i="33"/>
  <c r="O91" i="33" s="1"/>
  <c r="I12" i="33"/>
  <c r="H12" i="33"/>
  <c r="G12" i="33"/>
  <c r="F12" i="33"/>
  <c r="E12" i="33"/>
  <c r="R11" i="33"/>
  <c r="R90" i="33" s="1"/>
  <c r="S90" i="33" s="1"/>
  <c r="O11" i="33"/>
  <c r="H11" i="33"/>
  <c r="G11" i="33"/>
  <c r="I11" i="33" s="1"/>
  <c r="F11" i="33"/>
  <c r="E11" i="33"/>
  <c r="R10" i="33"/>
  <c r="O10" i="33"/>
  <c r="O89" i="33" s="1"/>
  <c r="P89" i="33" s="1"/>
  <c r="H10" i="33"/>
  <c r="G10" i="33"/>
  <c r="I10" i="33" s="1"/>
  <c r="F10" i="33"/>
  <c r="E10" i="33"/>
  <c r="R9" i="33"/>
  <c r="O9" i="33"/>
  <c r="H9" i="33"/>
  <c r="G9" i="33"/>
  <c r="I9" i="33" s="1"/>
  <c r="F9" i="33"/>
  <c r="E9" i="33"/>
  <c r="R8" i="33"/>
  <c r="R87" i="33" s="1"/>
  <c r="S87" i="33" s="1"/>
  <c r="O8" i="33"/>
  <c r="H8" i="33"/>
  <c r="G8" i="33"/>
  <c r="I8" i="33" s="1"/>
  <c r="F8" i="33"/>
  <c r="E8" i="33"/>
  <c r="R7" i="33"/>
  <c r="O7" i="33"/>
  <c r="O86" i="33" s="1"/>
  <c r="H7" i="33"/>
  <c r="G7" i="33"/>
  <c r="I7" i="33" s="1"/>
  <c r="F7" i="33"/>
  <c r="E7" i="33"/>
  <c r="R6" i="33"/>
  <c r="O6" i="33"/>
  <c r="O84" i="33" s="1"/>
  <c r="H6" i="33"/>
  <c r="G6" i="33"/>
  <c r="I6" i="33" s="1"/>
  <c r="F6" i="33"/>
  <c r="E6" i="33"/>
  <c r="R5" i="33"/>
  <c r="O5" i="33"/>
  <c r="H5" i="33"/>
  <c r="G5" i="33"/>
  <c r="I5" i="33" s="1"/>
  <c r="F5" i="33"/>
  <c r="E5" i="33"/>
  <c r="R106" i="32"/>
  <c r="Q106" i="32"/>
  <c r="P106" i="32"/>
  <c r="O106" i="32"/>
  <c r="N106" i="32"/>
  <c r="M106" i="32"/>
  <c r="L106" i="32"/>
  <c r="J103" i="32"/>
  <c r="V101" i="32"/>
  <c r="U101" i="32"/>
  <c r="Q101" i="32"/>
  <c r="O101" i="32"/>
  <c r="N101" i="32"/>
  <c r="M101" i="32"/>
  <c r="L101" i="32"/>
  <c r="J101" i="32"/>
  <c r="D101" i="32"/>
  <c r="S100" i="32"/>
  <c r="P100" i="32"/>
  <c r="O100" i="32"/>
  <c r="I100" i="32"/>
  <c r="H100" i="32"/>
  <c r="S99" i="32"/>
  <c r="P99" i="32"/>
  <c r="O99" i="32"/>
  <c r="I99" i="32"/>
  <c r="H99" i="32"/>
  <c r="S98" i="32"/>
  <c r="R98" i="32"/>
  <c r="P98" i="32"/>
  <c r="O98" i="32"/>
  <c r="I98" i="32"/>
  <c r="H98" i="32"/>
  <c r="S97" i="32"/>
  <c r="R97" i="32"/>
  <c r="P97" i="32"/>
  <c r="O97" i="32"/>
  <c r="I97" i="32"/>
  <c r="H97" i="32"/>
  <c r="S96" i="32"/>
  <c r="R96" i="32"/>
  <c r="P96" i="32"/>
  <c r="O96" i="32"/>
  <c r="I96" i="32"/>
  <c r="H96" i="32"/>
  <c r="S95" i="32"/>
  <c r="R95" i="32"/>
  <c r="P95" i="32"/>
  <c r="O95" i="32"/>
  <c r="I95" i="32"/>
  <c r="H95" i="32"/>
  <c r="S94" i="32"/>
  <c r="R94" i="32"/>
  <c r="P94" i="32"/>
  <c r="O94" i="32"/>
  <c r="I94" i="32"/>
  <c r="H94" i="32"/>
  <c r="P93" i="32"/>
  <c r="R93" i="32" s="1"/>
  <c r="S93" i="32" s="1"/>
  <c r="O93" i="32"/>
  <c r="I93" i="32"/>
  <c r="H93" i="32"/>
  <c r="R92" i="32"/>
  <c r="R101" i="32" s="1"/>
  <c r="P92" i="32"/>
  <c r="P101" i="32" s="1"/>
  <c r="O92" i="32"/>
  <c r="G92" i="32"/>
  <c r="I92" i="32" s="1"/>
  <c r="F92" i="32"/>
  <c r="F101" i="32" s="1"/>
  <c r="E92" i="32"/>
  <c r="E101" i="32" s="1"/>
  <c r="J89" i="32"/>
  <c r="V87" i="32"/>
  <c r="V89" i="32" s="1"/>
  <c r="V103" i="32" s="1"/>
  <c r="U87" i="32"/>
  <c r="U89" i="32" s="1"/>
  <c r="J87" i="32"/>
  <c r="O86" i="32"/>
  <c r="L86" i="32"/>
  <c r="L87" i="32" s="1"/>
  <c r="B86" i="32"/>
  <c r="Q85" i="32"/>
  <c r="N85" i="32"/>
  <c r="M85" i="32"/>
  <c r="L85" i="32"/>
  <c r="D85" i="32"/>
  <c r="Q84" i="32"/>
  <c r="P84" i="32"/>
  <c r="O84" i="32"/>
  <c r="N84" i="32"/>
  <c r="M84" i="32"/>
  <c r="L84" i="32"/>
  <c r="D84" i="32"/>
  <c r="R83" i="32"/>
  <c r="Q83" i="32"/>
  <c r="O83" i="32"/>
  <c r="N83" i="32"/>
  <c r="M83" i="32"/>
  <c r="L83" i="32"/>
  <c r="D83" i="32"/>
  <c r="V81" i="32"/>
  <c r="U81" i="32"/>
  <c r="J81" i="32"/>
  <c r="Q80" i="32"/>
  <c r="P80" i="32"/>
  <c r="O80" i="32"/>
  <c r="N80" i="32"/>
  <c r="M80" i="32"/>
  <c r="L80" i="32"/>
  <c r="G80" i="32"/>
  <c r="I80" i="32" s="1"/>
  <c r="F80" i="32"/>
  <c r="E80" i="32"/>
  <c r="D80" i="32"/>
  <c r="Q79" i="32"/>
  <c r="N79" i="32"/>
  <c r="M79" i="32"/>
  <c r="L79" i="32"/>
  <c r="G79" i="32"/>
  <c r="I79" i="32" s="1"/>
  <c r="F79" i="32"/>
  <c r="D79" i="32"/>
  <c r="E79" i="32" s="1"/>
  <c r="Q78" i="32"/>
  <c r="N78" i="32"/>
  <c r="M78" i="32"/>
  <c r="L78" i="32"/>
  <c r="G78" i="32"/>
  <c r="I78" i="32" s="1"/>
  <c r="F78" i="32"/>
  <c r="E78" i="32"/>
  <c r="D78" i="32"/>
  <c r="Q77" i="32"/>
  <c r="N77" i="32"/>
  <c r="M77" i="32"/>
  <c r="L77" i="32"/>
  <c r="D77" i="32"/>
  <c r="R76" i="32"/>
  <c r="Q76" i="32"/>
  <c r="P76" i="32"/>
  <c r="O76" i="32"/>
  <c r="N76" i="32"/>
  <c r="M76" i="32"/>
  <c r="L76" i="32"/>
  <c r="G76" i="32"/>
  <c r="F76" i="32"/>
  <c r="E76" i="32"/>
  <c r="D76" i="32"/>
  <c r="S75" i="32"/>
  <c r="R75" i="32"/>
  <c r="Q75" i="32"/>
  <c r="P75" i="32"/>
  <c r="O75" i="32"/>
  <c r="N75" i="32"/>
  <c r="M75" i="32"/>
  <c r="L75" i="32"/>
  <c r="D75" i="32"/>
  <c r="S74" i="32"/>
  <c r="R74" i="32"/>
  <c r="Q74" i="32"/>
  <c r="O74" i="32"/>
  <c r="P74" i="32" s="1"/>
  <c r="N74" i="32"/>
  <c r="M74" i="32"/>
  <c r="L74" i="32"/>
  <c r="D74" i="32"/>
  <c r="S73" i="32"/>
  <c r="R73" i="32"/>
  <c r="Q73" i="32"/>
  <c r="N73" i="32"/>
  <c r="M73" i="32"/>
  <c r="L73" i="32"/>
  <c r="E73" i="32"/>
  <c r="D73" i="32"/>
  <c r="G73" i="32" s="1"/>
  <c r="Q72" i="32"/>
  <c r="N72" i="32"/>
  <c r="M72" i="32"/>
  <c r="L72" i="32"/>
  <c r="G72" i="32"/>
  <c r="I72" i="32" s="1"/>
  <c r="F72" i="32"/>
  <c r="E72" i="32"/>
  <c r="D72" i="32"/>
  <c r="Q71" i="32"/>
  <c r="N71" i="32"/>
  <c r="M71" i="32"/>
  <c r="L71" i="32"/>
  <c r="D71" i="32"/>
  <c r="Q70" i="32"/>
  <c r="P70" i="32"/>
  <c r="N70" i="32"/>
  <c r="M70" i="32"/>
  <c r="L70" i="32"/>
  <c r="G70" i="32"/>
  <c r="I70" i="32" s="1"/>
  <c r="F70" i="32"/>
  <c r="E70" i="32"/>
  <c r="D70" i="32"/>
  <c r="Q69" i="32"/>
  <c r="N69" i="32"/>
  <c r="M69" i="32"/>
  <c r="L69" i="32"/>
  <c r="G69" i="32"/>
  <c r="I69" i="32" s="1"/>
  <c r="E69" i="32"/>
  <c r="D69" i="32"/>
  <c r="F69" i="32" s="1"/>
  <c r="Q68" i="32"/>
  <c r="O68" i="32"/>
  <c r="P68" i="32" s="1"/>
  <c r="N68" i="32"/>
  <c r="M68" i="32"/>
  <c r="L68" i="32"/>
  <c r="G68" i="32"/>
  <c r="I68" i="32" s="1"/>
  <c r="F68" i="32"/>
  <c r="E68" i="32"/>
  <c r="D68" i="32"/>
  <c r="Q67" i="32"/>
  <c r="O67" i="32"/>
  <c r="P67" i="32" s="1"/>
  <c r="N67" i="32"/>
  <c r="M67" i="32"/>
  <c r="L67" i="32"/>
  <c r="D67" i="32"/>
  <c r="Q66" i="32"/>
  <c r="N66" i="32"/>
  <c r="M66" i="32"/>
  <c r="L66" i="32"/>
  <c r="G66" i="32"/>
  <c r="F66" i="32"/>
  <c r="E66" i="32"/>
  <c r="D66" i="32"/>
  <c r="S65" i="32"/>
  <c r="R65" i="32"/>
  <c r="Q65" i="32"/>
  <c r="N65" i="32"/>
  <c r="M65" i="32"/>
  <c r="L65" i="32"/>
  <c r="G65" i="32"/>
  <c r="D65" i="32"/>
  <c r="S64" i="32"/>
  <c r="R64" i="32"/>
  <c r="Q64" i="32"/>
  <c r="N64" i="32"/>
  <c r="M64" i="32"/>
  <c r="L64" i="32"/>
  <c r="E64" i="32"/>
  <c r="D64" i="32"/>
  <c r="R63" i="32"/>
  <c r="S63" i="32" s="1"/>
  <c r="Q63" i="32"/>
  <c r="O63" i="32"/>
  <c r="P63" i="32" s="1"/>
  <c r="N63" i="32"/>
  <c r="M63" i="32"/>
  <c r="L63" i="32"/>
  <c r="D63" i="32"/>
  <c r="Q62" i="32"/>
  <c r="N62" i="32"/>
  <c r="M62" i="32"/>
  <c r="L62" i="32"/>
  <c r="G62" i="32"/>
  <c r="F62" i="32"/>
  <c r="E62" i="32"/>
  <c r="D62" i="32"/>
  <c r="Q61" i="32"/>
  <c r="N61" i="32"/>
  <c r="M61" i="32"/>
  <c r="L61" i="32"/>
  <c r="G61" i="32"/>
  <c r="F61" i="32"/>
  <c r="D61" i="32"/>
  <c r="Q58" i="32"/>
  <c r="P58" i="32"/>
  <c r="O58" i="32"/>
  <c r="N58" i="32"/>
  <c r="M58" i="32"/>
  <c r="L58" i="32"/>
  <c r="D58" i="32"/>
  <c r="S57" i="32"/>
  <c r="H57" i="32"/>
  <c r="G57" i="32"/>
  <c r="F57" i="32"/>
  <c r="E57" i="32"/>
  <c r="R56" i="32"/>
  <c r="S56" i="32" s="1"/>
  <c r="O56" i="32"/>
  <c r="H56" i="32"/>
  <c r="G56" i="32"/>
  <c r="I56" i="32" s="1"/>
  <c r="F56" i="32"/>
  <c r="F58" i="32" s="1"/>
  <c r="E56" i="32"/>
  <c r="E58" i="32" s="1"/>
  <c r="S55" i="32"/>
  <c r="R55" i="32"/>
  <c r="R84" i="32" s="1"/>
  <c r="S84" i="32" s="1"/>
  <c r="O55" i="32"/>
  <c r="G55" i="32"/>
  <c r="F55" i="32"/>
  <c r="E55" i="32"/>
  <c r="S54" i="32"/>
  <c r="R54" i="32"/>
  <c r="O54" i="32"/>
  <c r="G54" i="32"/>
  <c r="F54" i="32"/>
  <c r="E54" i="32"/>
  <c r="Q51" i="32"/>
  <c r="P51" i="32"/>
  <c r="N51" i="32"/>
  <c r="M51" i="32"/>
  <c r="L51" i="32"/>
  <c r="D51" i="32"/>
  <c r="S50" i="32"/>
  <c r="R50" i="32"/>
  <c r="R85" i="32" s="1"/>
  <c r="S85" i="32" s="1"/>
  <c r="O50" i="32"/>
  <c r="H50" i="32"/>
  <c r="G50" i="32"/>
  <c r="I50" i="32" s="1"/>
  <c r="F50" i="32"/>
  <c r="E50" i="32"/>
  <c r="R49" i="32"/>
  <c r="S49" i="32" s="1"/>
  <c r="O49" i="32"/>
  <c r="H49" i="32"/>
  <c r="G49" i="32"/>
  <c r="I49" i="32" s="1"/>
  <c r="F49" i="32"/>
  <c r="E49" i="32"/>
  <c r="S48" i="32"/>
  <c r="R48" i="32"/>
  <c r="O48" i="32"/>
  <c r="H48" i="32"/>
  <c r="G48" i="32"/>
  <c r="I48" i="32" s="1"/>
  <c r="F48" i="32"/>
  <c r="E48" i="32"/>
  <c r="R47" i="32"/>
  <c r="S47" i="32" s="1"/>
  <c r="O47" i="32"/>
  <c r="H47" i="32"/>
  <c r="G47" i="32"/>
  <c r="I47" i="32" s="1"/>
  <c r="F47" i="32"/>
  <c r="E47" i="32"/>
  <c r="S46" i="32"/>
  <c r="R46" i="32"/>
  <c r="O46" i="32"/>
  <c r="H46" i="32"/>
  <c r="G46" i="32"/>
  <c r="I46" i="32" s="1"/>
  <c r="F46" i="32"/>
  <c r="E46" i="32"/>
  <c r="S45" i="32"/>
  <c r="S51" i="32" s="1"/>
  <c r="R45" i="32"/>
  <c r="R51" i="32" s="1"/>
  <c r="O45" i="32"/>
  <c r="H45" i="32"/>
  <c r="G45" i="32"/>
  <c r="I45" i="32" s="1"/>
  <c r="F45" i="32"/>
  <c r="E45" i="32"/>
  <c r="R44" i="32"/>
  <c r="S44" i="32" s="1"/>
  <c r="O44" i="32"/>
  <c r="H44" i="32"/>
  <c r="G44" i="32"/>
  <c r="I44" i="32" s="1"/>
  <c r="F44" i="32"/>
  <c r="E44" i="32"/>
  <c r="S43" i="32"/>
  <c r="H43" i="32"/>
  <c r="G43" i="32"/>
  <c r="I43" i="32" s="1"/>
  <c r="F43" i="32"/>
  <c r="E43" i="32"/>
  <c r="R42" i="32"/>
  <c r="S42" i="32" s="1"/>
  <c r="O42" i="32"/>
  <c r="H42" i="32"/>
  <c r="G42" i="32"/>
  <c r="I42" i="32" s="1"/>
  <c r="F42" i="32"/>
  <c r="E42" i="32"/>
  <c r="R41" i="32"/>
  <c r="S41" i="32" s="1"/>
  <c r="O41" i="32"/>
  <c r="H41" i="32"/>
  <c r="G41" i="32"/>
  <c r="I41" i="32" s="1"/>
  <c r="F41" i="32"/>
  <c r="E41" i="32"/>
  <c r="S40" i="32"/>
  <c r="R40" i="32"/>
  <c r="O40" i="32"/>
  <c r="H40" i="32"/>
  <c r="G40" i="32"/>
  <c r="I40" i="32" s="1"/>
  <c r="F40" i="32"/>
  <c r="E40" i="32"/>
  <c r="R39" i="32"/>
  <c r="S39" i="32" s="1"/>
  <c r="O39" i="32"/>
  <c r="H39" i="32"/>
  <c r="G39" i="32"/>
  <c r="I39" i="32" s="1"/>
  <c r="F39" i="32"/>
  <c r="E39" i="32"/>
  <c r="R38" i="32"/>
  <c r="S38" i="32" s="1"/>
  <c r="O38" i="32"/>
  <c r="H38" i="32"/>
  <c r="G38" i="32"/>
  <c r="I38" i="32" s="1"/>
  <c r="F38" i="32"/>
  <c r="E38" i="32"/>
  <c r="S37" i="32"/>
  <c r="R37" i="32"/>
  <c r="O37" i="32"/>
  <c r="H37" i="32"/>
  <c r="G37" i="32"/>
  <c r="I37" i="32" s="1"/>
  <c r="F37" i="32"/>
  <c r="E37" i="32"/>
  <c r="S36" i="32"/>
  <c r="R36" i="32"/>
  <c r="O36" i="32"/>
  <c r="H36" i="32"/>
  <c r="G36" i="32"/>
  <c r="I36" i="32" s="1"/>
  <c r="F36" i="32"/>
  <c r="E36" i="32"/>
  <c r="R35" i="32"/>
  <c r="S35" i="32" s="1"/>
  <c r="O35" i="32"/>
  <c r="H35" i="32"/>
  <c r="G35" i="32"/>
  <c r="I35" i="32" s="1"/>
  <c r="F35" i="32"/>
  <c r="E35" i="32"/>
  <c r="S34" i="32"/>
  <c r="R34" i="32"/>
  <c r="O34" i="32"/>
  <c r="H34" i="32"/>
  <c r="G34" i="32"/>
  <c r="I34" i="32" s="1"/>
  <c r="F34" i="32"/>
  <c r="E34" i="32"/>
  <c r="S33" i="32"/>
  <c r="R33" i="32"/>
  <c r="O33" i="32"/>
  <c r="O65" i="32" s="1"/>
  <c r="P65" i="32" s="1"/>
  <c r="H33" i="32"/>
  <c r="G33" i="32"/>
  <c r="I33" i="32" s="1"/>
  <c r="F33" i="32"/>
  <c r="E33" i="32"/>
  <c r="R32" i="32"/>
  <c r="S32" i="32" s="1"/>
  <c r="O32" i="32"/>
  <c r="H32" i="32"/>
  <c r="G32" i="32"/>
  <c r="I32" i="32" s="1"/>
  <c r="F32" i="32"/>
  <c r="E32" i="32"/>
  <c r="S31" i="32"/>
  <c r="R31" i="32"/>
  <c r="O31" i="32"/>
  <c r="H31" i="32"/>
  <c r="G31" i="32"/>
  <c r="I31" i="32" s="1"/>
  <c r="F31" i="32"/>
  <c r="E31" i="32"/>
  <c r="S30" i="32"/>
  <c r="R30" i="32"/>
  <c r="O30" i="32"/>
  <c r="H30" i="32"/>
  <c r="G30" i="32"/>
  <c r="I30" i="32" s="1"/>
  <c r="F30" i="32"/>
  <c r="E30" i="32"/>
  <c r="R29" i="32"/>
  <c r="S29" i="32" s="1"/>
  <c r="O29" i="32"/>
  <c r="H29" i="32"/>
  <c r="G29" i="32"/>
  <c r="F29" i="32"/>
  <c r="E29" i="32"/>
  <c r="Q25" i="32"/>
  <c r="P25" i="32"/>
  <c r="N25" i="32"/>
  <c r="M25" i="32"/>
  <c r="L25" i="32"/>
  <c r="H25" i="32"/>
  <c r="D25" i="32"/>
  <c r="S24" i="32"/>
  <c r="R24" i="32"/>
  <c r="O24" i="32"/>
  <c r="H24" i="32"/>
  <c r="G24" i="32"/>
  <c r="I24" i="32" s="1"/>
  <c r="F24" i="32"/>
  <c r="E24" i="32"/>
  <c r="R23" i="32"/>
  <c r="S23" i="32" s="1"/>
  <c r="O23" i="32"/>
  <c r="H23" i="32"/>
  <c r="G23" i="32"/>
  <c r="I23" i="32" s="1"/>
  <c r="F23" i="32"/>
  <c r="E23" i="32"/>
  <c r="R22" i="32"/>
  <c r="O22" i="32"/>
  <c r="H22" i="32"/>
  <c r="G22" i="32"/>
  <c r="I22" i="32" s="1"/>
  <c r="F22" i="32"/>
  <c r="E22" i="32"/>
  <c r="S21" i="32"/>
  <c r="R21" i="32"/>
  <c r="O21" i="32"/>
  <c r="H21" i="32"/>
  <c r="G21" i="32"/>
  <c r="I21" i="32" s="1"/>
  <c r="F21" i="32"/>
  <c r="E21" i="32"/>
  <c r="S20" i="32"/>
  <c r="R20" i="32"/>
  <c r="R78" i="32" s="1"/>
  <c r="S78" i="32" s="1"/>
  <c r="O20" i="32"/>
  <c r="O78" i="32" s="1"/>
  <c r="P78" i="32" s="1"/>
  <c r="H20" i="32"/>
  <c r="G20" i="32"/>
  <c r="I20" i="32" s="1"/>
  <c r="F20" i="32"/>
  <c r="E20" i="32"/>
  <c r="S19" i="32"/>
  <c r="R19" i="32"/>
  <c r="O19" i="32"/>
  <c r="H19" i="32"/>
  <c r="G19" i="32"/>
  <c r="I19" i="32" s="1"/>
  <c r="F19" i="32"/>
  <c r="E19" i="32"/>
  <c r="R18" i="32"/>
  <c r="S18" i="32" s="1"/>
  <c r="O18" i="32"/>
  <c r="H18" i="32"/>
  <c r="G18" i="32"/>
  <c r="I18" i="32" s="1"/>
  <c r="F18" i="32"/>
  <c r="E18" i="32"/>
  <c r="S17" i="32"/>
  <c r="R17" i="32"/>
  <c r="O17" i="32"/>
  <c r="H17" i="32"/>
  <c r="G17" i="32"/>
  <c r="I17" i="32" s="1"/>
  <c r="F17" i="32"/>
  <c r="E17" i="32"/>
  <c r="R16" i="32"/>
  <c r="S16" i="32" s="1"/>
  <c r="O16" i="32"/>
  <c r="O73" i="32" s="1"/>
  <c r="P73" i="32" s="1"/>
  <c r="H16" i="32"/>
  <c r="G16" i="32"/>
  <c r="I16" i="32" s="1"/>
  <c r="F16" i="32"/>
  <c r="E16" i="32"/>
  <c r="S15" i="32"/>
  <c r="R15" i="32"/>
  <c r="R72" i="32" s="1"/>
  <c r="O15" i="32"/>
  <c r="O72" i="32" s="1"/>
  <c r="P72" i="32" s="1"/>
  <c r="H15" i="32"/>
  <c r="G15" i="32"/>
  <c r="I15" i="32" s="1"/>
  <c r="F15" i="32"/>
  <c r="E15" i="32"/>
  <c r="R14" i="32"/>
  <c r="O14" i="32"/>
  <c r="O71" i="32" s="1"/>
  <c r="P71" i="32" s="1"/>
  <c r="H14" i="32"/>
  <c r="G14" i="32"/>
  <c r="I14" i="32" s="1"/>
  <c r="F14" i="32"/>
  <c r="E14" i="32"/>
  <c r="S13" i="32"/>
  <c r="R13" i="32"/>
  <c r="O13" i="32"/>
  <c r="O70" i="32" s="1"/>
  <c r="H13" i="32"/>
  <c r="G13" i="32"/>
  <c r="I13" i="32" s="1"/>
  <c r="F13" i="32"/>
  <c r="E13" i="32"/>
  <c r="S12" i="32"/>
  <c r="R12" i="32"/>
  <c r="R69" i="32" s="1"/>
  <c r="S69" i="32" s="1"/>
  <c r="O12" i="32"/>
  <c r="O69" i="32" s="1"/>
  <c r="P69" i="32" s="1"/>
  <c r="H12" i="32"/>
  <c r="G12" i="32"/>
  <c r="I12" i="32" s="1"/>
  <c r="F12" i="32"/>
  <c r="E12" i="32"/>
  <c r="S11" i="32"/>
  <c r="R11" i="32"/>
  <c r="R68" i="32" s="1"/>
  <c r="S68" i="32" s="1"/>
  <c r="O11" i="32"/>
  <c r="H11" i="32"/>
  <c r="G11" i="32"/>
  <c r="I11" i="32" s="1"/>
  <c r="F11" i="32"/>
  <c r="E11" i="32"/>
  <c r="R10" i="32"/>
  <c r="O10" i="32"/>
  <c r="H10" i="32"/>
  <c r="G10" i="32"/>
  <c r="I10" i="32" s="1"/>
  <c r="F10" i="32"/>
  <c r="E10" i="32"/>
  <c r="R9" i="32"/>
  <c r="R66" i="32" s="1"/>
  <c r="O9" i="32"/>
  <c r="O66" i="32" s="1"/>
  <c r="P66" i="32" s="1"/>
  <c r="H9" i="32"/>
  <c r="G9" i="32"/>
  <c r="I9" i="32" s="1"/>
  <c r="F9" i="32"/>
  <c r="E9" i="32"/>
  <c r="R8" i="32"/>
  <c r="S8" i="32" s="1"/>
  <c r="O8" i="32"/>
  <c r="H8" i="32"/>
  <c r="G8" i="32"/>
  <c r="I8" i="32" s="1"/>
  <c r="F8" i="32"/>
  <c r="E8" i="32"/>
  <c r="S7" i="32"/>
  <c r="R7" i="32"/>
  <c r="O7" i="32"/>
  <c r="O64" i="32" s="1"/>
  <c r="P64" i="32" s="1"/>
  <c r="H7" i="32"/>
  <c r="G7" i="32"/>
  <c r="I7" i="32" s="1"/>
  <c r="F7" i="32"/>
  <c r="E7" i="32"/>
  <c r="R6" i="32"/>
  <c r="S6" i="32" s="1"/>
  <c r="O6" i="32"/>
  <c r="H6" i="32"/>
  <c r="G6" i="32"/>
  <c r="I6" i="32" s="1"/>
  <c r="F6" i="32"/>
  <c r="E6" i="32"/>
  <c r="S5" i="32"/>
  <c r="R5" i="32"/>
  <c r="O5" i="32"/>
  <c r="H5" i="32"/>
  <c r="G5" i="32"/>
  <c r="I5" i="32" s="1"/>
  <c r="F5" i="32"/>
  <c r="E5" i="32"/>
  <c r="R4" i="32"/>
  <c r="O4" i="32"/>
  <c r="O62" i="32" s="1"/>
  <c r="P62" i="32" s="1"/>
  <c r="H4" i="32"/>
  <c r="G4" i="32"/>
  <c r="I4" i="32" s="1"/>
  <c r="F4" i="32"/>
  <c r="E4" i="32"/>
  <c r="R3" i="32"/>
  <c r="O3" i="32"/>
  <c r="O61" i="32" s="1"/>
  <c r="H3" i="32"/>
  <c r="G3" i="32"/>
  <c r="I3" i="32" s="1"/>
  <c r="F3" i="32"/>
  <c r="E3" i="32"/>
  <c r="S2" i="32"/>
  <c r="R2" i="32"/>
  <c r="Q2" i="32"/>
  <c r="P2" i="32"/>
  <c r="O2" i="32"/>
  <c r="N2" i="32"/>
  <c r="M2" i="32"/>
  <c r="L2" i="32"/>
  <c r="R87" i="31"/>
  <c r="Q87" i="31"/>
  <c r="P87" i="31"/>
  <c r="O87" i="31"/>
  <c r="N87" i="31"/>
  <c r="M87" i="31"/>
  <c r="L87" i="31"/>
  <c r="S82" i="31"/>
  <c r="R82" i="31"/>
  <c r="Q82" i="31"/>
  <c r="P82" i="31"/>
  <c r="O82" i="31"/>
  <c r="N82" i="31"/>
  <c r="M82" i="31"/>
  <c r="L82" i="31"/>
  <c r="J82" i="31"/>
  <c r="D82" i="31"/>
  <c r="G81" i="31"/>
  <c r="F81" i="31"/>
  <c r="F82" i="31" s="1"/>
  <c r="E81" i="31"/>
  <c r="E82" i="31" s="1"/>
  <c r="J78" i="31"/>
  <c r="J84" i="31" s="1"/>
  <c r="O75" i="31"/>
  <c r="N75" i="31"/>
  <c r="M75" i="31"/>
  <c r="J75" i="31"/>
  <c r="Q74" i="31"/>
  <c r="P74" i="31"/>
  <c r="O74" i="31"/>
  <c r="N74" i="31"/>
  <c r="M74" i="31"/>
  <c r="L74" i="31"/>
  <c r="D74" i="31"/>
  <c r="G74" i="31" s="1"/>
  <c r="R73" i="31"/>
  <c r="Q73" i="31"/>
  <c r="P73" i="31"/>
  <c r="P75" i="31" s="1"/>
  <c r="O73" i="31"/>
  <c r="N73" i="31"/>
  <c r="M73" i="31"/>
  <c r="L73" i="31"/>
  <c r="L75" i="31" s="1"/>
  <c r="D73" i="31"/>
  <c r="E73" i="31" s="1"/>
  <c r="J71" i="31"/>
  <c r="S70" i="31"/>
  <c r="R70" i="31"/>
  <c r="Q70" i="31"/>
  <c r="O70" i="31"/>
  <c r="N70" i="31"/>
  <c r="P70" i="31" s="1"/>
  <c r="M70" i="31"/>
  <c r="L70" i="31"/>
  <c r="G70" i="31"/>
  <c r="F70" i="31"/>
  <c r="E70" i="31"/>
  <c r="D70" i="31"/>
  <c r="Q69" i="31"/>
  <c r="N69" i="31"/>
  <c r="M69" i="31"/>
  <c r="L69" i="31"/>
  <c r="E69" i="31"/>
  <c r="D69" i="31"/>
  <c r="Q68" i="31"/>
  <c r="O68" i="31"/>
  <c r="P68" i="31" s="1"/>
  <c r="N68" i="31"/>
  <c r="M68" i="31"/>
  <c r="L68" i="31"/>
  <c r="D68" i="31"/>
  <c r="Q67" i="31"/>
  <c r="P67" i="31"/>
  <c r="N67" i="31"/>
  <c r="M67" i="31"/>
  <c r="L67" i="31"/>
  <c r="G67" i="31"/>
  <c r="F67" i="31"/>
  <c r="E67" i="31"/>
  <c r="D67" i="31"/>
  <c r="Q66" i="31"/>
  <c r="N66" i="31"/>
  <c r="M66" i="31"/>
  <c r="L66" i="31"/>
  <c r="G66" i="31"/>
  <c r="D66" i="31"/>
  <c r="F66" i="31" s="1"/>
  <c r="R65" i="31"/>
  <c r="Q65" i="31"/>
  <c r="N65" i="31"/>
  <c r="M65" i="31"/>
  <c r="L65" i="31"/>
  <c r="G65" i="31"/>
  <c r="I65" i="31" s="1"/>
  <c r="F65" i="31"/>
  <c r="E65" i="31"/>
  <c r="D65" i="31"/>
  <c r="Q64" i="31"/>
  <c r="N64" i="31"/>
  <c r="M64" i="31"/>
  <c r="L64" i="31"/>
  <c r="G64" i="31"/>
  <c r="F64" i="31"/>
  <c r="E64" i="31"/>
  <c r="D64" i="31"/>
  <c r="Q63" i="31"/>
  <c r="O63" i="31"/>
  <c r="P63" i="31" s="1"/>
  <c r="N63" i="31"/>
  <c r="M63" i="31"/>
  <c r="L63" i="31"/>
  <c r="D63" i="31"/>
  <c r="Q62" i="31"/>
  <c r="N62" i="31"/>
  <c r="M62" i="31"/>
  <c r="L62" i="31"/>
  <c r="D62" i="31"/>
  <c r="R61" i="31"/>
  <c r="S61" i="31" s="1"/>
  <c r="Q61" i="31"/>
  <c r="P61" i="31"/>
  <c r="N61" i="31"/>
  <c r="M61" i="31"/>
  <c r="L61" i="31"/>
  <c r="E61" i="31"/>
  <c r="D61" i="31"/>
  <c r="Q60" i="31"/>
  <c r="P60" i="31"/>
  <c r="O60" i="31"/>
  <c r="N60" i="31"/>
  <c r="M60" i="31"/>
  <c r="L60" i="31"/>
  <c r="G60" i="31"/>
  <c r="F60" i="31"/>
  <c r="E60" i="31"/>
  <c r="D60" i="31"/>
  <c r="Q59" i="31"/>
  <c r="O59" i="31"/>
  <c r="P59" i="31" s="1"/>
  <c r="N59" i="31"/>
  <c r="M59" i="31"/>
  <c r="L59" i="31"/>
  <c r="G59" i="31"/>
  <c r="F59" i="31"/>
  <c r="E59" i="31"/>
  <c r="D59" i="31"/>
  <c r="Q58" i="31"/>
  <c r="N58" i="31"/>
  <c r="M58" i="31"/>
  <c r="L58" i="31"/>
  <c r="G58" i="31"/>
  <c r="F58" i="31"/>
  <c r="E58" i="31"/>
  <c r="D58" i="31"/>
  <c r="S57" i="31"/>
  <c r="Q57" i="31"/>
  <c r="N57" i="31"/>
  <c r="M57" i="31"/>
  <c r="L57" i="31"/>
  <c r="G57" i="31"/>
  <c r="D57" i="31"/>
  <c r="Q56" i="31"/>
  <c r="P56" i="31"/>
  <c r="N56" i="31"/>
  <c r="M56" i="31"/>
  <c r="L56" i="31"/>
  <c r="D56" i="31"/>
  <c r="R55" i="31"/>
  <c r="S55" i="31" s="1"/>
  <c r="Q55" i="31"/>
  <c r="P55" i="31"/>
  <c r="N55" i="31"/>
  <c r="M55" i="31"/>
  <c r="L55" i="31"/>
  <c r="D55" i="31"/>
  <c r="Q54" i="31"/>
  <c r="N54" i="31"/>
  <c r="M54" i="31"/>
  <c r="L54" i="31"/>
  <c r="F54" i="31"/>
  <c r="D54" i="31"/>
  <c r="G54" i="31" s="1"/>
  <c r="I54" i="31" s="1"/>
  <c r="S53" i="31"/>
  <c r="R53" i="31"/>
  <c r="Q53" i="31"/>
  <c r="N53" i="31"/>
  <c r="M53" i="31"/>
  <c r="L53" i="31"/>
  <c r="G53" i="31"/>
  <c r="I53" i="31" s="1"/>
  <c r="E53" i="31"/>
  <c r="D53" i="31"/>
  <c r="F53" i="31" s="1"/>
  <c r="Q49" i="31"/>
  <c r="N49" i="31"/>
  <c r="M49" i="31"/>
  <c r="L49" i="31"/>
  <c r="D49" i="31"/>
  <c r="R48" i="31"/>
  <c r="R49" i="31" s="1"/>
  <c r="O48" i="31"/>
  <c r="G48" i="31"/>
  <c r="H48" i="31" s="1"/>
  <c r="F48" i="31"/>
  <c r="E48" i="31"/>
  <c r="R47" i="31"/>
  <c r="O47" i="31"/>
  <c r="O49" i="31" s="1"/>
  <c r="G47" i="31"/>
  <c r="I47" i="31" s="1"/>
  <c r="F47" i="31"/>
  <c r="E47" i="31"/>
  <c r="E49" i="31" s="1"/>
  <c r="Q44" i="31"/>
  <c r="N44" i="31"/>
  <c r="M44" i="31"/>
  <c r="L44" i="31"/>
  <c r="D44" i="31"/>
  <c r="R43" i="31"/>
  <c r="O43" i="31"/>
  <c r="G43" i="31"/>
  <c r="I43" i="31" s="1"/>
  <c r="F43" i="31"/>
  <c r="E43" i="31"/>
  <c r="R42" i="31"/>
  <c r="O42" i="31"/>
  <c r="I42" i="31"/>
  <c r="G42" i="31"/>
  <c r="H42" i="31" s="1"/>
  <c r="F42" i="31"/>
  <c r="E42" i="31"/>
  <c r="G41" i="31"/>
  <c r="F41" i="31"/>
  <c r="E41" i="31"/>
  <c r="R40" i="31"/>
  <c r="R69" i="31" s="1"/>
  <c r="S69" i="31" s="1"/>
  <c r="O40" i="31"/>
  <c r="O69" i="31" s="1"/>
  <c r="P69" i="31" s="1"/>
  <c r="G40" i="31"/>
  <c r="I40" i="31" s="1"/>
  <c r="F40" i="31"/>
  <c r="E40" i="31"/>
  <c r="R39" i="31"/>
  <c r="O39" i="31"/>
  <c r="G39" i="31"/>
  <c r="F39" i="31"/>
  <c r="E39" i="31"/>
  <c r="R38" i="31"/>
  <c r="R67" i="31" s="1"/>
  <c r="S67" i="31" s="1"/>
  <c r="O38" i="31"/>
  <c r="O67" i="31" s="1"/>
  <c r="G38" i="31"/>
  <c r="F38" i="31"/>
  <c r="E38" i="31"/>
  <c r="R37" i="31"/>
  <c r="O37" i="31"/>
  <c r="G37" i="31"/>
  <c r="F37" i="31"/>
  <c r="E37" i="31"/>
  <c r="R36" i="31"/>
  <c r="O36" i="31"/>
  <c r="O65" i="31" s="1"/>
  <c r="P65" i="31" s="1"/>
  <c r="G36" i="31"/>
  <c r="H36" i="31" s="1"/>
  <c r="F36" i="31"/>
  <c r="E36" i="31"/>
  <c r="R35" i="31"/>
  <c r="O35" i="31"/>
  <c r="G35" i="31"/>
  <c r="F35" i="31"/>
  <c r="E35" i="31"/>
  <c r="R34" i="31"/>
  <c r="R63" i="31" s="1"/>
  <c r="S63" i="31" s="1"/>
  <c r="O34" i="31"/>
  <c r="G34" i="31"/>
  <c r="I34" i="31" s="1"/>
  <c r="F34" i="31"/>
  <c r="E34" i="31"/>
  <c r="R33" i="31"/>
  <c r="O33" i="31"/>
  <c r="O62" i="31" s="1"/>
  <c r="P62" i="31" s="1"/>
  <c r="G33" i="31"/>
  <c r="F33" i="31"/>
  <c r="E33" i="31"/>
  <c r="R32" i="31"/>
  <c r="O32" i="31"/>
  <c r="G32" i="31"/>
  <c r="I32" i="31" s="1"/>
  <c r="F32" i="31"/>
  <c r="E32" i="31"/>
  <c r="R31" i="31"/>
  <c r="R60" i="31" s="1"/>
  <c r="S60" i="31" s="1"/>
  <c r="O31" i="31"/>
  <c r="G31" i="31"/>
  <c r="I31" i="31" s="1"/>
  <c r="F31" i="31"/>
  <c r="E31" i="31"/>
  <c r="R30" i="31"/>
  <c r="O30" i="31"/>
  <c r="G30" i="31"/>
  <c r="F30" i="31"/>
  <c r="E30" i="31"/>
  <c r="R29" i="31"/>
  <c r="R58" i="31" s="1"/>
  <c r="S58" i="31" s="1"/>
  <c r="O29" i="31"/>
  <c r="O58" i="31" s="1"/>
  <c r="G29" i="31"/>
  <c r="I29" i="31" s="1"/>
  <c r="F29" i="31"/>
  <c r="E29" i="31"/>
  <c r="R28" i="31"/>
  <c r="O28" i="31"/>
  <c r="G28" i="31"/>
  <c r="H28" i="31" s="1"/>
  <c r="F28" i="31"/>
  <c r="E28" i="31"/>
  <c r="R27" i="31"/>
  <c r="O27" i="31"/>
  <c r="O56" i="31" s="1"/>
  <c r="G27" i="31"/>
  <c r="F27" i="31"/>
  <c r="E27" i="31"/>
  <c r="R26" i="31"/>
  <c r="O26" i="31"/>
  <c r="O55" i="31" s="1"/>
  <c r="G26" i="31"/>
  <c r="F26" i="31"/>
  <c r="E26" i="31"/>
  <c r="R25" i="31"/>
  <c r="O25" i="31"/>
  <c r="O54" i="31" s="1"/>
  <c r="P54" i="31" s="1"/>
  <c r="G25" i="31"/>
  <c r="I25" i="31" s="1"/>
  <c r="F25" i="31"/>
  <c r="E25" i="31"/>
  <c r="R24" i="31"/>
  <c r="O24" i="31"/>
  <c r="G24" i="31"/>
  <c r="I24" i="31" s="1"/>
  <c r="F24" i="31"/>
  <c r="E24" i="31"/>
  <c r="Q20" i="31"/>
  <c r="N20" i="31"/>
  <c r="M20" i="31"/>
  <c r="L20" i="31"/>
  <c r="D20" i="31"/>
  <c r="R19" i="31"/>
  <c r="O19" i="31"/>
  <c r="G19" i="31"/>
  <c r="F19" i="31"/>
  <c r="E19" i="31"/>
  <c r="R18" i="31"/>
  <c r="O18" i="31"/>
  <c r="I18" i="31"/>
  <c r="H18" i="31"/>
  <c r="G18" i="31"/>
  <c r="F18" i="31"/>
  <c r="E18" i="31"/>
  <c r="R17" i="31"/>
  <c r="O17" i="31"/>
  <c r="G17" i="31"/>
  <c r="F17" i="31"/>
  <c r="E17" i="31"/>
  <c r="R16" i="31"/>
  <c r="R66" i="31" s="1"/>
  <c r="S66" i="31" s="1"/>
  <c r="O16" i="31"/>
  <c r="O66" i="31" s="1"/>
  <c r="P66" i="31" s="1"/>
  <c r="I16" i="31"/>
  <c r="H16" i="31"/>
  <c r="G16" i="31"/>
  <c r="F16" i="31"/>
  <c r="E16" i="31"/>
  <c r="R15" i="31"/>
  <c r="O15" i="31"/>
  <c r="G15" i="31"/>
  <c r="F15" i="31"/>
  <c r="E15" i="31"/>
  <c r="R14" i="31"/>
  <c r="O14" i="31"/>
  <c r="I14" i="31"/>
  <c r="H14" i="31"/>
  <c r="G14" i="31"/>
  <c r="F14" i="31"/>
  <c r="E14" i="31"/>
  <c r="R13" i="31"/>
  <c r="O13" i="31"/>
  <c r="G13" i="31"/>
  <c r="H13" i="31" s="1"/>
  <c r="F13" i="31"/>
  <c r="E13" i="31"/>
  <c r="R12" i="31"/>
  <c r="O12" i="31"/>
  <c r="G12" i="31"/>
  <c r="F12" i="31"/>
  <c r="E12" i="31"/>
  <c r="R11" i="31"/>
  <c r="O11" i="31"/>
  <c r="O61" i="31" s="1"/>
  <c r="G11" i="31"/>
  <c r="I11" i="31" s="1"/>
  <c r="F11" i="31"/>
  <c r="E11" i="31"/>
  <c r="R10" i="31"/>
  <c r="O10" i="31"/>
  <c r="G10" i="31"/>
  <c r="F10" i="31"/>
  <c r="E10" i="31"/>
  <c r="R9" i="31"/>
  <c r="R59" i="31" s="1"/>
  <c r="S59" i="31" s="1"/>
  <c r="O9" i="31"/>
  <c r="G9" i="31"/>
  <c r="I9" i="31" s="1"/>
  <c r="F9" i="31"/>
  <c r="E9" i="31"/>
  <c r="R8" i="31"/>
  <c r="O8" i="31"/>
  <c r="G8" i="31"/>
  <c r="F8" i="31"/>
  <c r="E8" i="31"/>
  <c r="R7" i="31"/>
  <c r="R57" i="31" s="1"/>
  <c r="O7" i="31"/>
  <c r="G7" i="31"/>
  <c r="H7" i="31" s="1"/>
  <c r="F7" i="31"/>
  <c r="E7" i="31"/>
  <c r="R6" i="31"/>
  <c r="O6" i="31"/>
  <c r="G6" i="31"/>
  <c r="F6" i="31"/>
  <c r="E6" i="31"/>
  <c r="R5" i="31"/>
  <c r="O5" i="31"/>
  <c r="G5" i="31"/>
  <c r="F5" i="31"/>
  <c r="E5" i="31"/>
  <c r="R4" i="31"/>
  <c r="O4" i="31"/>
  <c r="G4" i="31"/>
  <c r="F4" i="31"/>
  <c r="F20" i="31" s="1"/>
  <c r="E4" i="31"/>
  <c r="E20" i="31" s="1"/>
  <c r="S36" i="30"/>
  <c r="P36" i="30"/>
  <c r="M36" i="30"/>
  <c r="S35" i="30"/>
  <c r="Q33" i="30"/>
  <c r="M33" i="30"/>
  <c r="J33" i="30"/>
  <c r="R31" i="30"/>
  <c r="R33" i="30" s="1"/>
  <c r="Q31" i="30"/>
  <c r="P31" i="30"/>
  <c r="O31" i="30"/>
  <c r="N31" i="30"/>
  <c r="M31" i="30"/>
  <c r="L31" i="30"/>
  <c r="L33" i="30" s="1"/>
  <c r="J31" i="30"/>
  <c r="F31" i="30"/>
  <c r="D31" i="30"/>
  <c r="S30" i="30"/>
  <c r="P30" i="30"/>
  <c r="G30" i="30"/>
  <c r="F30" i="30"/>
  <c r="E30" i="30"/>
  <c r="S29" i="30"/>
  <c r="P29" i="30"/>
  <c r="G29" i="30"/>
  <c r="F29" i="30"/>
  <c r="E29" i="30"/>
  <c r="S28" i="30"/>
  <c r="P28" i="30"/>
  <c r="G28" i="30"/>
  <c r="I28" i="30" s="1"/>
  <c r="F28" i="30"/>
  <c r="E28" i="30"/>
  <c r="S27" i="30"/>
  <c r="P27" i="30"/>
  <c r="G27" i="30"/>
  <c r="G31" i="30" s="1"/>
  <c r="F27" i="30"/>
  <c r="E27" i="30"/>
  <c r="E31" i="30" s="1"/>
  <c r="R24" i="30"/>
  <c r="Q24" i="30"/>
  <c r="O24" i="30"/>
  <c r="O33" i="30" s="1"/>
  <c r="N24" i="30"/>
  <c r="O36" i="30" s="1"/>
  <c r="M24" i="30"/>
  <c r="N36" i="30" s="1"/>
  <c r="L24" i="30"/>
  <c r="J24" i="30"/>
  <c r="D24" i="30"/>
  <c r="D33" i="30" s="1"/>
  <c r="S23" i="30"/>
  <c r="P23" i="30"/>
  <c r="H23" i="30"/>
  <c r="G23" i="30"/>
  <c r="I23" i="30" s="1"/>
  <c r="F23" i="30"/>
  <c r="E23" i="30"/>
  <c r="S22" i="30"/>
  <c r="P22" i="30"/>
  <c r="H22" i="30"/>
  <c r="G22" i="30"/>
  <c r="I22" i="30" s="1"/>
  <c r="F22" i="30"/>
  <c r="E22" i="30"/>
  <c r="S21" i="30"/>
  <c r="P21" i="30"/>
  <c r="H21" i="30"/>
  <c r="G21" i="30"/>
  <c r="I21" i="30" s="1"/>
  <c r="F21" i="30"/>
  <c r="E21" i="30"/>
  <c r="S20" i="30"/>
  <c r="P20" i="30"/>
  <c r="I20" i="30"/>
  <c r="H20" i="30"/>
  <c r="G20" i="30"/>
  <c r="F20" i="30"/>
  <c r="E20" i="30"/>
  <c r="S19" i="30"/>
  <c r="P19" i="30"/>
  <c r="H19" i="30"/>
  <c r="G19" i="30"/>
  <c r="I19" i="30" s="1"/>
  <c r="F19" i="30"/>
  <c r="E19" i="30"/>
  <c r="S18" i="30"/>
  <c r="P18" i="30"/>
  <c r="H18" i="30"/>
  <c r="G18" i="30"/>
  <c r="I18" i="30" s="1"/>
  <c r="F18" i="30"/>
  <c r="E18" i="30"/>
  <c r="S17" i="30"/>
  <c r="P17" i="30"/>
  <c r="H17" i="30"/>
  <c r="G17" i="30"/>
  <c r="I17" i="30" s="1"/>
  <c r="F17" i="30"/>
  <c r="E17" i="30"/>
  <c r="S16" i="30"/>
  <c r="P16" i="30"/>
  <c r="H16" i="30"/>
  <c r="G16" i="30"/>
  <c r="I16" i="30" s="1"/>
  <c r="F16" i="30"/>
  <c r="E16" i="30"/>
  <c r="S15" i="30"/>
  <c r="P15" i="30"/>
  <c r="H15" i="30"/>
  <c r="G15" i="30"/>
  <c r="I15" i="30" s="1"/>
  <c r="F15" i="30"/>
  <c r="F24" i="30" s="1"/>
  <c r="E15" i="30"/>
  <c r="S14" i="30"/>
  <c r="P14" i="30"/>
  <c r="H14" i="30"/>
  <c r="G14" i="30"/>
  <c r="I14" i="30" s="1"/>
  <c r="F14" i="30"/>
  <c r="E14" i="30"/>
  <c r="S13" i="30"/>
  <c r="P13" i="30"/>
  <c r="H13" i="30"/>
  <c r="G13" i="30"/>
  <c r="I13" i="30" s="1"/>
  <c r="F13" i="30"/>
  <c r="E13" i="30"/>
  <c r="S12" i="30"/>
  <c r="P12" i="30"/>
  <c r="H12" i="30"/>
  <c r="G12" i="30"/>
  <c r="I12" i="30" s="1"/>
  <c r="F12" i="30"/>
  <c r="E12" i="30"/>
  <c r="S11" i="30"/>
  <c r="P11" i="30"/>
  <c r="H11" i="30"/>
  <c r="G11" i="30"/>
  <c r="I11" i="30" s="1"/>
  <c r="F11" i="30"/>
  <c r="E11" i="30"/>
  <c r="S10" i="30"/>
  <c r="P10" i="30"/>
  <c r="H10" i="30"/>
  <c r="G10" i="30"/>
  <c r="I10" i="30" s="1"/>
  <c r="F10" i="30"/>
  <c r="E10" i="30"/>
  <c r="S9" i="30"/>
  <c r="P9" i="30"/>
  <c r="H9" i="30"/>
  <c r="G9" i="30"/>
  <c r="I9" i="30" s="1"/>
  <c r="F9" i="30"/>
  <c r="E9" i="30"/>
  <c r="S8" i="30"/>
  <c r="P8" i="30"/>
  <c r="H8" i="30"/>
  <c r="G8" i="30"/>
  <c r="I8" i="30" s="1"/>
  <c r="F8" i="30"/>
  <c r="E8" i="30"/>
  <c r="S7" i="30"/>
  <c r="P7" i="30"/>
  <c r="H7" i="30"/>
  <c r="G7" i="30"/>
  <c r="I7" i="30" s="1"/>
  <c r="F7" i="30"/>
  <c r="E7" i="30"/>
  <c r="S6" i="30"/>
  <c r="P6" i="30"/>
  <c r="H6" i="30"/>
  <c r="G6" i="30"/>
  <c r="I6" i="30" s="1"/>
  <c r="F6" i="30"/>
  <c r="E6" i="30"/>
  <c r="R24" i="28"/>
  <c r="P24" i="28"/>
  <c r="O24" i="28"/>
  <c r="N24" i="28"/>
  <c r="M24" i="28"/>
  <c r="Q21" i="28"/>
  <c r="J21" i="28"/>
  <c r="R19" i="28"/>
  <c r="Q19" i="28"/>
  <c r="O19" i="28"/>
  <c r="N19" i="28"/>
  <c r="N21" i="28" s="1"/>
  <c r="M19" i="28"/>
  <c r="M21" i="28" s="1"/>
  <c r="L19" i="28"/>
  <c r="L21" i="28" s="1"/>
  <c r="J19" i="28"/>
  <c r="D19" i="28"/>
  <c r="D21" i="28" s="1"/>
  <c r="S18" i="28"/>
  <c r="S19" i="28" s="1"/>
  <c r="P18" i="28"/>
  <c r="P19" i="28" s="1"/>
  <c r="G18" i="28"/>
  <c r="F18" i="28"/>
  <c r="F19" i="28" s="1"/>
  <c r="E18" i="28"/>
  <c r="E19" i="28" s="1"/>
  <c r="S15" i="28"/>
  <c r="S21" i="28" s="1"/>
  <c r="R15" i="28"/>
  <c r="Q15" i="28"/>
  <c r="P15" i="28"/>
  <c r="Q24" i="28" s="1"/>
  <c r="O15" i="28"/>
  <c r="N15" i="28"/>
  <c r="M15" i="28"/>
  <c r="L15" i="28"/>
  <c r="J15" i="28"/>
  <c r="I15" i="28"/>
  <c r="G15" i="28"/>
  <c r="H15" i="28" s="1"/>
  <c r="F15" i="28"/>
  <c r="E15" i="28"/>
  <c r="D15" i="28"/>
  <c r="R200" i="24"/>
  <c r="S199" i="24"/>
  <c r="R199" i="24"/>
  <c r="Q199" i="24"/>
  <c r="P199" i="24"/>
  <c r="O199" i="24"/>
  <c r="M199" i="24"/>
  <c r="R197" i="24"/>
  <c r="J197" i="24"/>
  <c r="R195" i="24"/>
  <c r="Q195" i="24"/>
  <c r="O195" i="24"/>
  <c r="O197" i="24" s="1"/>
  <c r="N195" i="24"/>
  <c r="M195" i="24"/>
  <c r="L195" i="24"/>
  <c r="J195" i="24"/>
  <c r="D195" i="24"/>
  <c r="S194" i="24"/>
  <c r="O194" i="24"/>
  <c r="P194" i="24" s="1"/>
  <c r="G194" i="24"/>
  <c r="H194" i="24" s="1"/>
  <c r="F194" i="24"/>
  <c r="E194" i="24"/>
  <c r="S193" i="24"/>
  <c r="P193" i="24"/>
  <c r="G193" i="24"/>
  <c r="I193" i="24" s="1"/>
  <c r="F193" i="24"/>
  <c r="E193" i="24"/>
  <c r="S192" i="24"/>
  <c r="P192" i="24"/>
  <c r="G192" i="24"/>
  <c r="F192" i="24"/>
  <c r="E192" i="24"/>
  <c r="S191" i="24"/>
  <c r="P191" i="24"/>
  <c r="G191" i="24"/>
  <c r="I191" i="24" s="1"/>
  <c r="F191" i="24"/>
  <c r="E191" i="24"/>
  <c r="S190" i="24"/>
  <c r="P190" i="24"/>
  <c r="G190" i="24"/>
  <c r="I190" i="24" s="1"/>
  <c r="F190" i="24"/>
  <c r="E190" i="24"/>
  <c r="S189" i="24"/>
  <c r="P189" i="24"/>
  <c r="G189" i="24"/>
  <c r="F189" i="24"/>
  <c r="E189" i="24"/>
  <c r="S188" i="24"/>
  <c r="P188" i="24"/>
  <c r="G188" i="24"/>
  <c r="I188" i="24" s="1"/>
  <c r="F188" i="24"/>
  <c r="E188" i="24"/>
  <c r="S187" i="24"/>
  <c r="O187" i="24"/>
  <c r="P187" i="24" s="1"/>
  <c r="G187" i="24"/>
  <c r="F187" i="24"/>
  <c r="E187" i="24"/>
  <c r="S186" i="24"/>
  <c r="P186" i="24"/>
  <c r="G186" i="24"/>
  <c r="F186" i="24"/>
  <c r="E186" i="24"/>
  <c r="S185" i="24"/>
  <c r="P185" i="24"/>
  <c r="G185" i="24"/>
  <c r="F185" i="24"/>
  <c r="E185" i="24"/>
  <c r="S184" i="24"/>
  <c r="P184" i="24"/>
  <c r="G184" i="24"/>
  <c r="F184" i="24"/>
  <c r="E184" i="24"/>
  <c r="J181" i="24"/>
  <c r="R179" i="24"/>
  <c r="Q179" i="24"/>
  <c r="O179" i="24"/>
  <c r="N179" i="24"/>
  <c r="M179" i="24"/>
  <c r="L179" i="24"/>
  <c r="J179" i="24"/>
  <c r="I179" i="24"/>
  <c r="G179" i="24"/>
  <c r="H179" i="24" s="1"/>
  <c r="F179" i="24"/>
  <c r="E179" i="24"/>
  <c r="D179" i="24"/>
  <c r="S178" i="24"/>
  <c r="P178" i="24"/>
  <c r="I178" i="24"/>
  <c r="H178" i="24"/>
  <c r="S177" i="24"/>
  <c r="S179" i="24" s="1"/>
  <c r="P177" i="24"/>
  <c r="P179" i="24" s="1"/>
  <c r="I177" i="24"/>
  <c r="H177" i="24"/>
  <c r="R174" i="24"/>
  <c r="R181" i="24" s="1"/>
  <c r="O174" i="24"/>
  <c r="O181" i="24" s="1"/>
  <c r="J174" i="24"/>
  <c r="Q173" i="24"/>
  <c r="S173" i="24" s="1"/>
  <c r="P173" i="24"/>
  <c r="M173" i="24"/>
  <c r="L173" i="24"/>
  <c r="D173" i="24"/>
  <c r="S172" i="24"/>
  <c r="Q172" i="24"/>
  <c r="P172" i="24"/>
  <c r="M172" i="24"/>
  <c r="L172" i="24"/>
  <c r="G172" i="24"/>
  <c r="F172" i="24"/>
  <c r="D172" i="24"/>
  <c r="E172" i="24" s="1"/>
  <c r="S171" i="24"/>
  <c r="Q171" i="24"/>
  <c r="P171" i="24"/>
  <c r="M171" i="24"/>
  <c r="L171" i="24"/>
  <c r="G171" i="24"/>
  <c r="F171" i="24"/>
  <c r="E171" i="24"/>
  <c r="D171" i="24"/>
  <c r="Q170" i="24"/>
  <c r="P170" i="24"/>
  <c r="M170" i="24"/>
  <c r="L170" i="24"/>
  <c r="F170" i="24"/>
  <c r="E170" i="24"/>
  <c r="D170" i="24"/>
  <c r="G170" i="24" s="1"/>
  <c r="Q169" i="24"/>
  <c r="P169" i="24"/>
  <c r="M169" i="24"/>
  <c r="L169" i="24"/>
  <c r="D169" i="24"/>
  <c r="Q168" i="24"/>
  <c r="P168" i="24"/>
  <c r="M168" i="24"/>
  <c r="L168" i="24"/>
  <c r="G168" i="24"/>
  <c r="F168" i="24"/>
  <c r="D168" i="24"/>
  <c r="E168" i="24" s="1"/>
  <c r="S167" i="24"/>
  <c r="Q167" i="24"/>
  <c r="P167" i="24"/>
  <c r="M167" i="24"/>
  <c r="L167" i="24"/>
  <c r="G167" i="24"/>
  <c r="I167" i="24" s="1"/>
  <c r="F167" i="24"/>
  <c r="D167" i="24"/>
  <c r="E167" i="24" s="1"/>
  <c r="Q166" i="24"/>
  <c r="P166" i="24"/>
  <c r="M166" i="24"/>
  <c r="L166" i="24"/>
  <c r="F166" i="24"/>
  <c r="D166" i="24"/>
  <c r="G166" i="24" s="1"/>
  <c r="Q165" i="24"/>
  <c r="P165" i="24"/>
  <c r="M165" i="24"/>
  <c r="L165" i="24"/>
  <c r="G165" i="24"/>
  <c r="D165" i="24"/>
  <c r="F165" i="24" s="1"/>
  <c r="Q164" i="24"/>
  <c r="S164" i="24" s="1"/>
  <c r="P164" i="24"/>
  <c r="M164" i="24"/>
  <c r="L164" i="24"/>
  <c r="D164" i="24"/>
  <c r="Q163" i="24"/>
  <c r="P163" i="24"/>
  <c r="M163" i="24"/>
  <c r="L163" i="24"/>
  <c r="G163" i="24"/>
  <c r="I163" i="24" s="1"/>
  <c r="F163" i="24"/>
  <c r="E163" i="24"/>
  <c r="D163" i="24"/>
  <c r="Q162" i="24"/>
  <c r="P162" i="24"/>
  <c r="M162" i="24"/>
  <c r="L162" i="24"/>
  <c r="D162" i="24"/>
  <c r="Q161" i="24"/>
  <c r="S161" i="24" s="1"/>
  <c r="P161" i="24"/>
  <c r="M161" i="24"/>
  <c r="L161" i="24"/>
  <c r="G161" i="24"/>
  <c r="I161" i="24" s="1"/>
  <c r="F161" i="24"/>
  <c r="D161" i="24"/>
  <c r="E161" i="24" s="1"/>
  <c r="S160" i="24"/>
  <c r="Q160" i="24"/>
  <c r="P160" i="24"/>
  <c r="O160" i="24"/>
  <c r="N160" i="24"/>
  <c r="N174" i="24" s="1"/>
  <c r="M160" i="24"/>
  <c r="L160" i="24"/>
  <c r="G160" i="24"/>
  <c r="I160" i="24" s="1"/>
  <c r="E160" i="24"/>
  <c r="D160" i="24"/>
  <c r="F160" i="24" s="1"/>
  <c r="Q159" i="24"/>
  <c r="P159" i="24"/>
  <c r="M159" i="24"/>
  <c r="L159" i="24"/>
  <c r="G159" i="24"/>
  <c r="F159" i="24"/>
  <c r="E159" i="24"/>
  <c r="D159" i="24"/>
  <c r="S158" i="24"/>
  <c r="Q158" i="24"/>
  <c r="P158" i="24"/>
  <c r="M158" i="24"/>
  <c r="L158" i="24"/>
  <c r="E158" i="24"/>
  <c r="D158" i="24"/>
  <c r="G158" i="24" s="1"/>
  <c r="Q157" i="24"/>
  <c r="P157" i="24"/>
  <c r="M157" i="24"/>
  <c r="L157" i="24"/>
  <c r="G157" i="24"/>
  <c r="H157" i="24" s="1"/>
  <c r="D157" i="24"/>
  <c r="S156" i="24"/>
  <c r="Q156" i="24"/>
  <c r="P156" i="24"/>
  <c r="O156" i="24"/>
  <c r="M156" i="24"/>
  <c r="L156" i="24"/>
  <c r="D156" i="24"/>
  <c r="S155" i="24"/>
  <c r="Q155" i="24"/>
  <c r="P155" i="24"/>
  <c r="M155" i="24"/>
  <c r="L155" i="24"/>
  <c r="G155" i="24"/>
  <c r="I155" i="24" s="1"/>
  <c r="F155" i="24"/>
  <c r="D155" i="24"/>
  <c r="E155" i="24" s="1"/>
  <c r="Q154" i="24"/>
  <c r="P154" i="24"/>
  <c r="M154" i="24"/>
  <c r="L154" i="24"/>
  <c r="G154" i="24"/>
  <c r="H154" i="24" s="1"/>
  <c r="F154" i="24"/>
  <c r="E154" i="24"/>
  <c r="D154" i="24"/>
  <c r="Q153" i="24"/>
  <c r="P153" i="24"/>
  <c r="O153" i="24"/>
  <c r="M153" i="24"/>
  <c r="L153" i="24"/>
  <c r="G153" i="24"/>
  <c r="F153" i="24"/>
  <c r="E153" i="24"/>
  <c r="D153" i="24"/>
  <c r="Q152" i="24"/>
  <c r="P152" i="24"/>
  <c r="O152" i="24"/>
  <c r="M152" i="24"/>
  <c r="L152" i="24"/>
  <c r="G152" i="24"/>
  <c r="F152" i="24"/>
  <c r="E152" i="24"/>
  <c r="D152" i="24"/>
  <c r="Q151" i="24"/>
  <c r="P151" i="24"/>
  <c r="M151" i="24"/>
  <c r="L151" i="24"/>
  <c r="G151" i="24"/>
  <c r="H151" i="24" s="1"/>
  <c r="E151" i="24"/>
  <c r="D151" i="24"/>
  <c r="F151" i="24" s="1"/>
  <c r="S150" i="24"/>
  <c r="Q150" i="24"/>
  <c r="P150" i="24"/>
  <c r="M150" i="24"/>
  <c r="L150" i="24"/>
  <c r="D150" i="24"/>
  <c r="Q149" i="24"/>
  <c r="P149" i="24"/>
  <c r="M149" i="24"/>
  <c r="L149" i="24"/>
  <c r="D149" i="24"/>
  <c r="S148" i="24"/>
  <c r="Q148" i="24"/>
  <c r="P148" i="24"/>
  <c r="M148" i="24"/>
  <c r="L148" i="24"/>
  <c r="G148" i="24"/>
  <c r="I148" i="24" s="1"/>
  <c r="E148" i="24"/>
  <c r="D148" i="24"/>
  <c r="F148" i="24" s="1"/>
  <c r="S147" i="24"/>
  <c r="Q147" i="24"/>
  <c r="P147" i="24"/>
  <c r="M147" i="24"/>
  <c r="L147" i="24"/>
  <c r="G147" i="24"/>
  <c r="I147" i="24" s="1"/>
  <c r="F147" i="24"/>
  <c r="D147" i="24"/>
  <c r="E147" i="24" s="1"/>
  <c r="S146" i="24"/>
  <c r="Q146" i="24"/>
  <c r="P146" i="24"/>
  <c r="M146" i="24"/>
  <c r="L146" i="24"/>
  <c r="G146" i="24"/>
  <c r="I146" i="24" s="1"/>
  <c r="F146" i="24"/>
  <c r="E146" i="24"/>
  <c r="D146" i="24"/>
  <c r="S145" i="24"/>
  <c r="Q145" i="24"/>
  <c r="P145" i="24"/>
  <c r="M145" i="24"/>
  <c r="L145" i="24"/>
  <c r="D145" i="24"/>
  <c r="Q144" i="24"/>
  <c r="P144" i="24"/>
  <c r="M144" i="24"/>
  <c r="L144" i="24"/>
  <c r="G144" i="24"/>
  <c r="H144" i="24" s="1"/>
  <c r="F144" i="24"/>
  <c r="D144" i="24"/>
  <c r="E144" i="24" s="1"/>
  <c r="S143" i="24"/>
  <c r="Q143" i="24"/>
  <c r="P143" i="24"/>
  <c r="M143" i="24"/>
  <c r="L143" i="24"/>
  <c r="F143" i="24"/>
  <c r="D143" i="24"/>
  <c r="G143" i="24" s="1"/>
  <c r="Q142" i="24"/>
  <c r="P142" i="24"/>
  <c r="M142" i="24"/>
  <c r="L142" i="24"/>
  <c r="D142" i="24"/>
  <c r="Q141" i="24"/>
  <c r="P141" i="24"/>
  <c r="O141" i="24"/>
  <c r="M141" i="24"/>
  <c r="L141" i="24"/>
  <c r="G141" i="24"/>
  <c r="I141" i="24" s="1"/>
  <c r="F141" i="24"/>
  <c r="D141" i="24"/>
  <c r="E141" i="24" s="1"/>
  <c r="Q140" i="24"/>
  <c r="P140" i="24"/>
  <c r="M140" i="24"/>
  <c r="L140" i="24"/>
  <c r="D140" i="24"/>
  <c r="S139" i="24"/>
  <c r="Q139" i="24"/>
  <c r="P139" i="24"/>
  <c r="M139" i="24"/>
  <c r="L139" i="24"/>
  <c r="D139" i="24"/>
  <c r="Q138" i="24"/>
  <c r="P138" i="24"/>
  <c r="M138" i="24"/>
  <c r="L138" i="24"/>
  <c r="G138" i="24"/>
  <c r="F138" i="24"/>
  <c r="E138" i="24"/>
  <c r="D138" i="24"/>
  <c r="Q137" i="24"/>
  <c r="P137" i="24"/>
  <c r="M137" i="24"/>
  <c r="L137" i="24"/>
  <c r="E137" i="24"/>
  <c r="D137" i="24"/>
  <c r="S136" i="24"/>
  <c r="Q136" i="24"/>
  <c r="P136" i="24"/>
  <c r="M136" i="24"/>
  <c r="L136" i="24"/>
  <c r="F136" i="24"/>
  <c r="D136" i="24"/>
  <c r="Q125" i="24"/>
  <c r="S125" i="24" s="1"/>
  <c r="O125" i="24"/>
  <c r="N125" i="24"/>
  <c r="M125" i="24"/>
  <c r="L125" i="24"/>
  <c r="G125" i="24"/>
  <c r="F125" i="24"/>
  <c r="E125" i="24"/>
  <c r="D125" i="24"/>
  <c r="S124" i="24"/>
  <c r="S123" i="24"/>
  <c r="S122" i="24"/>
  <c r="S121" i="24"/>
  <c r="S120" i="24"/>
  <c r="S119" i="24"/>
  <c r="S118" i="24"/>
  <c r="S117" i="24"/>
  <c r="S116" i="24"/>
  <c r="S115" i="24"/>
  <c r="S114" i="24"/>
  <c r="S113" i="24"/>
  <c r="S112" i="24"/>
  <c r="S111" i="24"/>
  <c r="S110" i="24"/>
  <c r="S109" i="24"/>
  <c r="S108" i="24"/>
  <c r="S107" i="24"/>
  <c r="S106" i="24"/>
  <c r="S105" i="24"/>
  <c r="S104" i="24"/>
  <c r="S103" i="24"/>
  <c r="S102" i="24"/>
  <c r="S101" i="24"/>
  <c r="S100" i="24"/>
  <c r="S99" i="24"/>
  <c r="S98" i="24"/>
  <c r="S97" i="24"/>
  <c r="S96" i="24"/>
  <c r="S95" i="24"/>
  <c r="S94" i="24"/>
  <c r="S93" i="24"/>
  <c r="S92" i="24"/>
  <c r="S91" i="24"/>
  <c r="S90" i="24"/>
  <c r="S89" i="24"/>
  <c r="S88" i="24"/>
  <c r="S87" i="24"/>
  <c r="S86" i="24"/>
  <c r="S85" i="24"/>
  <c r="S84" i="24"/>
  <c r="S83" i="24"/>
  <c r="S82" i="24"/>
  <c r="S81" i="24"/>
  <c r="S80" i="24"/>
  <c r="S79" i="24"/>
  <c r="S78" i="24"/>
  <c r="S77" i="24"/>
  <c r="S76" i="24"/>
  <c r="S75" i="24"/>
  <c r="S74" i="24"/>
  <c r="S73" i="24"/>
  <c r="S72" i="24"/>
  <c r="S71" i="24"/>
  <c r="S70" i="24"/>
  <c r="Q62" i="24"/>
  <c r="S62" i="24" s="1"/>
  <c r="O62" i="24"/>
  <c r="N62" i="24"/>
  <c r="M62" i="24"/>
  <c r="L62" i="24"/>
  <c r="G62" i="24"/>
  <c r="F62" i="24"/>
  <c r="E62" i="24"/>
  <c r="D62" i="24"/>
  <c r="S61" i="24"/>
  <c r="S60" i="24"/>
  <c r="S59" i="24"/>
  <c r="S58" i="24"/>
  <c r="S57" i="24"/>
  <c r="S56" i="24"/>
  <c r="S55" i="24"/>
  <c r="S54" i="24"/>
  <c r="S53" i="24"/>
  <c r="S52" i="24"/>
  <c r="S51" i="24"/>
  <c r="S50" i="24"/>
  <c r="S49" i="24"/>
  <c r="S48" i="24"/>
  <c r="S47" i="24"/>
  <c r="S46" i="24"/>
  <c r="S45" i="24"/>
  <c r="S44" i="24"/>
  <c r="S43" i="24"/>
  <c r="S42" i="24"/>
  <c r="S41" i="24"/>
  <c r="S40" i="24"/>
  <c r="S39" i="24"/>
  <c r="S38" i="24"/>
  <c r="S37" i="24"/>
  <c r="S36" i="24"/>
  <c r="S35" i="24"/>
  <c r="S34" i="24"/>
  <c r="S33" i="24"/>
  <c r="S32" i="24"/>
  <c r="S31" i="24"/>
  <c r="S30" i="24"/>
  <c r="S29" i="24"/>
  <c r="S28" i="24"/>
  <c r="S27" i="24"/>
  <c r="S25" i="24"/>
  <c r="S24" i="24"/>
  <c r="S23" i="24"/>
  <c r="S22" i="24"/>
  <c r="S21" i="24"/>
  <c r="S20" i="24"/>
  <c r="S19" i="24"/>
  <c r="S18" i="24"/>
  <c r="S17" i="24"/>
  <c r="S16" i="24"/>
  <c r="S15" i="24"/>
  <c r="S14" i="24"/>
  <c r="S13" i="24"/>
  <c r="S12" i="24"/>
  <c r="S11" i="24"/>
  <c r="S10" i="24"/>
  <c r="S9" i="24"/>
  <c r="S8" i="24"/>
  <c r="S7" i="24"/>
  <c r="S6" i="24"/>
  <c r="N119" i="23"/>
  <c r="R118" i="23"/>
  <c r="Q118" i="23"/>
  <c r="P118" i="23"/>
  <c r="O118" i="23"/>
  <c r="N118" i="23"/>
  <c r="M118" i="23"/>
  <c r="L118" i="23"/>
  <c r="N116" i="23"/>
  <c r="M116" i="23"/>
  <c r="M119" i="23" s="1"/>
  <c r="L116" i="23"/>
  <c r="L119" i="23" s="1"/>
  <c r="R114" i="23"/>
  <c r="Q114" i="23"/>
  <c r="P114" i="23"/>
  <c r="O114" i="23"/>
  <c r="N114" i="23"/>
  <c r="M114" i="23"/>
  <c r="L114" i="23"/>
  <c r="J114" i="23"/>
  <c r="J116" i="23" s="1"/>
  <c r="D114" i="23"/>
  <c r="S113" i="23"/>
  <c r="S114" i="23" s="1"/>
  <c r="G113" i="23"/>
  <c r="F113" i="23"/>
  <c r="F114" i="23" s="1"/>
  <c r="E113" i="23"/>
  <c r="E114" i="23" s="1"/>
  <c r="Q110" i="23"/>
  <c r="N110" i="23"/>
  <c r="M110" i="23"/>
  <c r="L110" i="23"/>
  <c r="J110" i="23"/>
  <c r="D110" i="23"/>
  <c r="D116" i="23" s="1"/>
  <c r="S109" i="23"/>
  <c r="R109" i="23"/>
  <c r="P109" i="23"/>
  <c r="O109" i="23"/>
  <c r="G109" i="23"/>
  <c r="H109" i="23" s="1"/>
  <c r="F109" i="23"/>
  <c r="E109" i="23"/>
  <c r="R108" i="23"/>
  <c r="S108" i="23" s="1"/>
  <c r="P108" i="23"/>
  <c r="O108" i="23"/>
  <c r="G108" i="23"/>
  <c r="F108" i="23"/>
  <c r="E108" i="23"/>
  <c r="R107" i="23"/>
  <c r="S107" i="23" s="1"/>
  <c r="P107" i="23"/>
  <c r="O107" i="23"/>
  <c r="G107" i="23"/>
  <c r="F107" i="23"/>
  <c r="E107" i="23"/>
  <c r="R106" i="23"/>
  <c r="S106" i="23" s="1"/>
  <c r="O106" i="23"/>
  <c r="P106" i="23" s="1"/>
  <c r="G106" i="23"/>
  <c r="F106" i="23"/>
  <c r="E106" i="23"/>
  <c r="R105" i="23"/>
  <c r="S105" i="23" s="1"/>
  <c r="P105" i="23"/>
  <c r="O105" i="23"/>
  <c r="G105" i="23"/>
  <c r="F105" i="23"/>
  <c r="E105" i="23"/>
  <c r="S104" i="23"/>
  <c r="R104" i="23"/>
  <c r="O104" i="23"/>
  <c r="P104" i="23" s="1"/>
  <c r="G104" i="23"/>
  <c r="F104" i="23"/>
  <c r="E104" i="23"/>
  <c r="R103" i="23"/>
  <c r="S103" i="23" s="1"/>
  <c r="P103" i="23"/>
  <c r="O103" i="23"/>
  <c r="G103" i="23"/>
  <c r="F103" i="23"/>
  <c r="E103" i="23"/>
  <c r="R102" i="23"/>
  <c r="S102" i="23" s="1"/>
  <c r="O102" i="23"/>
  <c r="P102" i="23" s="1"/>
  <c r="G102" i="23"/>
  <c r="I102" i="23" s="1"/>
  <c r="F102" i="23"/>
  <c r="E102" i="23"/>
  <c r="R101" i="23"/>
  <c r="S101" i="23" s="1"/>
  <c r="P101" i="23"/>
  <c r="O101" i="23"/>
  <c r="G101" i="23"/>
  <c r="H101" i="23" s="1"/>
  <c r="F101" i="23"/>
  <c r="E101" i="23"/>
  <c r="S100" i="23"/>
  <c r="P100" i="23"/>
  <c r="O100" i="23"/>
  <c r="G100" i="23"/>
  <c r="I100" i="23" s="1"/>
  <c r="F100" i="23"/>
  <c r="E100" i="23"/>
  <c r="R99" i="23"/>
  <c r="S99" i="23" s="1"/>
  <c r="P99" i="23"/>
  <c r="O99" i="23"/>
  <c r="G99" i="23"/>
  <c r="F99" i="23"/>
  <c r="E99" i="23"/>
  <c r="R98" i="23"/>
  <c r="S98" i="23" s="1"/>
  <c r="P98" i="23"/>
  <c r="O98" i="23"/>
  <c r="G98" i="23"/>
  <c r="H98" i="23" s="1"/>
  <c r="F98" i="23"/>
  <c r="E98" i="23"/>
  <c r="R97" i="23"/>
  <c r="S97" i="23" s="1"/>
  <c r="O97" i="23"/>
  <c r="P97" i="23" s="1"/>
  <c r="G97" i="23"/>
  <c r="H97" i="23" s="1"/>
  <c r="F97" i="23"/>
  <c r="E97" i="23"/>
  <c r="R96" i="23"/>
  <c r="S96" i="23" s="1"/>
  <c r="P96" i="23"/>
  <c r="O96" i="23"/>
  <c r="G96" i="23"/>
  <c r="I96" i="23" s="1"/>
  <c r="F96" i="23"/>
  <c r="E96" i="23"/>
  <c r="R95" i="23"/>
  <c r="S95" i="23" s="1"/>
  <c r="P95" i="23"/>
  <c r="O95" i="23"/>
  <c r="G95" i="23"/>
  <c r="I95" i="23" s="1"/>
  <c r="F95" i="23"/>
  <c r="E95" i="23"/>
  <c r="R94" i="23"/>
  <c r="S94" i="23" s="1"/>
  <c r="P94" i="23"/>
  <c r="O94" i="23"/>
  <c r="G94" i="23"/>
  <c r="F94" i="23"/>
  <c r="E94" i="23"/>
  <c r="R93" i="23"/>
  <c r="S93" i="23" s="1"/>
  <c r="O93" i="23"/>
  <c r="P93" i="23" s="1"/>
  <c r="G93" i="23"/>
  <c r="F93" i="23"/>
  <c r="E93" i="23"/>
  <c r="S92" i="23"/>
  <c r="R92" i="23"/>
  <c r="P92" i="23"/>
  <c r="O92" i="23"/>
  <c r="G92" i="23"/>
  <c r="H92" i="23" s="1"/>
  <c r="F92" i="23"/>
  <c r="E92" i="23"/>
  <c r="R91" i="23"/>
  <c r="S91" i="23" s="1"/>
  <c r="O91" i="23"/>
  <c r="P91" i="23" s="1"/>
  <c r="G91" i="23"/>
  <c r="F91" i="23"/>
  <c r="E91" i="23"/>
  <c r="E110" i="23" s="1"/>
  <c r="L36" i="23"/>
  <c r="R35" i="23"/>
  <c r="Q35" i="23"/>
  <c r="P35" i="23"/>
  <c r="O35" i="23"/>
  <c r="N35" i="23"/>
  <c r="M35" i="23"/>
  <c r="L35" i="23"/>
  <c r="U33" i="23"/>
  <c r="Q32" i="23"/>
  <c r="Q36" i="23" s="1"/>
  <c r="Q30" i="23"/>
  <c r="O30" i="23"/>
  <c r="N30" i="23"/>
  <c r="M30" i="23"/>
  <c r="L30" i="23"/>
  <c r="J30" i="23"/>
  <c r="J32" i="23" s="1"/>
  <c r="D30" i="23"/>
  <c r="R29" i="23"/>
  <c r="R30" i="23" s="1"/>
  <c r="B23" i="1" s="1"/>
  <c r="P29" i="23"/>
  <c r="P30" i="23" s="1"/>
  <c r="O29" i="23"/>
  <c r="G29" i="23"/>
  <c r="H29" i="23" s="1"/>
  <c r="F29" i="23"/>
  <c r="F30" i="23" s="1"/>
  <c r="E29" i="23"/>
  <c r="E30" i="23" s="1"/>
  <c r="Q26" i="23"/>
  <c r="N26" i="23"/>
  <c r="N32" i="23" s="1"/>
  <c r="N36" i="23" s="1"/>
  <c r="L26" i="23"/>
  <c r="L32" i="23" s="1"/>
  <c r="R24" i="23"/>
  <c r="Q24" i="23"/>
  <c r="P24" i="23"/>
  <c r="O24" i="23"/>
  <c r="N24" i="23"/>
  <c r="M24" i="23"/>
  <c r="L24" i="23"/>
  <c r="D24" i="23"/>
  <c r="S23" i="23"/>
  <c r="S24" i="23" s="1"/>
  <c r="R23" i="23"/>
  <c r="P23" i="23"/>
  <c r="O23" i="23"/>
  <c r="G23" i="23"/>
  <c r="F23" i="23"/>
  <c r="F24" i="23" s="1"/>
  <c r="E23" i="23"/>
  <c r="E24" i="23" s="1"/>
  <c r="Q21" i="23"/>
  <c r="N21" i="23"/>
  <c r="M21" i="23"/>
  <c r="M26" i="23" s="1"/>
  <c r="M32" i="23" s="1"/>
  <c r="M36" i="23" s="1"/>
  <c r="L21" i="23"/>
  <c r="J21" i="23"/>
  <c r="D21" i="23"/>
  <c r="D26" i="23" s="1"/>
  <c r="D32" i="23" s="1"/>
  <c r="S20" i="23"/>
  <c r="R20" i="23"/>
  <c r="O20" i="23"/>
  <c r="P20" i="23" s="1"/>
  <c r="G20" i="23"/>
  <c r="F20" i="23"/>
  <c r="E20" i="23"/>
  <c r="R19" i="23"/>
  <c r="S19" i="23" s="1"/>
  <c r="P19" i="23"/>
  <c r="O19" i="23"/>
  <c r="G19" i="23"/>
  <c r="I19" i="23" s="1"/>
  <c r="F19" i="23"/>
  <c r="E19" i="23"/>
  <c r="S18" i="23"/>
  <c r="R18" i="23"/>
  <c r="P18" i="23"/>
  <c r="O18" i="23"/>
  <c r="G18" i="23"/>
  <c r="F18" i="23"/>
  <c r="E18" i="23"/>
  <c r="S17" i="23"/>
  <c r="R17" i="23"/>
  <c r="P17" i="23"/>
  <c r="O17" i="23"/>
  <c r="G17" i="23"/>
  <c r="H17" i="23" s="1"/>
  <c r="F17" i="23"/>
  <c r="E17" i="23"/>
  <c r="S16" i="23"/>
  <c r="R16" i="23"/>
  <c r="P16" i="23"/>
  <c r="O16" i="23"/>
  <c r="G16" i="23"/>
  <c r="H16" i="23" s="1"/>
  <c r="F16" i="23"/>
  <c r="E16" i="23"/>
  <c r="R15" i="23"/>
  <c r="S15" i="23" s="1"/>
  <c r="P15" i="23"/>
  <c r="O15" i="23"/>
  <c r="G15" i="23"/>
  <c r="F15" i="23"/>
  <c r="E15" i="23"/>
  <c r="R14" i="23"/>
  <c r="S14" i="23" s="1"/>
  <c r="P14" i="23"/>
  <c r="O14" i="23"/>
  <c r="G14" i="23"/>
  <c r="F14" i="23"/>
  <c r="E14" i="23"/>
  <c r="R13" i="23"/>
  <c r="S13" i="23" s="1"/>
  <c r="O13" i="23"/>
  <c r="P13" i="23" s="1"/>
  <c r="G13" i="23"/>
  <c r="I13" i="23" s="1"/>
  <c r="F13" i="23"/>
  <c r="E13" i="23"/>
  <c r="R12" i="23"/>
  <c r="S12" i="23" s="1"/>
  <c r="P12" i="23"/>
  <c r="O12" i="23"/>
  <c r="G12" i="23"/>
  <c r="F12" i="23"/>
  <c r="E12" i="23"/>
  <c r="R11" i="23"/>
  <c r="S11" i="23" s="1"/>
  <c r="P11" i="23"/>
  <c r="O11" i="23"/>
  <c r="G11" i="23"/>
  <c r="F11" i="23"/>
  <c r="E11" i="23"/>
  <c r="S10" i="23"/>
  <c r="R10" i="23"/>
  <c r="P10" i="23"/>
  <c r="O10" i="23"/>
  <c r="G10" i="23"/>
  <c r="I10" i="23" s="1"/>
  <c r="F10" i="23"/>
  <c r="E10" i="23"/>
  <c r="S9" i="23"/>
  <c r="R9" i="23"/>
  <c r="P9" i="23"/>
  <c r="O9" i="23"/>
  <c r="G9" i="23"/>
  <c r="F9" i="23"/>
  <c r="E9" i="23"/>
  <c r="S8" i="23"/>
  <c r="R8" i="23"/>
  <c r="P8" i="23"/>
  <c r="O8" i="23"/>
  <c r="G8" i="23"/>
  <c r="F8" i="23"/>
  <c r="E8" i="23"/>
  <c r="R7" i="23"/>
  <c r="S7" i="23" s="1"/>
  <c r="O7" i="23"/>
  <c r="P7" i="23" s="1"/>
  <c r="G7" i="23"/>
  <c r="F7" i="23"/>
  <c r="E7" i="23"/>
  <c r="S6" i="23"/>
  <c r="O6" i="23"/>
  <c r="P6" i="23" s="1"/>
  <c r="H6" i="23"/>
  <c r="G6" i="23"/>
  <c r="I6" i="23" s="1"/>
  <c r="F6" i="23"/>
  <c r="E6" i="23"/>
  <c r="S5" i="23"/>
  <c r="R5" i="23"/>
  <c r="R21" i="23" s="1"/>
  <c r="R26" i="23" s="1"/>
  <c r="P5" i="23"/>
  <c r="O5" i="23"/>
  <c r="G5" i="23"/>
  <c r="F5" i="23"/>
  <c r="E5" i="23"/>
  <c r="S4" i="23"/>
  <c r="R4" i="23"/>
  <c r="O4" i="23"/>
  <c r="G4" i="23"/>
  <c r="H4" i="23" s="1"/>
  <c r="F4" i="23"/>
  <c r="E4" i="23"/>
  <c r="S3" i="23"/>
  <c r="R3" i="23"/>
  <c r="O3" i="23"/>
  <c r="P3" i="23" s="1"/>
  <c r="G3" i="23"/>
  <c r="F3" i="23"/>
  <c r="E3" i="23"/>
  <c r="L191" i="22"/>
  <c r="R190" i="22"/>
  <c r="Q190" i="22"/>
  <c r="P190" i="22"/>
  <c r="O190" i="22"/>
  <c r="N190" i="22"/>
  <c r="M190" i="22"/>
  <c r="L190" i="22"/>
  <c r="Q188" i="22"/>
  <c r="N188" i="22"/>
  <c r="N191" i="22" s="1"/>
  <c r="M188" i="22"/>
  <c r="M191" i="22" s="1"/>
  <c r="L188" i="22"/>
  <c r="J188" i="22"/>
  <c r="R186" i="22"/>
  <c r="Q186" i="22"/>
  <c r="P186" i="22"/>
  <c r="O186" i="22"/>
  <c r="N186" i="22"/>
  <c r="M186" i="22"/>
  <c r="L186" i="22"/>
  <c r="J186" i="22"/>
  <c r="D186" i="22"/>
  <c r="S185" i="22"/>
  <c r="S186" i="22" s="1"/>
  <c r="G185" i="22"/>
  <c r="F185" i="22"/>
  <c r="F186" i="22" s="1"/>
  <c r="E185" i="22"/>
  <c r="E186" i="22" s="1"/>
  <c r="Q182" i="22"/>
  <c r="N182" i="22"/>
  <c r="M182" i="22"/>
  <c r="L182" i="22"/>
  <c r="J182" i="22"/>
  <c r="D182" i="22"/>
  <c r="D188" i="22" s="1"/>
  <c r="S181" i="22"/>
  <c r="R181" i="22"/>
  <c r="P181" i="22"/>
  <c r="O181" i="22"/>
  <c r="G181" i="22"/>
  <c r="F181" i="22"/>
  <c r="E181" i="22"/>
  <c r="R180" i="22"/>
  <c r="S180" i="22" s="1"/>
  <c r="P180" i="22"/>
  <c r="O180" i="22"/>
  <c r="G180" i="22"/>
  <c r="H180" i="22" s="1"/>
  <c r="F180" i="22"/>
  <c r="E180" i="22"/>
  <c r="S179" i="22"/>
  <c r="R179" i="22"/>
  <c r="P179" i="22"/>
  <c r="O179" i="22"/>
  <c r="G179" i="22"/>
  <c r="F179" i="22"/>
  <c r="E179" i="22"/>
  <c r="R178" i="22"/>
  <c r="S178" i="22" s="1"/>
  <c r="P178" i="22"/>
  <c r="O178" i="22"/>
  <c r="G178" i="22"/>
  <c r="F178" i="22"/>
  <c r="E178" i="22"/>
  <c r="R177" i="22"/>
  <c r="P177" i="22"/>
  <c r="O177" i="22"/>
  <c r="G177" i="22"/>
  <c r="F177" i="22"/>
  <c r="E177" i="22"/>
  <c r="R176" i="22"/>
  <c r="S176" i="22" s="1"/>
  <c r="P176" i="22"/>
  <c r="O176" i="22"/>
  <c r="G176" i="22"/>
  <c r="I176" i="22" s="1"/>
  <c r="F176" i="22"/>
  <c r="E176" i="22"/>
  <c r="S175" i="22"/>
  <c r="R175" i="22"/>
  <c r="P175" i="22"/>
  <c r="O175" i="22"/>
  <c r="G175" i="22"/>
  <c r="F175" i="22"/>
  <c r="E175" i="22"/>
  <c r="R174" i="22"/>
  <c r="S174" i="22" s="1"/>
  <c r="O174" i="22"/>
  <c r="P174" i="22" s="1"/>
  <c r="G174" i="22"/>
  <c r="F174" i="22"/>
  <c r="E174" i="22"/>
  <c r="R173" i="22"/>
  <c r="S173" i="22" s="1"/>
  <c r="P173" i="22"/>
  <c r="O173" i="22"/>
  <c r="G173" i="22"/>
  <c r="F173" i="22"/>
  <c r="E173" i="22"/>
  <c r="S172" i="22"/>
  <c r="O172" i="22"/>
  <c r="P172" i="22" s="1"/>
  <c r="G172" i="22"/>
  <c r="H172" i="22" s="1"/>
  <c r="F172" i="22"/>
  <c r="E172" i="22"/>
  <c r="S171" i="22"/>
  <c r="R171" i="22"/>
  <c r="P171" i="22"/>
  <c r="O171" i="22"/>
  <c r="G171" i="22"/>
  <c r="F171" i="22"/>
  <c r="E171" i="22"/>
  <c r="R170" i="22"/>
  <c r="S170" i="22" s="1"/>
  <c r="P170" i="22"/>
  <c r="O170" i="22"/>
  <c r="G170" i="22"/>
  <c r="F170" i="22"/>
  <c r="E170" i="22"/>
  <c r="R169" i="22"/>
  <c r="S169" i="22" s="1"/>
  <c r="P169" i="22"/>
  <c r="O169" i="22"/>
  <c r="G169" i="22"/>
  <c r="F169" i="22"/>
  <c r="E169" i="22"/>
  <c r="R168" i="22"/>
  <c r="S168" i="22" s="1"/>
  <c r="P168" i="22"/>
  <c r="O168" i="22"/>
  <c r="G168" i="22"/>
  <c r="F168" i="22"/>
  <c r="E168" i="22"/>
  <c r="R167" i="22"/>
  <c r="S167" i="22" s="1"/>
  <c r="P167" i="22"/>
  <c r="O167" i="22"/>
  <c r="G167" i="22"/>
  <c r="F167" i="22"/>
  <c r="E167" i="22"/>
  <c r="S166" i="22"/>
  <c r="R166" i="22"/>
  <c r="P166" i="22"/>
  <c r="O166" i="22"/>
  <c r="G166" i="22"/>
  <c r="H166" i="22" s="1"/>
  <c r="F166" i="22"/>
  <c r="E166" i="22"/>
  <c r="R165" i="22"/>
  <c r="S165" i="22" s="1"/>
  <c r="O165" i="22"/>
  <c r="P165" i="22" s="1"/>
  <c r="G165" i="22"/>
  <c r="I165" i="22" s="1"/>
  <c r="F165" i="22"/>
  <c r="E165" i="22"/>
  <c r="S164" i="22"/>
  <c r="R164" i="22"/>
  <c r="O164" i="22"/>
  <c r="P164" i="22" s="1"/>
  <c r="G164" i="22"/>
  <c r="I164" i="22" s="1"/>
  <c r="F164" i="22"/>
  <c r="E164" i="22"/>
  <c r="S163" i="22"/>
  <c r="R163" i="22"/>
  <c r="O163" i="22"/>
  <c r="G163" i="22"/>
  <c r="I163" i="22" s="1"/>
  <c r="F163" i="22"/>
  <c r="E163" i="22"/>
  <c r="N108" i="22"/>
  <c r="R107" i="22"/>
  <c r="Q107" i="22"/>
  <c r="P107" i="22"/>
  <c r="O107" i="22"/>
  <c r="N107" i="22"/>
  <c r="M107" i="22"/>
  <c r="L107" i="22"/>
  <c r="M104" i="22"/>
  <c r="M108" i="22" s="1"/>
  <c r="L104" i="22"/>
  <c r="L108" i="22" s="1"/>
  <c r="J104" i="22"/>
  <c r="R102" i="22"/>
  <c r="Q102" i="22"/>
  <c r="N102" i="22"/>
  <c r="M102" i="22"/>
  <c r="L102" i="22"/>
  <c r="J102" i="22"/>
  <c r="D102" i="22"/>
  <c r="S101" i="22"/>
  <c r="S102" i="22" s="1"/>
  <c r="R101" i="22"/>
  <c r="P101" i="22"/>
  <c r="P102" i="22" s="1"/>
  <c r="O101" i="22"/>
  <c r="O102" i="22" s="1"/>
  <c r="G101" i="22"/>
  <c r="F101" i="22"/>
  <c r="F102" i="22" s="1"/>
  <c r="E101" i="22"/>
  <c r="E102" i="22" s="1"/>
  <c r="Q98" i="22"/>
  <c r="N98" i="22"/>
  <c r="N104" i="22" s="1"/>
  <c r="S96" i="22"/>
  <c r="R96" i="22"/>
  <c r="Q96" i="22"/>
  <c r="N96" i="22"/>
  <c r="M96" i="22"/>
  <c r="L96" i="22"/>
  <c r="D96" i="22"/>
  <c r="R95" i="22"/>
  <c r="S95" i="22" s="1"/>
  <c r="O95" i="22"/>
  <c r="G95" i="22"/>
  <c r="H95" i="22" s="1"/>
  <c r="F95" i="22"/>
  <c r="F96" i="22" s="1"/>
  <c r="E95" i="22"/>
  <c r="E96" i="22" s="1"/>
  <c r="Q93" i="22"/>
  <c r="N93" i="22"/>
  <c r="M93" i="22"/>
  <c r="M98" i="22" s="1"/>
  <c r="L93" i="22"/>
  <c r="L98" i="22" s="1"/>
  <c r="J93" i="22"/>
  <c r="D93" i="22"/>
  <c r="D98" i="22" s="1"/>
  <c r="D104" i="22" s="1"/>
  <c r="R92" i="22"/>
  <c r="S92" i="22" s="1"/>
  <c r="P92" i="22"/>
  <c r="O92" i="22"/>
  <c r="G92" i="22"/>
  <c r="I92" i="22" s="1"/>
  <c r="F92" i="22"/>
  <c r="E92" i="22"/>
  <c r="S91" i="22"/>
  <c r="R91" i="22"/>
  <c r="P91" i="22"/>
  <c r="O91" i="22"/>
  <c r="G91" i="22"/>
  <c r="I91" i="22" s="1"/>
  <c r="F91" i="22"/>
  <c r="E91" i="22"/>
  <c r="R90" i="22"/>
  <c r="S90" i="22" s="1"/>
  <c r="P90" i="22"/>
  <c r="O90" i="22"/>
  <c r="G90" i="22"/>
  <c r="F90" i="22"/>
  <c r="E90" i="22"/>
  <c r="R89" i="22"/>
  <c r="S89" i="22" s="1"/>
  <c r="P89" i="22"/>
  <c r="O89" i="22"/>
  <c r="G89" i="22"/>
  <c r="F89" i="22"/>
  <c r="E89" i="22"/>
  <c r="R88" i="22"/>
  <c r="S88" i="22" s="1"/>
  <c r="P88" i="22"/>
  <c r="O88" i="22"/>
  <c r="G88" i="22"/>
  <c r="F88" i="22"/>
  <c r="E88" i="22"/>
  <c r="R87" i="22"/>
  <c r="S87" i="22" s="1"/>
  <c r="P87" i="22"/>
  <c r="O87" i="22"/>
  <c r="G87" i="22"/>
  <c r="I87" i="22" s="1"/>
  <c r="F87" i="22"/>
  <c r="E87" i="22"/>
  <c r="R86" i="22"/>
  <c r="S86" i="22" s="1"/>
  <c r="O86" i="22"/>
  <c r="P86" i="22" s="1"/>
  <c r="G86" i="22"/>
  <c r="F86" i="22"/>
  <c r="E86" i="22"/>
  <c r="S85" i="22"/>
  <c r="R85" i="22"/>
  <c r="O85" i="22"/>
  <c r="P85" i="22" s="1"/>
  <c r="G85" i="22"/>
  <c r="H85" i="22" s="1"/>
  <c r="F85" i="22"/>
  <c r="E85" i="22"/>
  <c r="R84" i="22"/>
  <c r="S84" i="22" s="1"/>
  <c r="P84" i="22"/>
  <c r="O84" i="22"/>
  <c r="G84" i="22"/>
  <c r="I84" i="22" s="1"/>
  <c r="F84" i="22"/>
  <c r="E84" i="22"/>
  <c r="R83" i="22"/>
  <c r="S83" i="22" s="1"/>
  <c r="P83" i="22"/>
  <c r="O83" i="22"/>
  <c r="G83" i="22"/>
  <c r="F83" i="22"/>
  <c r="E83" i="22"/>
  <c r="R82" i="22"/>
  <c r="S82" i="22" s="1"/>
  <c r="P82" i="22"/>
  <c r="O82" i="22"/>
  <c r="G82" i="22"/>
  <c r="H82" i="22" s="1"/>
  <c r="F82" i="22"/>
  <c r="E82" i="22"/>
  <c r="R81" i="22"/>
  <c r="S81" i="22" s="1"/>
  <c r="P81" i="22"/>
  <c r="O81" i="22"/>
  <c r="G81" i="22"/>
  <c r="F81" i="22"/>
  <c r="E81" i="22"/>
  <c r="R80" i="22"/>
  <c r="S80" i="22" s="1"/>
  <c r="P80" i="22"/>
  <c r="O80" i="22"/>
  <c r="G80" i="22"/>
  <c r="F80" i="22"/>
  <c r="E80" i="22"/>
  <c r="R79" i="22"/>
  <c r="S79" i="22" s="1"/>
  <c r="P79" i="22"/>
  <c r="O79" i="22"/>
  <c r="G79" i="22"/>
  <c r="H79" i="22" s="1"/>
  <c r="F79" i="22"/>
  <c r="E79" i="22"/>
  <c r="S78" i="22"/>
  <c r="O78" i="22"/>
  <c r="P78" i="22" s="1"/>
  <c r="G78" i="22"/>
  <c r="H78" i="22" s="1"/>
  <c r="F78" i="22"/>
  <c r="E78" i="22"/>
  <c r="R77" i="22"/>
  <c r="S77" i="22" s="1"/>
  <c r="P77" i="22"/>
  <c r="O77" i="22"/>
  <c r="G77" i="22"/>
  <c r="I77" i="22" s="1"/>
  <c r="F77" i="22"/>
  <c r="E77" i="22"/>
  <c r="S76" i="22"/>
  <c r="R76" i="22"/>
  <c r="P76" i="22"/>
  <c r="O76" i="22"/>
  <c r="G76" i="22"/>
  <c r="I76" i="22" s="1"/>
  <c r="F76" i="22"/>
  <c r="E76" i="22"/>
  <c r="R75" i="22"/>
  <c r="S75" i="22" s="1"/>
  <c r="S93" i="22" s="1"/>
  <c r="S98" i="22" s="1"/>
  <c r="S104" i="22" s="1"/>
  <c r="O75" i="22"/>
  <c r="G75" i="22"/>
  <c r="F75" i="22"/>
  <c r="E75" i="22"/>
  <c r="Q23" i="22"/>
  <c r="N23" i="22"/>
  <c r="M23" i="22"/>
  <c r="L23" i="22"/>
  <c r="R22" i="22"/>
  <c r="Q22" i="22"/>
  <c r="P22" i="22"/>
  <c r="O22" i="22"/>
  <c r="N22" i="22"/>
  <c r="M22" i="22"/>
  <c r="L22" i="22"/>
  <c r="Q20" i="22"/>
  <c r="M20" i="22"/>
  <c r="L20" i="22"/>
  <c r="Q18" i="22"/>
  <c r="P18" i="22"/>
  <c r="O18" i="22"/>
  <c r="N18" i="22"/>
  <c r="M18" i="22"/>
  <c r="L18" i="22"/>
  <c r="J18" i="22"/>
  <c r="J20" i="22" s="1"/>
  <c r="D18" i="22"/>
  <c r="R17" i="22"/>
  <c r="S17" i="22" s="1"/>
  <c r="S18" i="22" s="1"/>
  <c r="P17" i="22"/>
  <c r="O17" i="22"/>
  <c r="G17" i="22"/>
  <c r="F17" i="22"/>
  <c r="F18" i="22" s="1"/>
  <c r="E17" i="22"/>
  <c r="E18" i="22" s="1"/>
  <c r="Q14" i="22"/>
  <c r="N14" i="22"/>
  <c r="N20" i="22" s="1"/>
  <c r="M14" i="22"/>
  <c r="L14" i="22"/>
  <c r="D14" i="22"/>
  <c r="D20" i="22" s="1"/>
  <c r="R13" i="22"/>
  <c r="S13" i="22" s="1"/>
  <c r="O13" i="22"/>
  <c r="P13" i="22" s="1"/>
  <c r="G13" i="22"/>
  <c r="H13" i="22" s="1"/>
  <c r="F13" i="22"/>
  <c r="E13" i="22"/>
  <c r="R12" i="22"/>
  <c r="S12" i="22" s="1"/>
  <c r="P12" i="22"/>
  <c r="O12" i="22"/>
  <c r="G12" i="22"/>
  <c r="F12" i="22"/>
  <c r="E12" i="22"/>
  <c r="R11" i="22"/>
  <c r="S11" i="22" s="1"/>
  <c r="P11" i="22"/>
  <c r="O11" i="22"/>
  <c r="G11" i="22"/>
  <c r="H11" i="22" s="1"/>
  <c r="F11" i="22"/>
  <c r="E11" i="22"/>
  <c r="S10" i="22"/>
  <c r="R10" i="22"/>
  <c r="O10" i="22"/>
  <c r="P10" i="22" s="1"/>
  <c r="G10" i="22"/>
  <c r="I10" i="22" s="1"/>
  <c r="F10" i="22"/>
  <c r="E10" i="22"/>
  <c r="R9" i="22"/>
  <c r="S9" i="22" s="1"/>
  <c r="P9" i="22"/>
  <c r="O9" i="22"/>
  <c r="O14" i="22" s="1"/>
  <c r="G9" i="22"/>
  <c r="I9" i="22" s="1"/>
  <c r="F9" i="22"/>
  <c r="E9" i="22"/>
  <c r="R8" i="22"/>
  <c r="S8" i="22" s="1"/>
  <c r="P8" i="22"/>
  <c r="O8" i="22"/>
  <c r="G8" i="22"/>
  <c r="H8" i="22" s="1"/>
  <c r="F8" i="22"/>
  <c r="E8" i="22"/>
  <c r="R7" i="22"/>
  <c r="S7" i="22" s="1"/>
  <c r="P7" i="22"/>
  <c r="O7" i="22"/>
  <c r="G7" i="22"/>
  <c r="F7" i="22"/>
  <c r="E7" i="22"/>
  <c r="R6" i="22"/>
  <c r="S6" i="22" s="1"/>
  <c r="P6" i="22"/>
  <c r="O6" i="22"/>
  <c r="G6" i="22"/>
  <c r="I6" i="22" s="1"/>
  <c r="F6" i="22"/>
  <c r="E6" i="22"/>
  <c r="R5" i="22"/>
  <c r="S5" i="22" s="1"/>
  <c r="O5" i="22"/>
  <c r="P5" i="22" s="1"/>
  <c r="G5" i="22"/>
  <c r="I5" i="22" s="1"/>
  <c r="F5" i="22"/>
  <c r="E5" i="22"/>
  <c r="R4" i="22"/>
  <c r="S4" i="22" s="1"/>
  <c r="S14" i="22" s="1"/>
  <c r="S20" i="22" s="1"/>
  <c r="P4" i="22"/>
  <c r="O4" i="22"/>
  <c r="G4" i="22"/>
  <c r="F4" i="22"/>
  <c r="E4" i="22"/>
  <c r="S3" i="22"/>
  <c r="R3" i="22"/>
  <c r="O3" i="22"/>
  <c r="P3" i="22" s="1"/>
  <c r="G3" i="22"/>
  <c r="I3" i="22" s="1"/>
  <c r="F3" i="22"/>
  <c r="E3" i="22"/>
  <c r="E14" i="22" s="1"/>
  <c r="R367" i="21"/>
  <c r="Q367" i="21"/>
  <c r="P367" i="21"/>
  <c r="O367" i="21"/>
  <c r="N367" i="21"/>
  <c r="M367" i="21"/>
  <c r="L367" i="21"/>
  <c r="R363" i="21"/>
  <c r="Q363" i="21"/>
  <c r="P363" i="21"/>
  <c r="O363" i="21"/>
  <c r="N363" i="21"/>
  <c r="N365" i="21" s="1"/>
  <c r="N368" i="21" s="1"/>
  <c r="M363" i="21"/>
  <c r="L363" i="21"/>
  <c r="J363" i="21"/>
  <c r="J365" i="21" s="1"/>
  <c r="D363" i="21"/>
  <c r="S362" i="21"/>
  <c r="S363" i="21" s="1"/>
  <c r="G362" i="21"/>
  <c r="F362" i="21"/>
  <c r="F363" i="21" s="1"/>
  <c r="E362" i="21"/>
  <c r="E363" i="21" s="1"/>
  <c r="Q359" i="21"/>
  <c r="N359" i="21"/>
  <c r="M359" i="21"/>
  <c r="L359" i="21"/>
  <c r="J359" i="21"/>
  <c r="D359" i="21"/>
  <c r="R358" i="21"/>
  <c r="S358" i="21" s="1"/>
  <c r="P358" i="21"/>
  <c r="O358" i="21"/>
  <c r="G358" i="21"/>
  <c r="I358" i="21" s="1"/>
  <c r="F358" i="21"/>
  <c r="E358" i="21"/>
  <c r="R357" i="21"/>
  <c r="S357" i="21" s="1"/>
  <c r="P357" i="21"/>
  <c r="O357" i="21"/>
  <c r="G357" i="21"/>
  <c r="H357" i="21" s="1"/>
  <c r="F357" i="21"/>
  <c r="E357" i="21"/>
  <c r="S356" i="21"/>
  <c r="R356" i="21"/>
  <c r="P356" i="21"/>
  <c r="O356" i="21"/>
  <c r="G356" i="21"/>
  <c r="H356" i="21" s="1"/>
  <c r="F356" i="21"/>
  <c r="E356" i="21"/>
  <c r="R355" i="21"/>
  <c r="S355" i="21" s="1"/>
  <c r="O355" i="21"/>
  <c r="P355" i="21" s="1"/>
  <c r="G355" i="21"/>
  <c r="H355" i="21" s="1"/>
  <c r="F355" i="21"/>
  <c r="E355" i="21"/>
  <c r="R354" i="21"/>
  <c r="S354" i="21" s="1"/>
  <c r="P354" i="21"/>
  <c r="O354" i="21"/>
  <c r="G354" i="21"/>
  <c r="I354" i="21" s="1"/>
  <c r="F354" i="21"/>
  <c r="E354" i="21"/>
  <c r="R353" i="21"/>
  <c r="S353" i="21" s="1"/>
  <c r="P353" i="21"/>
  <c r="O353" i="21"/>
  <c r="G353" i="21"/>
  <c r="H353" i="21" s="1"/>
  <c r="F353" i="21"/>
  <c r="E353" i="21"/>
  <c r="R352" i="21"/>
  <c r="S352" i="21" s="1"/>
  <c r="P352" i="21"/>
  <c r="O352" i="21"/>
  <c r="G352" i="21"/>
  <c r="I352" i="21" s="1"/>
  <c r="F352" i="21"/>
  <c r="E352" i="21"/>
  <c r="R351" i="21"/>
  <c r="S351" i="21" s="1"/>
  <c r="O351" i="21"/>
  <c r="P351" i="21" s="1"/>
  <c r="G351" i="21"/>
  <c r="H351" i="21" s="1"/>
  <c r="F351" i="21"/>
  <c r="E351" i="21"/>
  <c r="R350" i="21"/>
  <c r="S350" i="21" s="1"/>
  <c r="P350" i="21"/>
  <c r="O350" i="21"/>
  <c r="G350" i="21"/>
  <c r="F350" i="21"/>
  <c r="E350" i="21"/>
  <c r="S349" i="21"/>
  <c r="O349" i="21"/>
  <c r="P349" i="21" s="1"/>
  <c r="G349" i="21"/>
  <c r="I349" i="21" s="1"/>
  <c r="F349" i="21"/>
  <c r="E349" i="21"/>
  <c r="R348" i="21"/>
  <c r="S348" i="21" s="1"/>
  <c r="P348" i="21"/>
  <c r="O348" i="21"/>
  <c r="G348" i="21"/>
  <c r="F348" i="21"/>
  <c r="E348" i="21"/>
  <c r="R347" i="21"/>
  <c r="S347" i="21" s="1"/>
  <c r="P347" i="21"/>
  <c r="O347" i="21"/>
  <c r="G347" i="21"/>
  <c r="I347" i="21" s="1"/>
  <c r="F347" i="21"/>
  <c r="E347" i="21"/>
  <c r="S346" i="21"/>
  <c r="R346" i="21"/>
  <c r="O346" i="21"/>
  <c r="P346" i="21" s="1"/>
  <c r="G346" i="21"/>
  <c r="H346" i="21" s="1"/>
  <c r="F346" i="21"/>
  <c r="E346" i="21"/>
  <c r="R345" i="21"/>
  <c r="S345" i="21" s="1"/>
  <c r="P345" i="21"/>
  <c r="O345" i="21"/>
  <c r="G345" i="21"/>
  <c r="F345" i="21"/>
  <c r="E345" i="21"/>
  <c r="R344" i="21"/>
  <c r="S344" i="21" s="1"/>
  <c r="P344" i="21"/>
  <c r="O344" i="21"/>
  <c r="G344" i="21"/>
  <c r="F344" i="21"/>
  <c r="E344" i="21"/>
  <c r="R343" i="21"/>
  <c r="S343" i="21" s="1"/>
  <c r="O343" i="21"/>
  <c r="P343" i="21" s="1"/>
  <c r="G343" i="21"/>
  <c r="F343" i="21"/>
  <c r="E343" i="21"/>
  <c r="R342" i="21"/>
  <c r="S342" i="21" s="1"/>
  <c r="P342" i="21"/>
  <c r="O342" i="21"/>
  <c r="G342" i="21"/>
  <c r="F342" i="21"/>
  <c r="E342" i="21"/>
  <c r="R341" i="21"/>
  <c r="S341" i="21" s="1"/>
  <c r="O341" i="21"/>
  <c r="P341" i="21" s="1"/>
  <c r="G341" i="21"/>
  <c r="H341" i="21" s="1"/>
  <c r="F341" i="21"/>
  <c r="E341" i="21"/>
  <c r="R340" i="21"/>
  <c r="R359" i="21" s="1"/>
  <c r="R365" i="21" s="1"/>
  <c r="R368" i="21" s="1"/>
  <c r="O340" i="21"/>
  <c r="G340" i="21"/>
  <c r="I340" i="21" s="1"/>
  <c r="F340" i="21"/>
  <c r="E340" i="21"/>
  <c r="R284" i="21"/>
  <c r="Q284" i="21"/>
  <c r="P284" i="21"/>
  <c r="O284" i="21"/>
  <c r="N284" i="21"/>
  <c r="M284" i="21"/>
  <c r="L284" i="21"/>
  <c r="R279" i="21"/>
  <c r="Q279" i="21"/>
  <c r="N279" i="21"/>
  <c r="M279" i="21"/>
  <c r="L279" i="21"/>
  <c r="J279" i="21"/>
  <c r="D279" i="21"/>
  <c r="S278" i="21"/>
  <c r="S279" i="21" s="1"/>
  <c r="R278" i="21"/>
  <c r="P278" i="21"/>
  <c r="P279" i="21" s="1"/>
  <c r="O278" i="21"/>
  <c r="O279" i="21" s="1"/>
  <c r="G278" i="21"/>
  <c r="F278" i="21"/>
  <c r="F279" i="21" s="1"/>
  <c r="E278" i="21"/>
  <c r="E279" i="21" s="1"/>
  <c r="R273" i="21"/>
  <c r="Q273" i="21"/>
  <c r="N273" i="21"/>
  <c r="M273" i="21"/>
  <c r="L273" i="21"/>
  <c r="D273" i="21"/>
  <c r="R272" i="21"/>
  <c r="S272" i="21" s="1"/>
  <c r="S273" i="21" s="1"/>
  <c r="O272" i="21"/>
  <c r="G272" i="21"/>
  <c r="F272" i="21"/>
  <c r="F273" i="21" s="1"/>
  <c r="E272" i="21"/>
  <c r="E273" i="21" s="1"/>
  <c r="Q270" i="21"/>
  <c r="Q275" i="21" s="1"/>
  <c r="N270" i="21"/>
  <c r="M270" i="21"/>
  <c r="L270" i="21"/>
  <c r="J270" i="21"/>
  <c r="D270" i="21"/>
  <c r="R269" i="21"/>
  <c r="S269" i="21" s="1"/>
  <c r="O269" i="21"/>
  <c r="P269" i="21" s="1"/>
  <c r="G269" i="21"/>
  <c r="H269" i="21" s="1"/>
  <c r="F269" i="21"/>
  <c r="E269" i="21"/>
  <c r="S268" i="21"/>
  <c r="R268" i="21"/>
  <c r="P268" i="21"/>
  <c r="O268" i="21"/>
  <c r="G268" i="21"/>
  <c r="H268" i="21" s="1"/>
  <c r="F268" i="21"/>
  <c r="E268" i="21"/>
  <c r="R267" i="21"/>
  <c r="S267" i="21" s="1"/>
  <c r="P267" i="21"/>
  <c r="O267" i="21"/>
  <c r="G267" i="21"/>
  <c r="F267" i="21"/>
  <c r="E267" i="21"/>
  <c r="R266" i="21"/>
  <c r="S266" i="21" s="1"/>
  <c r="P266" i="21"/>
  <c r="O266" i="21"/>
  <c r="G266" i="21"/>
  <c r="H266" i="21" s="1"/>
  <c r="F266" i="21"/>
  <c r="E266" i="21"/>
  <c r="R265" i="21"/>
  <c r="S265" i="21" s="1"/>
  <c r="P265" i="21"/>
  <c r="O265" i="21"/>
  <c r="G265" i="21"/>
  <c r="F265" i="21"/>
  <c r="E265" i="21"/>
  <c r="S264" i="21"/>
  <c r="R264" i="21"/>
  <c r="P264" i="21"/>
  <c r="O264" i="21"/>
  <c r="G264" i="21"/>
  <c r="I264" i="21" s="1"/>
  <c r="F264" i="21"/>
  <c r="E264" i="21"/>
  <c r="R263" i="21"/>
  <c r="S263" i="21" s="1"/>
  <c r="O263" i="21"/>
  <c r="P263" i="21" s="1"/>
  <c r="G263" i="21"/>
  <c r="F263" i="21"/>
  <c r="E263" i="21"/>
  <c r="R262" i="21"/>
  <c r="S262" i="21" s="1"/>
  <c r="O262" i="21"/>
  <c r="P262" i="21" s="1"/>
  <c r="G262" i="21"/>
  <c r="F262" i="21"/>
  <c r="E262" i="21"/>
  <c r="R261" i="21"/>
  <c r="S261" i="21" s="1"/>
  <c r="P261" i="21"/>
  <c r="O261" i="21"/>
  <c r="G261" i="21"/>
  <c r="F261" i="21"/>
  <c r="E261" i="21"/>
  <c r="R260" i="21"/>
  <c r="S260" i="21" s="1"/>
  <c r="P260" i="21"/>
  <c r="O260" i="21"/>
  <c r="G260" i="21"/>
  <c r="H260" i="21" s="1"/>
  <c r="F260" i="21"/>
  <c r="E260" i="21"/>
  <c r="R259" i="21"/>
  <c r="S259" i="21" s="1"/>
  <c r="P259" i="21"/>
  <c r="O259" i="21"/>
  <c r="G259" i="21"/>
  <c r="F259" i="21"/>
  <c r="E259" i="21"/>
  <c r="R258" i="21"/>
  <c r="S258" i="21" s="1"/>
  <c r="P258" i="21"/>
  <c r="O258" i="21"/>
  <c r="G258" i="21"/>
  <c r="F258" i="21"/>
  <c r="E258" i="21"/>
  <c r="R257" i="21"/>
  <c r="S257" i="21" s="1"/>
  <c r="P257" i="21"/>
  <c r="O257" i="21"/>
  <c r="G257" i="21"/>
  <c r="H257" i="21" s="1"/>
  <c r="F257" i="21"/>
  <c r="E257" i="21"/>
  <c r="R256" i="21"/>
  <c r="S256" i="21" s="1"/>
  <c r="O256" i="21"/>
  <c r="P256" i="21" s="1"/>
  <c r="G256" i="21"/>
  <c r="F256" i="21"/>
  <c r="E256" i="21"/>
  <c r="S255" i="21"/>
  <c r="O255" i="21"/>
  <c r="P255" i="21" s="1"/>
  <c r="G255" i="21"/>
  <c r="F255" i="21"/>
  <c r="E255" i="21"/>
  <c r="R254" i="21"/>
  <c r="S254" i="21" s="1"/>
  <c r="P254" i="21"/>
  <c r="O254" i="21"/>
  <c r="G254" i="21"/>
  <c r="F254" i="21"/>
  <c r="E254" i="21"/>
  <c r="R253" i="21"/>
  <c r="O253" i="21"/>
  <c r="P253" i="21" s="1"/>
  <c r="G253" i="21"/>
  <c r="I253" i="21" s="1"/>
  <c r="F253" i="21"/>
  <c r="E253" i="21"/>
  <c r="R252" i="21"/>
  <c r="S252" i="21" s="1"/>
  <c r="O252" i="21"/>
  <c r="G252" i="21"/>
  <c r="H252" i="21" s="1"/>
  <c r="F252" i="21"/>
  <c r="E252" i="21"/>
  <c r="R199" i="21"/>
  <c r="Q199" i="21"/>
  <c r="P199" i="21"/>
  <c r="O199" i="21"/>
  <c r="N199" i="21"/>
  <c r="M199" i="21"/>
  <c r="L199" i="21"/>
  <c r="Q195" i="21"/>
  <c r="P195" i="21"/>
  <c r="N195" i="21"/>
  <c r="M195" i="21"/>
  <c r="L195" i="21"/>
  <c r="J195" i="21"/>
  <c r="J197" i="21" s="1"/>
  <c r="E195" i="21"/>
  <c r="D195" i="21"/>
  <c r="R194" i="21"/>
  <c r="R195" i="21" s="1"/>
  <c r="P194" i="21"/>
  <c r="O194" i="21"/>
  <c r="O195" i="21" s="1"/>
  <c r="G194" i="21"/>
  <c r="H194" i="21" s="1"/>
  <c r="F194" i="21"/>
  <c r="F195" i="21" s="1"/>
  <c r="E194" i="21"/>
  <c r="Q191" i="21"/>
  <c r="N191" i="21"/>
  <c r="M191" i="21"/>
  <c r="L191" i="21"/>
  <c r="L197" i="21" s="1"/>
  <c r="L200" i="21" s="1"/>
  <c r="D191" i="21"/>
  <c r="D197" i="21" s="1"/>
  <c r="S190" i="21"/>
  <c r="R190" i="21"/>
  <c r="P190" i="21"/>
  <c r="O190" i="21"/>
  <c r="G190" i="21"/>
  <c r="H190" i="21" s="1"/>
  <c r="F190" i="21"/>
  <c r="E190" i="21"/>
  <c r="S189" i="21"/>
  <c r="R189" i="21"/>
  <c r="O189" i="21"/>
  <c r="P189" i="21" s="1"/>
  <c r="G189" i="21"/>
  <c r="F189" i="21"/>
  <c r="E189" i="21"/>
  <c r="R188" i="21"/>
  <c r="S188" i="21" s="1"/>
  <c r="P188" i="21"/>
  <c r="O188" i="21"/>
  <c r="G188" i="21"/>
  <c r="F188" i="21"/>
  <c r="E188" i="21"/>
  <c r="R187" i="21"/>
  <c r="S187" i="21" s="1"/>
  <c r="O187" i="21"/>
  <c r="P187" i="21" s="1"/>
  <c r="G187" i="21"/>
  <c r="H187" i="21" s="1"/>
  <c r="F187" i="21"/>
  <c r="E187" i="21"/>
  <c r="R186" i="21"/>
  <c r="S186" i="21" s="1"/>
  <c r="P186" i="21"/>
  <c r="O186" i="21"/>
  <c r="G186" i="21"/>
  <c r="F186" i="21"/>
  <c r="E186" i="21"/>
  <c r="R185" i="21"/>
  <c r="S185" i="21" s="1"/>
  <c r="O185" i="21"/>
  <c r="P185" i="21" s="1"/>
  <c r="G185" i="21"/>
  <c r="F185" i="21"/>
  <c r="E185" i="21"/>
  <c r="R184" i="21"/>
  <c r="S184" i="21" s="1"/>
  <c r="P184" i="21"/>
  <c r="O184" i="21"/>
  <c r="G184" i="21"/>
  <c r="I184" i="21" s="1"/>
  <c r="F184" i="21"/>
  <c r="E184" i="21"/>
  <c r="R183" i="21"/>
  <c r="S183" i="21" s="1"/>
  <c r="O183" i="21"/>
  <c r="P183" i="21" s="1"/>
  <c r="G183" i="21"/>
  <c r="F183" i="21"/>
  <c r="E183" i="21"/>
  <c r="R182" i="21"/>
  <c r="S182" i="21" s="1"/>
  <c r="O182" i="21"/>
  <c r="P182" i="21" s="1"/>
  <c r="G182" i="21"/>
  <c r="H182" i="21" s="1"/>
  <c r="F182" i="21"/>
  <c r="E182" i="21"/>
  <c r="R181" i="21"/>
  <c r="S181" i="21" s="1"/>
  <c r="O181" i="21"/>
  <c r="P181" i="21" s="1"/>
  <c r="G181" i="21"/>
  <c r="F181" i="21"/>
  <c r="E181" i="21"/>
  <c r="R180" i="21"/>
  <c r="O180" i="21"/>
  <c r="P180" i="21" s="1"/>
  <c r="G180" i="21"/>
  <c r="I180" i="21" s="1"/>
  <c r="F180" i="21"/>
  <c r="E180" i="21"/>
  <c r="S120" i="21"/>
  <c r="R120" i="21"/>
  <c r="Q120" i="21"/>
  <c r="P120" i="21"/>
  <c r="O120" i="21"/>
  <c r="N120" i="21"/>
  <c r="M120" i="21"/>
  <c r="L120" i="21"/>
  <c r="D120" i="21"/>
  <c r="G119" i="21"/>
  <c r="H119" i="21" s="1"/>
  <c r="F119" i="21"/>
  <c r="F120" i="21" s="1"/>
  <c r="E119" i="21"/>
  <c r="E120" i="21" s="1"/>
  <c r="Q116" i="21"/>
  <c r="Q122" i="21" s="1"/>
  <c r="N116" i="21"/>
  <c r="N122" i="21" s="1"/>
  <c r="N126" i="21" s="1"/>
  <c r="M116" i="21"/>
  <c r="L116" i="21"/>
  <c r="L122" i="21" s="1"/>
  <c r="L126" i="21" s="1"/>
  <c r="J116" i="21"/>
  <c r="J122" i="21" s="1"/>
  <c r="D116" i="21"/>
  <c r="D122" i="21" s="1"/>
  <c r="R115" i="21"/>
  <c r="S115" i="21" s="1"/>
  <c r="P115" i="21"/>
  <c r="O115" i="21"/>
  <c r="G115" i="21"/>
  <c r="I115" i="21" s="1"/>
  <c r="F115" i="21"/>
  <c r="E115" i="21"/>
  <c r="R114" i="21"/>
  <c r="P114" i="21"/>
  <c r="O114" i="21"/>
  <c r="O116" i="21" s="1"/>
  <c r="O122" i="21" s="1"/>
  <c r="O126" i="21" s="1"/>
  <c r="G114" i="21"/>
  <c r="H114" i="21" s="1"/>
  <c r="F114" i="21"/>
  <c r="E114" i="21"/>
  <c r="R113" i="21"/>
  <c r="S113" i="21" s="1"/>
  <c r="P113" i="21"/>
  <c r="O113" i="21"/>
  <c r="G113" i="21"/>
  <c r="F113" i="21"/>
  <c r="E113" i="21"/>
  <c r="R112" i="21"/>
  <c r="S112" i="21" s="1"/>
  <c r="P112" i="21"/>
  <c r="O112" i="21"/>
  <c r="G112" i="21"/>
  <c r="F112" i="21"/>
  <c r="E112" i="21"/>
  <c r="R58" i="21"/>
  <c r="Q58" i="21"/>
  <c r="P58" i="21"/>
  <c r="O58" i="21"/>
  <c r="N58" i="21"/>
  <c r="M58" i="21"/>
  <c r="L58" i="21"/>
  <c r="J55" i="21"/>
  <c r="Q53" i="21"/>
  <c r="N53" i="21"/>
  <c r="M53" i="21"/>
  <c r="L53" i="21"/>
  <c r="D53" i="21"/>
  <c r="R52" i="21"/>
  <c r="S52" i="21" s="1"/>
  <c r="P52" i="21"/>
  <c r="O52" i="21"/>
  <c r="G52" i="21"/>
  <c r="F52" i="21"/>
  <c r="E52" i="21"/>
  <c r="R51" i="21"/>
  <c r="S51" i="21" s="1"/>
  <c r="P51" i="21"/>
  <c r="O51" i="21"/>
  <c r="G51" i="21"/>
  <c r="H51" i="21" s="1"/>
  <c r="F51" i="21"/>
  <c r="E51" i="21"/>
  <c r="S50" i="21"/>
  <c r="R50" i="21"/>
  <c r="P50" i="21"/>
  <c r="O50" i="21"/>
  <c r="G50" i="21"/>
  <c r="F50" i="21"/>
  <c r="E50" i="21"/>
  <c r="R49" i="21"/>
  <c r="S49" i="21" s="1"/>
  <c r="P49" i="21"/>
  <c r="O49" i="21"/>
  <c r="G49" i="21"/>
  <c r="F49" i="21"/>
  <c r="E49" i="21"/>
  <c r="R48" i="21"/>
  <c r="S48" i="21" s="1"/>
  <c r="P48" i="21"/>
  <c r="O48" i="21"/>
  <c r="G48" i="21"/>
  <c r="F48" i="21"/>
  <c r="E48" i="21"/>
  <c r="R47" i="21"/>
  <c r="S47" i="21" s="1"/>
  <c r="P47" i="21"/>
  <c r="O47" i="21"/>
  <c r="G47" i="21"/>
  <c r="F47" i="21"/>
  <c r="E47" i="21"/>
  <c r="R46" i="21"/>
  <c r="S46" i="21" s="1"/>
  <c r="P46" i="21"/>
  <c r="O46" i="21"/>
  <c r="G46" i="21"/>
  <c r="F46" i="21"/>
  <c r="E46" i="21"/>
  <c r="R45" i="21"/>
  <c r="S45" i="21" s="1"/>
  <c r="P45" i="21"/>
  <c r="O45" i="21"/>
  <c r="G45" i="21"/>
  <c r="I45" i="21" s="1"/>
  <c r="F45" i="21"/>
  <c r="E45" i="21"/>
  <c r="R44" i="21"/>
  <c r="S44" i="21" s="1"/>
  <c r="P44" i="21"/>
  <c r="O44" i="21"/>
  <c r="G44" i="21"/>
  <c r="I44" i="21" s="1"/>
  <c r="F44" i="21"/>
  <c r="E44" i="21"/>
  <c r="R43" i="21"/>
  <c r="S43" i="21" s="1"/>
  <c r="P43" i="21"/>
  <c r="O43" i="21"/>
  <c r="G43" i="21"/>
  <c r="I43" i="21" s="1"/>
  <c r="F43" i="21"/>
  <c r="E43" i="21"/>
  <c r="R42" i="21"/>
  <c r="S42" i="21" s="1"/>
  <c r="P42" i="21"/>
  <c r="O42" i="21"/>
  <c r="G42" i="21"/>
  <c r="H42" i="21" s="1"/>
  <c r="F42" i="21"/>
  <c r="E42" i="21"/>
  <c r="R41" i="21"/>
  <c r="S41" i="21" s="1"/>
  <c r="P41" i="21"/>
  <c r="O41" i="21"/>
  <c r="G41" i="21"/>
  <c r="F41" i="21"/>
  <c r="E41" i="21"/>
  <c r="R40" i="21"/>
  <c r="S40" i="21" s="1"/>
  <c r="P40" i="21"/>
  <c r="O40" i="21"/>
  <c r="G40" i="21"/>
  <c r="F40" i="21"/>
  <c r="E40" i="21"/>
  <c r="R39" i="21"/>
  <c r="S39" i="21" s="1"/>
  <c r="P39" i="21"/>
  <c r="O39" i="21"/>
  <c r="G39" i="21"/>
  <c r="F39" i="21"/>
  <c r="E39" i="21"/>
  <c r="R38" i="21"/>
  <c r="S38" i="21" s="1"/>
  <c r="P38" i="21"/>
  <c r="O38" i="21"/>
  <c r="G38" i="21"/>
  <c r="H38" i="21" s="1"/>
  <c r="F38" i="21"/>
  <c r="E38" i="21"/>
  <c r="Q33" i="21"/>
  <c r="N33" i="21"/>
  <c r="M33" i="21"/>
  <c r="L33" i="21"/>
  <c r="J33" i="21"/>
  <c r="D33" i="21"/>
  <c r="R32" i="21"/>
  <c r="S32" i="21" s="1"/>
  <c r="S33" i="21" s="1"/>
  <c r="P32" i="21"/>
  <c r="O32" i="21"/>
  <c r="G32" i="21"/>
  <c r="F32" i="21"/>
  <c r="E32" i="21"/>
  <c r="S31" i="21"/>
  <c r="R31" i="21"/>
  <c r="P31" i="21"/>
  <c r="P33" i="21" s="1"/>
  <c r="O31" i="21"/>
  <c r="G31" i="21"/>
  <c r="F31" i="21"/>
  <c r="E31" i="21"/>
  <c r="E33" i="21" s="1"/>
  <c r="Q29" i="21"/>
  <c r="N29" i="21"/>
  <c r="N35" i="21" s="1"/>
  <c r="N55" i="21" s="1"/>
  <c r="N59" i="21" s="1"/>
  <c r="M29" i="21"/>
  <c r="M35" i="21" s="1"/>
  <c r="M55" i="21" s="1"/>
  <c r="M59" i="21" s="1"/>
  <c r="L29" i="21"/>
  <c r="L35" i="21" s="1"/>
  <c r="L55" i="21" s="1"/>
  <c r="L59" i="21" s="1"/>
  <c r="J29" i="21"/>
  <c r="D29" i="21"/>
  <c r="R28" i="21"/>
  <c r="S28" i="21" s="1"/>
  <c r="P28" i="21"/>
  <c r="O28" i="21"/>
  <c r="G28" i="21"/>
  <c r="H28" i="21" s="1"/>
  <c r="F28" i="21"/>
  <c r="E28" i="21"/>
  <c r="R27" i="21"/>
  <c r="S27" i="21" s="1"/>
  <c r="O27" i="21"/>
  <c r="P27" i="21" s="1"/>
  <c r="G27" i="21"/>
  <c r="I27" i="21" s="1"/>
  <c r="F27" i="21"/>
  <c r="E27" i="21"/>
  <c r="R26" i="21"/>
  <c r="S26" i="21" s="1"/>
  <c r="P26" i="21"/>
  <c r="O26" i="21"/>
  <c r="G26" i="21"/>
  <c r="F26" i="21"/>
  <c r="E26" i="21"/>
  <c r="S25" i="21"/>
  <c r="R25" i="21"/>
  <c r="P25" i="21"/>
  <c r="O25" i="21"/>
  <c r="G25" i="21"/>
  <c r="I25" i="21" s="1"/>
  <c r="F25" i="21"/>
  <c r="E25" i="21"/>
  <c r="S24" i="21"/>
  <c r="R24" i="21"/>
  <c r="O24" i="21"/>
  <c r="P24" i="21" s="1"/>
  <c r="G24" i="21"/>
  <c r="F24" i="21"/>
  <c r="E24" i="21"/>
  <c r="R23" i="21"/>
  <c r="S23" i="21" s="1"/>
  <c r="P23" i="21"/>
  <c r="O23" i="21"/>
  <c r="G23" i="21"/>
  <c r="H23" i="21" s="1"/>
  <c r="F23" i="21"/>
  <c r="E23" i="21"/>
  <c r="R22" i="21"/>
  <c r="S22" i="21" s="1"/>
  <c r="P22" i="21"/>
  <c r="O22" i="21"/>
  <c r="G22" i="21"/>
  <c r="I22" i="21" s="1"/>
  <c r="F22" i="21"/>
  <c r="E22" i="21"/>
  <c r="R21" i="21"/>
  <c r="S21" i="21" s="1"/>
  <c r="P21" i="21"/>
  <c r="O21" i="21"/>
  <c r="G21" i="21"/>
  <c r="F21" i="21"/>
  <c r="E21" i="21"/>
  <c r="R20" i="21"/>
  <c r="S20" i="21" s="1"/>
  <c r="O20" i="21"/>
  <c r="P20" i="21" s="1"/>
  <c r="G20" i="21"/>
  <c r="I20" i="21" s="1"/>
  <c r="F20" i="21"/>
  <c r="E20" i="21"/>
  <c r="R19" i="21"/>
  <c r="S19" i="21" s="1"/>
  <c r="P19" i="21"/>
  <c r="O19" i="21"/>
  <c r="G19" i="21"/>
  <c r="I19" i="21" s="1"/>
  <c r="F19" i="21"/>
  <c r="E19" i="21"/>
  <c r="R18" i="21"/>
  <c r="S18" i="21" s="1"/>
  <c r="O18" i="21"/>
  <c r="P18" i="21" s="1"/>
  <c r="G18" i="21"/>
  <c r="H18" i="21" s="1"/>
  <c r="F18" i="21"/>
  <c r="E18" i="21"/>
  <c r="R17" i="21"/>
  <c r="S17" i="21" s="1"/>
  <c r="O17" i="21"/>
  <c r="P17" i="21" s="1"/>
  <c r="G17" i="21"/>
  <c r="H17" i="21" s="1"/>
  <c r="F17" i="21"/>
  <c r="E17" i="21"/>
  <c r="R16" i="21"/>
  <c r="S16" i="21" s="1"/>
  <c r="O16" i="21"/>
  <c r="P16" i="21" s="1"/>
  <c r="G16" i="21"/>
  <c r="I16" i="21" s="1"/>
  <c r="F16" i="21"/>
  <c r="E16" i="21"/>
  <c r="R15" i="21"/>
  <c r="S15" i="21" s="1"/>
  <c r="P15" i="21"/>
  <c r="O15" i="21"/>
  <c r="G15" i="21"/>
  <c r="F15" i="21"/>
  <c r="E15" i="21"/>
  <c r="R14" i="21"/>
  <c r="S14" i="21" s="1"/>
  <c r="P14" i="21"/>
  <c r="O14" i="21"/>
  <c r="G14" i="21"/>
  <c r="F14" i="21"/>
  <c r="E14" i="21"/>
  <c r="R13" i="21"/>
  <c r="S13" i="21" s="1"/>
  <c r="O13" i="21"/>
  <c r="P13" i="21" s="1"/>
  <c r="G13" i="21"/>
  <c r="I13" i="21" s="1"/>
  <c r="F13" i="21"/>
  <c r="E13" i="21"/>
  <c r="S12" i="21"/>
  <c r="R12" i="21"/>
  <c r="P12" i="21"/>
  <c r="O12" i="21"/>
  <c r="G12" i="21"/>
  <c r="H12" i="21" s="1"/>
  <c r="F12" i="21"/>
  <c r="E12" i="21"/>
  <c r="R11" i="21"/>
  <c r="S11" i="21" s="1"/>
  <c r="P11" i="21"/>
  <c r="O11" i="21"/>
  <c r="G11" i="21"/>
  <c r="H11" i="21" s="1"/>
  <c r="F11" i="21"/>
  <c r="E11" i="21"/>
  <c r="R10" i="21"/>
  <c r="S10" i="21" s="1"/>
  <c r="O10" i="21"/>
  <c r="P10" i="21" s="1"/>
  <c r="G10" i="21"/>
  <c r="F10" i="21"/>
  <c r="E10" i="21"/>
  <c r="R9" i="21"/>
  <c r="S9" i="21" s="1"/>
  <c r="O9" i="21"/>
  <c r="P9" i="21" s="1"/>
  <c r="G9" i="21"/>
  <c r="I9" i="21" s="1"/>
  <c r="F9" i="21"/>
  <c r="E9" i="21"/>
  <c r="R8" i="21"/>
  <c r="S8" i="21" s="1"/>
  <c r="P8" i="21"/>
  <c r="O8" i="21"/>
  <c r="G8" i="21"/>
  <c r="H8" i="21" s="1"/>
  <c r="F8" i="21"/>
  <c r="E8" i="21"/>
  <c r="S7" i="21"/>
  <c r="R7" i="21"/>
  <c r="O7" i="21"/>
  <c r="G7" i="21"/>
  <c r="I7" i="21" s="1"/>
  <c r="F7" i="21"/>
  <c r="E7" i="21"/>
  <c r="R6" i="21"/>
  <c r="S6" i="21" s="1"/>
  <c r="O6" i="21"/>
  <c r="P6" i="21" s="1"/>
  <c r="G6" i="21"/>
  <c r="F6" i="21"/>
  <c r="E6" i="21"/>
  <c r="R5" i="21"/>
  <c r="O5" i="21"/>
  <c r="P5" i="21" s="1"/>
  <c r="G5" i="21"/>
  <c r="I5" i="21" s="1"/>
  <c r="F5" i="21"/>
  <c r="E5" i="21"/>
  <c r="R4" i="21"/>
  <c r="S4" i="21" s="1"/>
  <c r="O4" i="21"/>
  <c r="P4" i="21" s="1"/>
  <c r="G4" i="21"/>
  <c r="F4" i="21"/>
  <c r="E4" i="21"/>
  <c r="R3" i="21"/>
  <c r="S3" i="21" s="1"/>
  <c r="O3" i="21"/>
  <c r="P3" i="21" s="1"/>
  <c r="G3" i="21"/>
  <c r="H3" i="21" s="1"/>
  <c r="F3" i="21"/>
  <c r="E3" i="21"/>
  <c r="R34" i="20"/>
  <c r="Q34" i="20"/>
  <c r="P34" i="20"/>
  <c r="O34" i="20"/>
  <c r="N34" i="20"/>
  <c r="M34" i="20"/>
  <c r="L34" i="20"/>
  <c r="J31" i="20"/>
  <c r="Q29" i="20"/>
  <c r="O29" i="20"/>
  <c r="N29" i="20"/>
  <c r="M29" i="20"/>
  <c r="L29" i="20"/>
  <c r="D29" i="20"/>
  <c r="R28" i="20"/>
  <c r="S28" i="20" s="1"/>
  <c r="P28" i="20"/>
  <c r="O28" i="20"/>
  <c r="G28" i="20"/>
  <c r="H28" i="20" s="1"/>
  <c r="F28" i="20"/>
  <c r="E28" i="20"/>
  <c r="E29" i="20" s="1"/>
  <c r="R27" i="20"/>
  <c r="S27" i="20" s="1"/>
  <c r="P27" i="20"/>
  <c r="O27" i="20"/>
  <c r="G27" i="20"/>
  <c r="F27" i="20"/>
  <c r="E27" i="20"/>
  <c r="S26" i="20"/>
  <c r="S29" i="20" s="1"/>
  <c r="R26" i="20"/>
  <c r="R29" i="20" s="1"/>
  <c r="P26" i="20"/>
  <c r="O26" i="20"/>
  <c r="G26" i="20"/>
  <c r="I26" i="20" s="1"/>
  <c r="F26" i="20"/>
  <c r="E26" i="20"/>
  <c r="N23" i="20"/>
  <c r="J23" i="20"/>
  <c r="S21" i="20"/>
  <c r="Q21" i="20"/>
  <c r="O21" i="20"/>
  <c r="N21" i="20"/>
  <c r="M21" i="20"/>
  <c r="M23" i="20" s="1"/>
  <c r="M31" i="20" s="1"/>
  <c r="M35" i="20" s="1"/>
  <c r="L21" i="20"/>
  <c r="L23" i="20" s="1"/>
  <c r="L31" i="20" s="1"/>
  <c r="L35" i="20" s="1"/>
  <c r="J21" i="20"/>
  <c r="D21" i="20"/>
  <c r="S20" i="20"/>
  <c r="R20" i="20"/>
  <c r="R21" i="20" s="1"/>
  <c r="P20" i="20"/>
  <c r="G20" i="20"/>
  <c r="I20" i="20" s="1"/>
  <c r="F20" i="20"/>
  <c r="E20" i="20"/>
  <c r="R19" i="20"/>
  <c r="S19" i="20" s="1"/>
  <c r="P19" i="20"/>
  <c r="P21" i="20" s="1"/>
  <c r="G19" i="20"/>
  <c r="F19" i="20"/>
  <c r="E19" i="20"/>
  <c r="Q17" i="20"/>
  <c r="N17" i="20"/>
  <c r="M17" i="20"/>
  <c r="L17" i="20"/>
  <c r="J17" i="20"/>
  <c r="D17" i="20"/>
  <c r="D23" i="20" s="1"/>
  <c r="D31" i="20" s="1"/>
  <c r="S16" i="20"/>
  <c r="R16" i="20"/>
  <c r="O16" i="20"/>
  <c r="P16" i="20" s="1"/>
  <c r="G16" i="20"/>
  <c r="F16" i="20"/>
  <c r="E16" i="20"/>
  <c r="S15" i="20"/>
  <c r="R15" i="20"/>
  <c r="P15" i="20"/>
  <c r="O15" i="20"/>
  <c r="G15" i="20"/>
  <c r="I15" i="20" s="1"/>
  <c r="F15" i="20"/>
  <c r="E15" i="20"/>
  <c r="R14" i="20"/>
  <c r="S14" i="20" s="1"/>
  <c r="O14" i="20"/>
  <c r="P14" i="20" s="1"/>
  <c r="G14" i="20"/>
  <c r="F14" i="20"/>
  <c r="E14" i="20"/>
  <c r="R13" i="20"/>
  <c r="S13" i="20" s="1"/>
  <c r="P13" i="20"/>
  <c r="O13" i="20"/>
  <c r="G13" i="20"/>
  <c r="I13" i="20" s="1"/>
  <c r="F13" i="20"/>
  <c r="E13" i="20"/>
  <c r="S12" i="20"/>
  <c r="R12" i="20"/>
  <c r="P12" i="20"/>
  <c r="O12" i="20"/>
  <c r="G12" i="20"/>
  <c r="F12" i="20"/>
  <c r="E12" i="20"/>
  <c r="S11" i="20"/>
  <c r="R11" i="20"/>
  <c r="P11" i="20"/>
  <c r="O11" i="20"/>
  <c r="G11" i="20"/>
  <c r="I11" i="20" s="1"/>
  <c r="F11" i="20"/>
  <c r="E11" i="20"/>
  <c r="R10" i="20"/>
  <c r="S10" i="20" s="1"/>
  <c r="P10" i="20"/>
  <c r="O10" i="20"/>
  <c r="G10" i="20"/>
  <c r="F10" i="20"/>
  <c r="E10" i="20"/>
  <c r="S9" i="20"/>
  <c r="R9" i="20"/>
  <c r="P9" i="20"/>
  <c r="O9" i="20"/>
  <c r="G9" i="20"/>
  <c r="F9" i="20"/>
  <c r="E9" i="20"/>
  <c r="S8" i="20"/>
  <c r="R8" i="20"/>
  <c r="P8" i="20"/>
  <c r="O8" i="20"/>
  <c r="G8" i="20"/>
  <c r="F8" i="20"/>
  <c r="E8" i="20"/>
  <c r="R7" i="20"/>
  <c r="S7" i="20" s="1"/>
  <c r="P7" i="20"/>
  <c r="O7" i="20"/>
  <c r="G7" i="20"/>
  <c r="F7" i="20"/>
  <c r="E7" i="20"/>
  <c r="R6" i="20"/>
  <c r="S6" i="20" s="1"/>
  <c r="P6" i="20"/>
  <c r="O6" i="20"/>
  <c r="I6" i="20"/>
  <c r="G6" i="20"/>
  <c r="H6" i="20" s="1"/>
  <c r="F6" i="20"/>
  <c r="E6" i="20"/>
  <c r="S5" i="20"/>
  <c r="R5" i="20"/>
  <c r="P5" i="20"/>
  <c r="O5" i="20"/>
  <c r="G5" i="20"/>
  <c r="F5" i="20"/>
  <c r="E5" i="20"/>
  <c r="S4" i="20"/>
  <c r="R4" i="20"/>
  <c r="P4" i="20"/>
  <c r="O4" i="20"/>
  <c r="G4" i="20"/>
  <c r="H4" i="20" s="1"/>
  <c r="F4" i="20"/>
  <c r="E4" i="20"/>
  <c r="R3" i="20"/>
  <c r="P3" i="20"/>
  <c r="O3" i="20"/>
  <c r="G3" i="20"/>
  <c r="I3" i="20" s="1"/>
  <c r="F3" i="20"/>
  <c r="E3" i="20"/>
  <c r="R35" i="19"/>
  <c r="Q35" i="19"/>
  <c r="P35" i="19"/>
  <c r="O35" i="19"/>
  <c r="N35" i="19"/>
  <c r="M35" i="19"/>
  <c r="L35" i="19"/>
  <c r="J32" i="19"/>
  <c r="D32" i="19"/>
  <c r="Q30" i="19"/>
  <c r="O30" i="19"/>
  <c r="M30" i="19"/>
  <c r="L30" i="19"/>
  <c r="D30" i="19"/>
  <c r="R29" i="19"/>
  <c r="R30" i="19" s="1"/>
  <c r="Q29" i="19"/>
  <c r="O29" i="19"/>
  <c r="N29" i="19"/>
  <c r="G29" i="19"/>
  <c r="F29" i="19"/>
  <c r="F30" i="19" s="1"/>
  <c r="E29" i="19"/>
  <c r="E30" i="19" s="1"/>
  <c r="D26" i="19"/>
  <c r="Q24" i="19"/>
  <c r="O24" i="19"/>
  <c r="N24" i="19"/>
  <c r="M24" i="19"/>
  <c r="M26" i="19" s="1"/>
  <c r="M32" i="19" s="1"/>
  <c r="M36" i="19" s="1"/>
  <c r="L24" i="19"/>
  <c r="L26" i="19" s="1"/>
  <c r="L32" i="19" s="1"/>
  <c r="L36" i="19" s="1"/>
  <c r="J24" i="19"/>
  <c r="D24" i="19"/>
  <c r="R23" i="19"/>
  <c r="J23" i="19"/>
  <c r="G23" i="19"/>
  <c r="F23" i="19"/>
  <c r="F24" i="19" s="1"/>
  <c r="E23" i="19"/>
  <c r="E24" i="19" s="1"/>
  <c r="Q21" i="19"/>
  <c r="N21" i="19"/>
  <c r="M21" i="19"/>
  <c r="L21" i="19"/>
  <c r="J21" i="19"/>
  <c r="D21" i="19"/>
  <c r="R20" i="19"/>
  <c r="S20" i="19" s="1"/>
  <c r="P20" i="19"/>
  <c r="O20" i="19"/>
  <c r="G20" i="19"/>
  <c r="F20" i="19"/>
  <c r="E20" i="19"/>
  <c r="S19" i="19"/>
  <c r="R19" i="19"/>
  <c r="P19" i="19"/>
  <c r="O19" i="19"/>
  <c r="G19" i="19"/>
  <c r="F19" i="19"/>
  <c r="E19" i="19"/>
  <c r="R18" i="19"/>
  <c r="S18" i="19" s="1"/>
  <c r="P18" i="19"/>
  <c r="O18" i="19"/>
  <c r="G18" i="19"/>
  <c r="F18" i="19"/>
  <c r="E18" i="19"/>
  <c r="R17" i="19"/>
  <c r="S17" i="19" s="1"/>
  <c r="O17" i="19"/>
  <c r="P17" i="19" s="1"/>
  <c r="G17" i="19"/>
  <c r="F17" i="19"/>
  <c r="E17" i="19"/>
  <c r="R16" i="19"/>
  <c r="S16" i="19" s="1"/>
  <c r="P16" i="19"/>
  <c r="O16" i="19"/>
  <c r="G16" i="19"/>
  <c r="I16" i="19" s="1"/>
  <c r="F16" i="19"/>
  <c r="E16" i="19"/>
  <c r="R15" i="19"/>
  <c r="S15" i="19" s="1"/>
  <c r="P15" i="19"/>
  <c r="O15" i="19"/>
  <c r="G15" i="19"/>
  <c r="H15" i="19" s="1"/>
  <c r="F15" i="19"/>
  <c r="E15" i="19"/>
  <c r="R14" i="19"/>
  <c r="S14" i="19" s="1"/>
  <c r="P14" i="19"/>
  <c r="O14" i="19"/>
  <c r="G14" i="19"/>
  <c r="F14" i="19"/>
  <c r="E14" i="19"/>
  <c r="R13" i="19"/>
  <c r="S13" i="19" s="1"/>
  <c r="O13" i="19"/>
  <c r="P13" i="19" s="1"/>
  <c r="G13" i="19"/>
  <c r="F13" i="19"/>
  <c r="E13" i="19"/>
  <c r="S12" i="19"/>
  <c r="R12" i="19"/>
  <c r="P12" i="19"/>
  <c r="O12" i="19"/>
  <c r="G12" i="19"/>
  <c r="F12" i="19"/>
  <c r="E12" i="19"/>
  <c r="S11" i="19"/>
  <c r="R11" i="19"/>
  <c r="P11" i="19"/>
  <c r="O11" i="19"/>
  <c r="G11" i="19"/>
  <c r="H11" i="19" s="1"/>
  <c r="F11" i="19"/>
  <c r="E11" i="19"/>
  <c r="S10" i="19"/>
  <c r="R10" i="19"/>
  <c r="O10" i="19"/>
  <c r="P10" i="19" s="1"/>
  <c r="G10" i="19"/>
  <c r="F10" i="19"/>
  <c r="E10" i="19"/>
  <c r="R9" i="19"/>
  <c r="S9" i="19" s="1"/>
  <c r="P9" i="19"/>
  <c r="O9" i="19"/>
  <c r="G9" i="19"/>
  <c r="F9" i="19"/>
  <c r="E9" i="19"/>
  <c r="S8" i="19"/>
  <c r="R8" i="19"/>
  <c r="P8" i="19"/>
  <c r="O8" i="19"/>
  <c r="G8" i="19"/>
  <c r="I8" i="19" s="1"/>
  <c r="F8" i="19"/>
  <c r="E8" i="19"/>
  <c r="S7" i="19"/>
  <c r="R7" i="19"/>
  <c r="O7" i="19"/>
  <c r="P7" i="19" s="1"/>
  <c r="G7" i="19"/>
  <c r="H7" i="19" s="1"/>
  <c r="F7" i="19"/>
  <c r="E7" i="19"/>
  <c r="R6" i="19"/>
  <c r="S6" i="19" s="1"/>
  <c r="O6" i="19"/>
  <c r="P6" i="19" s="1"/>
  <c r="G6" i="19"/>
  <c r="I6" i="19" s="1"/>
  <c r="F6" i="19"/>
  <c r="E6" i="19"/>
  <c r="R5" i="19"/>
  <c r="S5" i="19" s="1"/>
  <c r="O5" i="19"/>
  <c r="P5" i="19" s="1"/>
  <c r="G5" i="19"/>
  <c r="H5" i="19" s="1"/>
  <c r="F5" i="19"/>
  <c r="E5" i="19"/>
  <c r="R4" i="19"/>
  <c r="S4" i="19" s="1"/>
  <c r="P4" i="19"/>
  <c r="O4" i="19"/>
  <c r="G4" i="19"/>
  <c r="I4" i="19" s="1"/>
  <c r="F4" i="19"/>
  <c r="E4" i="19"/>
  <c r="S3" i="19"/>
  <c r="R3" i="19"/>
  <c r="O3" i="19"/>
  <c r="G3" i="19"/>
  <c r="I3" i="19" s="1"/>
  <c r="F3" i="19"/>
  <c r="E3" i="19"/>
  <c r="R94" i="18"/>
  <c r="Q94" i="18"/>
  <c r="P94" i="18"/>
  <c r="O94" i="18"/>
  <c r="N94" i="18"/>
  <c r="M94" i="18"/>
  <c r="L94" i="18"/>
  <c r="D92" i="18"/>
  <c r="S90" i="18"/>
  <c r="R90" i="18"/>
  <c r="Q90" i="18"/>
  <c r="P90" i="18"/>
  <c r="O90" i="18"/>
  <c r="N90" i="18"/>
  <c r="M90" i="18"/>
  <c r="L90" i="18"/>
  <c r="J90" i="18"/>
  <c r="J92" i="18" s="1"/>
  <c r="D90" i="18"/>
  <c r="S89" i="18"/>
  <c r="G89" i="18"/>
  <c r="F89" i="18"/>
  <c r="F90" i="18" s="1"/>
  <c r="E89" i="18"/>
  <c r="E90" i="18" s="1"/>
  <c r="Q86" i="18"/>
  <c r="N86" i="18"/>
  <c r="N92" i="18" s="1"/>
  <c r="N95" i="18" s="1"/>
  <c r="M86" i="18"/>
  <c r="M92" i="18" s="1"/>
  <c r="M95" i="18" s="1"/>
  <c r="L86" i="18"/>
  <c r="J86" i="18"/>
  <c r="D86" i="18"/>
  <c r="S85" i="18"/>
  <c r="R85" i="18"/>
  <c r="P85" i="18"/>
  <c r="O85" i="18"/>
  <c r="G85" i="18"/>
  <c r="F85" i="18"/>
  <c r="E85" i="18"/>
  <c r="S84" i="18"/>
  <c r="R84" i="18"/>
  <c r="P84" i="18"/>
  <c r="O84" i="18"/>
  <c r="G84" i="18"/>
  <c r="F84" i="18"/>
  <c r="E84" i="18"/>
  <c r="S83" i="18"/>
  <c r="R83" i="18"/>
  <c r="P83" i="18"/>
  <c r="O83" i="18"/>
  <c r="G83" i="18"/>
  <c r="I83" i="18" s="1"/>
  <c r="F83" i="18"/>
  <c r="E83" i="18"/>
  <c r="S82" i="18"/>
  <c r="R82" i="18"/>
  <c r="P82" i="18"/>
  <c r="O82" i="18"/>
  <c r="G82" i="18"/>
  <c r="F82" i="18"/>
  <c r="E82" i="18"/>
  <c r="R81" i="18"/>
  <c r="S81" i="18" s="1"/>
  <c r="P81" i="18"/>
  <c r="O81" i="18"/>
  <c r="G81" i="18"/>
  <c r="I81" i="18" s="1"/>
  <c r="F81" i="18"/>
  <c r="E81" i="18"/>
  <c r="R80" i="18"/>
  <c r="S80" i="18" s="1"/>
  <c r="O80" i="18"/>
  <c r="P80" i="18" s="1"/>
  <c r="G80" i="18"/>
  <c r="H80" i="18" s="1"/>
  <c r="F80" i="18"/>
  <c r="E80" i="18"/>
  <c r="S79" i="18"/>
  <c r="R79" i="18"/>
  <c r="P79" i="18"/>
  <c r="O79" i="18"/>
  <c r="G79" i="18"/>
  <c r="F79" i="18"/>
  <c r="E79" i="18"/>
  <c r="S78" i="18"/>
  <c r="R78" i="18"/>
  <c r="P78" i="18"/>
  <c r="O78" i="18"/>
  <c r="G78" i="18"/>
  <c r="F78" i="18"/>
  <c r="E78" i="18"/>
  <c r="R77" i="18"/>
  <c r="S77" i="18" s="1"/>
  <c r="P77" i="18"/>
  <c r="O77" i="18"/>
  <c r="G77" i="18"/>
  <c r="I77" i="18" s="1"/>
  <c r="F77" i="18"/>
  <c r="E77" i="18"/>
  <c r="S76" i="18"/>
  <c r="O76" i="18"/>
  <c r="P76" i="18" s="1"/>
  <c r="G76" i="18"/>
  <c r="I76" i="18" s="1"/>
  <c r="F76" i="18"/>
  <c r="E76" i="18"/>
  <c r="R75" i="18"/>
  <c r="S75" i="18" s="1"/>
  <c r="P75" i="18"/>
  <c r="O75" i="18"/>
  <c r="G75" i="18"/>
  <c r="F75" i="18"/>
  <c r="E75" i="18"/>
  <c r="S74" i="18"/>
  <c r="R74" i="18"/>
  <c r="P74" i="18"/>
  <c r="O74" i="18"/>
  <c r="G74" i="18"/>
  <c r="I74" i="18" s="1"/>
  <c r="F74" i="18"/>
  <c r="E74" i="18"/>
  <c r="S73" i="18"/>
  <c r="R73" i="18"/>
  <c r="P73" i="18"/>
  <c r="O73" i="18"/>
  <c r="G73" i="18"/>
  <c r="F73" i="18"/>
  <c r="E73" i="18"/>
  <c r="S72" i="18"/>
  <c r="R72" i="18"/>
  <c r="P72" i="18"/>
  <c r="O72" i="18"/>
  <c r="G72" i="18"/>
  <c r="I72" i="18" s="1"/>
  <c r="F72" i="18"/>
  <c r="E72" i="18"/>
  <c r="R71" i="18"/>
  <c r="S71" i="18" s="1"/>
  <c r="P71" i="18"/>
  <c r="O71" i="18"/>
  <c r="G71" i="18"/>
  <c r="F71" i="18"/>
  <c r="E71" i="18"/>
  <c r="S70" i="18"/>
  <c r="R70" i="18"/>
  <c r="O70" i="18"/>
  <c r="P70" i="18" s="1"/>
  <c r="G70" i="18"/>
  <c r="F70" i="18"/>
  <c r="E70" i="18"/>
  <c r="R69" i="18"/>
  <c r="S69" i="18" s="1"/>
  <c r="O69" i="18"/>
  <c r="P69" i="18" s="1"/>
  <c r="G69" i="18"/>
  <c r="F69" i="18"/>
  <c r="E69" i="18"/>
  <c r="S68" i="18"/>
  <c r="R68" i="18"/>
  <c r="P68" i="18"/>
  <c r="O68" i="18"/>
  <c r="G68" i="18"/>
  <c r="F68" i="18"/>
  <c r="E68" i="18"/>
  <c r="S67" i="18"/>
  <c r="R67" i="18"/>
  <c r="O67" i="18"/>
  <c r="G67" i="18"/>
  <c r="F67" i="18"/>
  <c r="E67" i="18"/>
  <c r="Q28" i="18"/>
  <c r="R27" i="18"/>
  <c r="Q27" i="18"/>
  <c r="P27" i="18"/>
  <c r="O27" i="18"/>
  <c r="N27" i="18"/>
  <c r="M27" i="18"/>
  <c r="L27" i="18"/>
  <c r="Q24" i="18"/>
  <c r="M24" i="18"/>
  <c r="M28" i="18" s="1"/>
  <c r="L24" i="18"/>
  <c r="L28" i="18" s="1"/>
  <c r="D24" i="18"/>
  <c r="Q22" i="18"/>
  <c r="N22" i="18"/>
  <c r="M22" i="18"/>
  <c r="L22" i="18"/>
  <c r="D22" i="18"/>
  <c r="S21" i="18"/>
  <c r="R21" i="18"/>
  <c r="P21" i="18"/>
  <c r="O21" i="18"/>
  <c r="G21" i="18"/>
  <c r="H21" i="18" s="1"/>
  <c r="F21" i="18"/>
  <c r="E21" i="18"/>
  <c r="S20" i="18"/>
  <c r="R20" i="18"/>
  <c r="P20" i="18"/>
  <c r="O20" i="18"/>
  <c r="G20" i="18"/>
  <c r="F20" i="18"/>
  <c r="E20" i="18"/>
  <c r="R19" i="18"/>
  <c r="O19" i="18"/>
  <c r="G19" i="18"/>
  <c r="J19" i="18" s="1"/>
  <c r="F19" i="18"/>
  <c r="E19" i="18"/>
  <c r="R18" i="18"/>
  <c r="S18" i="18" s="1"/>
  <c r="P18" i="18"/>
  <c r="O18" i="18"/>
  <c r="G18" i="18"/>
  <c r="F18" i="18"/>
  <c r="F22" i="18" s="1"/>
  <c r="E18" i="18"/>
  <c r="Q15" i="18"/>
  <c r="M15" i="18"/>
  <c r="L15" i="18"/>
  <c r="D15" i="18"/>
  <c r="S14" i="18"/>
  <c r="R14" i="18"/>
  <c r="O14" i="18"/>
  <c r="N14" i="18"/>
  <c r="P14" i="18" s="1"/>
  <c r="G14" i="18"/>
  <c r="F14" i="18"/>
  <c r="E14" i="18"/>
  <c r="R13" i="18"/>
  <c r="S13" i="18" s="1"/>
  <c r="P13" i="18"/>
  <c r="O13" i="18"/>
  <c r="N13" i="18"/>
  <c r="G13" i="18"/>
  <c r="J13" i="18" s="1"/>
  <c r="F13" i="18"/>
  <c r="E13" i="18"/>
  <c r="S12" i="18"/>
  <c r="R12" i="18"/>
  <c r="P12" i="18"/>
  <c r="O12" i="18"/>
  <c r="N12" i="18"/>
  <c r="G12" i="18"/>
  <c r="F12" i="18"/>
  <c r="E12" i="18"/>
  <c r="R11" i="18"/>
  <c r="S11" i="18" s="1"/>
  <c r="O11" i="18"/>
  <c r="N11" i="18"/>
  <c r="P11" i="18" s="1"/>
  <c r="G11" i="18"/>
  <c r="F11" i="18"/>
  <c r="E11" i="18"/>
  <c r="S10" i="18"/>
  <c r="R10" i="18"/>
  <c r="P10" i="18"/>
  <c r="O10" i="18"/>
  <c r="N10" i="18"/>
  <c r="G10" i="18"/>
  <c r="F10" i="18"/>
  <c r="E10" i="18"/>
  <c r="S9" i="18"/>
  <c r="R9" i="18"/>
  <c r="P9" i="18"/>
  <c r="O9" i="18"/>
  <c r="N9" i="18"/>
  <c r="G9" i="18"/>
  <c r="I9" i="18" s="1"/>
  <c r="F9" i="18"/>
  <c r="E9" i="18"/>
  <c r="R8" i="18"/>
  <c r="S8" i="18" s="1"/>
  <c r="O8" i="18"/>
  <c r="P8" i="18" s="1"/>
  <c r="N8" i="18"/>
  <c r="G8" i="18"/>
  <c r="J8" i="18" s="1"/>
  <c r="F8" i="18"/>
  <c r="E8" i="18"/>
  <c r="R7" i="18"/>
  <c r="S7" i="18" s="1"/>
  <c r="O7" i="18"/>
  <c r="N7" i="18"/>
  <c r="P7" i="18" s="1"/>
  <c r="G7" i="18"/>
  <c r="H7" i="18" s="1"/>
  <c r="F7" i="18"/>
  <c r="E7" i="18"/>
  <c r="S6" i="18"/>
  <c r="R6" i="18"/>
  <c r="O6" i="18"/>
  <c r="P6" i="18" s="1"/>
  <c r="N6" i="18"/>
  <c r="G6" i="18"/>
  <c r="F6" i="18"/>
  <c r="E6" i="18"/>
  <c r="S5" i="18"/>
  <c r="R5" i="18"/>
  <c r="P5" i="18"/>
  <c r="O5" i="18"/>
  <c r="N5" i="18"/>
  <c r="G5" i="18"/>
  <c r="H5" i="18" s="1"/>
  <c r="F5" i="18"/>
  <c r="E5" i="18"/>
  <c r="R4" i="18"/>
  <c r="S4" i="18" s="1"/>
  <c r="P4" i="18"/>
  <c r="O4" i="18"/>
  <c r="N4" i="18"/>
  <c r="G4" i="18"/>
  <c r="F4" i="18"/>
  <c r="E4" i="18"/>
  <c r="S3" i="18"/>
  <c r="R3" i="18"/>
  <c r="O3" i="18"/>
  <c r="N3" i="18"/>
  <c r="G3" i="18"/>
  <c r="H3" i="18" s="1"/>
  <c r="F3" i="18"/>
  <c r="E3" i="18"/>
  <c r="E15" i="18" s="1"/>
  <c r="Q13" i="17"/>
  <c r="M13" i="17"/>
  <c r="M17" i="17" s="1"/>
  <c r="J13" i="17"/>
  <c r="D13" i="17"/>
  <c r="S11" i="17"/>
  <c r="R11" i="17"/>
  <c r="Q11" i="17"/>
  <c r="P11" i="17"/>
  <c r="O11" i="17"/>
  <c r="N11" i="17"/>
  <c r="M11" i="17"/>
  <c r="L11" i="17"/>
  <c r="D11" i="17"/>
  <c r="G10" i="17"/>
  <c r="F10" i="17"/>
  <c r="F11" i="17" s="1"/>
  <c r="E10" i="17"/>
  <c r="E11" i="17" s="1"/>
  <c r="Q7" i="17"/>
  <c r="N7" i="17"/>
  <c r="N13" i="17" s="1"/>
  <c r="N17" i="17" s="1"/>
  <c r="M7" i="17"/>
  <c r="L7" i="17"/>
  <c r="L13" i="17" s="1"/>
  <c r="L17" i="17" s="1"/>
  <c r="J7" i="17"/>
  <c r="D7" i="17"/>
  <c r="R6" i="17"/>
  <c r="S6" i="17" s="1"/>
  <c r="P6" i="17"/>
  <c r="O6" i="17"/>
  <c r="G6" i="17"/>
  <c r="F6" i="17"/>
  <c r="E6" i="17"/>
  <c r="S5" i="17"/>
  <c r="R5" i="17"/>
  <c r="P5" i="17"/>
  <c r="O5" i="17"/>
  <c r="G5" i="17"/>
  <c r="I5" i="17" s="1"/>
  <c r="F5" i="17"/>
  <c r="E5" i="17"/>
  <c r="S4" i="17"/>
  <c r="R4" i="17"/>
  <c r="P4" i="17"/>
  <c r="O4" i="17"/>
  <c r="G4" i="17"/>
  <c r="F4" i="17"/>
  <c r="E4" i="17"/>
  <c r="R3" i="17"/>
  <c r="P3" i="17"/>
  <c r="O3" i="17"/>
  <c r="O7" i="17" s="1"/>
  <c r="O13" i="17" s="1"/>
  <c r="O17" i="17" s="1"/>
  <c r="G3" i="17"/>
  <c r="F3" i="17"/>
  <c r="F7" i="17" s="1"/>
  <c r="E3" i="17"/>
  <c r="E7" i="17" s="1"/>
  <c r="N784" i="16"/>
  <c r="M784" i="16"/>
  <c r="R783" i="16"/>
  <c r="Q783" i="16"/>
  <c r="P783" i="16"/>
  <c r="O783" i="16"/>
  <c r="N783" i="16"/>
  <c r="M783" i="16"/>
  <c r="L783" i="16"/>
  <c r="N781" i="16"/>
  <c r="M781" i="16"/>
  <c r="S779" i="16"/>
  <c r="R779" i="16"/>
  <c r="Q779" i="16"/>
  <c r="P779" i="16"/>
  <c r="O779" i="16"/>
  <c r="N779" i="16"/>
  <c r="M779" i="16"/>
  <c r="L779" i="16"/>
  <c r="J779" i="16"/>
  <c r="D779" i="16"/>
  <c r="S778" i="16"/>
  <c r="G778" i="16"/>
  <c r="I778" i="16" s="1"/>
  <c r="F778" i="16"/>
  <c r="F779" i="16" s="1"/>
  <c r="E778" i="16"/>
  <c r="E779" i="16" s="1"/>
  <c r="Q775" i="16"/>
  <c r="N775" i="16"/>
  <c r="M775" i="16"/>
  <c r="L775" i="16"/>
  <c r="L781" i="16" s="1"/>
  <c r="L784" i="16" s="1"/>
  <c r="J775" i="16"/>
  <c r="J781" i="16" s="1"/>
  <c r="D775" i="16"/>
  <c r="D781" i="16" s="1"/>
  <c r="S774" i="16"/>
  <c r="R774" i="16"/>
  <c r="P774" i="16"/>
  <c r="O774" i="16"/>
  <c r="G774" i="16"/>
  <c r="H774" i="16" s="1"/>
  <c r="F774" i="16"/>
  <c r="E774" i="16"/>
  <c r="S773" i="16"/>
  <c r="R773" i="16"/>
  <c r="P773" i="16"/>
  <c r="O773" i="16"/>
  <c r="G773" i="16"/>
  <c r="F773" i="16"/>
  <c r="E773" i="16"/>
  <c r="S772" i="16"/>
  <c r="R772" i="16"/>
  <c r="P772" i="16"/>
  <c r="O772" i="16"/>
  <c r="G772" i="16"/>
  <c r="F772" i="16"/>
  <c r="E772" i="16"/>
  <c r="R771" i="16"/>
  <c r="S771" i="16" s="1"/>
  <c r="P771" i="16"/>
  <c r="O771" i="16"/>
  <c r="G771" i="16"/>
  <c r="H771" i="16" s="1"/>
  <c r="F771" i="16"/>
  <c r="E771" i="16"/>
  <c r="S770" i="16"/>
  <c r="R770" i="16"/>
  <c r="P770" i="16"/>
  <c r="O770" i="16"/>
  <c r="G770" i="16"/>
  <c r="I770" i="16" s="1"/>
  <c r="F770" i="16"/>
  <c r="E770" i="16"/>
  <c r="S769" i="16"/>
  <c r="R769" i="16"/>
  <c r="O769" i="16"/>
  <c r="P769" i="16" s="1"/>
  <c r="G769" i="16"/>
  <c r="F769" i="16"/>
  <c r="E769" i="16"/>
  <c r="R768" i="16"/>
  <c r="S768" i="16" s="1"/>
  <c r="P768" i="16"/>
  <c r="O768" i="16"/>
  <c r="G768" i="16"/>
  <c r="F768" i="16"/>
  <c r="E768" i="16"/>
  <c r="R767" i="16"/>
  <c r="S767" i="16" s="1"/>
  <c r="O767" i="16"/>
  <c r="P767" i="16" s="1"/>
  <c r="G767" i="16"/>
  <c r="I767" i="16" s="1"/>
  <c r="F767" i="16"/>
  <c r="E767" i="16"/>
  <c r="S766" i="16"/>
  <c r="R766" i="16"/>
  <c r="P766" i="16"/>
  <c r="O766" i="16"/>
  <c r="G766" i="16"/>
  <c r="F766" i="16"/>
  <c r="E766" i="16"/>
  <c r="S765" i="16"/>
  <c r="O765" i="16"/>
  <c r="P765" i="16" s="1"/>
  <c r="G765" i="16"/>
  <c r="F765" i="16"/>
  <c r="E765" i="16"/>
  <c r="R764" i="16"/>
  <c r="S764" i="16" s="1"/>
  <c r="P764" i="16"/>
  <c r="O764" i="16"/>
  <c r="G764" i="16"/>
  <c r="H764" i="16" s="1"/>
  <c r="F764" i="16"/>
  <c r="E764" i="16"/>
  <c r="R763" i="16"/>
  <c r="S763" i="16" s="1"/>
  <c r="P763" i="16"/>
  <c r="O763" i="16"/>
  <c r="G763" i="16"/>
  <c r="I763" i="16" s="1"/>
  <c r="F763" i="16"/>
  <c r="E763" i="16"/>
  <c r="S762" i="16"/>
  <c r="R762" i="16"/>
  <c r="P762" i="16"/>
  <c r="O762" i="16"/>
  <c r="G762" i="16"/>
  <c r="H762" i="16" s="1"/>
  <c r="F762" i="16"/>
  <c r="E762" i="16"/>
  <c r="S761" i="16"/>
  <c r="R761" i="16"/>
  <c r="P761" i="16"/>
  <c r="O761" i="16"/>
  <c r="G761" i="16"/>
  <c r="F761" i="16"/>
  <c r="E761" i="16"/>
  <c r="R760" i="16"/>
  <c r="S760" i="16" s="1"/>
  <c r="P760" i="16"/>
  <c r="O760" i="16"/>
  <c r="G760" i="16"/>
  <c r="H760" i="16" s="1"/>
  <c r="F760" i="16"/>
  <c r="E760" i="16"/>
  <c r="R759" i="16"/>
  <c r="S759" i="16" s="1"/>
  <c r="P759" i="16"/>
  <c r="O759" i="16"/>
  <c r="G759" i="16"/>
  <c r="F759" i="16"/>
  <c r="E759" i="16"/>
  <c r="S758" i="16"/>
  <c r="R758" i="16"/>
  <c r="O758" i="16"/>
  <c r="P758" i="16" s="1"/>
  <c r="G758" i="16"/>
  <c r="F758" i="16"/>
  <c r="E758" i="16"/>
  <c r="R757" i="16"/>
  <c r="S757" i="16" s="1"/>
  <c r="O757" i="16"/>
  <c r="P757" i="16" s="1"/>
  <c r="G757" i="16"/>
  <c r="I757" i="16" s="1"/>
  <c r="F757" i="16"/>
  <c r="E757" i="16"/>
  <c r="S756" i="16"/>
  <c r="R756" i="16"/>
  <c r="O756" i="16"/>
  <c r="P756" i="16" s="1"/>
  <c r="G756" i="16"/>
  <c r="F756" i="16"/>
  <c r="E756" i="16"/>
  <c r="N701" i="16"/>
  <c r="R700" i="16"/>
  <c r="Q700" i="16"/>
  <c r="P700" i="16"/>
  <c r="O700" i="16"/>
  <c r="N700" i="16"/>
  <c r="M700" i="16"/>
  <c r="L700" i="16"/>
  <c r="D697" i="16"/>
  <c r="S695" i="16"/>
  <c r="R695" i="16"/>
  <c r="Q695" i="16"/>
  <c r="N695" i="16"/>
  <c r="M695" i="16"/>
  <c r="L695" i="16"/>
  <c r="J695" i="16"/>
  <c r="D695" i="16"/>
  <c r="R694" i="16"/>
  <c r="S694" i="16" s="1"/>
  <c r="P694" i="16"/>
  <c r="P695" i="16" s="1"/>
  <c r="O694" i="16"/>
  <c r="O695" i="16" s="1"/>
  <c r="G694" i="16"/>
  <c r="F694" i="16"/>
  <c r="F695" i="16" s="1"/>
  <c r="E694" i="16"/>
  <c r="E695" i="16" s="1"/>
  <c r="D691" i="16"/>
  <c r="S689" i="16"/>
  <c r="Q689" i="16"/>
  <c r="N689" i="16"/>
  <c r="M689" i="16"/>
  <c r="L689" i="16"/>
  <c r="G689" i="16"/>
  <c r="D689" i="16"/>
  <c r="S688" i="16"/>
  <c r="R688" i="16"/>
  <c r="R689" i="16" s="1"/>
  <c r="O688" i="16"/>
  <c r="O689" i="16" s="1"/>
  <c r="G688" i="16"/>
  <c r="H688" i="16" s="1"/>
  <c r="F688" i="16"/>
  <c r="F689" i="16" s="1"/>
  <c r="E688" i="16"/>
  <c r="E689" i="16" s="1"/>
  <c r="Q686" i="16"/>
  <c r="N686" i="16"/>
  <c r="N691" i="16" s="1"/>
  <c r="N697" i="16" s="1"/>
  <c r="M686" i="16"/>
  <c r="M691" i="16" s="1"/>
  <c r="M697" i="16" s="1"/>
  <c r="M701" i="16" s="1"/>
  <c r="L686" i="16"/>
  <c r="L691" i="16" s="1"/>
  <c r="L697" i="16" s="1"/>
  <c r="L701" i="16" s="1"/>
  <c r="J686" i="16"/>
  <c r="J697" i="16" s="1"/>
  <c r="D686" i="16"/>
  <c r="S685" i="16"/>
  <c r="R685" i="16"/>
  <c r="O685" i="16"/>
  <c r="P685" i="16" s="1"/>
  <c r="G685" i="16"/>
  <c r="F685" i="16"/>
  <c r="E685" i="16"/>
  <c r="R684" i="16"/>
  <c r="S684" i="16" s="1"/>
  <c r="P684" i="16"/>
  <c r="O684" i="16"/>
  <c r="G684" i="16"/>
  <c r="F684" i="16"/>
  <c r="E684" i="16"/>
  <c r="R683" i="16"/>
  <c r="S683" i="16" s="1"/>
  <c r="P683" i="16"/>
  <c r="O683" i="16"/>
  <c r="G683" i="16"/>
  <c r="H683" i="16" s="1"/>
  <c r="F683" i="16"/>
  <c r="E683" i="16"/>
  <c r="R682" i="16"/>
  <c r="S682" i="16" s="1"/>
  <c r="P682" i="16"/>
  <c r="O682" i="16"/>
  <c r="G682" i="16"/>
  <c r="I682" i="16" s="1"/>
  <c r="F682" i="16"/>
  <c r="E682" i="16"/>
  <c r="R681" i="16"/>
  <c r="S681" i="16" s="1"/>
  <c r="P681" i="16"/>
  <c r="O681" i="16"/>
  <c r="G681" i="16"/>
  <c r="I681" i="16" s="1"/>
  <c r="F681" i="16"/>
  <c r="E681" i="16"/>
  <c r="R680" i="16"/>
  <c r="S680" i="16" s="1"/>
  <c r="P680" i="16"/>
  <c r="O680" i="16"/>
  <c r="G680" i="16"/>
  <c r="I680" i="16" s="1"/>
  <c r="F680" i="16"/>
  <c r="E680" i="16"/>
  <c r="S679" i="16"/>
  <c r="R679" i="16"/>
  <c r="P679" i="16"/>
  <c r="O679" i="16"/>
  <c r="G679" i="16"/>
  <c r="H679" i="16" s="1"/>
  <c r="F679" i="16"/>
  <c r="E679" i="16"/>
  <c r="S678" i="16"/>
  <c r="R678" i="16"/>
  <c r="O678" i="16"/>
  <c r="P678" i="16" s="1"/>
  <c r="H678" i="16"/>
  <c r="G678" i="16"/>
  <c r="I678" i="16" s="1"/>
  <c r="F678" i="16"/>
  <c r="E678" i="16"/>
  <c r="R677" i="16"/>
  <c r="S677" i="16" s="1"/>
  <c r="P677" i="16"/>
  <c r="O677" i="16"/>
  <c r="G677" i="16"/>
  <c r="F677" i="16"/>
  <c r="E677" i="16"/>
  <c r="S676" i="16"/>
  <c r="R676" i="16"/>
  <c r="P676" i="16"/>
  <c r="O676" i="16"/>
  <c r="G676" i="16"/>
  <c r="I676" i="16" s="1"/>
  <c r="F676" i="16"/>
  <c r="E676" i="16"/>
  <c r="R675" i="16"/>
  <c r="S675" i="16" s="1"/>
  <c r="P675" i="16"/>
  <c r="O675" i="16"/>
  <c r="G675" i="16"/>
  <c r="H675" i="16" s="1"/>
  <c r="F675" i="16"/>
  <c r="E675" i="16"/>
  <c r="S674" i="16"/>
  <c r="R674" i="16"/>
  <c r="P674" i="16"/>
  <c r="O674" i="16"/>
  <c r="G674" i="16"/>
  <c r="F674" i="16"/>
  <c r="E674" i="16"/>
  <c r="R673" i="16"/>
  <c r="S673" i="16" s="1"/>
  <c r="P673" i="16"/>
  <c r="O673" i="16"/>
  <c r="G673" i="16"/>
  <c r="H673" i="16" s="1"/>
  <c r="F673" i="16"/>
  <c r="E673" i="16"/>
  <c r="S672" i="16"/>
  <c r="R672" i="16"/>
  <c r="O672" i="16"/>
  <c r="P672" i="16" s="1"/>
  <c r="G672" i="16"/>
  <c r="H672" i="16" s="1"/>
  <c r="F672" i="16"/>
  <c r="E672" i="16"/>
  <c r="S671" i="16"/>
  <c r="O671" i="16"/>
  <c r="P671" i="16" s="1"/>
  <c r="G671" i="16"/>
  <c r="F671" i="16"/>
  <c r="E671" i="16"/>
  <c r="S670" i="16"/>
  <c r="R670" i="16"/>
  <c r="P670" i="16"/>
  <c r="O670" i="16"/>
  <c r="G670" i="16"/>
  <c r="F670" i="16"/>
  <c r="E670" i="16"/>
  <c r="R669" i="16"/>
  <c r="S669" i="16" s="1"/>
  <c r="P669" i="16"/>
  <c r="O669" i="16"/>
  <c r="G669" i="16"/>
  <c r="I669" i="16" s="1"/>
  <c r="F669" i="16"/>
  <c r="E669" i="16"/>
  <c r="R668" i="16"/>
  <c r="P668" i="16"/>
  <c r="O668" i="16"/>
  <c r="G668" i="16"/>
  <c r="H668" i="16" s="1"/>
  <c r="F668" i="16"/>
  <c r="E668" i="16"/>
  <c r="R615" i="16"/>
  <c r="Q615" i="16"/>
  <c r="P615" i="16"/>
  <c r="O615" i="16"/>
  <c r="N615" i="16"/>
  <c r="M615" i="16"/>
  <c r="L615" i="16"/>
  <c r="M613" i="16"/>
  <c r="M616" i="16" s="1"/>
  <c r="Q611" i="16"/>
  <c r="O611" i="16"/>
  <c r="N611" i="16"/>
  <c r="M611" i="16"/>
  <c r="L611" i="16"/>
  <c r="J611" i="16"/>
  <c r="J613" i="16" s="1"/>
  <c r="D611" i="16"/>
  <c r="D613" i="16" s="1"/>
  <c r="S610" i="16"/>
  <c r="S611" i="16" s="1"/>
  <c r="R610" i="16"/>
  <c r="R611" i="16" s="1"/>
  <c r="P610" i="16"/>
  <c r="P611" i="16" s="1"/>
  <c r="O610" i="16"/>
  <c r="G610" i="16"/>
  <c r="I610" i="16" s="1"/>
  <c r="F610" i="16"/>
  <c r="F611" i="16" s="1"/>
  <c r="E610" i="16"/>
  <c r="E611" i="16" s="1"/>
  <c r="Q607" i="16"/>
  <c r="N607" i="16"/>
  <c r="M607" i="16"/>
  <c r="L607" i="16"/>
  <c r="D607" i="16"/>
  <c r="R606" i="16"/>
  <c r="S606" i="16" s="1"/>
  <c r="O606" i="16"/>
  <c r="P606" i="16" s="1"/>
  <c r="G606" i="16"/>
  <c r="H606" i="16" s="1"/>
  <c r="F606" i="16"/>
  <c r="E606" i="16"/>
  <c r="R605" i="16"/>
  <c r="S605" i="16" s="1"/>
  <c r="O605" i="16"/>
  <c r="P605" i="16" s="1"/>
  <c r="G605" i="16"/>
  <c r="F605" i="16"/>
  <c r="E605" i="16"/>
  <c r="S604" i="16"/>
  <c r="R604" i="16"/>
  <c r="P604" i="16"/>
  <c r="O604" i="16"/>
  <c r="G604" i="16"/>
  <c r="F604" i="16"/>
  <c r="E604" i="16"/>
  <c r="R603" i="16"/>
  <c r="S603" i="16" s="1"/>
  <c r="O603" i="16"/>
  <c r="P603" i="16" s="1"/>
  <c r="G603" i="16"/>
  <c r="I603" i="16" s="1"/>
  <c r="F603" i="16"/>
  <c r="E603" i="16"/>
  <c r="S602" i="16"/>
  <c r="R602" i="16"/>
  <c r="P602" i="16"/>
  <c r="O602" i="16"/>
  <c r="G602" i="16"/>
  <c r="I602" i="16" s="1"/>
  <c r="F602" i="16"/>
  <c r="E602" i="16"/>
  <c r="R601" i="16"/>
  <c r="S601" i="16" s="1"/>
  <c r="O601" i="16"/>
  <c r="P601" i="16" s="1"/>
  <c r="G601" i="16"/>
  <c r="I601" i="16" s="1"/>
  <c r="F601" i="16"/>
  <c r="E601" i="16"/>
  <c r="S600" i="16"/>
  <c r="R600" i="16"/>
  <c r="P600" i="16"/>
  <c r="O600" i="16"/>
  <c r="G600" i="16"/>
  <c r="H600" i="16" s="1"/>
  <c r="F600" i="16"/>
  <c r="E600" i="16"/>
  <c r="S599" i="16"/>
  <c r="R599" i="16"/>
  <c r="O599" i="16"/>
  <c r="P599" i="16" s="1"/>
  <c r="G599" i="16"/>
  <c r="F599" i="16"/>
  <c r="E599" i="16"/>
  <c r="R598" i="16"/>
  <c r="S598" i="16" s="1"/>
  <c r="P598" i="16"/>
  <c r="O598" i="16"/>
  <c r="G598" i="16"/>
  <c r="F598" i="16"/>
  <c r="E598" i="16"/>
  <c r="R597" i="16"/>
  <c r="S597" i="16" s="1"/>
  <c r="O597" i="16"/>
  <c r="P597" i="16" s="1"/>
  <c r="G597" i="16"/>
  <c r="H597" i="16" s="1"/>
  <c r="F597" i="16"/>
  <c r="E597" i="16"/>
  <c r="R596" i="16"/>
  <c r="P596" i="16"/>
  <c r="O596" i="16"/>
  <c r="G596" i="16"/>
  <c r="F596" i="16"/>
  <c r="E596" i="16"/>
  <c r="M542" i="16"/>
  <c r="L542" i="16"/>
  <c r="D538" i="16"/>
  <c r="S536" i="16"/>
  <c r="R536" i="16"/>
  <c r="Q536" i="16"/>
  <c r="P536" i="16"/>
  <c r="O536" i="16"/>
  <c r="N536" i="16"/>
  <c r="N538" i="16" s="1"/>
  <c r="N542" i="16" s="1"/>
  <c r="M536" i="16"/>
  <c r="L536" i="16"/>
  <c r="D536" i="16"/>
  <c r="G535" i="16"/>
  <c r="F535" i="16"/>
  <c r="F536" i="16" s="1"/>
  <c r="E535" i="16"/>
  <c r="E536" i="16" s="1"/>
  <c r="Q532" i="16"/>
  <c r="O532" i="16"/>
  <c r="N532" i="16"/>
  <c r="M532" i="16"/>
  <c r="M538" i="16" s="1"/>
  <c r="L532" i="16"/>
  <c r="L538" i="16" s="1"/>
  <c r="J532" i="16"/>
  <c r="J538" i="16" s="1"/>
  <c r="D532" i="16"/>
  <c r="R531" i="16"/>
  <c r="S531" i="16" s="1"/>
  <c r="P531" i="16"/>
  <c r="O531" i="16"/>
  <c r="G531" i="16"/>
  <c r="F531" i="16"/>
  <c r="E531" i="16"/>
  <c r="R530" i="16"/>
  <c r="S530" i="16" s="1"/>
  <c r="P530" i="16"/>
  <c r="O530" i="16"/>
  <c r="G530" i="16"/>
  <c r="I530" i="16" s="1"/>
  <c r="F530" i="16"/>
  <c r="E530" i="16"/>
  <c r="R529" i="16"/>
  <c r="S529" i="16" s="1"/>
  <c r="P529" i="16"/>
  <c r="O529" i="16"/>
  <c r="G529" i="16"/>
  <c r="I529" i="16" s="1"/>
  <c r="F529" i="16"/>
  <c r="E529" i="16"/>
  <c r="R528" i="16"/>
  <c r="S528" i="16" s="1"/>
  <c r="P528" i="16"/>
  <c r="O528" i="16"/>
  <c r="G528" i="16"/>
  <c r="I528" i="16" s="1"/>
  <c r="F528" i="16"/>
  <c r="E528" i="16"/>
  <c r="M475" i="16"/>
  <c r="L475" i="16"/>
  <c r="R474" i="16"/>
  <c r="Q474" i="16"/>
  <c r="P474" i="16"/>
  <c r="O474" i="16"/>
  <c r="N474" i="16"/>
  <c r="M474" i="16"/>
  <c r="L474" i="16"/>
  <c r="N471" i="16"/>
  <c r="N475" i="16" s="1"/>
  <c r="M471" i="16"/>
  <c r="J471" i="16"/>
  <c r="Q469" i="16"/>
  <c r="N469" i="16"/>
  <c r="M469" i="16"/>
  <c r="L469" i="16"/>
  <c r="D469" i="16"/>
  <c r="R468" i="16"/>
  <c r="S468" i="16" s="1"/>
  <c r="P468" i="16"/>
  <c r="O468" i="16"/>
  <c r="G468" i="16"/>
  <c r="F468" i="16"/>
  <c r="E468" i="16"/>
  <c r="R467" i="16"/>
  <c r="S467" i="16" s="1"/>
  <c r="P467" i="16"/>
  <c r="O467" i="16"/>
  <c r="G467" i="16"/>
  <c r="F467" i="16"/>
  <c r="E467" i="16"/>
  <c r="S466" i="16"/>
  <c r="R466" i="16"/>
  <c r="P466" i="16"/>
  <c r="O466" i="16"/>
  <c r="G466" i="16"/>
  <c r="H466" i="16" s="1"/>
  <c r="F466" i="16"/>
  <c r="E466" i="16"/>
  <c r="R465" i="16"/>
  <c r="S465" i="16" s="1"/>
  <c r="P465" i="16"/>
  <c r="O465" i="16"/>
  <c r="G465" i="16"/>
  <c r="F465" i="16"/>
  <c r="E465" i="16"/>
  <c r="R464" i="16"/>
  <c r="S464" i="16" s="1"/>
  <c r="P464" i="16"/>
  <c r="O464" i="16"/>
  <c r="G464" i="16"/>
  <c r="H464" i="16" s="1"/>
  <c r="F464" i="16"/>
  <c r="E464" i="16"/>
  <c r="R463" i="16"/>
  <c r="S463" i="16" s="1"/>
  <c r="P463" i="16"/>
  <c r="O463" i="16"/>
  <c r="G463" i="16"/>
  <c r="F463" i="16"/>
  <c r="E463" i="16"/>
  <c r="R462" i="16"/>
  <c r="S462" i="16" s="1"/>
  <c r="P462" i="16"/>
  <c r="O462" i="16"/>
  <c r="G462" i="16"/>
  <c r="F462" i="16"/>
  <c r="E462" i="16"/>
  <c r="R461" i="16"/>
  <c r="S461" i="16" s="1"/>
  <c r="P461" i="16"/>
  <c r="O461" i="16"/>
  <c r="G461" i="16"/>
  <c r="I461" i="16" s="1"/>
  <c r="F461" i="16"/>
  <c r="E461" i="16"/>
  <c r="S460" i="16"/>
  <c r="R460" i="16"/>
  <c r="P460" i="16"/>
  <c r="O460" i="16"/>
  <c r="G460" i="16"/>
  <c r="H460" i="16" s="1"/>
  <c r="F460" i="16"/>
  <c r="E460" i="16"/>
  <c r="S459" i="16"/>
  <c r="R459" i="16"/>
  <c r="P459" i="16"/>
  <c r="O459" i="16"/>
  <c r="G459" i="16"/>
  <c r="I459" i="16" s="1"/>
  <c r="F459" i="16"/>
  <c r="E459" i="16"/>
  <c r="S458" i="16"/>
  <c r="R458" i="16"/>
  <c r="P458" i="16"/>
  <c r="O458" i="16"/>
  <c r="G458" i="16"/>
  <c r="F458" i="16"/>
  <c r="E458" i="16"/>
  <c r="S457" i="16"/>
  <c r="R457" i="16"/>
  <c r="P457" i="16"/>
  <c r="O457" i="16"/>
  <c r="G457" i="16"/>
  <c r="I457" i="16" s="1"/>
  <c r="F457" i="16"/>
  <c r="E457" i="16"/>
  <c r="S456" i="16"/>
  <c r="R456" i="16"/>
  <c r="P456" i="16"/>
  <c r="O456" i="16"/>
  <c r="G456" i="16"/>
  <c r="F456" i="16"/>
  <c r="E456" i="16"/>
  <c r="S455" i="16"/>
  <c r="R455" i="16"/>
  <c r="P455" i="16"/>
  <c r="O455" i="16"/>
  <c r="G455" i="16"/>
  <c r="H455" i="16" s="1"/>
  <c r="F455" i="16"/>
  <c r="E455" i="16"/>
  <c r="S454" i="16"/>
  <c r="R454" i="16"/>
  <c r="P454" i="16"/>
  <c r="O454" i="16"/>
  <c r="G454" i="16"/>
  <c r="F454" i="16"/>
  <c r="E454" i="16"/>
  <c r="N451" i="16"/>
  <c r="L451" i="16"/>
  <c r="L471" i="16" s="1"/>
  <c r="Q449" i="16"/>
  <c r="N449" i="16"/>
  <c r="M449" i="16"/>
  <c r="L449" i="16"/>
  <c r="J449" i="16"/>
  <c r="D449" i="16"/>
  <c r="D451" i="16" s="1"/>
  <c r="D471" i="16" s="1"/>
  <c r="R448" i="16"/>
  <c r="S448" i="16" s="1"/>
  <c r="P448" i="16"/>
  <c r="O448" i="16"/>
  <c r="O449" i="16" s="1"/>
  <c r="G448" i="16"/>
  <c r="F448" i="16"/>
  <c r="E448" i="16"/>
  <c r="R447" i="16"/>
  <c r="P447" i="16"/>
  <c r="P449" i="16" s="1"/>
  <c r="O447" i="16"/>
  <c r="G447" i="16"/>
  <c r="I447" i="16" s="1"/>
  <c r="F447" i="16"/>
  <c r="F449" i="16" s="1"/>
  <c r="E447" i="16"/>
  <c r="E449" i="16" s="1"/>
  <c r="Q445" i="16"/>
  <c r="N445" i="16"/>
  <c r="M445" i="16"/>
  <c r="M451" i="16" s="1"/>
  <c r="L445" i="16"/>
  <c r="J445" i="16"/>
  <c r="D445" i="16"/>
  <c r="R444" i="16"/>
  <c r="S444" i="16" s="1"/>
  <c r="P444" i="16"/>
  <c r="O444" i="16"/>
  <c r="G444" i="16"/>
  <c r="F444" i="16"/>
  <c r="E444" i="16"/>
  <c r="R443" i="16"/>
  <c r="S443" i="16" s="1"/>
  <c r="P443" i="16"/>
  <c r="O443" i="16"/>
  <c r="G443" i="16"/>
  <c r="F443" i="16"/>
  <c r="E443" i="16"/>
  <c r="S442" i="16"/>
  <c r="R442" i="16"/>
  <c r="P442" i="16"/>
  <c r="O442" i="16"/>
  <c r="G442" i="16"/>
  <c r="I442" i="16" s="1"/>
  <c r="F442" i="16"/>
  <c r="E442" i="16"/>
  <c r="S441" i="16"/>
  <c r="R441" i="16"/>
  <c r="P441" i="16"/>
  <c r="O441" i="16"/>
  <c r="G441" i="16"/>
  <c r="H441" i="16" s="1"/>
  <c r="F441" i="16"/>
  <c r="E441" i="16"/>
  <c r="R440" i="16"/>
  <c r="S440" i="16" s="1"/>
  <c r="O440" i="16"/>
  <c r="P440" i="16" s="1"/>
  <c r="G440" i="16"/>
  <c r="F440" i="16"/>
  <c r="E440" i="16"/>
  <c r="S439" i="16"/>
  <c r="R439" i="16"/>
  <c r="P439" i="16"/>
  <c r="O439" i="16"/>
  <c r="G439" i="16"/>
  <c r="F439" i="16"/>
  <c r="E439" i="16"/>
  <c r="R438" i="16"/>
  <c r="S438" i="16" s="1"/>
  <c r="P438" i="16"/>
  <c r="O438" i="16"/>
  <c r="G438" i="16"/>
  <c r="H438" i="16" s="1"/>
  <c r="F438" i="16"/>
  <c r="E438" i="16"/>
  <c r="R437" i="16"/>
  <c r="S437" i="16" s="1"/>
  <c r="P437" i="16"/>
  <c r="O437" i="16"/>
  <c r="G437" i="16"/>
  <c r="F437" i="16"/>
  <c r="E437" i="16"/>
  <c r="R436" i="16"/>
  <c r="S436" i="16" s="1"/>
  <c r="O436" i="16"/>
  <c r="P436" i="16" s="1"/>
  <c r="G436" i="16"/>
  <c r="I436" i="16" s="1"/>
  <c r="F436" i="16"/>
  <c r="E436" i="16"/>
  <c r="S435" i="16"/>
  <c r="R435" i="16"/>
  <c r="P435" i="16"/>
  <c r="O435" i="16"/>
  <c r="G435" i="16"/>
  <c r="H435" i="16" s="1"/>
  <c r="F435" i="16"/>
  <c r="E435" i="16"/>
  <c r="R434" i="16"/>
  <c r="S434" i="16" s="1"/>
  <c r="O434" i="16"/>
  <c r="P434" i="16" s="1"/>
  <c r="G434" i="16"/>
  <c r="I434" i="16" s="1"/>
  <c r="F434" i="16"/>
  <c r="E434" i="16"/>
  <c r="R433" i="16"/>
  <c r="S433" i="16" s="1"/>
  <c r="P433" i="16"/>
  <c r="O433" i="16"/>
  <c r="G433" i="16"/>
  <c r="I433" i="16" s="1"/>
  <c r="F433" i="16"/>
  <c r="E433" i="16"/>
  <c r="R432" i="16"/>
  <c r="S432" i="16" s="1"/>
  <c r="P432" i="16"/>
  <c r="O432" i="16"/>
  <c r="G432" i="16"/>
  <c r="I432" i="16" s="1"/>
  <c r="F432" i="16"/>
  <c r="E432" i="16"/>
  <c r="R431" i="16"/>
  <c r="S431" i="16" s="1"/>
  <c r="P431" i="16"/>
  <c r="O431" i="16"/>
  <c r="G431" i="16"/>
  <c r="I431" i="16" s="1"/>
  <c r="F431" i="16"/>
  <c r="E431" i="16"/>
  <c r="R430" i="16"/>
  <c r="S430" i="16" s="1"/>
  <c r="P430" i="16"/>
  <c r="O430" i="16"/>
  <c r="G430" i="16"/>
  <c r="I430" i="16" s="1"/>
  <c r="F430" i="16"/>
  <c r="E430" i="16"/>
  <c r="R429" i="16"/>
  <c r="S429" i="16" s="1"/>
  <c r="O429" i="16"/>
  <c r="P429" i="16" s="1"/>
  <c r="G429" i="16"/>
  <c r="H429" i="16" s="1"/>
  <c r="F429" i="16"/>
  <c r="E429" i="16"/>
  <c r="R428" i="16"/>
  <c r="S428" i="16" s="1"/>
  <c r="P428" i="16"/>
  <c r="O428" i="16"/>
  <c r="G428" i="16"/>
  <c r="F428" i="16"/>
  <c r="E428" i="16"/>
  <c r="S427" i="16"/>
  <c r="R427" i="16"/>
  <c r="P427" i="16"/>
  <c r="O427" i="16"/>
  <c r="G427" i="16"/>
  <c r="I427" i="16" s="1"/>
  <c r="F427" i="16"/>
  <c r="E427" i="16"/>
  <c r="S426" i="16"/>
  <c r="R426" i="16"/>
  <c r="O426" i="16"/>
  <c r="P426" i="16" s="1"/>
  <c r="G426" i="16"/>
  <c r="H426" i="16" s="1"/>
  <c r="F426" i="16"/>
  <c r="E426" i="16"/>
  <c r="S425" i="16"/>
  <c r="R425" i="16"/>
  <c r="O425" i="16"/>
  <c r="P425" i="16" s="1"/>
  <c r="G425" i="16"/>
  <c r="F425" i="16"/>
  <c r="E425" i="16"/>
  <c r="R424" i="16"/>
  <c r="S424" i="16" s="1"/>
  <c r="P424" i="16"/>
  <c r="O424" i="16"/>
  <c r="G424" i="16"/>
  <c r="H424" i="16" s="1"/>
  <c r="F424" i="16"/>
  <c r="E424" i="16"/>
  <c r="S423" i="16"/>
  <c r="R423" i="16"/>
  <c r="P423" i="16"/>
  <c r="O423" i="16"/>
  <c r="G423" i="16"/>
  <c r="F423" i="16"/>
  <c r="E423" i="16"/>
  <c r="R422" i="16"/>
  <c r="S422" i="16" s="1"/>
  <c r="O422" i="16"/>
  <c r="P422" i="16" s="1"/>
  <c r="G422" i="16"/>
  <c r="F422" i="16"/>
  <c r="E422" i="16"/>
  <c r="S421" i="16"/>
  <c r="R421" i="16"/>
  <c r="O421" i="16"/>
  <c r="P421" i="16" s="1"/>
  <c r="G421" i="16"/>
  <c r="F421" i="16"/>
  <c r="E421" i="16"/>
  <c r="R420" i="16"/>
  <c r="S420" i="16" s="1"/>
  <c r="P420" i="16"/>
  <c r="O420" i="16"/>
  <c r="G420" i="16"/>
  <c r="H420" i="16" s="1"/>
  <c r="F420" i="16"/>
  <c r="E420" i="16"/>
  <c r="S419" i="16"/>
  <c r="R419" i="16"/>
  <c r="P419" i="16"/>
  <c r="O419" i="16"/>
  <c r="G419" i="16"/>
  <c r="F419" i="16"/>
  <c r="E419" i="16"/>
  <c r="R365" i="16"/>
  <c r="Q365" i="16"/>
  <c r="P365" i="16"/>
  <c r="O365" i="16"/>
  <c r="N365" i="16"/>
  <c r="M365" i="16"/>
  <c r="L365" i="16"/>
  <c r="Q362" i="16"/>
  <c r="D362" i="16"/>
  <c r="Q360" i="16"/>
  <c r="N360" i="16"/>
  <c r="M360" i="16"/>
  <c r="L360" i="16"/>
  <c r="J360" i="16"/>
  <c r="F360" i="16"/>
  <c r="D360" i="16"/>
  <c r="R359" i="16"/>
  <c r="S359" i="16" s="1"/>
  <c r="S360" i="16" s="1"/>
  <c r="P359" i="16"/>
  <c r="P360" i="16" s="1"/>
  <c r="O359" i="16"/>
  <c r="O360" i="16" s="1"/>
  <c r="G359" i="16"/>
  <c r="H359" i="16" s="1"/>
  <c r="F359" i="16"/>
  <c r="E359" i="16"/>
  <c r="E360" i="16" s="1"/>
  <c r="Q356" i="16"/>
  <c r="O356" i="16"/>
  <c r="N356" i="16"/>
  <c r="M356" i="16"/>
  <c r="M362" i="16" s="1"/>
  <c r="M366" i="16" s="1"/>
  <c r="L356" i="16"/>
  <c r="L362" i="16" s="1"/>
  <c r="L366" i="16" s="1"/>
  <c r="J356" i="16"/>
  <c r="D356" i="16"/>
  <c r="S355" i="16"/>
  <c r="R355" i="16"/>
  <c r="P355" i="16"/>
  <c r="O355" i="16"/>
  <c r="G355" i="16"/>
  <c r="H355" i="16" s="1"/>
  <c r="F355" i="16"/>
  <c r="E355" i="16"/>
  <c r="S354" i="16"/>
  <c r="R354" i="16"/>
  <c r="P354" i="16"/>
  <c r="O354" i="16"/>
  <c r="G354" i="16"/>
  <c r="F354" i="16"/>
  <c r="E354" i="16"/>
  <c r="S353" i="16"/>
  <c r="R353" i="16"/>
  <c r="P353" i="16"/>
  <c r="O353" i="16"/>
  <c r="G353" i="16"/>
  <c r="F353" i="16"/>
  <c r="E353" i="16"/>
  <c r="R352" i="16"/>
  <c r="S352" i="16" s="1"/>
  <c r="P352" i="16"/>
  <c r="P356" i="16" s="1"/>
  <c r="O352" i="16"/>
  <c r="G352" i="16"/>
  <c r="I352" i="16" s="1"/>
  <c r="F352" i="16"/>
  <c r="E352" i="16"/>
  <c r="R351" i="16"/>
  <c r="S351" i="16" s="1"/>
  <c r="P351" i="16"/>
  <c r="O351" i="16"/>
  <c r="G351" i="16"/>
  <c r="F351" i="16"/>
  <c r="E351" i="16"/>
  <c r="R350" i="16"/>
  <c r="P350" i="16"/>
  <c r="O350" i="16"/>
  <c r="G350" i="16"/>
  <c r="H350" i="16" s="1"/>
  <c r="F350" i="16"/>
  <c r="F356" i="16" s="1"/>
  <c r="E350" i="16"/>
  <c r="E356" i="16" s="1"/>
  <c r="R298" i="16"/>
  <c r="Q298" i="16"/>
  <c r="P298" i="16"/>
  <c r="O298" i="16"/>
  <c r="N298" i="16"/>
  <c r="M298" i="16"/>
  <c r="L298" i="16"/>
  <c r="N295" i="16"/>
  <c r="N299" i="16" s="1"/>
  <c r="M295" i="16"/>
  <c r="M299" i="16" s="1"/>
  <c r="L295" i="16"/>
  <c r="L299" i="16" s="1"/>
  <c r="J295" i="16"/>
  <c r="Q293" i="16"/>
  <c r="N293" i="16"/>
  <c r="M293" i="16"/>
  <c r="L293" i="16"/>
  <c r="D293" i="16"/>
  <c r="R292" i="16"/>
  <c r="S292" i="16" s="1"/>
  <c r="P292" i="16"/>
  <c r="O292" i="16"/>
  <c r="G292" i="16"/>
  <c r="H292" i="16" s="1"/>
  <c r="F292" i="16"/>
  <c r="E292" i="16"/>
  <c r="S291" i="16"/>
  <c r="R291" i="16"/>
  <c r="P291" i="16"/>
  <c r="O291" i="16"/>
  <c r="G291" i="16"/>
  <c r="I291" i="16" s="1"/>
  <c r="F291" i="16"/>
  <c r="E291" i="16"/>
  <c r="R290" i="16"/>
  <c r="P290" i="16"/>
  <c r="O290" i="16"/>
  <c r="O293" i="16" s="1"/>
  <c r="G290" i="16"/>
  <c r="F290" i="16"/>
  <c r="E290" i="16"/>
  <c r="E293" i="16" s="1"/>
  <c r="J287" i="16"/>
  <c r="R285" i="16"/>
  <c r="Q285" i="16"/>
  <c r="P285" i="16"/>
  <c r="O285" i="16"/>
  <c r="N285" i="16"/>
  <c r="M285" i="16"/>
  <c r="L285" i="16"/>
  <c r="J285" i="16"/>
  <c r="D285" i="16"/>
  <c r="D287" i="16" s="1"/>
  <c r="D295" i="16" s="1"/>
  <c r="S284" i="16"/>
  <c r="R284" i="16"/>
  <c r="P284" i="16"/>
  <c r="G284" i="16"/>
  <c r="H284" i="16" s="1"/>
  <c r="F284" i="16"/>
  <c r="E284" i="16"/>
  <c r="S283" i="16"/>
  <c r="S285" i="16" s="1"/>
  <c r="R283" i="16"/>
  <c r="P283" i="16"/>
  <c r="G283" i="16"/>
  <c r="F283" i="16"/>
  <c r="E283" i="16"/>
  <c r="Q281" i="16"/>
  <c r="N281" i="16"/>
  <c r="N287" i="16" s="1"/>
  <c r="M281" i="16"/>
  <c r="M287" i="16" s="1"/>
  <c r="L281" i="16"/>
  <c r="L287" i="16" s="1"/>
  <c r="J281" i="16"/>
  <c r="D281" i="16"/>
  <c r="R280" i="16"/>
  <c r="S280" i="16" s="1"/>
  <c r="O280" i="16"/>
  <c r="P280" i="16" s="1"/>
  <c r="G280" i="16"/>
  <c r="I280" i="16" s="1"/>
  <c r="F280" i="16"/>
  <c r="E280" i="16"/>
  <c r="S279" i="16"/>
  <c r="R279" i="16"/>
  <c r="O279" i="16"/>
  <c r="P279" i="16" s="1"/>
  <c r="G279" i="16"/>
  <c r="F279" i="16"/>
  <c r="E279" i="16"/>
  <c r="R278" i="16"/>
  <c r="S278" i="16" s="1"/>
  <c r="O278" i="16"/>
  <c r="P278" i="16" s="1"/>
  <c r="G278" i="16"/>
  <c r="F278" i="16"/>
  <c r="E278" i="16"/>
  <c r="R277" i="16"/>
  <c r="S277" i="16" s="1"/>
  <c r="P277" i="16"/>
  <c r="O277" i="16"/>
  <c r="G277" i="16"/>
  <c r="F277" i="16"/>
  <c r="E277" i="16"/>
  <c r="R276" i="16"/>
  <c r="S276" i="16" s="1"/>
  <c r="P276" i="16"/>
  <c r="O276" i="16"/>
  <c r="G276" i="16"/>
  <c r="H276" i="16" s="1"/>
  <c r="F276" i="16"/>
  <c r="E276" i="16"/>
  <c r="S275" i="16"/>
  <c r="R275" i="16"/>
  <c r="P275" i="16"/>
  <c r="O275" i="16"/>
  <c r="G275" i="16"/>
  <c r="I275" i="16" s="1"/>
  <c r="F275" i="16"/>
  <c r="E275" i="16"/>
  <c r="R274" i="16"/>
  <c r="S274" i="16" s="1"/>
  <c r="P274" i="16"/>
  <c r="O274" i="16"/>
  <c r="G274" i="16"/>
  <c r="H274" i="16" s="1"/>
  <c r="F274" i="16"/>
  <c r="E274" i="16"/>
  <c r="S273" i="16"/>
  <c r="R273" i="16"/>
  <c r="P273" i="16"/>
  <c r="O273" i="16"/>
  <c r="G273" i="16"/>
  <c r="I273" i="16" s="1"/>
  <c r="F273" i="16"/>
  <c r="E273" i="16"/>
  <c r="R272" i="16"/>
  <c r="S272" i="16" s="1"/>
  <c r="O272" i="16"/>
  <c r="P272" i="16" s="1"/>
  <c r="G272" i="16"/>
  <c r="F272" i="16"/>
  <c r="E272" i="16"/>
  <c r="R271" i="16"/>
  <c r="S271" i="16" s="1"/>
  <c r="P271" i="16"/>
  <c r="O271" i="16"/>
  <c r="G271" i="16"/>
  <c r="F271" i="16"/>
  <c r="E271" i="16"/>
  <c r="R270" i="16"/>
  <c r="S270" i="16" s="1"/>
  <c r="P270" i="16"/>
  <c r="O270" i="16"/>
  <c r="G270" i="16"/>
  <c r="F270" i="16"/>
  <c r="E270" i="16"/>
  <c r="R269" i="16"/>
  <c r="S269" i="16" s="1"/>
  <c r="P269" i="16"/>
  <c r="O269" i="16"/>
  <c r="G269" i="16"/>
  <c r="H269" i="16" s="1"/>
  <c r="F269" i="16"/>
  <c r="E269" i="16"/>
  <c r="S268" i="16"/>
  <c r="R268" i="16"/>
  <c r="O268" i="16"/>
  <c r="P268" i="16" s="1"/>
  <c r="G268" i="16"/>
  <c r="F268" i="16"/>
  <c r="E268" i="16"/>
  <c r="S267" i="16"/>
  <c r="R267" i="16"/>
  <c r="P267" i="16"/>
  <c r="O267" i="16"/>
  <c r="G267" i="16"/>
  <c r="F267" i="16"/>
  <c r="E267" i="16"/>
  <c r="R209" i="16"/>
  <c r="Q209" i="16"/>
  <c r="P209" i="16"/>
  <c r="O209" i="16"/>
  <c r="N209" i="16"/>
  <c r="M209" i="16"/>
  <c r="L209" i="16"/>
  <c r="J206" i="16"/>
  <c r="Q204" i="16"/>
  <c r="N204" i="16"/>
  <c r="M204" i="16"/>
  <c r="L204" i="16"/>
  <c r="D204" i="16"/>
  <c r="S203" i="16"/>
  <c r="R203" i="16"/>
  <c r="P203" i="16"/>
  <c r="O203" i="16"/>
  <c r="G203" i="16"/>
  <c r="F203" i="16"/>
  <c r="E203" i="16"/>
  <c r="R202" i="16"/>
  <c r="S202" i="16" s="1"/>
  <c r="P202" i="16"/>
  <c r="O202" i="16"/>
  <c r="G202" i="16"/>
  <c r="H202" i="16" s="1"/>
  <c r="F202" i="16"/>
  <c r="E202" i="16"/>
  <c r="R201" i="16"/>
  <c r="O201" i="16"/>
  <c r="O204" i="16" s="1"/>
  <c r="G201" i="16"/>
  <c r="F201" i="16"/>
  <c r="F204" i="16" s="1"/>
  <c r="E201" i="16"/>
  <c r="M198" i="16"/>
  <c r="M206" i="16" s="1"/>
  <c r="M210" i="16" s="1"/>
  <c r="J198" i="16"/>
  <c r="R196" i="16"/>
  <c r="Q196" i="16"/>
  <c r="N196" i="16"/>
  <c r="M196" i="16"/>
  <c r="L196" i="16"/>
  <c r="L198" i="16" s="1"/>
  <c r="L206" i="16" s="1"/>
  <c r="L210" i="16" s="1"/>
  <c r="J196" i="16"/>
  <c r="D196" i="16"/>
  <c r="R195" i="16"/>
  <c r="S195" i="16" s="1"/>
  <c r="P195" i="16"/>
  <c r="O195" i="16"/>
  <c r="G195" i="16"/>
  <c r="I195" i="16" s="1"/>
  <c r="F195" i="16"/>
  <c r="E195" i="16"/>
  <c r="R194" i="16"/>
  <c r="S194" i="16" s="1"/>
  <c r="P194" i="16"/>
  <c r="P196" i="16" s="1"/>
  <c r="O194" i="16"/>
  <c r="O196" i="16" s="1"/>
  <c r="G194" i="16"/>
  <c r="G196" i="16" s="1"/>
  <c r="I196" i="16" s="1"/>
  <c r="F194" i="16"/>
  <c r="F196" i="16" s="1"/>
  <c r="E194" i="16"/>
  <c r="E196" i="16" s="1"/>
  <c r="S193" i="16"/>
  <c r="R193" i="16"/>
  <c r="P193" i="16"/>
  <c r="O193" i="16"/>
  <c r="I193" i="16"/>
  <c r="H193" i="16"/>
  <c r="Q190" i="16"/>
  <c r="N190" i="16"/>
  <c r="M190" i="16"/>
  <c r="L190" i="16"/>
  <c r="J190" i="16"/>
  <c r="D190" i="16"/>
  <c r="D198" i="16" s="1"/>
  <c r="D206" i="16" s="1"/>
  <c r="S189" i="16"/>
  <c r="P189" i="16"/>
  <c r="G189" i="16"/>
  <c r="H189" i="16" s="1"/>
  <c r="F189" i="16"/>
  <c r="E189" i="16"/>
  <c r="R188" i="16"/>
  <c r="S188" i="16" s="1"/>
  <c r="P188" i="16"/>
  <c r="O188" i="16"/>
  <c r="G188" i="16"/>
  <c r="F188" i="16"/>
  <c r="E188" i="16"/>
  <c r="S187" i="16"/>
  <c r="R187" i="16"/>
  <c r="P187" i="16"/>
  <c r="O187" i="16"/>
  <c r="G187" i="16"/>
  <c r="F187" i="16"/>
  <c r="E187" i="16"/>
  <c r="S186" i="16"/>
  <c r="R186" i="16"/>
  <c r="P186" i="16"/>
  <c r="O186" i="16"/>
  <c r="G186" i="16"/>
  <c r="F186" i="16"/>
  <c r="E186" i="16"/>
  <c r="R185" i="16"/>
  <c r="S185" i="16" s="1"/>
  <c r="P185" i="16"/>
  <c r="O185" i="16"/>
  <c r="H185" i="16"/>
  <c r="G185" i="16"/>
  <c r="I185" i="16" s="1"/>
  <c r="F185" i="16"/>
  <c r="E185" i="16"/>
  <c r="R184" i="16"/>
  <c r="S184" i="16" s="1"/>
  <c r="P184" i="16"/>
  <c r="O184" i="16"/>
  <c r="G184" i="16"/>
  <c r="I184" i="16" s="1"/>
  <c r="F184" i="16"/>
  <c r="E184" i="16"/>
  <c r="S183" i="16"/>
  <c r="R183" i="16"/>
  <c r="P183" i="16"/>
  <c r="O183" i="16"/>
  <c r="G183" i="16"/>
  <c r="I183" i="16" s="1"/>
  <c r="F183" i="16"/>
  <c r="E183" i="16"/>
  <c r="R182" i="16"/>
  <c r="S182" i="16" s="1"/>
  <c r="P182" i="16"/>
  <c r="O182" i="16"/>
  <c r="G182" i="16"/>
  <c r="I182" i="16" s="1"/>
  <c r="F182" i="16"/>
  <c r="E182" i="16"/>
  <c r="R181" i="16"/>
  <c r="S181" i="16" s="1"/>
  <c r="O181" i="16"/>
  <c r="P181" i="16" s="1"/>
  <c r="G181" i="16"/>
  <c r="F181" i="16"/>
  <c r="E181" i="16"/>
  <c r="S180" i="16"/>
  <c r="R180" i="16"/>
  <c r="P180" i="16"/>
  <c r="O180" i="16"/>
  <c r="G180" i="16"/>
  <c r="H180" i="16" s="1"/>
  <c r="F180" i="16"/>
  <c r="E180" i="16"/>
  <c r="S179" i="16"/>
  <c r="R179" i="16"/>
  <c r="P179" i="16"/>
  <c r="O179" i="16"/>
  <c r="G179" i="16"/>
  <c r="F179" i="16"/>
  <c r="E179" i="16"/>
  <c r="S178" i="16"/>
  <c r="R178" i="16"/>
  <c r="P178" i="16"/>
  <c r="O178" i="16"/>
  <c r="G178" i="16"/>
  <c r="F178" i="16"/>
  <c r="E178" i="16"/>
  <c r="R177" i="16"/>
  <c r="S177" i="16" s="1"/>
  <c r="P177" i="16"/>
  <c r="O177" i="16"/>
  <c r="G177" i="16"/>
  <c r="I177" i="16" s="1"/>
  <c r="F177" i="16"/>
  <c r="E177" i="16"/>
  <c r="S176" i="16"/>
  <c r="R176" i="16"/>
  <c r="O176" i="16"/>
  <c r="P176" i="16" s="1"/>
  <c r="G176" i="16"/>
  <c r="H176" i="16" s="1"/>
  <c r="F176" i="16"/>
  <c r="E176" i="16"/>
  <c r="S175" i="16"/>
  <c r="R175" i="16"/>
  <c r="P175" i="16"/>
  <c r="O175" i="16"/>
  <c r="G175" i="16"/>
  <c r="F175" i="16"/>
  <c r="E175" i="16"/>
  <c r="S174" i="16"/>
  <c r="R174" i="16"/>
  <c r="O174" i="16"/>
  <c r="P174" i="16" s="1"/>
  <c r="G174" i="16"/>
  <c r="I174" i="16" s="1"/>
  <c r="F174" i="16"/>
  <c r="E174" i="16"/>
  <c r="R173" i="16"/>
  <c r="S173" i="16" s="1"/>
  <c r="P173" i="16"/>
  <c r="O173" i="16"/>
  <c r="G173" i="16"/>
  <c r="I173" i="16" s="1"/>
  <c r="F173" i="16"/>
  <c r="E173" i="16"/>
  <c r="S172" i="16"/>
  <c r="R172" i="16"/>
  <c r="P172" i="16"/>
  <c r="O172" i="16"/>
  <c r="G172" i="16"/>
  <c r="F172" i="16"/>
  <c r="E172" i="16"/>
  <c r="S171" i="16"/>
  <c r="R171" i="16"/>
  <c r="P171" i="16"/>
  <c r="O171" i="16"/>
  <c r="G171" i="16"/>
  <c r="H171" i="16" s="1"/>
  <c r="F171" i="16"/>
  <c r="E171" i="16"/>
  <c r="R170" i="16"/>
  <c r="S170" i="16" s="1"/>
  <c r="O170" i="16"/>
  <c r="P170" i="16" s="1"/>
  <c r="G170" i="16"/>
  <c r="I170" i="16" s="1"/>
  <c r="F170" i="16"/>
  <c r="E170" i="16"/>
  <c r="S169" i="16"/>
  <c r="R169" i="16"/>
  <c r="O169" i="16"/>
  <c r="P169" i="16" s="1"/>
  <c r="G169" i="16"/>
  <c r="F169" i="16"/>
  <c r="E169" i="16"/>
  <c r="S168" i="16"/>
  <c r="R168" i="16"/>
  <c r="P168" i="16"/>
  <c r="O168" i="16"/>
  <c r="G168" i="16"/>
  <c r="F168" i="16"/>
  <c r="E168" i="16"/>
  <c r="S167" i="16"/>
  <c r="R167" i="16"/>
  <c r="O167" i="16"/>
  <c r="G167" i="16"/>
  <c r="F167" i="16"/>
  <c r="F190" i="16" s="1"/>
  <c r="F198" i="16" s="1"/>
  <c r="E167" i="16"/>
  <c r="R110" i="16"/>
  <c r="Q110" i="16"/>
  <c r="P110" i="16"/>
  <c r="O110" i="16"/>
  <c r="N110" i="16"/>
  <c r="M110" i="16"/>
  <c r="L110" i="16"/>
  <c r="D107" i="16"/>
  <c r="S105" i="16"/>
  <c r="R105" i="16"/>
  <c r="Q105" i="16"/>
  <c r="P105" i="16"/>
  <c r="O105" i="16"/>
  <c r="N105" i="16"/>
  <c r="N107" i="16" s="1"/>
  <c r="N111" i="16" s="1"/>
  <c r="M105" i="16"/>
  <c r="L105" i="16"/>
  <c r="D105" i="16"/>
  <c r="G104" i="16"/>
  <c r="F104" i="16"/>
  <c r="F105" i="16" s="1"/>
  <c r="E104" i="16"/>
  <c r="E105" i="16" s="1"/>
  <c r="Q101" i="16"/>
  <c r="N101" i="16"/>
  <c r="M101" i="16"/>
  <c r="M107" i="16" s="1"/>
  <c r="M111" i="16" s="1"/>
  <c r="L101" i="16"/>
  <c r="L107" i="16" s="1"/>
  <c r="L111" i="16" s="1"/>
  <c r="J101" i="16"/>
  <c r="D101" i="16"/>
  <c r="R100" i="16"/>
  <c r="S100" i="16" s="1"/>
  <c r="P100" i="16"/>
  <c r="O100" i="16"/>
  <c r="G100" i="16"/>
  <c r="I100" i="16" s="1"/>
  <c r="F100" i="16"/>
  <c r="E100" i="16"/>
  <c r="S99" i="16"/>
  <c r="R99" i="16"/>
  <c r="O99" i="16"/>
  <c r="P99" i="16" s="1"/>
  <c r="G99" i="16"/>
  <c r="H99" i="16" s="1"/>
  <c r="F99" i="16"/>
  <c r="E99" i="16"/>
  <c r="S98" i="16"/>
  <c r="R98" i="16"/>
  <c r="P98" i="16"/>
  <c r="O98" i="16"/>
  <c r="G98" i="16"/>
  <c r="H98" i="16" s="1"/>
  <c r="F98" i="16"/>
  <c r="E98" i="16"/>
  <c r="S97" i="16"/>
  <c r="R97" i="16"/>
  <c r="P97" i="16"/>
  <c r="O97" i="16"/>
  <c r="O101" i="16" s="1"/>
  <c r="O107" i="16" s="1"/>
  <c r="O111" i="16" s="1"/>
  <c r="G97" i="16"/>
  <c r="H97" i="16" s="1"/>
  <c r="F97" i="16"/>
  <c r="E97" i="16"/>
  <c r="R96" i="16"/>
  <c r="S96" i="16" s="1"/>
  <c r="P96" i="16"/>
  <c r="O96" i="16"/>
  <c r="G96" i="16"/>
  <c r="F96" i="16"/>
  <c r="E96" i="16"/>
  <c r="S95" i="16"/>
  <c r="R95" i="16"/>
  <c r="P95" i="16"/>
  <c r="O95" i="16"/>
  <c r="G95" i="16"/>
  <c r="F95" i="16"/>
  <c r="E95" i="16"/>
  <c r="S94" i="16"/>
  <c r="R94" i="16"/>
  <c r="O94" i="16"/>
  <c r="P94" i="16" s="1"/>
  <c r="G94" i="16"/>
  <c r="H94" i="16" s="1"/>
  <c r="F94" i="16"/>
  <c r="E94" i="16"/>
  <c r="R93" i="16"/>
  <c r="S93" i="16" s="1"/>
  <c r="O93" i="16"/>
  <c r="P93" i="16" s="1"/>
  <c r="G93" i="16"/>
  <c r="F93" i="16"/>
  <c r="E93" i="16"/>
  <c r="S92" i="16"/>
  <c r="R92" i="16"/>
  <c r="O92" i="16"/>
  <c r="P92" i="16" s="1"/>
  <c r="G92" i="16"/>
  <c r="H92" i="16" s="1"/>
  <c r="F92" i="16"/>
  <c r="F101" i="16" s="1"/>
  <c r="E92" i="16"/>
  <c r="R35" i="16"/>
  <c r="Q35" i="16"/>
  <c r="P35" i="16"/>
  <c r="O35" i="16"/>
  <c r="N35" i="16"/>
  <c r="M35" i="16"/>
  <c r="L35" i="16"/>
  <c r="Q32" i="16"/>
  <c r="Q36" i="16" s="1"/>
  <c r="L32" i="16"/>
  <c r="L36" i="16" s="1"/>
  <c r="J32" i="16"/>
  <c r="D32" i="16"/>
  <c r="Q30" i="16"/>
  <c r="N30" i="16"/>
  <c r="M30" i="16"/>
  <c r="L30" i="16"/>
  <c r="D30" i="16"/>
  <c r="R29" i="16"/>
  <c r="S29" i="16" s="1"/>
  <c r="P29" i="16"/>
  <c r="O29" i="16"/>
  <c r="G29" i="16"/>
  <c r="F29" i="16"/>
  <c r="E29" i="16"/>
  <c r="S28" i="16"/>
  <c r="R28" i="16"/>
  <c r="P28" i="16"/>
  <c r="O28" i="16"/>
  <c r="G28" i="16"/>
  <c r="I28" i="16" s="1"/>
  <c r="F28" i="16"/>
  <c r="E28" i="16"/>
  <c r="S27" i="16"/>
  <c r="R27" i="16"/>
  <c r="P27" i="16"/>
  <c r="O27" i="16"/>
  <c r="G27" i="16"/>
  <c r="H27" i="16" s="1"/>
  <c r="F27" i="16"/>
  <c r="E27" i="16"/>
  <c r="R26" i="16"/>
  <c r="S26" i="16" s="1"/>
  <c r="P26" i="16"/>
  <c r="O26" i="16"/>
  <c r="G26" i="16"/>
  <c r="F26" i="16"/>
  <c r="E26" i="16"/>
  <c r="R25" i="16"/>
  <c r="P25" i="16"/>
  <c r="O25" i="16"/>
  <c r="G25" i="16"/>
  <c r="I25" i="16" s="1"/>
  <c r="F25" i="16"/>
  <c r="E25" i="16"/>
  <c r="Q22" i="16"/>
  <c r="N22" i="16"/>
  <c r="N32" i="16" s="1"/>
  <c r="N36" i="16" s="1"/>
  <c r="M22" i="16"/>
  <c r="L22" i="16"/>
  <c r="J22" i="16"/>
  <c r="D22" i="16"/>
  <c r="R21" i="16"/>
  <c r="S21" i="16" s="1"/>
  <c r="O21" i="16"/>
  <c r="P21" i="16" s="1"/>
  <c r="G21" i="16"/>
  <c r="I21" i="16" s="1"/>
  <c r="F21" i="16"/>
  <c r="E21" i="16"/>
  <c r="S20" i="16"/>
  <c r="R20" i="16"/>
  <c r="P20" i="16"/>
  <c r="O20" i="16"/>
  <c r="G20" i="16"/>
  <c r="F20" i="16"/>
  <c r="E20" i="16"/>
  <c r="S19" i="16"/>
  <c r="R19" i="16"/>
  <c r="P19" i="16"/>
  <c r="O19" i="16"/>
  <c r="G19" i="16"/>
  <c r="H19" i="16" s="1"/>
  <c r="F19" i="16"/>
  <c r="E19" i="16"/>
  <c r="R18" i="16"/>
  <c r="S18" i="16" s="1"/>
  <c r="P18" i="16"/>
  <c r="O18" i="16"/>
  <c r="G18" i="16"/>
  <c r="I18" i="16" s="1"/>
  <c r="F18" i="16"/>
  <c r="E18" i="16"/>
  <c r="R17" i="16"/>
  <c r="S17" i="16" s="1"/>
  <c r="P17" i="16"/>
  <c r="O17" i="16"/>
  <c r="G17" i="16"/>
  <c r="F17" i="16"/>
  <c r="E17" i="16"/>
  <c r="R16" i="16"/>
  <c r="S16" i="16" s="1"/>
  <c r="P16" i="16"/>
  <c r="O16" i="16"/>
  <c r="G16" i="16"/>
  <c r="I16" i="16" s="1"/>
  <c r="F16" i="16"/>
  <c r="E16" i="16"/>
  <c r="S15" i="16"/>
  <c r="R15" i="16"/>
  <c r="P15" i="16"/>
  <c r="O15" i="16"/>
  <c r="G15" i="16"/>
  <c r="F15" i="16"/>
  <c r="E15" i="16"/>
  <c r="R14" i="16"/>
  <c r="S14" i="16" s="1"/>
  <c r="P14" i="16"/>
  <c r="O14" i="16"/>
  <c r="G14" i="16"/>
  <c r="I14" i="16" s="1"/>
  <c r="F14" i="16"/>
  <c r="E14" i="16"/>
  <c r="R13" i="16"/>
  <c r="S13" i="16" s="1"/>
  <c r="P13" i="16"/>
  <c r="O13" i="16"/>
  <c r="G13" i="16"/>
  <c r="I13" i="16" s="1"/>
  <c r="F13" i="16"/>
  <c r="E13" i="16"/>
  <c r="R12" i="16"/>
  <c r="S12" i="16" s="1"/>
  <c r="P12" i="16"/>
  <c r="O12" i="16"/>
  <c r="G12" i="16"/>
  <c r="I12" i="16" s="1"/>
  <c r="F12" i="16"/>
  <c r="E12" i="16"/>
  <c r="R11" i="16"/>
  <c r="S11" i="16" s="1"/>
  <c r="P11" i="16"/>
  <c r="O11" i="16"/>
  <c r="G11" i="16"/>
  <c r="H11" i="16" s="1"/>
  <c r="F11" i="16"/>
  <c r="E11" i="16"/>
  <c r="S10" i="16"/>
  <c r="R10" i="16"/>
  <c r="P10" i="16"/>
  <c r="O10" i="16"/>
  <c r="H10" i="16"/>
  <c r="G10" i="16"/>
  <c r="I10" i="16" s="1"/>
  <c r="F10" i="16"/>
  <c r="E10" i="16"/>
  <c r="R9" i="16"/>
  <c r="S9" i="16" s="1"/>
  <c r="P9" i="16"/>
  <c r="O9" i="16"/>
  <c r="G9" i="16"/>
  <c r="I9" i="16" s="1"/>
  <c r="F9" i="16"/>
  <c r="E9" i="16"/>
  <c r="S8" i="16"/>
  <c r="R8" i="16"/>
  <c r="O8" i="16"/>
  <c r="P8" i="16" s="1"/>
  <c r="G8" i="16"/>
  <c r="F8" i="16"/>
  <c r="E8" i="16"/>
  <c r="S7" i="16"/>
  <c r="R7" i="16"/>
  <c r="P7" i="16"/>
  <c r="O7" i="16"/>
  <c r="G7" i="16"/>
  <c r="H7" i="16" s="1"/>
  <c r="F7" i="16"/>
  <c r="E7" i="16"/>
  <c r="R6" i="16"/>
  <c r="S6" i="16" s="1"/>
  <c r="P6" i="16"/>
  <c r="O6" i="16"/>
  <c r="G6" i="16"/>
  <c r="I6" i="16" s="1"/>
  <c r="F6" i="16"/>
  <c r="E6" i="16"/>
  <c r="R5" i="16"/>
  <c r="S5" i="16" s="1"/>
  <c r="O5" i="16"/>
  <c r="P5" i="16" s="1"/>
  <c r="G5" i="16"/>
  <c r="F5" i="16"/>
  <c r="E5" i="16"/>
  <c r="S4" i="16"/>
  <c r="R4" i="16"/>
  <c r="O4" i="16"/>
  <c r="P4" i="16" s="1"/>
  <c r="G4" i="16"/>
  <c r="I4" i="16" s="1"/>
  <c r="F4" i="16"/>
  <c r="E4" i="16"/>
  <c r="S3" i="16"/>
  <c r="R3" i="16"/>
  <c r="O3" i="16"/>
  <c r="G3" i="16"/>
  <c r="H3" i="16" s="1"/>
  <c r="F3" i="16"/>
  <c r="E3" i="16"/>
  <c r="R619" i="15"/>
  <c r="Q619" i="15"/>
  <c r="P619" i="15"/>
  <c r="O619" i="15"/>
  <c r="N619" i="15"/>
  <c r="M619" i="15"/>
  <c r="L619" i="15"/>
  <c r="N617" i="15"/>
  <c r="N620" i="15" s="1"/>
  <c r="S615" i="15"/>
  <c r="R615" i="15"/>
  <c r="Q615" i="15"/>
  <c r="P615" i="15"/>
  <c r="O615" i="15"/>
  <c r="N615" i="15"/>
  <c r="M615" i="15"/>
  <c r="L615" i="15"/>
  <c r="J615" i="15"/>
  <c r="J617" i="15" s="1"/>
  <c r="D615" i="15"/>
  <c r="D617" i="15" s="1"/>
  <c r="S614" i="15"/>
  <c r="G614" i="15"/>
  <c r="F614" i="15"/>
  <c r="F615" i="15" s="1"/>
  <c r="E614" i="15"/>
  <c r="E615" i="15" s="1"/>
  <c r="Q611" i="15"/>
  <c r="N611" i="15"/>
  <c r="M611" i="15"/>
  <c r="L611" i="15"/>
  <c r="L617" i="15" s="1"/>
  <c r="L620" i="15" s="1"/>
  <c r="J611" i="15"/>
  <c r="D611" i="15"/>
  <c r="R610" i="15"/>
  <c r="S610" i="15" s="1"/>
  <c r="P610" i="15"/>
  <c r="O610" i="15"/>
  <c r="G610" i="15"/>
  <c r="F610" i="15"/>
  <c r="E610" i="15"/>
  <c r="R609" i="15"/>
  <c r="S609" i="15" s="1"/>
  <c r="P609" i="15"/>
  <c r="O609" i="15"/>
  <c r="G609" i="15"/>
  <c r="I609" i="15" s="1"/>
  <c r="F609" i="15"/>
  <c r="E609" i="15"/>
  <c r="R608" i="15"/>
  <c r="S608" i="15" s="1"/>
  <c r="P608" i="15"/>
  <c r="O608" i="15"/>
  <c r="G608" i="15"/>
  <c r="I608" i="15" s="1"/>
  <c r="F608" i="15"/>
  <c r="E608" i="15"/>
  <c r="R607" i="15"/>
  <c r="S607" i="15" s="1"/>
  <c r="O607" i="15"/>
  <c r="P607" i="15" s="1"/>
  <c r="G607" i="15"/>
  <c r="H607" i="15" s="1"/>
  <c r="F607" i="15"/>
  <c r="E607" i="15"/>
  <c r="R606" i="15"/>
  <c r="S606" i="15" s="1"/>
  <c r="P606" i="15"/>
  <c r="O606" i="15"/>
  <c r="G606" i="15"/>
  <c r="F606" i="15"/>
  <c r="E606" i="15"/>
  <c r="S605" i="15"/>
  <c r="R605" i="15"/>
  <c r="O605" i="15"/>
  <c r="P605" i="15" s="1"/>
  <c r="G605" i="15"/>
  <c r="I605" i="15" s="1"/>
  <c r="F605" i="15"/>
  <c r="E605" i="15"/>
  <c r="R604" i="15"/>
  <c r="S604" i="15" s="1"/>
  <c r="P604" i="15"/>
  <c r="O604" i="15"/>
  <c r="G604" i="15"/>
  <c r="F604" i="15"/>
  <c r="E604" i="15"/>
  <c r="R603" i="15"/>
  <c r="S603" i="15" s="1"/>
  <c r="O603" i="15"/>
  <c r="P603" i="15" s="1"/>
  <c r="G603" i="15"/>
  <c r="F603" i="15"/>
  <c r="E603" i="15"/>
  <c r="R602" i="15"/>
  <c r="S602" i="15" s="1"/>
  <c r="P602" i="15"/>
  <c r="O602" i="15"/>
  <c r="G602" i="15"/>
  <c r="F602" i="15"/>
  <c r="E602" i="15"/>
  <c r="S601" i="15"/>
  <c r="O601" i="15"/>
  <c r="P601" i="15" s="1"/>
  <c r="G601" i="15"/>
  <c r="I601" i="15" s="1"/>
  <c r="F601" i="15"/>
  <c r="E601" i="15"/>
  <c r="R600" i="15"/>
  <c r="S600" i="15" s="1"/>
  <c r="P600" i="15"/>
  <c r="O600" i="15"/>
  <c r="G600" i="15"/>
  <c r="F600" i="15"/>
  <c r="E600" i="15"/>
  <c r="S599" i="15"/>
  <c r="R599" i="15"/>
  <c r="P599" i="15"/>
  <c r="O599" i="15"/>
  <c r="G599" i="15"/>
  <c r="F599" i="15"/>
  <c r="E599" i="15"/>
  <c r="R598" i="15"/>
  <c r="S598" i="15" s="1"/>
  <c r="O598" i="15"/>
  <c r="P598" i="15" s="1"/>
  <c r="G598" i="15"/>
  <c r="I598" i="15" s="1"/>
  <c r="F598" i="15"/>
  <c r="E598" i="15"/>
  <c r="S597" i="15"/>
  <c r="R597" i="15"/>
  <c r="P597" i="15"/>
  <c r="O597" i="15"/>
  <c r="G597" i="15"/>
  <c r="F597" i="15"/>
  <c r="E597" i="15"/>
  <c r="R596" i="15"/>
  <c r="S596" i="15" s="1"/>
  <c r="P596" i="15"/>
  <c r="O596" i="15"/>
  <c r="G596" i="15"/>
  <c r="F596" i="15"/>
  <c r="E596" i="15"/>
  <c r="S595" i="15"/>
  <c r="R595" i="15"/>
  <c r="O595" i="15"/>
  <c r="P595" i="15" s="1"/>
  <c r="G595" i="15"/>
  <c r="F595" i="15"/>
  <c r="E595" i="15"/>
  <c r="S594" i="15"/>
  <c r="R594" i="15"/>
  <c r="P594" i="15"/>
  <c r="O594" i="15"/>
  <c r="G594" i="15"/>
  <c r="I594" i="15" s="1"/>
  <c r="F594" i="15"/>
  <c r="E594" i="15"/>
  <c r="R593" i="15"/>
  <c r="O593" i="15"/>
  <c r="G593" i="15"/>
  <c r="H593" i="15" s="1"/>
  <c r="F593" i="15"/>
  <c r="E593" i="15"/>
  <c r="R592" i="15"/>
  <c r="S592" i="15" s="1"/>
  <c r="P592" i="15"/>
  <c r="O592" i="15"/>
  <c r="G592" i="15"/>
  <c r="I592" i="15" s="1"/>
  <c r="F592" i="15"/>
  <c r="E592" i="15"/>
  <c r="E611" i="15" s="1"/>
  <c r="R536" i="15"/>
  <c r="Q536" i="15"/>
  <c r="P536" i="15"/>
  <c r="O536" i="15"/>
  <c r="N536" i="15"/>
  <c r="M536" i="15"/>
  <c r="L536" i="15"/>
  <c r="J533" i="15"/>
  <c r="Q531" i="15"/>
  <c r="P531" i="15"/>
  <c r="O531" i="15"/>
  <c r="N531" i="15"/>
  <c r="M531" i="15"/>
  <c r="L531" i="15"/>
  <c r="J531" i="15"/>
  <c r="D531" i="15"/>
  <c r="R530" i="15"/>
  <c r="R531" i="15" s="1"/>
  <c r="P530" i="15"/>
  <c r="O530" i="15"/>
  <c r="G530" i="15"/>
  <c r="H530" i="15" s="1"/>
  <c r="F530" i="15"/>
  <c r="F531" i="15" s="1"/>
  <c r="E530" i="15"/>
  <c r="E531" i="15" s="1"/>
  <c r="N527" i="15"/>
  <c r="N533" i="15" s="1"/>
  <c r="N537" i="15" s="1"/>
  <c r="M527" i="15"/>
  <c r="M533" i="15" s="1"/>
  <c r="M537" i="15" s="1"/>
  <c r="L527" i="15"/>
  <c r="L533" i="15" s="1"/>
  <c r="L537" i="15" s="1"/>
  <c r="D527" i="15"/>
  <c r="Q525" i="15"/>
  <c r="N525" i="15"/>
  <c r="M525" i="15"/>
  <c r="L525" i="15"/>
  <c r="D525" i="15"/>
  <c r="S524" i="15"/>
  <c r="S525" i="15" s="1"/>
  <c r="R524" i="15"/>
  <c r="R525" i="15" s="1"/>
  <c r="P524" i="15"/>
  <c r="P525" i="15" s="1"/>
  <c r="O524" i="15"/>
  <c r="O525" i="15" s="1"/>
  <c r="G524" i="15"/>
  <c r="I524" i="15" s="1"/>
  <c r="F524" i="15"/>
  <c r="F525" i="15" s="1"/>
  <c r="E524" i="15"/>
  <c r="E525" i="15" s="1"/>
  <c r="Q522" i="15"/>
  <c r="N522" i="15"/>
  <c r="M522" i="15"/>
  <c r="L522" i="15"/>
  <c r="J522" i="15"/>
  <c r="D522" i="15"/>
  <c r="R521" i="15"/>
  <c r="S521" i="15" s="1"/>
  <c r="O521" i="15"/>
  <c r="P521" i="15" s="1"/>
  <c r="G521" i="15"/>
  <c r="I521" i="15" s="1"/>
  <c r="F521" i="15"/>
  <c r="E521" i="15"/>
  <c r="R520" i="15"/>
  <c r="S520" i="15" s="1"/>
  <c r="P520" i="15"/>
  <c r="O520" i="15"/>
  <c r="G520" i="15"/>
  <c r="F520" i="15"/>
  <c r="E520" i="15"/>
  <c r="R519" i="15"/>
  <c r="S519" i="15" s="1"/>
  <c r="P519" i="15"/>
  <c r="O519" i="15"/>
  <c r="G519" i="15"/>
  <c r="F519" i="15"/>
  <c r="E519" i="15"/>
  <c r="S518" i="15"/>
  <c r="R518" i="15"/>
  <c r="P518" i="15"/>
  <c r="O518" i="15"/>
  <c r="G518" i="15"/>
  <c r="F518" i="15"/>
  <c r="E518" i="15"/>
  <c r="S517" i="15"/>
  <c r="R517" i="15"/>
  <c r="P517" i="15"/>
  <c r="O517" i="15"/>
  <c r="G517" i="15"/>
  <c r="I517" i="15" s="1"/>
  <c r="F517" i="15"/>
  <c r="E517" i="15"/>
  <c r="R516" i="15"/>
  <c r="S516" i="15" s="1"/>
  <c r="P516" i="15"/>
  <c r="O516" i="15"/>
  <c r="G516" i="15"/>
  <c r="F516" i="15"/>
  <c r="E516" i="15"/>
  <c r="R515" i="15"/>
  <c r="S515" i="15" s="1"/>
  <c r="O515" i="15"/>
  <c r="P515" i="15" s="1"/>
  <c r="G515" i="15"/>
  <c r="F515" i="15"/>
  <c r="E515" i="15"/>
  <c r="S514" i="15"/>
  <c r="R514" i="15"/>
  <c r="O514" i="15"/>
  <c r="P514" i="15" s="1"/>
  <c r="G514" i="15"/>
  <c r="I514" i="15" s="1"/>
  <c r="F514" i="15"/>
  <c r="E514" i="15"/>
  <c r="S513" i="15"/>
  <c r="R513" i="15"/>
  <c r="P513" i="15"/>
  <c r="O513" i="15"/>
  <c r="G513" i="15"/>
  <c r="I513" i="15" s="1"/>
  <c r="F513" i="15"/>
  <c r="E513" i="15"/>
  <c r="R512" i="15"/>
  <c r="S512" i="15" s="1"/>
  <c r="P512" i="15"/>
  <c r="O512" i="15"/>
  <c r="G512" i="15"/>
  <c r="F512" i="15"/>
  <c r="E512" i="15"/>
  <c r="R511" i="15"/>
  <c r="S511" i="15" s="1"/>
  <c r="P511" i="15"/>
  <c r="O511" i="15"/>
  <c r="G511" i="15"/>
  <c r="I511" i="15" s="1"/>
  <c r="F511" i="15"/>
  <c r="E511" i="15"/>
  <c r="S510" i="15"/>
  <c r="R510" i="15"/>
  <c r="P510" i="15"/>
  <c r="O510" i="15"/>
  <c r="G510" i="15"/>
  <c r="I510" i="15" s="1"/>
  <c r="F510" i="15"/>
  <c r="E510" i="15"/>
  <c r="R509" i="15"/>
  <c r="S509" i="15" s="1"/>
  <c r="P509" i="15"/>
  <c r="O509" i="15"/>
  <c r="G509" i="15"/>
  <c r="I509" i="15" s="1"/>
  <c r="F509" i="15"/>
  <c r="E509" i="15"/>
  <c r="R508" i="15"/>
  <c r="S508" i="15" s="1"/>
  <c r="O508" i="15"/>
  <c r="P508" i="15" s="1"/>
  <c r="G508" i="15"/>
  <c r="F508" i="15"/>
  <c r="E508" i="15"/>
  <c r="S507" i="15"/>
  <c r="P507" i="15"/>
  <c r="O507" i="15"/>
  <c r="G507" i="15"/>
  <c r="I507" i="15" s="1"/>
  <c r="F507" i="15"/>
  <c r="E507" i="15"/>
  <c r="R506" i="15"/>
  <c r="S506" i="15" s="1"/>
  <c r="P506" i="15"/>
  <c r="O506" i="15"/>
  <c r="G506" i="15"/>
  <c r="F506" i="15"/>
  <c r="E506" i="15"/>
  <c r="S505" i="15"/>
  <c r="R505" i="15"/>
  <c r="O505" i="15"/>
  <c r="P505" i="15" s="1"/>
  <c r="G505" i="15"/>
  <c r="I505" i="15" s="1"/>
  <c r="F505" i="15"/>
  <c r="E505" i="15"/>
  <c r="S504" i="15"/>
  <c r="R504" i="15"/>
  <c r="P504" i="15"/>
  <c r="O504" i="15"/>
  <c r="G504" i="15"/>
  <c r="F504" i="15"/>
  <c r="E504" i="15"/>
  <c r="L452" i="15"/>
  <c r="R451" i="15"/>
  <c r="Q451" i="15"/>
  <c r="P451" i="15"/>
  <c r="O451" i="15"/>
  <c r="N451" i="15"/>
  <c r="M451" i="15"/>
  <c r="L451" i="15"/>
  <c r="N449" i="15"/>
  <c r="N452" i="15" s="1"/>
  <c r="M449" i="15"/>
  <c r="M452" i="15" s="1"/>
  <c r="L449" i="15"/>
  <c r="J449" i="15"/>
  <c r="D449" i="15"/>
  <c r="Q447" i="15"/>
  <c r="O447" i="15"/>
  <c r="N447" i="15"/>
  <c r="M447" i="15"/>
  <c r="L447" i="15"/>
  <c r="J447" i="15"/>
  <c r="D447" i="15"/>
  <c r="S446" i="15"/>
  <c r="S447" i="15" s="1"/>
  <c r="R446" i="15"/>
  <c r="R447" i="15" s="1"/>
  <c r="P446" i="15"/>
  <c r="P447" i="15" s="1"/>
  <c r="O446" i="15"/>
  <c r="G446" i="15"/>
  <c r="G447" i="15" s="1"/>
  <c r="F446" i="15"/>
  <c r="F447" i="15" s="1"/>
  <c r="E446" i="15"/>
  <c r="E447" i="15" s="1"/>
  <c r="Q443" i="15"/>
  <c r="N443" i="15"/>
  <c r="M443" i="15"/>
  <c r="L443" i="15"/>
  <c r="D443" i="15"/>
  <c r="S442" i="15"/>
  <c r="R442" i="15"/>
  <c r="O442" i="15"/>
  <c r="P442" i="15" s="1"/>
  <c r="G442" i="15"/>
  <c r="I442" i="15" s="1"/>
  <c r="F442" i="15"/>
  <c r="E442" i="15"/>
  <c r="S441" i="15"/>
  <c r="R441" i="15"/>
  <c r="O441" i="15"/>
  <c r="P441" i="15" s="1"/>
  <c r="G441" i="15"/>
  <c r="F441" i="15"/>
  <c r="E441" i="15"/>
  <c r="R440" i="15"/>
  <c r="S440" i="15" s="1"/>
  <c r="P440" i="15"/>
  <c r="O440" i="15"/>
  <c r="G440" i="15"/>
  <c r="H440" i="15" s="1"/>
  <c r="F440" i="15"/>
  <c r="E440" i="15"/>
  <c r="S439" i="15"/>
  <c r="R439" i="15"/>
  <c r="O439" i="15"/>
  <c r="P439" i="15" s="1"/>
  <c r="G439" i="15"/>
  <c r="H439" i="15" s="1"/>
  <c r="F439" i="15"/>
  <c r="E439" i="15"/>
  <c r="R438" i="15"/>
  <c r="S438" i="15" s="1"/>
  <c r="P438" i="15"/>
  <c r="O438" i="15"/>
  <c r="G438" i="15"/>
  <c r="I438" i="15" s="1"/>
  <c r="F438" i="15"/>
  <c r="E438" i="15"/>
  <c r="R437" i="15"/>
  <c r="S437" i="15" s="1"/>
  <c r="P437" i="15"/>
  <c r="O437" i="15"/>
  <c r="G437" i="15"/>
  <c r="H437" i="15" s="1"/>
  <c r="F437" i="15"/>
  <c r="E437" i="15"/>
  <c r="R436" i="15"/>
  <c r="S436" i="15" s="1"/>
  <c r="P436" i="15"/>
  <c r="O436" i="15"/>
  <c r="G436" i="15"/>
  <c r="F436" i="15"/>
  <c r="E436" i="15"/>
  <c r="S435" i="15"/>
  <c r="R435" i="15"/>
  <c r="O435" i="15"/>
  <c r="P435" i="15" s="1"/>
  <c r="G435" i="15"/>
  <c r="F435" i="15"/>
  <c r="E435" i="15"/>
  <c r="S434" i="15"/>
  <c r="R434" i="15"/>
  <c r="P434" i="15"/>
  <c r="O434" i="15"/>
  <c r="G434" i="15"/>
  <c r="F434" i="15"/>
  <c r="E434" i="15"/>
  <c r="R433" i="15"/>
  <c r="S433" i="15" s="1"/>
  <c r="O433" i="15"/>
  <c r="G433" i="15"/>
  <c r="I433" i="15" s="1"/>
  <c r="F433" i="15"/>
  <c r="E433" i="15"/>
  <c r="R432" i="15"/>
  <c r="S432" i="15" s="1"/>
  <c r="P432" i="15"/>
  <c r="O432" i="15"/>
  <c r="G432" i="15"/>
  <c r="I432" i="15" s="1"/>
  <c r="F432" i="15"/>
  <c r="E432" i="15"/>
  <c r="N378" i="15"/>
  <c r="N374" i="15"/>
  <c r="D374" i="15"/>
  <c r="S372" i="15"/>
  <c r="R372" i="15"/>
  <c r="Q372" i="15"/>
  <c r="P372" i="15"/>
  <c r="O372" i="15"/>
  <c r="N372" i="15"/>
  <c r="M372" i="15"/>
  <c r="L372" i="15"/>
  <c r="D372" i="15"/>
  <c r="G371" i="15"/>
  <c r="I371" i="15" s="1"/>
  <c r="F371" i="15"/>
  <c r="F372" i="15" s="1"/>
  <c r="E371" i="15"/>
  <c r="E372" i="15" s="1"/>
  <c r="Q368" i="15"/>
  <c r="N368" i="15"/>
  <c r="M368" i="15"/>
  <c r="M374" i="15" s="1"/>
  <c r="M378" i="15" s="1"/>
  <c r="L368" i="15"/>
  <c r="L374" i="15" s="1"/>
  <c r="L378" i="15" s="1"/>
  <c r="J368" i="15"/>
  <c r="J374" i="15" s="1"/>
  <c r="D368" i="15"/>
  <c r="R367" i="15"/>
  <c r="S367" i="15" s="1"/>
  <c r="P367" i="15"/>
  <c r="O367" i="15"/>
  <c r="G367" i="15"/>
  <c r="F367" i="15"/>
  <c r="E367" i="15"/>
  <c r="S366" i="15"/>
  <c r="R366" i="15"/>
  <c r="P366" i="15"/>
  <c r="O366" i="15"/>
  <c r="G366" i="15"/>
  <c r="I366" i="15" s="1"/>
  <c r="F366" i="15"/>
  <c r="E366" i="15"/>
  <c r="R365" i="15"/>
  <c r="P365" i="15"/>
  <c r="O365" i="15"/>
  <c r="O368" i="15" s="1"/>
  <c r="O374" i="15" s="1"/>
  <c r="O378" i="15" s="1"/>
  <c r="G365" i="15"/>
  <c r="F365" i="15"/>
  <c r="E365" i="15"/>
  <c r="S364" i="15"/>
  <c r="R364" i="15"/>
  <c r="P364" i="15"/>
  <c r="O364" i="15"/>
  <c r="G364" i="15"/>
  <c r="G368" i="15" s="1"/>
  <c r="F364" i="15"/>
  <c r="E364" i="15"/>
  <c r="L311" i="15"/>
  <c r="R310" i="15"/>
  <c r="Q310" i="15"/>
  <c r="P310" i="15"/>
  <c r="O310" i="15"/>
  <c r="N310" i="15"/>
  <c r="M310" i="15"/>
  <c r="L310" i="15"/>
  <c r="J307" i="15"/>
  <c r="Q305" i="15"/>
  <c r="N305" i="15"/>
  <c r="M305" i="15"/>
  <c r="L305" i="15"/>
  <c r="D305" i="15"/>
  <c r="S304" i="15"/>
  <c r="R304" i="15"/>
  <c r="P304" i="15"/>
  <c r="O304" i="15"/>
  <c r="G304" i="15"/>
  <c r="H304" i="15" s="1"/>
  <c r="F304" i="15"/>
  <c r="E304" i="15"/>
  <c r="R303" i="15"/>
  <c r="S303" i="15" s="1"/>
  <c r="P303" i="15"/>
  <c r="O303" i="15"/>
  <c r="G303" i="15"/>
  <c r="F303" i="15"/>
  <c r="E303" i="15"/>
  <c r="R302" i="15"/>
  <c r="S302" i="15" s="1"/>
  <c r="P302" i="15"/>
  <c r="O302" i="15"/>
  <c r="G302" i="15"/>
  <c r="F302" i="15"/>
  <c r="E302" i="15"/>
  <c r="S301" i="15"/>
  <c r="R301" i="15"/>
  <c r="P301" i="15"/>
  <c r="O301" i="15"/>
  <c r="G301" i="15"/>
  <c r="I301" i="15" s="1"/>
  <c r="F301" i="15"/>
  <c r="E301" i="15"/>
  <c r="R300" i="15"/>
  <c r="S300" i="15" s="1"/>
  <c r="P300" i="15"/>
  <c r="O300" i="15"/>
  <c r="G300" i="15"/>
  <c r="F300" i="15"/>
  <c r="E300" i="15"/>
  <c r="R299" i="15"/>
  <c r="S299" i="15" s="1"/>
  <c r="P299" i="15"/>
  <c r="O299" i="15"/>
  <c r="G299" i="15"/>
  <c r="F299" i="15"/>
  <c r="E299" i="15"/>
  <c r="R298" i="15"/>
  <c r="S298" i="15" s="1"/>
  <c r="P298" i="15"/>
  <c r="O298" i="15"/>
  <c r="G298" i="15"/>
  <c r="F298" i="15"/>
  <c r="E298" i="15"/>
  <c r="R297" i="15"/>
  <c r="S297" i="15" s="1"/>
  <c r="P297" i="15"/>
  <c r="O297" i="15"/>
  <c r="G297" i="15"/>
  <c r="I297" i="15" s="1"/>
  <c r="F297" i="15"/>
  <c r="E297" i="15"/>
  <c r="R296" i="15"/>
  <c r="S296" i="15" s="1"/>
  <c r="P296" i="15"/>
  <c r="O296" i="15"/>
  <c r="G296" i="15"/>
  <c r="H296" i="15" s="1"/>
  <c r="F296" i="15"/>
  <c r="E296" i="15"/>
  <c r="R295" i="15"/>
  <c r="S295" i="15" s="1"/>
  <c r="P295" i="15"/>
  <c r="O295" i="15"/>
  <c r="G295" i="15"/>
  <c r="F295" i="15"/>
  <c r="E295" i="15"/>
  <c r="R294" i="15"/>
  <c r="S294" i="15" s="1"/>
  <c r="P294" i="15"/>
  <c r="O294" i="15"/>
  <c r="G294" i="15"/>
  <c r="I294" i="15" s="1"/>
  <c r="F294" i="15"/>
  <c r="E294" i="15"/>
  <c r="S293" i="15"/>
  <c r="R293" i="15"/>
  <c r="P293" i="15"/>
  <c r="O293" i="15"/>
  <c r="G293" i="15"/>
  <c r="I293" i="15" s="1"/>
  <c r="F293" i="15"/>
  <c r="E293" i="15"/>
  <c r="S292" i="15"/>
  <c r="R292" i="15"/>
  <c r="P292" i="15"/>
  <c r="O292" i="15"/>
  <c r="G292" i="15"/>
  <c r="F292" i="15"/>
  <c r="E292" i="15"/>
  <c r="R291" i="15"/>
  <c r="S291" i="15" s="1"/>
  <c r="P291" i="15"/>
  <c r="O291" i="15"/>
  <c r="G291" i="15"/>
  <c r="F291" i="15"/>
  <c r="E291" i="15"/>
  <c r="R290" i="15"/>
  <c r="S290" i="15" s="1"/>
  <c r="P290" i="15"/>
  <c r="O290" i="15"/>
  <c r="G290" i="15"/>
  <c r="F290" i="15"/>
  <c r="E290" i="15"/>
  <c r="N287" i="15"/>
  <c r="N307" i="15" s="1"/>
  <c r="N311" i="15" s="1"/>
  <c r="D287" i="15"/>
  <c r="S285" i="15"/>
  <c r="Q285" i="15"/>
  <c r="N285" i="15"/>
  <c r="M285" i="15"/>
  <c r="L285" i="15"/>
  <c r="L287" i="15" s="1"/>
  <c r="L307" i="15" s="1"/>
  <c r="J285" i="15"/>
  <c r="D285" i="15"/>
  <c r="S284" i="15"/>
  <c r="R284" i="15"/>
  <c r="P284" i="15"/>
  <c r="P285" i="15" s="1"/>
  <c r="O284" i="15"/>
  <c r="G284" i="15"/>
  <c r="F284" i="15"/>
  <c r="E284" i="15"/>
  <c r="S283" i="15"/>
  <c r="R283" i="15"/>
  <c r="R285" i="15" s="1"/>
  <c r="P283" i="15"/>
  <c r="O283" i="15"/>
  <c r="O285" i="15" s="1"/>
  <c r="G283" i="15"/>
  <c r="F283" i="15"/>
  <c r="F285" i="15" s="1"/>
  <c r="E283" i="15"/>
  <c r="Q281" i="15"/>
  <c r="N281" i="15"/>
  <c r="M281" i="15"/>
  <c r="M287" i="15" s="1"/>
  <c r="M307" i="15" s="1"/>
  <c r="M311" i="15" s="1"/>
  <c r="L281" i="15"/>
  <c r="J281" i="15"/>
  <c r="D281" i="15"/>
  <c r="S280" i="15"/>
  <c r="R280" i="15"/>
  <c r="O280" i="15"/>
  <c r="P280" i="15" s="1"/>
  <c r="G280" i="15"/>
  <c r="I280" i="15" s="1"/>
  <c r="F280" i="15"/>
  <c r="E280" i="15"/>
  <c r="R279" i="15"/>
  <c r="S279" i="15" s="1"/>
  <c r="P279" i="15"/>
  <c r="O279" i="15"/>
  <c r="G279" i="15"/>
  <c r="F279" i="15"/>
  <c r="E279" i="15"/>
  <c r="S278" i="15"/>
  <c r="R278" i="15"/>
  <c r="P278" i="15"/>
  <c r="O278" i="15"/>
  <c r="G278" i="15"/>
  <c r="I278" i="15" s="1"/>
  <c r="F278" i="15"/>
  <c r="E278" i="15"/>
  <c r="S277" i="15"/>
  <c r="R277" i="15"/>
  <c r="P277" i="15"/>
  <c r="O277" i="15"/>
  <c r="G277" i="15"/>
  <c r="I277" i="15" s="1"/>
  <c r="F277" i="15"/>
  <c r="E277" i="15"/>
  <c r="S276" i="15"/>
  <c r="R276" i="15"/>
  <c r="O276" i="15"/>
  <c r="P276" i="15" s="1"/>
  <c r="G276" i="15"/>
  <c r="F276" i="15"/>
  <c r="E276" i="15"/>
  <c r="R275" i="15"/>
  <c r="S275" i="15" s="1"/>
  <c r="P275" i="15"/>
  <c r="O275" i="15"/>
  <c r="G275" i="15"/>
  <c r="F275" i="15"/>
  <c r="E275" i="15"/>
  <c r="R274" i="15"/>
  <c r="S274" i="15" s="1"/>
  <c r="P274" i="15"/>
  <c r="O274" i="15"/>
  <c r="G274" i="15"/>
  <c r="I274" i="15" s="1"/>
  <c r="F274" i="15"/>
  <c r="E274" i="15"/>
  <c r="S273" i="15"/>
  <c r="R273" i="15"/>
  <c r="P273" i="15"/>
  <c r="O273" i="15"/>
  <c r="G273" i="15"/>
  <c r="F273" i="15"/>
  <c r="E273" i="15"/>
  <c r="S272" i="15"/>
  <c r="R272" i="15"/>
  <c r="O272" i="15"/>
  <c r="P272" i="15" s="1"/>
  <c r="G272" i="15"/>
  <c r="I272" i="15" s="1"/>
  <c r="F272" i="15"/>
  <c r="E272" i="15"/>
  <c r="R271" i="15"/>
  <c r="S271" i="15" s="1"/>
  <c r="P271" i="15"/>
  <c r="O271" i="15"/>
  <c r="G271" i="15"/>
  <c r="F271" i="15"/>
  <c r="E271" i="15"/>
  <c r="R270" i="15"/>
  <c r="S270" i="15" s="1"/>
  <c r="O270" i="15"/>
  <c r="P270" i="15" s="1"/>
  <c r="G270" i="15"/>
  <c r="F270" i="15"/>
  <c r="E270" i="15"/>
  <c r="S269" i="15"/>
  <c r="R269" i="15"/>
  <c r="P269" i="15"/>
  <c r="O269" i="15"/>
  <c r="G269" i="15"/>
  <c r="F269" i="15"/>
  <c r="E269" i="15"/>
  <c r="S268" i="15"/>
  <c r="R268" i="15"/>
  <c r="O268" i="15"/>
  <c r="P268" i="15" s="1"/>
  <c r="G268" i="15"/>
  <c r="I268" i="15" s="1"/>
  <c r="F268" i="15"/>
  <c r="E268" i="15"/>
  <c r="R267" i="15"/>
  <c r="S267" i="15" s="1"/>
  <c r="P267" i="15"/>
  <c r="O267" i="15"/>
  <c r="G267" i="15"/>
  <c r="F267" i="15"/>
  <c r="E267" i="15"/>
  <c r="R266" i="15"/>
  <c r="S266" i="15" s="1"/>
  <c r="P266" i="15"/>
  <c r="O266" i="15"/>
  <c r="G266" i="15"/>
  <c r="I266" i="15" s="1"/>
  <c r="F266" i="15"/>
  <c r="E266" i="15"/>
  <c r="S265" i="15"/>
  <c r="R265" i="15"/>
  <c r="P265" i="15"/>
  <c r="O265" i="15"/>
  <c r="G265" i="15"/>
  <c r="F265" i="15"/>
  <c r="E265" i="15"/>
  <c r="S264" i="15"/>
  <c r="R264" i="15"/>
  <c r="O264" i="15"/>
  <c r="P264" i="15" s="1"/>
  <c r="G264" i="15"/>
  <c r="F264" i="15"/>
  <c r="E264" i="15"/>
  <c r="S263" i="15"/>
  <c r="R263" i="15"/>
  <c r="P263" i="15"/>
  <c r="O263" i="15"/>
  <c r="G263" i="15"/>
  <c r="F263" i="15"/>
  <c r="E263" i="15"/>
  <c r="R262" i="15"/>
  <c r="S262" i="15" s="1"/>
  <c r="P262" i="15"/>
  <c r="O262" i="15"/>
  <c r="G262" i="15"/>
  <c r="I262" i="15" s="1"/>
  <c r="F262" i="15"/>
  <c r="E262" i="15"/>
  <c r="S261" i="15"/>
  <c r="R261" i="15"/>
  <c r="P261" i="15"/>
  <c r="O261" i="15"/>
  <c r="G261" i="15"/>
  <c r="I261" i="15" s="1"/>
  <c r="F261" i="15"/>
  <c r="E261" i="15"/>
  <c r="S260" i="15"/>
  <c r="R260" i="15"/>
  <c r="P260" i="15"/>
  <c r="O260" i="15"/>
  <c r="G260" i="15"/>
  <c r="F260" i="15"/>
  <c r="E260" i="15"/>
  <c r="R259" i="15"/>
  <c r="S259" i="15" s="1"/>
  <c r="P259" i="15"/>
  <c r="O259" i="15"/>
  <c r="G259" i="15"/>
  <c r="F259" i="15"/>
  <c r="E259" i="15"/>
  <c r="R258" i="15"/>
  <c r="S258" i="15" s="1"/>
  <c r="P258" i="15"/>
  <c r="O258" i="15"/>
  <c r="G258" i="15"/>
  <c r="F258" i="15"/>
  <c r="E258" i="15"/>
  <c r="S257" i="15"/>
  <c r="R257" i="15"/>
  <c r="O257" i="15"/>
  <c r="P257" i="15" s="1"/>
  <c r="G257" i="15"/>
  <c r="F257" i="15"/>
  <c r="E257" i="15"/>
  <c r="S256" i="15"/>
  <c r="R256" i="15"/>
  <c r="O256" i="15"/>
  <c r="P256" i="15" s="1"/>
  <c r="G256" i="15"/>
  <c r="F256" i="15"/>
  <c r="E256" i="15"/>
  <c r="R255" i="15"/>
  <c r="O255" i="15"/>
  <c r="G255" i="15"/>
  <c r="F255" i="15"/>
  <c r="E255" i="15"/>
  <c r="E281" i="15" s="1"/>
  <c r="M202" i="15"/>
  <c r="R201" i="15"/>
  <c r="Q201" i="15"/>
  <c r="P201" i="15"/>
  <c r="O201" i="15"/>
  <c r="N201" i="15"/>
  <c r="M201" i="15"/>
  <c r="L201" i="15"/>
  <c r="S196" i="15"/>
  <c r="R196" i="15"/>
  <c r="Q196" i="15"/>
  <c r="N196" i="15"/>
  <c r="M196" i="15"/>
  <c r="L196" i="15"/>
  <c r="J196" i="15"/>
  <c r="D196" i="15"/>
  <c r="S195" i="15"/>
  <c r="R195" i="15"/>
  <c r="P195" i="15"/>
  <c r="P196" i="15" s="1"/>
  <c r="O195" i="15"/>
  <c r="O196" i="15" s="1"/>
  <c r="G195" i="15"/>
  <c r="H195" i="15" s="1"/>
  <c r="F195" i="15"/>
  <c r="F196" i="15" s="1"/>
  <c r="E195" i="15"/>
  <c r="E196" i="15" s="1"/>
  <c r="Q192" i="15"/>
  <c r="N192" i="15"/>
  <c r="N198" i="15" s="1"/>
  <c r="N202" i="15" s="1"/>
  <c r="M192" i="15"/>
  <c r="M198" i="15" s="1"/>
  <c r="L192" i="15"/>
  <c r="J192" i="15"/>
  <c r="D192" i="15"/>
  <c r="D198" i="15" s="1"/>
  <c r="S191" i="15"/>
  <c r="R191" i="15"/>
  <c r="P191" i="15"/>
  <c r="O191" i="15"/>
  <c r="G191" i="15"/>
  <c r="F191" i="15"/>
  <c r="E191" i="15"/>
  <c r="S190" i="15"/>
  <c r="R190" i="15"/>
  <c r="P190" i="15"/>
  <c r="O190" i="15"/>
  <c r="G190" i="15"/>
  <c r="I190" i="15" s="1"/>
  <c r="F190" i="15"/>
  <c r="E190" i="15"/>
  <c r="R189" i="15"/>
  <c r="S189" i="15" s="1"/>
  <c r="P189" i="15"/>
  <c r="O189" i="15"/>
  <c r="G189" i="15"/>
  <c r="I189" i="15" s="1"/>
  <c r="F189" i="15"/>
  <c r="E189" i="15"/>
  <c r="R188" i="15"/>
  <c r="P188" i="15"/>
  <c r="O188" i="15"/>
  <c r="G188" i="15"/>
  <c r="F188" i="15"/>
  <c r="E188" i="15"/>
  <c r="R187" i="15"/>
  <c r="S187" i="15" s="1"/>
  <c r="P187" i="15"/>
  <c r="O187" i="15"/>
  <c r="G187" i="15"/>
  <c r="I187" i="15" s="1"/>
  <c r="F187" i="15"/>
  <c r="E187" i="15"/>
  <c r="S186" i="15"/>
  <c r="R186" i="15"/>
  <c r="P186" i="15"/>
  <c r="O186" i="15"/>
  <c r="O192" i="15" s="1"/>
  <c r="O198" i="15" s="1"/>
  <c r="O202" i="15" s="1"/>
  <c r="G186" i="15"/>
  <c r="F186" i="15"/>
  <c r="F192" i="15" s="1"/>
  <c r="E186" i="15"/>
  <c r="E192" i="15" s="1"/>
  <c r="R134" i="15"/>
  <c r="Q134" i="15"/>
  <c r="P134" i="15"/>
  <c r="O134" i="15"/>
  <c r="N134" i="15"/>
  <c r="M134" i="15"/>
  <c r="L134" i="15"/>
  <c r="J131" i="15"/>
  <c r="Q129" i="15"/>
  <c r="N129" i="15"/>
  <c r="M129" i="15"/>
  <c r="L129" i="15"/>
  <c r="D129" i="15"/>
  <c r="R128" i="15"/>
  <c r="S128" i="15" s="1"/>
  <c r="P128" i="15"/>
  <c r="O128" i="15"/>
  <c r="G128" i="15"/>
  <c r="F128" i="15"/>
  <c r="E128" i="15"/>
  <c r="R127" i="15"/>
  <c r="S127" i="15" s="1"/>
  <c r="P127" i="15"/>
  <c r="O127" i="15"/>
  <c r="G127" i="15"/>
  <c r="H127" i="15" s="1"/>
  <c r="F127" i="15"/>
  <c r="E127" i="15"/>
  <c r="R126" i="15"/>
  <c r="P126" i="15"/>
  <c r="P129" i="15" s="1"/>
  <c r="O126" i="15"/>
  <c r="O129" i="15" s="1"/>
  <c r="G126" i="15"/>
  <c r="H126" i="15" s="1"/>
  <c r="F126" i="15"/>
  <c r="E126" i="15"/>
  <c r="P123" i="15"/>
  <c r="P131" i="15" s="1"/>
  <c r="P135" i="15" s="1"/>
  <c r="M123" i="15"/>
  <c r="M131" i="15" s="1"/>
  <c r="M135" i="15" s="1"/>
  <c r="J123" i="15"/>
  <c r="Q121" i="15"/>
  <c r="O121" i="15"/>
  <c r="N121" i="15"/>
  <c r="M121" i="15"/>
  <c r="L121" i="15"/>
  <c r="L123" i="15" s="1"/>
  <c r="L131" i="15" s="1"/>
  <c r="L135" i="15" s="1"/>
  <c r="J121" i="15"/>
  <c r="D121" i="15"/>
  <c r="R120" i="15"/>
  <c r="R121" i="15" s="1"/>
  <c r="P120" i="15"/>
  <c r="G120" i="15"/>
  <c r="I120" i="15" s="1"/>
  <c r="F120" i="15"/>
  <c r="E120" i="15"/>
  <c r="S119" i="15"/>
  <c r="R119" i="15"/>
  <c r="P119" i="15"/>
  <c r="P121" i="15" s="1"/>
  <c r="G119" i="15"/>
  <c r="H119" i="15" s="1"/>
  <c r="F119" i="15"/>
  <c r="E119" i="15"/>
  <c r="S117" i="15"/>
  <c r="Q117" i="15"/>
  <c r="N117" i="15"/>
  <c r="N123" i="15" s="1"/>
  <c r="M117" i="15"/>
  <c r="L117" i="15"/>
  <c r="J117" i="15"/>
  <c r="D117" i="15"/>
  <c r="D123" i="15" s="1"/>
  <c r="D131" i="15" s="1"/>
  <c r="S116" i="15"/>
  <c r="R116" i="15"/>
  <c r="O116" i="15"/>
  <c r="P116" i="15" s="1"/>
  <c r="G116" i="15"/>
  <c r="F116" i="15"/>
  <c r="E116" i="15"/>
  <c r="S115" i="15"/>
  <c r="R115" i="15"/>
  <c r="O115" i="15"/>
  <c r="P115" i="15" s="1"/>
  <c r="G115" i="15"/>
  <c r="F115" i="15"/>
  <c r="E115" i="15"/>
  <c r="S114" i="15"/>
  <c r="R114" i="15"/>
  <c r="O114" i="15"/>
  <c r="P114" i="15" s="1"/>
  <c r="G114" i="15"/>
  <c r="I114" i="15" s="1"/>
  <c r="F114" i="15"/>
  <c r="E114" i="15"/>
  <c r="S113" i="15"/>
  <c r="R113" i="15"/>
  <c r="P113" i="15"/>
  <c r="O113" i="15"/>
  <c r="G113" i="15"/>
  <c r="F113" i="15"/>
  <c r="E113" i="15"/>
  <c r="R112" i="15"/>
  <c r="S112" i="15" s="1"/>
  <c r="P112" i="15"/>
  <c r="O112" i="15"/>
  <c r="G112" i="15"/>
  <c r="F112" i="15"/>
  <c r="E112" i="15"/>
  <c r="S111" i="15"/>
  <c r="R111" i="15"/>
  <c r="P111" i="15"/>
  <c r="O111" i="15"/>
  <c r="G111" i="15"/>
  <c r="F111" i="15"/>
  <c r="E111" i="15"/>
  <c r="S110" i="15"/>
  <c r="R110" i="15"/>
  <c r="P110" i="15"/>
  <c r="O110" i="15"/>
  <c r="G110" i="15"/>
  <c r="I110" i="15" s="1"/>
  <c r="F110" i="15"/>
  <c r="E110" i="15"/>
  <c r="R109" i="15"/>
  <c r="S109" i="15" s="1"/>
  <c r="P109" i="15"/>
  <c r="O109" i="15"/>
  <c r="G109" i="15"/>
  <c r="F109" i="15"/>
  <c r="E109" i="15"/>
  <c r="S108" i="15"/>
  <c r="R108" i="15"/>
  <c r="O108" i="15"/>
  <c r="P108" i="15" s="1"/>
  <c r="G108" i="15"/>
  <c r="F108" i="15"/>
  <c r="E108" i="15"/>
  <c r="S107" i="15"/>
  <c r="R107" i="15"/>
  <c r="P107" i="15"/>
  <c r="O107" i="15"/>
  <c r="G107" i="15"/>
  <c r="F107" i="15"/>
  <c r="E107" i="15"/>
  <c r="S106" i="15"/>
  <c r="R106" i="15"/>
  <c r="P106" i="15"/>
  <c r="O106" i="15"/>
  <c r="G106" i="15"/>
  <c r="F106" i="15"/>
  <c r="E106" i="15"/>
  <c r="R105" i="15"/>
  <c r="S105" i="15" s="1"/>
  <c r="P105" i="15"/>
  <c r="O105" i="15"/>
  <c r="G105" i="15"/>
  <c r="F105" i="15"/>
  <c r="E105" i="15"/>
  <c r="S104" i="15"/>
  <c r="R104" i="15"/>
  <c r="O104" i="15"/>
  <c r="P104" i="15" s="1"/>
  <c r="P117" i="15" s="1"/>
  <c r="G104" i="15"/>
  <c r="I104" i="15" s="1"/>
  <c r="F104" i="15"/>
  <c r="E104" i="15"/>
  <c r="S103" i="15"/>
  <c r="R103" i="15"/>
  <c r="P103" i="15"/>
  <c r="O103" i="15"/>
  <c r="G103" i="15"/>
  <c r="I103" i="15" s="1"/>
  <c r="F103" i="15"/>
  <c r="E103" i="15"/>
  <c r="R45" i="15"/>
  <c r="Q45" i="15"/>
  <c r="P45" i="15"/>
  <c r="O45" i="15"/>
  <c r="N45" i="15"/>
  <c r="M45" i="15"/>
  <c r="L45" i="15"/>
  <c r="J42" i="15"/>
  <c r="Q40" i="15"/>
  <c r="N40" i="15"/>
  <c r="M40" i="15"/>
  <c r="L40" i="15"/>
  <c r="D40" i="15"/>
  <c r="R39" i="15"/>
  <c r="S39" i="15" s="1"/>
  <c r="P39" i="15"/>
  <c r="O39" i="15"/>
  <c r="G39" i="15"/>
  <c r="H39" i="15" s="1"/>
  <c r="F39" i="15"/>
  <c r="E39" i="15"/>
  <c r="R38" i="15"/>
  <c r="P38" i="15"/>
  <c r="O38" i="15"/>
  <c r="O40" i="15" s="1"/>
  <c r="G38" i="15"/>
  <c r="F38" i="15"/>
  <c r="E38" i="15"/>
  <c r="S37" i="15"/>
  <c r="R37" i="15"/>
  <c r="P37" i="15"/>
  <c r="P40" i="15" s="1"/>
  <c r="O37" i="15"/>
  <c r="G37" i="15"/>
  <c r="F37" i="15"/>
  <c r="F40" i="15" s="1"/>
  <c r="E37" i="15"/>
  <c r="N34" i="15"/>
  <c r="N42" i="15" s="1"/>
  <c r="N46" i="15" s="1"/>
  <c r="J34" i="15"/>
  <c r="D34" i="15"/>
  <c r="D42" i="15" s="1"/>
  <c r="Q32" i="15"/>
  <c r="O32" i="15"/>
  <c r="N32" i="15"/>
  <c r="M32" i="15"/>
  <c r="L32" i="15"/>
  <c r="J32" i="15"/>
  <c r="D32" i="15"/>
  <c r="R31" i="15"/>
  <c r="S31" i="15" s="1"/>
  <c r="P31" i="15"/>
  <c r="O31" i="15"/>
  <c r="G31" i="15"/>
  <c r="F31" i="15"/>
  <c r="E31" i="15"/>
  <c r="R30" i="15"/>
  <c r="S30" i="15" s="1"/>
  <c r="P30" i="15"/>
  <c r="O30" i="15"/>
  <c r="G30" i="15"/>
  <c r="F30" i="15"/>
  <c r="F32" i="15" s="1"/>
  <c r="E30" i="15"/>
  <c r="R29" i="15"/>
  <c r="P29" i="15"/>
  <c r="O29" i="15"/>
  <c r="I29" i="15"/>
  <c r="H29" i="15"/>
  <c r="Q26" i="15"/>
  <c r="N26" i="15"/>
  <c r="M26" i="15"/>
  <c r="L26" i="15"/>
  <c r="L34" i="15" s="1"/>
  <c r="L42" i="15" s="1"/>
  <c r="L46" i="15" s="1"/>
  <c r="J26" i="15"/>
  <c r="D26" i="15"/>
  <c r="S25" i="15"/>
  <c r="P25" i="15"/>
  <c r="G25" i="15"/>
  <c r="I25" i="15" s="1"/>
  <c r="F25" i="15"/>
  <c r="E25" i="15"/>
  <c r="R24" i="15"/>
  <c r="S24" i="15" s="1"/>
  <c r="P24" i="15"/>
  <c r="O24" i="15"/>
  <c r="G24" i="15"/>
  <c r="I24" i="15" s="1"/>
  <c r="F24" i="15"/>
  <c r="E24" i="15"/>
  <c r="R23" i="15"/>
  <c r="S23" i="15" s="1"/>
  <c r="P23" i="15"/>
  <c r="O23" i="15"/>
  <c r="G23" i="15"/>
  <c r="F23" i="15"/>
  <c r="E23" i="15"/>
  <c r="S22" i="15"/>
  <c r="R22" i="15"/>
  <c r="O22" i="15"/>
  <c r="P22" i="15" s="1"/>
  <c r="G22" i="15"/>
  <c r="H22" i="15" s="1"/>
  <c r="F22" i="15"/>
  <c r="E22" i="15"/>
  <c r="R21" i="15"/>
  <c r="S21" i="15" s="1"/>
  <c r="P21" i="15"/>
  <c r="O21" i="15"/>
  <c r="G21" i="15"/>
  <c r="I21" i="15" s="1"/>
  <c r="F21" i="15"/>
  <c r="E21" i="15"/>
  <c r="R20" i="15"/>
  <c r="S20" i="15" s="1"/>
  <c r="O20" i="15"/>
  <c r="P20" i="15" s="1"/>
  <c r="G20" i="15"/>
  <c r="F20" i="15"/>
  <c r="E20" i="15"/>
  <c r="R19" i="15"/>
  <c r="S19" i="15" s="1"/>
  <c r="O19" i="15"/>
  <c r="P19" i="15" s="1"/>
  <c r="G19" i="15"/>
  <c r="F19" i="15"/>
  <c r="E19" i="15"/>
  <c r="R18" i="15"/>
  <c r="S18" i="15" s="1"/>
  <c r="P18" i="15"/>
  <c r="O18" i="15"/>
  <c r="G18" i="15"/>
  <c r="F18" i="15"/>
  <c r="E18" i="15"/>
  <c r="R17" i="15"/>
  <c r="S17" i="15" s="1"/>
  <c r="P17" i="15"/>
  <c r="O17" i="15"/>
  <c r="G17" i="15"/>
  <c r="F17" i="15"/>
  <c r="E17" i="15"/>
  <c r="R16" i="15"/>
  <c r="S16" i="15" s="1"/>
  <c r="P16" i="15"/>
  <c r="O16" i="15"/>
  <c r="G16" i="15"/>
  <c r="I16" i="15" s="1"/>
  <c r="F16" i="15"/>
  <c r="E16" i="15"/>
  <c r="R15" i="15"/>
  <c r="S15" i="15" s="1"/>
  <c r="P15" i="15"/>
  <c r="O15" i="15"/>
  <c r="G15" i="15"/>
  <c r="H15" i="15" s="1"/>
  <c r="F15" i="15"/>
  <c r="E15" i="15"/>
  <c r="R14" i="15"/>
  <c r="S14" i="15" s="1"/>
  <c r="O14" i="15"/>
  <c r="P14" i="15" s="1"/>
  <c r="G14" i="15"/>
  <c r="F14" i="15"/>
  <c r="E14" i="15"/>
  <c r="S13" i="15"/>
  <c r="R13" i="15"/>
  <c r="P13" i="15"/>
  <c r="O13" i="15"/>
  <c r="G13" i="15"/>
  <c r="I13" i="15" s="1"/>
  <c r="F13" i="15"/>
  <c r="E13" i="15"/>
  <c r="R12" i="15"/>
  <c r="S12" i="15" s="1"/>
  <c r="O12" i="15"/>
  <c r="P12" i="15" s="1"/>
  <c r="G12" i="15"/>
  <c r="I12" i="15" s="1"/>
  <c r="F12" i="15"/>
  <c r="E12" i="15"/>
  <c r="S11" i="15"/>
  <c r="R11" i="15"/>
  <c r="P11" i="15"/>
  <c r="O11" i="15"/>
  <c r="G11" i="15"/>
  <c r="F11" i="15"/>
  <c r="E11" i="15"/>
  <c r="R10" i="15"/>
  <c r="S10" i="15" s="1"/>
  <c r="P10" i="15"/>
  <c r="O10" i="15"/>
  <c r="G10" i="15"/>
  <c r="F10" i="15"/>
  <c r="E10" i="15"/>
  <c r="R9" i="15"/>
  <c r="S9" i="15" s="1"/>
  <c r="P9" i="15"/>
  <c r="O9" i="15"/>
  <c r="G9" i="15"/>
  <c r="F9" i="15"/>
  <c r="E9" i="15"/>
  <c r="R8" i="15"/>
  <c r="S8" i="15" s="1"/>
  <c r="P8" i="15"/>
  <c r="O8" i="15"/>
  <c r="G8" i="15"/>
  <c r="F8" i="15"/>
  <c r="E8" i="15"/>
  <c r="R7" i="15"/>
  <c r="S7" i="15" s="1"/>
  <c r="P7" i="15"/>
  <c r="O7" i="15"/>
  <c r="G7" i="15"/>
  <c r="H7" i="15" s="1"/>
  <c r="F7" i="15"/>
  <c r="E7" i="15"/>
  <c r="S6" i="15"/>
  <c r="R6" i="15"/>
  <c r="O6" i="15"/>
  <c r="P6" i="15" s="1"/>
  <c r="G6" i="15"/>
  <c r="H6" i="15" s="1"/>
  <c r="F6" i="15"/>
  <c r="E6" i="15"/>
  <c r="S5" i="15"/>
  <c r="R5" i="15"/>
  <c r="O5" i="15"/>
  <c r="P5" i="15" s="1"/>
  <c r="G5" i="15"/>
  <c r="H5" i="15" s="1"/>
  <c r="F5" i="15"/>
  <c r="E5" i="15"/>
  <c r="R4" i="15"/>
  <c r="O4" i="15"/>
  <c r="P4" i="15" s="1"/>
  <c r="G4" i="15"/>
  <c r="I4" i="15" s="1"/>
  <c r="F4" i="15"/>
  <c r="E4" i="15"/>
  <c r="S3" i="15"/>
  <c r="R3" i="15"/>
  <c r="O3" i="15"/>
  <c r="P3" i="15" s="1"/>
  <c r="G3" i="15"/>
  <c r="I3" i="15" s="1"/>
  <c r="F3" i="15"/>
  <c r="E3" i="15"/>
  <c r="R694" i="14"/>
  <c r="Q694" i="14"/>
  <c r="P694" i="14"/>
  <c r="O694" i="14"/>
  <c r="N694" i="14"/>
  <c r="M694" i="14"/>
  <c r="L694" i="14"/>
  <c r="R690" i="14"/>
  <c r="Q690" i="14"/>
  <c r="P690" i="14"/>
  <c r="O690" i="14"/>
  <c r="N690" i="14"/>
  <c r="M690" i="14"/>
  <c r="L690" i="14"/>
  <c r="J690" i="14"/>
  <c r="D690" i="14"/>
  <c r="D692" i="14" s="1"/>
  <c r="S689" i="14"/>
  <c r="S690" i="14" s="1"/>
  <c r="G689" i="14"/>
  <c r="F689" i="14"/>
  <c r="F690" i="14" s="1"/>
  <c r="E689" i="14"/>
  <c r="E690" i="14" s="1"/>
  <c r="Q686" i="14"/>
  <c r="N686" i="14"/>
  <c r="N692" i="14" s="1"/>
  <c r="N695" i="14" s="1"/>
  <c r="M686" i="14"/>
  <c r="L686" i="14"/>
  <c r="L692" i="14" s="1"/>
  <c r="L695" i="14" s="1"/>
  <c r="J686" i="14"/>
  <c r="J692" i="14" s="1"/>
  <c r="D686" i="14"/>
  <c r="R685" i="14"/>
  <c r="S685" i="14" s="1"/>
  <c r="P685" i="14"/>
  <c r="O685" i="14"/>
  <c r="G685" i="14"/>
  <c r="I685" i="14" s="1"/>
  <c r="F685" i="14"/>
  <c r="E685" i="14"/>
  <c r="R684" i="14"/>
  <c r="S684" i="14" s="1"/>
  <c r="P684" i="14"/>
  <c r="O684" i="14"/>
  <c r="G684" i="14"/>
  <c r="I684" i="14" s="1"/>
  <c r="F684" i="14"/>
  <c r="E684" i="14"/>
  <c r="R683" i="14"/>
  <c r="S683" i="14" s="1"/>
  <c r="P683" i="14"/>
  <c r="O683" i="14"/>
  <c r="G683" i="14"/>
  <c r="F683" i="14"/>
  <c r="E683" i="14"/>
  <c r="R682" i="14"/>
  <c r="S682" i="14" s="1"/>
  <c r="P682" i="14"/>
  <c r="O682" i="14"/>
  <c r="G682" i="14"/>
  <c r="I682" i="14" s="1"/>
  <c r="F682" i="14"/>
  <c r="E682" i="14"/>
  <c r="R681" i="14"/>
  <c r="S681" i="14" s="1"/>
  <c r="P681" i="14"/>
  <c r="O681" i="14"/>
  <c r="G681" i="14"/>
  <c r="I681" i="14" s="1"/>
  <c r="F681" i="14"/>
  <c r="E681" i="14"/>
  <c r="S680" i="14"/>
  <c r="R680" i="14"/>
  <c r="P680" i="14"/>
  <c r="O680" i="14"/>
  <c r="G680" i="14"/>
  <c r="F680" i="14"/>
  <c r="E680" i="14"/>
  <c r="R679" i="14"/>
  <c r="S679" i="14" s="1"/>
  <c r="P679" i="14"/>
  <c r="O679" i="14"/>
  <c r="G679" i="14"/>
  <c r="I679" i="14" s="1"/>
  <c r="F679" i="14"/>
  <c r="E679" i="14"/>
  <c r="R678" i="14"/>
  <c r="S678" i="14" s="1"/>
  <c r="O678" i="14"/>
  <c r="P678" i="14" s="1"/>
  <c r="G678" i="14"/>
  <c r="I678" i="14" s="1"/>
  <c r="F678" i="14"/>
  <c r="E678" i="14"/>
  <c r="R677" i="14"/>
  <c r="S677" i="14" s="1"/>
  <c r="P677" i="14"/>
  <c r="O677" i="14"/>
  <c r="G677" i="14"/>
  <c r="H677" i="14" s="1"/>
  <c r="F677" i="14"/>
  <c r="E677" i="14"/>
  <c r="S676" i="14"/>
  <c r="P676" i="14"/>
  <c r="O676" i="14"/>
  <c r="G676" i="14"/>
  <c r="F676" i="14"/>
  <c r="E676" i="14"/>
  <c r="R675" i="14"/>
  <c r="S675" i="14" s="1"/>
  <c r="P675" i="14"/>
  <c r="O675" i="14"/>
  <c r="G675" i="14"/>
  <c r="I675" i="14" s="1"/>
  <c r="F675" i="14"/>
  <c r="E675" i="14"/>
  <c r="S674" i="14"/>
  <c r="R674" i="14"/>
  <c r="P674" i="14"/>
  <c r="O674" i="14"/>
  <c r="G674" i="14"/>
  <c r="H674" i="14" s="1"/>
  <c r="F674" i="14"/>
  <c r="E674" i="14"/>
  <c r="S673" i="14"/>
  <c r="R673" i="14"/>
  <c r="O673" i="14"/>
  <c r="P673" i="14" s="1"/>
  <c r="G673" i="14"/>
  <c r="I673" i="14" s="1"/>
  <c r="F673" i="14"/>
  <c r="E673" i="14"/>
  <c r="R672" i="14"/>
  <c r="S672" i="14" s="1"/>
  <c r="P672" i="14"/>
  <c r="O672" i="14"/>
  <c r="G672" i="14"/>
  <c r="F672" i="14"/>
  <c r="E672" i="14"/>
  <c r="R671" i="14"/>
  <c r="S671" i="14" s="1"/>
  <c r="P671" i="14"/>
  <c r="O671" i="14"/>
  <c r="G671" i="14"/>
  <c r="F671" i="14"/>
  <c r="E671" i="14"/>
  <c r="S670" i="14"/>
  <c r="R670" i="14"/>
  <c r="O670" i="14"/>
  <c r="P670" i="14" s="1"/>
  <c r="G670" i="14"/>
  <c r="F670" i="14"/>
  <c r="E670" i="14"/>
  <c r="S669" i="14"/>
  <c r="R669" i="14"/>
  <c r="O669" i="14"/>
  <c r="P669" i="14" s="1"/>
  <c r="G669" i="14"/>
  <c r="F669" i="14"/>
  <c r="E669" i="14"/>
  <c r="S668" i="14"/>
  <c r="R668" i="14"/>
  <c r="O668" i="14"/>
  <c r="P668" i="14" s="1"/>
  <c r="G668" i="14"/>
  <c r="F668" i="14"/>
  <c r="E668" i="14"/>
  <c r="R667" i="14"/>
  <c r="P667" i="14"/>
  <c r="O667" i="14"/>
  <c r="O686" i="14" s="1"/>
  <c r="O692" i="14" s="1"/>
  <c r="O695" i="14" s="1"/>
  <c r="G667" i="14"/>
  <c r="F667" i="14"/>
  <c r="E667" i="14"/>
  <c r="M612" i="14"/>
  <c r="R611" i="14"/>
  <c r="Q611" i="14"/>
  <c r="P611" i="14"/>
  <c r="O611" i="14"/>
  <c r="N611" i="14"/>
  <c r="M611" i="14"/>
  <c r="L611" i="14"/>
  <c r="N608" i="14"/>
  <c r="N612" i="14" s="1"/>
  <c r="M608" i="14"/>
  <c r="Q606" i="14"/>
  <c r="P606" i="14"/>
  <c r="O606" i="14"/>
  <c r="N606" i="14"/>
  <c r="M606" i="14"/>
  <c r="L606" i="14"/>
  <c r="J606" i="14"/>
  <c r="D606" i="14"/>
  <c r="R605" i="14"/>
  <c r="P605" i="14"/>
  <c r="O605" i="14"/>
  <c r="G605" i="14"/>
  <c r="I605" i="14" s="1"/>
  <c r="F605" i="14"/>
  <c r="F606" i="14" s="1"/>
  <c r="E605" i="14"/>
  <c r="E606" i="14" s="1"/>
  <c r="R600" i="14"/>
  <c r="Q600" i="14"/>
  <c r="N600" i="14"/>
  <c r="M600" i="14"/>
  <c r="L600" i="14"/>
  <c r="L602" i="14" s="1"/>
  <c r="L608" i="14" s="1"/>
  <c r="L612" i="14" s="1"/>
  <c r="D600" i="14"/>
  <c r="S599" i="14"/>
  <c r="S600" i="14" s="1"/>
  <c r="R599" i="14"/>
  <c r="O599" i="14"/>
  <c r="G599" i="14"/>
  <c r="F599" i="14"/>
  <c r="F600" i="14" s="1"/>
  <c r="E599" i="14"/>
  <c r="E600" i="14" s="1"/>
  <c r="Q597" i="14"/>
  <c r="N597" i="14"/>
  <c r="N602" i="14" s="1"/>
  <c r="M597" i="14"/>
  <c r="M602" i="14" s="1"/>
  <c r="L597" i="14"/>
  <c r="J597" i="14"/>
  <c r="D597" i="14"/>
  <c r="D602" i="14" s="1"/>
  <c r="D608" i="14" s="1"/>
  <c r="S596" i="14"/>
  <c r="R596" i="14"/>
  <c r="O596" i="14"/>
  <c r="P596" i="14" s="1"/>
  <c r="G596" i="14"/>
  <c r="I596" i="14" s="1"/>
  <c r="F596" i="14"/>
  <c r="E596" i="14"/>
  <c r="R595" i="14"/>
  <c r="S595" i="14" s="1"/>
  <c r="P595" i="14"/>
  <c r="O595" i="14"/>
  <c r="G595" i="14"/>
  <c r="F595" i="14"/>
  <c r="E595" i="14"/>
  <c r="R594" i="14"/>
  <c r="S594" i="14" s="1"/>
  <c r="P594" i="14"/>
  <c r="O594" i="14"/>
  <c r="G594" i="14"/>
  <c r="F594" i="14"/>
  <c r="E594" i="14"/>
  <c r="S593" i="14"/>
  <c r="R593" i="14"/>
  <c r="P593" i="14"/>
  <c r="O593" i="14"/>
  <c r="G593" i="14"/>
  <c r="F593" i="14"/>
  <c r="E593" i="14"/>
  <c r="S592" i="14"/>
  <c r="R592" i="14"/>
  <c r="P592" i="14"/>
  <c r="O592" i="14"/>
  <c r="G592" i="14"/>
  <c r="I592" i="14" s="1"/>
  <c r="F592" i="14"/>
  <c r="E592" i="14"/>
  <c r="R591" i="14"/>
  <c r="S591" i="14" s="1"/>
  <c r="P591" i="14"/>
  <c r="O591" i="14"/>
  <c r="G591" i="14"/>
  <c r="F591" i="14"/>
  <c r="E591" i="14"/>
  <c r="S590" i="14"/>
  <c r="R590" i="14"/>
  <c r="P590" i="14"/>
  <c r="O590" i="14"/>
  <c r="G590" i="14"/>
  <c r="F590" i="14"/>
  <c r="E590" i="14"/>
  <c r="S589" i="14"/>
  <c r="R589" i="14"/>
  <c r="O589" i="14"/>
  <c r="P589" i="14" s="1"/>
  <c r="G589" i="14"/>
  <c r="H589" i="14" s="1"/>
  <c r="F589" i="14"/>
  <c r="E589" i="14"/>
  <c r="S588" i="14"/>
  <c r="R588" i="14"/>
  <c r="P588" i="14"/>
  <c r="O588" i="14"/>
  <c r="G588" i="14"/>
  <c r="F588" i="14"/>
  <c r="E588" i="14"/>
  <c r="S587" i="14"/>
  <c r="R587" i="14"/>
  <c r="P587" i="14"/>
  <c r="O587" i="14"/>
  <c r="G587" i="14"/>
  <c r="F587" i="14"/>
  <c r="E587" i="14"/>
  <c r="R586" i="14"/>
  <c r="S586" i="14" s="1"/>
  <c r="P586" i="14"/>
  <c r="O586" i="14"/>
  <c r="G586" i="14"/>
  <c r="I586" i="14" s="1"/>
  <c r="F586" i="14"/>
  <c r="E586" i="14"/>
  <c r="S585" i="14"/>
  <c r="R585" i="14"/>
  <c r="P585" i="14"/>
  <c r="O585" i="14"/>
  <c r="G585" i="14"/>
  <c r="H585" i="14" s="1"/>
  <c r="F585" i="14"/>
  <c r="E585" i="14"/>
  <c r="S584" i="14"/>
  <c r="R584" i="14"/>
  <c r="P584" i="14"/>
  <c r="O584" i="14"/>
  <c r="G584" i="14"/>
  <c r="I584" i="14" s="1"/>
  <c r="F584" i="14"/>
  <c r="E584" i="14"/>
  <c r="S583" i="14"/>
  <c r="R583" i="14"/>
  <c r="O583" i="14"/>
  <c r="P583" i="14" s="1"/>
  <c r="G583" i="14"/>
  <c r="F583" i="14"/>
  <c r="E583" i="14"/>
  <c r="S582" i="14"/>
  <c r="O582" i="14"/>
  <c r="P582" i="14" s="1"/>
  <c r="G582" i="14"/>
  <c r="F582" i="14"/>
  <c r="E582" i="14"/>
  <c r="R581" i="14"/>
  <c r="S581" i="14" s="1"/>
  <c r="O581" i="14"/>
  <c r="P581" i="14" s="1"/>
  <c r="G581" i="14"/>
  <c r="F581" i="14"/>
  <c r="E581" i="14"/>
  <c r="S580" i="14"/>
  <c r="R580" i="14"/>
  <c r="P580" i="14"/>
  <c r="O580" i="14"/>
  <c r="G580" i="14"/>
  <c r="I580" i="14" s="1"/>
  <c r="F580" i="14"/>
  <c r="E580" i="14"/>
  <c r="R579" i="14"/>
  <c r="S579" i="14" s="1"/>
  <c r="O579" i="14"/>
  <c r="G579" i="14"/>
  <c r="F579" i="14"/>
  <c r="F597" i="14" s="1"/>
  <c r="F602" i="14" s="1"/>
  <c r="F608" i="14" s="1"/>
  <c r="E579" i="14"/>
  <c r="N527" i="14"/>
  <c r="R526" i="14"/>
  <c r="Q526" i="14"/>
  <c r="P526" i="14"/>
  <c r="O526" i="14"/>
  <c r="N526" i="14"/>
  <c r="M526" i="14"/>
  <c r="L526" i="14"/>
  <c r="Q524" i="14"/>
  <c r="N524" i="14"/>
  <c r="S522" i="14"/>
  <c r="R522" i="14"/>
  <c r="Q522" i="14"/>
  <c r="N522" i="14"/>
  <c r="M522" i="14"/>
  <c r="L522" i="14"/>
  <c r="J522" i="14"/>
  <c r="J524" i="14" s="1"/>
  <c r="D522" i="14"/>
  <c r="S521" i="14"/>
  <c r="R521" i="14"/>
  <c r="P521" i="14"/>
  <c r="P522" i="14" s="1"/>
  <c r="O521" i="14"/>
  <c r="O522" i="14" s="1"/>
  <c r="G521" i="14"/>
  <c r="F521" i="14"/>
  <c r="F522" i="14" s="1"/>
  <c r="E521" i="14"/>
  <c r="E522" i="14" s="1"/>
  <c r="S518" i="14"/>
  <c r="S524" i="14" s="1"/>
  <c r="Q518" i="14"/>
  <c r="N518" i="14"/>
  <c r="M518" i="14"/>
  <c r="M524" i="14" s="1"/>
  <c r="M527" i="14" s="1"/>
  <c r="L518" i="14"/>
  <c r="D518" i="14"/>
  <c r="D524" i="14" s="1"/>
  <c r="S517" i="14"/>
  <c r="R517" i="14"/>
  <c r="O517" i="14"/>
  <c r="P517" i="14" s="1"/>
  <c r="G517" i="14"/>
  <c r="F517" i="14"/>
  <c r="E517" i="14"/>
  <c r="S516" i="14"/>
  <c r="R516" i="14"/>
  <c r="O516" i="14"/>
  <c r="P516" i="14" s="1"/>
  <c r="G516" i="14"/>
  <c r="F516" i="14"/>
  <c r="E516" i="14"/>
  <c r="R515" i="14"/>
  <c r="S515" i="14" s="1"/>
  <c r="P515" i="14"/>
  <c r="O515" i="14"/>
  <c r="G515" i="14"/>
  <c r="I515" i="14" s="1"/>
  <c r="F515" i="14"/>
  <c r="E515" i="14"/>
  <c r="S514" i="14"/>
  <c r="R514" i="14"/>
  <c r="O514" i="14"/>
  <c r="P514" i="14" s="1"/>
  <c r="G514" i="14"/>
  <c r="I514" i="14" s="1"/>
  <c r="F514" i="14"/>
  <c r="E514" i="14"/>
  <c r="S513" i="14"/>
  <c r="R513" i="14"/>
  <c r="P513" i="14"/>
  <c r="O513" i="14"/>
  <c r="G513" i="14"/>
  <c r="I513" i="14" s="1"/>
  <c r="F513" i="14"/>
  <c r="E513" i="14"/>
  <c r="S512" i="14"/>
  <c r="R512" i="14"/>
  <c r="O512" i="14"/>
  <c r="P512" i="14" s="1"/>
  <c r="G512" i="14"/>
  <c r="F512" i="14"/>
  <c r="E512" i="14"/>
  <c r="S511" i="14"/>
  <c r="R511" i="14"/>
  <c r="P511" i="14"/>
  <c r="O511" i="14"/>
  <c r="G511" i="14"/>
  <c r="F511" i="14"/>
  <c r="E511" i="14"/>
  <c r="S510" i="14"/>
  <c r="R510" i="14"/>
  <c r="O510" i="14"/>
  <c r="P510" i="14" s="1"/>
  <c r="G510" i="14"/>
  <c r="H510" i="14" s="1"/>
  <c r="F510" i="14"/>
  <c r="E510" i="14"/>
  <c r="S509" i="14"/>
  <c r="R509" i="14"/>
  <c r="O509" i="14"/>
  <c r="P509" i="14" s="1"/>
  <c r="G509" i="14"/>
  <c r="I509" i="14" s="1"/>
  <c r="F509" i="14"/>
  <c r="E509" i="14"/>
  <c r="S508" i="14"/>
  <c r="R508" i="14"/>
  <c r="O508" i="14"/>
  <c r="P508" i="14" s="1"/>
  <c r="G508" i="14"/>
  <c r="F508" i="14"/>
  <c r="E508" i="14"/>
  <c r="S507" i="14"/>
  <c r="R507" i="14"/>
  <c r="R518" i="14" s="1"/>
  <c r="R524" i="14" s="1"/>
  <c r="R527" i="14" s="1"/>
  <c r="P507" i="14"/>
  <c r="O507" i="14"/>
  <c r="G507" i="14"/>
  <c r="I507" i="14" s="1"/>
  <c r="F507" i="14"/>
  <c r="F518" i="14" s="1"/>
  <c r="E507" i="14"/>
  <c r="L453" i="14"/>
  <c r="J449" i="14"/>
  <c r="D449" i="14"/>
  <c r="S447" i="14"/>
  <c r="R447" i="14"/>
  <c r="Q447" i="14"/>
  <c r="P447" i="14"/>
  <c r="O447" i="14"/>
  <c r="N447" i="14"/>
  <c r="N449" i="14" s="1"/>
  <c r="N453" i="14" s="1"/>
  <c r="M447" i="14"/>
  <c r="M449" i="14" s="1"/>
  <c r="M453" i="14" s="1"/>
  <c r="L447" i="14"/>
  <c r="D447" i="14"/>
  <c r="G446" i="14"/>
  <c r="F446" i="14"/>
  <c r="F447" i="14" s="1"/>
  <c r="E446" i="14"/>
  <c r="E447" i="14" s="1"/>
  <c r="Q443" i="14"/>
  <c r="O443" i="14"/>
  <c r="O449" i="14" s="1"/>
  <c r="O453" i="14" s="1"/>
  <c r="N443" i="14"/>
  <c r="M443" i="14"/>
  <c r="L443" i="14"/>
  <c r="L449" i="14" s="1"/>
  <c r="J443" i="14"/>
  <c r="D443" i="14"/>
  <c r="R442" i="14"/>
  <c r="S442" i="14" s="1"/>
  <c r="P442" i="14"/>
  <c r="O442" i="14"/>
  <c r="G442" i="14"/>
  <c r="I442" i="14" s="1"/>
  <c r="F442" i="14"/>
  <c r="E442" i="14"/>
  <c r="R441" i="14"/>
  <c r="S441" i="14" s="1"/>
  <c r="P441" i="14"/>
  <c r="P443" i="14" s="1"/>
  <c r="P449" i="14" s="1"/>
  <c r="P453" i="14" s="1"/>
  <c r="O441" i="14"/>
  <c r="G441" i="14"/>
  <c r="I441" i="14" s="1"/>
  <c r="F441" i="14"/>
  <c r="E441" i="14"/>
  <c r="R440" i="14"/>
  <c r="S440" i="14" s="1"/>
  <c r="P440" i="14"/>
  <c r="O440" i="14"/>
  <c r="G440" i="14"/>
  <c r="F440" i="14"/>
  <c r="E440" i="14"/>
  <c r="R439" i="14"/>
  <c r="P439" i="14"/>
  <c r="O439" i="14"/>
  <c r="G439" i="14"/>
  <c r="F439" i="14"/>
  <c r="E439" i="14"/>
  <c r="E443" i="14" s="1"/>
  <c r="R385" i="14"/>
  <c r="Q385" i="14"/>
  <c r="P385" i="14"/>
  <c r="O385" i="14"/>
  <c r="N385" i="14"/>
  <c r="M385" i="14"/>
  <c r="L385" i="14"/>
  <c r="J382" i="14"/>
  <c r="D382" i="14"/>
  <c r="Q380" i="14"/>
  <c r="N380" i="14"/>
  <c r="M380" i="14"/>
  <c r="L380" i="14"/>
  <c r="D380" i="14"/>
  <c r="S379" i="14"/>
  <c r="R379" i="14"/>
  <c r="P379" i="14"/>
  <c r="O379" i="14"/>
  <c r="G379" i="14"/>
  <c r="F379" i="14"/>
  <c r="E379" i="14"/>
  <c r="S378" i="14"/>
  <c r="R378" i="14"/>
  <c r="P378" i="14"/>
  <c r="O378" i="14"/>
  <c r="G378" i="14"/>
  <c r="F378" i="14"/>
  <c r="E378" i="14"/>
  <c r="S377" i="14"/>
  <c r="R377" i="14"/>
  <c r="P377" i="14"/>
  <c r="O377" i="14"/>
  <c r="G377" i="14"/>
  <c r="I377" i="14" s="1"/>
  <c r="F377" i="14"/>
  <c r="E377" i="14"/>
  <c r="R376" i="14"/>
  <c r="S376" i="14" s="1"/>
  <c r="P376" i="14"/>
  <c r="O376" i="14"/>
  <c r="G376" i="14"/>
  <c r="F376" i="14"/>
  <c r="E376" i="14"/>
  <c r="S375" i="14"/>
  <c r="R375" i="14"/>
  <c r="P375" i="14"/>
  <c r="O375" i="14"/>
  <c r="G375" i="14"/>
  <c r="H375" i="14" s="1"/>
  <c r="F375" i="14"/>
  <c r="E375" i="14"/>
  <c r="S374" i="14"/>
  <c r="R374" i="14"/>
  <c r="P374" i="14"/>
  <c r="O374" i="14"/>
  <c r="G374" i="14"/>
  <c r="I374" i="14" s="1"/>
  <c r="F374" i="14"/>
  <c r="E374" i="14"/>
  <c r="S373" i="14"/>
  <c r="R373" i="14"/>
  <c r="P373" i="14"/>
  <c r="O373" i="14"/>
  <c r="G373" i="14"/>
  <c r="F373" i="14"/>
  <c r="E373" i="14"/>
  <c r="S372" i="14"/>
  <c r="R372" i="14"/>
  <c r="P372" i="14"/>
  <c r="O372" i="14"/>
  <c r="G372" i="14"/>
  <c r="F372" i="14"/>
  <c r="E372" i="14"/>
  <c r="R371" i="14"/>
  <c r="S371" i="14" s="1"/>
  <c r="P371" i="14"/>
  <c r="O371" i="14"/>
  <c r="G371" i="14"/>
  <c r="F371" i="14"/>
  <c r="E371" i="14"/>
  <c r="S370" i="14"/>
  <c r="R370" i="14"/>
  <c r="P370" i="14"/>
  <c r="O370" i="14"/>
  <c r="G370" i="14"/>
  <c r="I370" i="14" s="1"/>
  <c r="F370" i="14"/>
  <c r="E370" i="14"/>
  <c r="S369" i="14"/>
  <c r="R369" i="14"/>
  <c r="P369" i="14"/>
  <c r="O369" i="14"/>
  <c r="G369" i="14"/>
  <c r="F369" i="14"/>
  <c r="E369" i="14"/>
  <c r="R368" i="14"/>
  <c r="S368" i="14" s="1"/>
  <c r="P368" i="14"/>
  <c r="O368" i="14"/>
  <c r="G368" i="14"/>
  <c r="F368" i="14"/>
  <c r="E368" i="14"/>
  <c r="S367" i="14"/>
  <c r="R367" i="14"/>
  <c r="P367" i="14"/>
  <c r="O367" i="14"/>
  <c r="G367" i="14"/>
  <c r="F367" i="14"/>
  <c r="E367" i="14"/>
  <c r="S366" i="14"/>
  <c r="R366" i="14"/>
  <c r="P366" i="14"/>
  <c r="O366" i="14"/>
  <c r="G366" i="14"/>
  <c r="H366" i="14" s="1"/>
  <c r="F366" i="14"/>
  <c r="E366" i="14"/>
  <c r="S365" i="14"/>
  <c r="R365" i="14"/>
  <c r="P365" i="14"/>
  <c r="O365" i="14"/>
  <c r="G365" i="14"/>
  <c r="H365" i="14" s="1"/>
  <c r="F365" i="14"/>
  <c r="E365" i="14"/>
  <c r="R360" i="14"/>
  <c r="Q360" i="14"/>
  <c r="N360" i="14"/>
  <c r="M360" i="14"/>
  <c r="M362" i="14" s="1"/>
  <c r="M382" i="14" s="1"/>
  <c r="M386" i="14" s="1"/>
  <c r="L360" i="14"/>
  <c r="J360" i="14"/>
  <c r="D360" i="14"/>
  <c r="R359" i="14"/>
  <c r="S359" i="14" s="1"/>
  <c r="P359" i="14"/>
  <c r="O359" i="14"/>
  <c r="O360" i="14" s="1"/>
  <c r="G359" i="14"/>
  <c r="F359" i="14"/>
  <c r="E359" i="14"/>
  <c r="R358" i="14"/>
  <c r="S358" i="14" s="1"/>
  <c r="S360" i="14" s="1"/>
  <c r="P358" i="14"/>
  <c r="P360" i="14" s="1"/>
  <c r="O358" i="14"/>
  <c r="G358" i="14"/>
  <c r="H358" i="14" s="1"/>
  <c r="F358" i="14"/>
  <c r="E358" i="14"/>
  <c r="Q356" i="14"/>
  <c r="N356" i="14"/>
  <c r="N362" i="14" s="1"/>
  <c r="N382" i="14" s="1"/>
  <c r="N386" i="14" s="1"/>
  <c r="M356" i="14"/>
  <c r="L356" i="14"/>
  <c r="J356" i="14"/>
  <c r="D356" i="14"/>
  <c r="D362" i="14" s="1"/>
  <c r="S355" i="14"/>
  <c r="R355" i="14"/>
  <c r="P355" i="14"/>
  <c r="O355" i="14"/>
  <c r="G355" i="14"/>
  <c r="H355" i="14" s="1"/>
  <c r="F355" i="14"/>
  <c r="E355" i="14"/>
  <c r="S354" i="14"/>
  <c r="R354" i="14"/>
  <c r="P354" i="14"/>
  <c r="O354" i="14"/>
  <c r="G354" i="14"/>
  <c r="I354" i="14" s="1"/>
  <c r="F354" i="14"/>
  <c r="E354" i="14"/>
  <c r="R353" i="14"/>
  <c r="S353" i="14" s="1"/>
  <c r="P353" i="14"/>
  <c r="O353" i="14"/>
  <c r="G353" i="14"/>
  <c r="F353" i="14"/>
  <c r="E353" i="14"/>
  <c r="R352" i="14"/>
  <c r="S352" i="14" s="1"/>
  <c r="P352" i="14"/>
  <c r="O352" i="14"/>
  <c r="G352" i="14"/>
  <c r="F352" i="14"/>
  <c r="E352" i="14"/>
  <c r="S351" i="14"/>
  <c r="R351" i="14"/>
  <c r="O351" i="14"/>
  <c r="P351" i="14" s="1"/>
  <c r="G351" i="14"/>
  <c r="H351" i="14" s="1"/>
  <c r="F351" i="14"/>
  <c r="E351" i="14"/>
  <c r="R350" i="14"/>
  <c r="S350" i="14" s="1"/>
  <c r="P350" i="14"/>
  <c r="O350" i="14"/>
  <c r="G350" i="14"/>
  <c r="F350" i="14"/>
  <c r="E350" i="14"/>
  <c r="R349" i="14"/>
  <c r="S349" i="14" s="1"/>
  <c r="P349" i="14"/>
  <c r="O349" i="14"/>
  <c r="G349" i="14"/>
  <c r="F349" i="14"/>
  <c r="E349" i="14"/>
  <c r="R348" i="14"/>
  <c r="S348" i="14" s="1"/>
  <c r="P348" i="14"/>
  <c r="O348" i="14"/>
  <c r="G348" i="14"/>
  <c r="I348" i="14" s="1"/>
  <c r="F348" i="14"/>
  <c r="E348" i="14"/>
  <c r="R347" i="14"/>
  <c r="S347" i="14" s="1"/>
  <c r="O347" i="14"/>
  <c r="P347" i="14" s="1"/>
  <c r="G347" i="14"/>
  <c r="F347" i="14"/>
  <c r="E347" i="14"/>
  <c r="R346" i="14"/>
  <c r="S346" i="14" s="1"/>
  <c r="P346" i="14"/>
  <c r="O346" i="14"/>
  <c r="G346" i="14"/>
  <c r="H346" i="14" s="1"/>
  <c r="F346" i="14"/>
  <c r="E346" i="14"/>
  <c r="R345" i="14"/>
  <c r="S345" i="14" s="1"/>
  <c r="P345" i="14"/>
  <c r="O345" i="14"/>
  <c r="G345" i="14"/>
  <c r="F345" i="14"/>
  <c r="E345" i="14"/>
  <c r="R344" i="14"/>
  <c r="S344" i="14" s="1"/>
  <c r="O344" i="14"/>
  <c r="P344" i="14" s="1"/>
  <c r="G344" i="14"/>
  <c r="F344" i="14"/>
  <c r="E344" i="14"/>
  <c r="R343" i="14"/>
  <c r="S343" i="14" s="1"/>
  <c r="O343" i="14"/>
  <c r="P343" i="14" s="1"/>
  <c r="G343" i="14"/>
  <c r="H343" i="14" s="1"/>
  <c r="F343" i="14"/>
  <c r="E343" i="14"/>
  <c r="S342" i="14"/>
  <c r="R342" i="14"/>
  <c r="P342" i="14"/>
  <c r="O342" i="14"/>
  <c r="G342" i="14"/>
  <c r="H342" i="14" s="1"/>
  <c r="F342" i="14"/>
  <c r="E342" i="14"/>
  <c r="S341" i="14"/>
  <c r="R341" i="14"/>
  <c r="P341" i="14"/>
  <c r="O341" i="14"/>
  <c r="G341" i="14"/>
  <c r="I341" i="14" s="1"/>
  <c r="F341" i="14"/>
  <c r="E341" i="14"/>
  <c r="R340" i="14"/>
  <c r="S340" i="14" s="1"/>
  <c r="P340" i="14"/>
  <c r="O340" i="14"/>
  <c r="G340" i="14"/>
  <c r="H340" i="14" s="1"/>
  <c r="F340" i="14"/>
  <c r="E340" i="14"/>
  <c r="S339" i="14"/>
  <c r="R339" i="14"/>
  <c r="O339" i="14"/>
  <c r="P339" i="14" s="1"/>
  <c r="G339" i="14"/>
  <c r="F339" i="14"/>
  <c r="E339" i="14"/>
  <c r="R338" i="14"/>
  <c r="S338" i="14" s="1"/>
  <c r="P338" i="14"/>
  <c r="O338" i="14"/>
  <c r="G338" i="14"/>
  <c r="H338" i="14" s="1"/>
  <c r="F338" i="14"/>
  <c r="E338" i="14"/>
  <c r="R337" i="14"/>
  <c r="S337" i="14" s="1"/>
  <c r="O337" i="14"/>
  <c r="P337" i="14" s="1"/>
  <c r="G337" i="14"/>
  <c r="F337" i="14"/>
  <c r="E337" i="14"/>
  <c r="R336" i="14"/>
  <c r="S336" i="14" s="1"/>
  <c r="P336" i="14"/>
  <c r="O336" i="14"/>
  <c r="G336" i="14"/>
  <c r="I336" i="14" s="1"/>
  <c r="F336" i="14"/>
  <c r="E336" i="14"/>
  <c r="R335" i="14"/>
  <c r="S335" i="14" s="1"/>
  <c r="P335" i="14"/>
  <c r="O335" i="14"/>
  <c r="G335" i="14"/>
  <c r="H335" i="14" s="1"/>
  <c r="F335" i="14"/>
  <c r="E335" i="14"/>
  <c r="R334" i="14"/>
  <c r="S334" i="14" s="1"/>
  <c r="O334" i="14"/>
  <c r="P334" i="14" s="1"/>
  <c r="G334" i="14"/>
  <c r="F334" i="14"/>
  <c r="E334" i="14"/>
  <c r="S333" i="14"/>
  <c r="R333" i="14"/>
  <c r="O333" i="14"/>
  <c r="P333" i="14" s="1"/>
  <c r="H333" i="14"/>
  <c r="G333" i="14"/>
  <c r="I333" i="14" s="1"/>
  <c r="F333" i="14"/>
  <c r="E333" i="14"/>
  <c r="R332" i="14"/>
  <c r="S332" i="14" s="1"/>
  <c r="P332" i="14"/>
  <c r="O332" i="14"/>
  <c r="G332" i="14"/>
  <c r="H332" i="14" s="1"/>
  <c r="F332" i="14"/>
  <c r="E332" i="14"/>
  <c r="S331" i="14"/>
  <c r="R331" i="14"/>
  <c r="O331" i="14"/>
  <c r="P331" i="14" s="1"/>
  <c r="G331" i="14"/>
  <c r="F331" i="14"/>
  <c r="E331" i="14"/>
  <c r="S330" i="14"/>
  <c r="R330" i="14"/>
  <c r="P330" i="14"/>
  <c r="O330" i="14"/>
  <c r="G330" i="14"/>
  <c r="F330" i="14"/>
  <c r="E330" i="14"/>
  <c r="N277" i="14"/>
  <c r="R276" i="14"/>
  <c r="Q276" i="14"/>
  <c r="P276" i="14"/>
  <c r="O276" i="14"/>
  <c r="N276" i="14"/>
  <c r="M276" i="14"/>
  <c r="L276" i="14"/>
  <c r="N273" i="14"/>
  <c r="S271" i="14"/>
  <c r="R271" i="14"/>
  <c r="B16" i="1" s="1"/>
  <c r="Q271" i="14"/>
  <c r="N271" i="14"/>
  <c r="M271" i="14"/>
  <c r="L271" i="14"/>
  <c r="J271" i="14"/>
  <c r="D271" i="14"/>
  <c r="S270" i="14"/>
  <c r="R270" i="14"/>
  <c r="O270" i="14"/>
  <c r="G270" i="14"/>
  <c r="F270" i="14"/>
  <c r="F271" i="14" s="1"/>
  <c r="E270" i="14"/>
  <c r="E271" i="14" s="1"/>
  <c r="R267" i="14"/>
  <c r="Q267" i="14"/>
  <c r="N267" i="14"/>
  <c r="M267" i="14"/>
  <c r="L267" i="14"/>
  <c r="J267" i="14"/>
  <c r="D267" i="14"/>
  <c r="D273" i="14" s="1"/>
  <c r="S266" i="14"/>
  <c r="R266" i="14"/>
  <c r="P266" i="14"/>
  <c r="O266" i="14"/>
  <c r="G266" i="14"/>
  <c r="F266" i="14"/>
  <c r="E266" i="14"/>
  <c r="R265" i="14"/>
  <c r="S265" i="14" s="1"/>
  <c r="P265" i="14"/>
  <c r="O265" i="14"/>
  <c r="G265" i="14"/>
  <c r="F265" i="14"/>
  <c r="E265" i="14"/>
  <c r="S264" i="14"/>
  <c r="R264" i="14"/>
  <c r="P264" i="14"/>
  <c r="O264" i="14"/>
  <c r="G264" i="14"/>
  <c r="I264" i="14" s="1"/>
  <c r="F264" i="14"/>
  <c r="E264" i="14"/>
  <c r="R263" i="14"/>
  <c r="S263" i="14" s="1"/>
  <c r="P263" i="14"/>
  <c r="O263" i="14"/>
  <c r="G263" i="14"/>
  <c r="F263" i="14"/>
  <c r="E263" i="14"/>
  <c r="S262" i="14"/>
  <c r="R262" i="14"/>
  <c r="P262" i="14"/>
  <c r="O262" i="14"/>
  <c r="G262" i="14"/>
  <c r="H262" i="14" s="1"/>
  <c r="F262" i="14"/>
  <c r="E262" i="14"/>
  <c r="R261" i="14"/>
  <c r="S261" i="14" s="1"/>
  <c r="S267" i="14" s="1"/>
  <c r="S273" i="14" s="1"/>
  <c r="P261" i="14"/>
  <c r="P267" i="14" s="1"/>
  <c r="O261" i="14"/>
  <c r="O267" i="14" s="1"/>
  <c r="G261" i="14"/>
  <c r="F261" i="14"/>
  <c r="E261" i="14"/>
  <c r="E267" i="14" s="1"/>
  <c r="R209" i="14"/>
  <c r="Q209" i="14"/>
  <c r="P209" i="14"/>
  <c r="O209" i="14"/>
  <c r="N209" i="14"/>
  <c r="M209" i="14"/>
  <c r="L209" i="14"/>
  <c r="J206" i="14"/>
  <c r="R204" i="14"/>
  <c r="Q204" i="14"/>
  <c r="N204" i="14"/>
  <c r="M204" i="14"/>
  <c r="L204" i="14"/>
  <c r="D204" i="14"/>
  <c r="R203" i="14"/>
  <c r="S203" i="14" s="1"/>
  <c r="P203" i="14"/>
  <c r="O203" i="14"/>
  <c r="G203" i="14"/>
  <c r="I203" i="14" s="1"/>
  <c r="F203" i="14"/>
  <c r="E203" i="14"/>
  <c r="S202" i="14"/>
  <c r="R202" i="14"/>
  <c r="P202" i="14"/>
  <c r="O202" i="14"/>
  <c r="G202" i="14"/>
  <c r="F202" i="14"/>
  <c r="E202" i="14"/>
  <c r="R201" i="14"/>
  <c r="S201" i="14" s="1"/>
  <c r="S204" i="14" s="1"/>
  <c r="P201" i="14"/>
  <c r="P204" i="14" s="1"/>
  <c r="O201" i="14"/>
  <c r="O204" i="14" s="1"/>
  <c r="G201" i="14"/>
  <c r="I201" i="14" s="1"/>
  <c r="F201" i="14"/>
  <c r="E201" i="14"/>
  <c r="Q198" i="14"/>
  <c r="M198" i="14"/>
  <c r="M206" i="14" s="1"/>
  <c r="M210" i="14" s="1"/>
  <c r="L198" i="14"/>
  <c r="L206" i="14" s="1"/>
  <c r="L210" i="14" s="1"/>
  <c r="J198" i="14"/>
  <c r="Q196" i="14"/>
  <c r="O196" i="14"/>
  <c r="N196" i="14"/>
  <c r="N198" i="14" s="1"/>
  <c r="N206" i="14" s="1"/>
  <c r="N210" i="14" s="1"/>
  <c r="M196" i="14"/>
  <c r="L196" i="14"/>
  <c r="J196" i="14"/>
  <c r="D196" i="14"/>
  <c r="R195" i="14"/>
  <c r="S195" i="14" s="1"/>
  <c r="P195" i="14"/>
  <c r="P196" i="14" s="1"/>
  <c r="G195" i="14"/>
  <c r="F195" i="14"/>
  <c r="E195" i="14"/>
  <c r="R194" i="14"/>
  <c r="P194" i="14"/>
  <c r="G194" i="14"/>
  <c r="F194" i="14"/>
  <c r="E194" i="14"/>
  <c r="Q192" i="14"/>
  <c r="N192" i="14"/>
  <c r="M192" i="14"/>
  <c r="L192" i="14"/>
  <c r="J192" i="14"/>
  <c r="D192" i="14"/>
  <c r="S191" i="14"/>
  <c r="R191" i="14"/>
  <c r="O191" i="14"/>
  <c r="P191" i="14" s="1"/>
  <c r="G191" i="14"/>
  <c r="H191" i="14" s="1"/>
  <c r="F191" i="14"/>
  <c r="E191" i="14"/>
  <c r="R190" i="14"/>
  <c r="S190" i="14" s="1"/>
  <c r="O190" i="14"/>
  <c r="P190" i="14" s="1"/>
  <c r="G190" i="14"/>
  <c r="F190" i="14"/>
  <c r="E190" i="14"/>
  <c r="S189" i="14"/>
  <c r="R189" i="14"/>
  <c r="O189" i="14"/>
  <c r="P189" i="14" s="1"/>
  <c r="G189" i="14"/>
  <c r="F189" i="14"/>
  <c r="E189" i="14"/>
  <c r="S188" i="14"/>
  <c r="R188" i="14"/>
  <c r="P188" i="14"/>
  <c r="O188" i="14"/>
  <c r="G188" i="14"/>
  <c r="H188" i="14" s="1"/>
  <c r="F188" i="14"/>
  <c r="E188" i="14"/>
  <c r="R187" i="14"/>
  <c r="S187" i="14" s="1"/>
  <c r="P187" i="14"/>
  <c r="O187" i="14"/>
  <c r="G187" i="14"/>
  <c r="H187" i="14" s="1"/>
  <c r="F187" i="14"/>
  <c r="E187" i="14"/>
  <c r="R186" i="14"/>
  <c r="S186" i="14" s="1"/>
  <c r="P186" i="14"/>
  <c r="O186" i="14"/>
  <c r="G186" i="14"/>
  <c r="F186" i="14"/>
  <c r="E186" i="14"/>
  <c r="R185" i="14"/>
  <c r="S185" i="14" s="1"/>
  <c r="P185" i="14"/>
  <c r="O185" i="14"/>
  <c r="G185" i="14"/>
  <c r="F185" i="14"/>
  <c r="E185" i="14"/>
  <c r="R184" i="14"/>
  <c r="S184" i="14" s="1"/>
  <c r="P184" i="14"/>
  <c r="O184" i="14"/>
  <c r="G184" i="14"/>
  <c r="H184" i="14" s="1"/>
  <c r="F184" i="14"/>
  <c r="E184" i="14"/>
  <c r="R183" i="14"/>
  <c r="S183" i="14" s="1"/>
  <c r="O183" i="14"/>
  <c r="P183" i="14" s="1"/>
  <c r="G183" i="14"/>
  <c r="F183" i="14"/>
  <c r="E183" i="14"/>
  <c r="R182" i="14"/>
  <c r="S182" i="14" s="1"/>
  <c r="P182" i="14"/>
  <c r="O182" i="14"/>
  <c r="G182" i="14"/>
  <c r="H182" i="14" s="1"/>
  <c r="F182" i="14"/>
  <c r="E182" i="14"/>
  <c r="S181" i="14"/>
  <c r="R181" i="14"/>
  <c r="P181" i="14"/>
  <c r="O181" i="14"/>
  <c r="G181" i="14"/>
  <c r="I181" i="14" s="1"/>
  <c r="F181" i="14"/>
  <c r="E181" i="14"/>
  <c r="R180" i="14"/>
  <c r="P180" i="14"/>
  <c r="O180" i="14"/>
  <c r="G180" i="14"/>
  <c r="F180" i="14"/>
  <c r="E180" i="14"/>
  <c r="S179" i="14"/>
  <c r="R179" i="14"/>
  <c r="O179" i="14"/>
  <c r="G179" i="14"/>
  <c r="F179" i="14"/>
  <c r="E179" i="14"/>
  <c r="R178" i="14"/>
  <c r="S178" i="14" s="1"/>
  <c r="P178" i="14"/>
  <c r="O178" i="14"/>
  <c r="G178" i="14"/>
  <c r="I178" i="14" s="1"/>
  <c r="F178" i="14"/>
  <c r="E178" i="14"/>
  <c r="E192" i="14" s="1"/>
  <c r="R120" i="14"/>
  <c r="Q120" i="14"/>
  <c r="P120" i="14"/>
  <c r="O120" i="14"/>
  <c r="N120" i="14"/>
  <c r="M120" i="14"/>
  <c r="L120" i="14"/>
  <c r="J117" i="14"/>
  <c r="S115" i="14"/>
  <c r="R115" i="14"/>
  <c r="B14" i="1" s="1"/>
  <c r="Q115" i="14"/>
  <c r="N115" i="14"/>
  <c r="M115" i="14"/>
  <c r="L115" i="14"/>
  <c r="D115" i="14"/>
  <c r="S114" i="14"/>
  <c r="R114" i="14"/>
  <c r="P114" i="14"/>
  <c r="O114" i="14"/>
  <c r="G114" i="14"/>
  <c r="F114" i="14"/>
  <c r="E114" i="14"/>
  <c r="R113" i="14"/>
  <c r="S113" i="14" s="1"/>
  <c r="P113" i="14"/>
  <c r="O113" i="14"/>
  <c r="G113" i="14"/>
  <c r="H113" i="14" s="1"/>
  <c r="F113" i="14"/>
  <c r="E113" i="14"/>
  <c r="S112" i="14"/>
  <c r="R112" i="14"/>
  <c r="O112" i="14"/>
  <c r="P112" i="14" s="1"/>
  <c r="P115" i="14" s="1"/>
  <c r="G112" i="14"/>
  <c r="F112" i="14"/>
  <c r="E112" i="14"/>
  <c r="E115" i="14" s="1"/>
  <c r="Q109" i="14"/>
  <c r="J109" i="14"/>
  <c r="D109" i="14"/>
  <c r="D117" i="14" s="1"/>
  <c r="Q107" i="14"/>
  <c r="N107" i="14"/>
  <c r="M107" i="14"/>
  <c r="L107" i="14"/>
  <c r="J107" i="14"/>
  <c r="D107" i="14"/>
  <c r="S106" i="14"/>
  <c r="R106" i="14"/>
  <c r="P106" i="14"/>
  <c r="O106" i="14"/>
  <c r="G106" i="14"/>
  <c r="H106" i="14" s="1"/>
  <c r="F106" i="14"/>
  <c r="E106" i="14"/>
  <c r="S105" i="14"/>
  <c r="R105" i="14"/>
  <c r="P105" i="14"/>
  <c r="O105" i="14"/>
  <c r="G105" i="14"/>
  <c r="G107" i="14" s="1"/>
  <c r="F105" i="14"/>
  <c r="F107" i="14" s="1"/>
  <c r="E105" i="14"/>
  <c r="R104" i="14"/>
  <c r="P104" i="14"/>
  <c r="P107" i="14" s="1"/>
  <c r="O104" i="14"/>
  <c r="I104" i="14"/>
  <c r="H104" i="14"/>
  <c r="Q101" i="14"/>
  <c r="N101" i="14"/>
  <c r="M101" i="14"/>
  <c r="M109" i="14" s="1"/>
  <c r="M117" i="14" s="1"/>
  <c r="M121" i="14" s="1"/>
  <c r="L101" i="14"/>
  <c r="L109" i="14" s="1"/>
  <c r="L117" i="14" s="1"/>
  <c r="L121" i="14" s="1"/>
  <c r="J101" i="14"/>
  <c r="D101" i="14"/>
  <c r="S100" i="14"/>
  <c r="P100" i="14"/>
  <c r="G100" i="14"/>
  <c r="H100" i="14" s="1"/>
  <c r="F100" i="14"/>
  <c r="E100" i="14"/>
  <c r="R99" i="14"/>
  <c r="S99" i="14" s="1"/>
  <c r="P99" i="14"/>
  <c r="O99" i="14"/>
  <c r="G99" i="14"/>
  <c r="F99" i="14"/>
  <c r="E99" i="14"/>
  <c r="S98" i="14"/>
  <c r="R98" i="14"/>
  <c r="P98" i="14"/>
  <c r="O98" i="14"/>
  <c r="G98" i="14"/>
  <c r="F98" i="14"/>
  <c r="E98" i="14"/>
  <c r="S97" i="14"/>
  <c r="R97" i="14"/>
  <c r="P97" i="14"/>
  <c r="O97" i="14"/>
  <c r="G97" i="14"/>
  <c r="I97" i="14" s="1"/>
  <c r="F97" i="14"/>
  <c r="E97" i="14"/>
  <c r="R96" i="14"/>
  <c r="S96" i="14" s="1"/>
  <c r="P96" i="14"/>
  <c r="O96" i="14"/>
  <c r="G96" i="14"/>
  <c r="F96" i="14"/>
  <c r="E96" i="14"/>
  <c r="R95" i="14"/>
  <c r="S95" i="14" s="1"/>
  <c r="O95" i="14"/>
  <c r="P95" i="14" s="1"/>
  <c r="G95" i="14"/>
  <c r="H95" i="14" s="1"/>
  <c r="F95" i="14"/>
  <c r="E95" i="14"/>
  <c r="S94" i="14"/>
  <c r="R94" i="14"/>
  <c r="P94" i="14"/>
  <c r="O94" i="14"/>
  <c r="G94" i="14"/>
  <c r="F94" i="14"/>
  <c r="E94" i="14"/>
  <c r="S93" i="14"/>
  <c r="R93" i="14"/>
  <c r="P93" i="14"/>
  <c r="O93" i="14"/>
  <c r="G93" i="14"/>
  <c r="I93" i="14" s="1"/>
  <c r="F93" i="14"/>
  <c r="E93" i="14"/>
  <c r="S92" i="14"/>
  <c r="R92" i="14"/>
  <c r="O92" i="14"/>
  <c r="P92" i="14" s="1"/>
  <c r="I92" i="14"/>
  <c r="G92" i="14"/>
  <c r="H92" i="14" s="1"/>
  <c r="F92" i="14"/>
  <c r="E92" i="14"/>
  <c r="R91" i="14"/>
  <c r="S91" i="14" s="1"/>
  <c r="P91" i="14"/>
  <c r="O91" i="14"/>
  <c r="G91" i="14"/>
  <c r="I91" i="14" s="1"/>
  <c r="F91" i="14"/>
  <c r="E91" i="14"/>
  <c r="S90" i="14"/>
  <c r="R90" i="14"/>
  <c r="P90" i="14"/>
  <c r="O90" i="14"/>
  <c r="G90" i="14"/>
  <c r="I90" i="14" s="1"/>
  <c r="F90" i="14"/>
  <c r="E90" i="14"/>
  <c r="S89" i="14"/>
  <c r="R89" i="14"/>
  <c r="P89" i="14"/>
  <c r="O89" i="14"/>
  <c r="I89" i="14"/>
  <c r="G89" i="14"/>
  <c r="H89" i="14" s="1"/>
  <c r="F89" i="14"/>
  <c r="E89" i="14"/>
  <c r="R88" i="14"/>
  <c r="S88" i="14" s="1"/>
  <c r="P88" i="14"/>
  <c r="O88" i="14"/>
  <c r="G88" i="14"/>
  <c r="I88" i="14" s="1"/>
  <c r="F88" i="14"/>
  <c r="E88" i="14"/>
  <c r="R87" i="14"/>
  <c r="S87" i="14" s="1"/>
  <c r="O87" i="14"/>
  <c r="P87" i="14" s="1"/>
  <c r="G87" i="14"/>
  <c r="F87" i="14"/>
  <c r="E87" i="14"/>
  <c r="S86" i="14"/>
  <c r="R86" i="14"/>
  <c r="P86" i="14"/>
  <c r="O86" i="14"/>
  <c r="G86" i="14"/>
  <c r="I86" i="14" s="1"/>
  <c r="F86" i="14"/>
  <c r="E86" i="14"/>
  <c r="R85" i="14"/>
  <c r="S85" i="14" s="1"/>
  <c r="O85" i="14"/>
  <c r="P85" i="14" s="1"/>
  <c r="G85" i="14"/>
  <c r="F85" i="14"/>
  <c r="E85" i="14"/>
  <c r="R84" i="14"/>
  <c r="S84" i="14" s="1"/>
  <c r="P84" i="14"/>
  <c r="O84" i="14"/>
  <c r="G84" i="14"/>
  <c r="I84" i="14" s="1"/>
  <c r="F84" i="14"/>
  <c r="E84" i="14"/>
  <c r="R83" i="14"/>
  <c r="S83" i="14" s="1"/>
  <c r="P83" i="14"/>
  <c r="O83" i="14"/>
  <c r="G83" i="14"/>
  <c r="F83" i="14"/>
  <c r="E83" i="14"/>
  <c r="S82" i="14"/>
  <c r="R82" i="14"/>
  <c r="P82" i="14"/>
  <c r="O82" i="14"/>
  <c r="G82" i="14"/>
  <c r="I82" i="14" s="1"/>
  <c r="F82" i="14"/>
  <c r="E82" i="14"/>
  <c r="S81" i="14"/>
  <c r="R81" i="14"/>
  <c r="O81" i="14"/>
  <c r="P81" i="14" s="1"/>
  <c r="G81" i="14"/>
  <c r="I81" i="14" s="1"/>
  <c r="F81" i="14"/>
  <c r="E81" i="14"/>
  <c r="R80" i="14"/>
  <c r="S80" i="14" s="1"/>
  <c r="O80" i="14"/>
  <c r="G80" i="14"/>
  <c r="F80" i="14"/>
  <c r="E80" i="14"/>
  <c r="R79" i="14"/>
  <c r="S79" i="14" s="1"/>
  <c r="O79" i="14"/>
  <c r="P79" i="14" s="1"/>
  <c r="G79" i="14"/>
  <c r="F79" i="14"/>
  <c r="E79" i="14"/>
  <c r="R78" i="14"/>
  <c r="P78" i="14"/>
  <c r="O78" i="14"/>
  <c r="G78" i="14"/>
  <c r="H78" i="14" s="1"/>
  <c r="F78" i="14"/>
  <c r="E78" i="14"/>
  <c r="R21" i="14"/>
  <c r="Q21" i="14"/>
  <c r="P21" i="14"/>
  <c r="O21" i="14"/>
  <c r="N21" i="14"/>
  <c r="M21" i="14"/>
  <c r="L21" i="14"/>
  <c r="S16" i="14"/>
  <c r="R16" i="14"/>
  <c r="Q16" i="14"/>
  <c r="P16" i="14"/>
  <c r="O16" i="14"/>
  <c r="N16" i="14"/>
  <c r="M16" i="14"/>
  <c r="M18" i="14" s="1"/>
  <c r="M22" i="14" s="1"/>
  <c r="L16" i="14"/>
  <c r="L18" i="14" s="1"/>
  <c r="L22" i="14" s="1"/>
  <c r="G16" i="14"/>
  <c r="H16" i="14" s="1"/>
  <c r="D16" i="14"/>
  <c r="G15" i="14"/>
  <c r="F15" i="14"/>
  <c r="F16" i="14" s="1"/>
  <c r="E15" i="14"/>
  <c r="E16" i="14" s="1"/>
  <c r="Q12" i="14"/>
  <c r="N12" i="14"/>
  <c r="M12" i="14"/>
  <c r="L12" i="14"/>
  <c r="J12" i="14"/>
  <c r="G12" i="14"/>
  <c r="D12" i="14"/>
  <c r="S11" i="14"/>
  <c r="R11" i="14"/>
  <c r="P11" i="14"/>
  <c r="O11" i="14"/>
  <c r="G11" i="14"/>
  <c r="F11" i="14"/>
  <c r="E11" i="14"/>
  <c r="R10" i="14"/>
  <c r="S10" i="14" s="1"/>
  <c r="P10" i="14"/>
  <c r="O10" i="14"/>
  <c r="G10" i="14"/>
  <c r="I10" i="14" s="1"/>
  <c r="F10" i="14"/>
  <c r="E10" i="14"/>
  <c r="R9" i="14"/>
  <c r="S9" i="14" s="1"/>
  <c r="P9" i="14"/>
  <c r="O9" i="14"/>
  <c r="G9" i="14"/>
  <c r="F9" i="14"/>
  <c r="E9" i="14"/>
  <c r="S8" i="14"/>
  <c r="R8" i="14"/>
  <c r="P8" i="14"/>
  <c r="O8" i="14"/>
  <c r="G8" i="14"/>
  <c r="H8" i="14" s="1"/>
  <c r="F8" i="14"/>
  <c r="E8" i="14"/>
  <c r="R7" i="14"/>
  <c r="S7" i="14" s="1"/>
  <c r="P7" i="14"/>
  <c r="O7" i="14"/>
  <c r="G7" i="14"/>
  <c r="F7" i="14"/>
  <c r="E7" i="14"/>
  <c r="S6" i="14"/>
  <c r="R6" i="14"/>
  <c r="O6" i="14"/>
  <c r="P6" i="14" s="1"/>
  <c r="G6" i="14"/>
  <c r="F6" i="14"/>
  <c r="E6" i="14"/>
  <c r="R5" i="14"/>
  <c r="S5" i="14" s="1"/>
  <c r="O5" i="14"/>
  <c r="P5" i="14" s="1"/>
  <c r="G5" i="14"/>
  <c r="F5" i="14"/>
  <c r="E5" i="14"/>
  <c r="S4" i="14"/>
  <c r="R4" i="14"/>
  <c r="O4" i="14"/>
  <c r="P4" i="14" s="1"/>
  <c r="G4" i="14"/>
  <c r="I4" i="14" s="1"/>
  <c r="F4" i="14"/>
  <c r="E4" i="14"/>
  <c r="R3" i="14"/>
  <c r="P3" i="14"/>
  <c r="O3" i="14"/>
  <c r="G3" i="14"/>
  <c r="F3" i="14"/>
  <c r="E3" i="14"/>
  <c r="O33" i="13"/>
  <c r="N33" i="13"/>
  <c r="M33" i="13"/>
  <c r="J33" i="13"/>
  <c r="S31" i="13"/>
  <c r="R31" i="13"/>
  <c r="R33" i="13" s="1"/>
  <c r="Q31" i="13"/>
  <c r="Q33" i="13" s="1"/>
  <c r="O31" i="13"/>
  <c r="N31" i="13"/>
  <c r="M31" i="13"/>
  <c r="L31" i="13"/>
  <c r="J31" i="13"/>
  <c r="D31" i="13"/>
  <c r="D33" i="13" s="1"/>
  <c r="S30" i="13"/>
  <c r="P30" i="13"/>
  <c r="G30" i="13"/>
  <c r="I30" i="13" s="1"/>
  <c r="F30" i="13"/>
  <c r="E30" i="13"/>
  <c r="S29" i="13"/>
  <c r="P29" i="13"/>
  <c r="G29" i="13"/>
  <c r="F29" i="13"/>
  <c r="E29" i="13"/>
  <c r="S28" i="13"/>
  <c r="P28" i="13"/>
  <c r="P31" i="13" s="1"/>
  <c r="P33" i="13" s="1"/>
  <c r="G28" i="13"/>
  <c r="I28" i="13" s="1"/>
  <c r="F28" i="13"/>
  <c r="E28" i="13"/>
  <c r="R25" i="13"/>
  <c r="S36" i="13" s="1"/>
  <c r="Q25" i="13"/>
  <c r="O25" i="13"/>
  <c r="P36" i="13" s="1"/>
  <c r="N25" i="13"/>
  <c r="O36" i="13" s="1"/>
  <c r="M25" i="13"/>
  <c r="N36" i="13" s="1"/>
  <c r="L25" i="13"/>
  <c r="M36" i="13" s="1"/>
  <c r="J25" i="13"/>
  <c r="D25" i="13"/>
  <c r="S24" i="13"/>
  <c r="P24" i="13"/>
  <c r="G24" i="13"/>
  <c r="F24" i="13"/>
  <c r="E24" i="13"/>
  <c r="S23" i="13"/>
  <c r="P23" i="13"/>
  <c r="G23" i="13"/>
  <c r="H23" i="13" s="1"/>
  <c r="F23" i="13"/>
  <c r="E23" i="13"/>
  <c r="S22" i="13"/>
  <c r="P22" i="13"/>
  <c r="G22" i="13"/>
  <c r="F22" i="13"/>
  <c r="E22" i="13"/>
  <c r="S21" i="13"/>
  <c r="P21" i="13"/>
  <c r="G21" i="13"/>
  <c r="F21" i="13"/>
  <c r="E21" i="13"/>
  <c r="S20" i="13"/>
  <c r="P20" i="13"/>
  <c r="G20" i="13"/>
  <c r="F20" i="13"/>
  <c r="E20" i="13"/>
  <c r="S19" i="13"/>
  <c r="P19" i="13"/>
  <c r="G19" i="13"/>
  <c r="F19" i="13"/>
  <c r="E19" i="13"/>
  <c r="S18" i="13"/>
  <c r="P18" i="13"/>
  <c r="I18" i="13"/>
  <c r="G18" i="13"/>
  <c r="H18" i="13" s="1"/>
  <c r="F18" i="13"/>
  <c r="E18" i="13"/>
  <c r="S17" i="13"/>
  <c r="P17" i="13"/>
  <c r="G17" i="13"/>
  <c r="F17" i="13"/>
  <c r="E17" i="13"/>
  <c r="S16" i="13"/>
  <c r="P16" i="13"/>
  <c r="G16" i="13"/>
  <c r="F16" i="13"/>
  <c r="E16" i="13"/>
  <c r="S15" i="13"/>
  <c r="P15" i="13"/>
  <c r="G15" i="13"/>
  <c r="H15" i="13" s="1"/>
  <c r="F15" i="13"/>
  <c r="E15" i="13"/>
  <c r="S14" i="13"/>
  <c r="P14" i="13"/>
  <c r="G14" i="13"/>
  <c r="H14" i="13" s="1"/>
  <c r="F14" i="13"/>
  <c r="E14" i="13"/>
  <c r="S13" i="13"/>
  <c r="P13" i="13"/>
  <c r="G13" i="13"/>
  <c r="I13" i="13" s="1"/>
  <c r="F13" i="13"/>
  <c r="E13" i="13"/>
  <c r="S12" i="13"/>
  <c r="P12" i="13"/>
  <c r="G12" i="13"/>
  <c r="F12" i="13"/>
  <c r="E12" i="13"/>
  <c r="S11" i="13"/>
  <c r="P11" i="13"/>
  <c r="P25" i="13" s="1"/>
  <c r="Q36" i="13" s="1"/>
  <c r="G11" i="13"/>
  <c r="H11" i="13" s="1"/>
  <c r="F11" i="13"/>
  <c r="E11" i="13"/>
  <c r="S10" i="13"/>
  <c r="P10" i="13"/>
  <c r="G10" i="13"/>
  <c r="F10" i="13"/>
  <c r="E10" i="13"/>
  <c r="S9" i="13"/>
  <c r="P9" i="13"/>
  <c r="G9" i="13"/>
  <c r="F9" i="13"/>
  <c r="E9" i="13"/>
  <c r="S8" i="13"/>
  <c r="P8" i="13"/>
  <c r="G8" i="13"/>
  <c r="F8" i="13"/>
  <c r="E8" i="13"/>
  <c r="S7" i="13"/>
  <c r="P7" i="13"/>
  <c r="G7" i="13"/>
  <c r="F7" i="13"/>
  <c r="E7" i="13"/>
  <c r="S6" i="13"/>
  <c r="P6" i="13"/>
  <c r="G6" i="13"/>
  <c r="F6" i="13"/>
  <c r="E6" i="13"/>
  <c r="J98" i="11"/>
  <c r="R96" i="11"/>
  <c r="Q96" i="11"/>
  <c r="N96" i="11"/>
  <c r="M96" i="11"/>
  <c r="L96" i="11"/>
  <c r="J96" i="11"/>
  <c r="D96" i="11"/>
  <c r="S95" i="11"/>
  <c r="P95" i="11"/>
  <c r="O95" i="11"/>
  <c r="O96" i="11" s="1"/>
  <c r="G95" i="11"/>
  <c r="H95" i="11" s="1"/>
  <c r="F95" i="11"/>
  <c r="E95" i="11"/>
  <c r="S94" i="11"/>
  <c r="P94" i="11"/>
  <c r="G94" i="11"/>
  <c r="F94" i="11"/>
  <c r="E94" i="11"/>
  <c r="S93" i="11"/>
  <c r="S96" i="11" s="1"/>
  <c r="P93" i="11"/>
  <c r="P96" i="11" s="1"/>
  <c r="G93" i="11"/>
  <c r="I93" i="11" s="1"/>
  <c r="F93" i="11"/>
  <c r="E93" i="11"/>
  <c r="J90" i="11"/>
  <c r="Q89" i="11"/>
  <c r="O89" i="11"/>
  <c r="N89" i="11"/>
  <c r="M89" i="11"/>
  <c r="L89" i="11"/>
  <c r="D89" i="11"/>
  <c r="Q88" i="11"/>
  <c r="O88" i="11"/>
  <c r="N88" i="11"/>
  <c r="M88" i="11"/>
  <c r="L88" i="11"/>
  <c r="D88" i="11"/>
  <c r="Q87" i="11"/>
  <c r="O87" i="11"/>
  <c r="N87" i="11"/>
  <c r="M87" i="11"/>
  <c r="L87" i="11"/>
  <c r="D87" i="11"/>
  <c r="Q86" i="11"/>
  <c r="O86" i="11"/>
  <c r="N86" i="11"/>
  <c r="M86" i="11"/>
  <c r="L86" i="11"/>
  <c r="D86" i="11"/>
  <c r="Q85" i="11"/>
  <c r="O85" i="11"/>
  <c r="N85" i="11"/>
  <c r="M85" i="11"/>
  <c r="L85" i="11"/>
  <c r="D85" i="11"/>
  <c r="Q84" i="11"/>
  <c r="O84" i="11"/>
  <c r="N84" i="11"/>
  <c r="M84" i="11"/>
  <c r="L84" i="11"/>
  <c r="D84" i="11"/>
  <c r="Q83" i="11"/>
  <c r="O83" i="11"/>
  <c r="N83" i="11"/>
  <c r="M83" i="11"/>
  <c r="L83" i="11"/>
  <c r="D83" i="11"/>
  <c r="Q82" i="11"/>
  <c r="O82" i="11"/>
  <c r="N82" i="11"/>
  <c r="M82" i="11"/>
  <c r="L82" i="11"/>
  <c r="D82" i="11"/>
  <c r="Q81" i="11"/>
  <c r="O81" i="11"/>
  <c r="N81" i="11"/>
  <c r="M81" i="11"/>
  <c r="L81" i="11"/>
  <c r="D81" i="11"/>
  <c r="Q80" i="11"/>
  <c r="O80" i="11"/>
  <c r="N80" i="11"/>
  <c r="M80" i="11"/>
  <c r="L80" i="11"/>
  <c r="D80" i="11"/>
  <c r="Q79" i="11"/>
  <c r="O79" i="11"/>
  <c r="N79" i="11"/>
  <c r="M79" i="11"/>
  <c r="L79" i="11"/>
  <c r="D79" i="11"/>
  <c r="Q78" i="11"/>
  <c r="O78" i="11"/>
  <c r="N78" i="11"/>
  <c r="M78" i="11"/>
  <c r="L78" i="11"/>
  <c r="D78" i="11"/>
  <c r="Q77" i="11"/>
  <c r="O77" i="11"/>
  <c r="N77" i="11"/>
  <c r="M77" i="11"/>
  <c r="L77" i="11"/>
  <c r="D77" i="11"/>
  <c r="Q76" i="11"/>
  <c r="O76" i="11"/>
  <c r="N76" i="11"/>
  <c r="M76" i="11"/>
  <c r="L76" i="11"/>
  <c r="D76" i="11"/>
  <c r="Q75" i="11"/>
  <c r="O75" i="11"/>
  <c r="N75" i="11"/>
  <c r="M75" i="11"/>
  <c r="L75" i="11"/>
  <c r="D75" i="11"/>
  <c r="Q74" i="11"/>
  <c r="O74" i="11"/>
  <c r="N74" i="11"/>
  <c r="M74" i="11"/>
  <c r="L74" i="11"/>
  <c r="D74" i="11"/>
  <c r="Q73" i="11"/>
  <c r="O73" i="11"/>
  <c r="N73" i="11"/>
  <c r="M73" i="11"/>
  <c r="L73" i="11"/>
  <c r="D73" i="11"/>
  <c r="Q72" i="11"/>
  <c r="O72" i="11"/>
  <c r="N72" i="11"/>
  <c r="M72" i="11"/>
  <c r="M66" i="11" s="1"/>
  <c r="L72" i="11"/>
  <c r="D72" i="11"/>
  <c r="Q71" i="11"/>
  <c r="O71" i="11"/>
  <c r="N71" i="11"/>
  <c r="M71" i="11"/>
  <c r="L71" i="11"/>
  <c r="D71" i="11"/>
  <c r="Q70" i="11"/>
  <c r="O70" i="11"/>
  <c r="N70" i="11"/>
  <c r="M70" i="11"/>
  <c r="L70" i="11"/>
  <c r="D70" i="11"/>
  <c r="Q69" i="11"/>
  <c r="O69" i="11"/>
  <c r="N69" i="11"/>
  <c r="M69" i="11"/>
  <c r="L69" i="11"/>
  <c r="D69" i="11"/>
  <c r="Q68" i="11"/>
  <c r="O68" i="11"/>
  <c r="N68" i="11"/>
  <c r="M68" i="11"/>
  <c r="L68" i="11"/>
  <c r="D68" i="11"/>
  <c r="N66" i="11"/>
  <c r="O61" i="11"/>
  <c r="N61" i="11"/>
  <c r="N98" i="11" s="1"/>
  <c r="L61" i="11"/>
  <c r="L98" i="11" s="1"/>
  <c r="Q60" i="11"/>
  <c r="O60" i="11"/>
  <c r="N60" i="11"/>
  <c r="M60" i="11"/>
  <c r="M61" i="11" s="1"/>
  <c r="M98" i="11" s="1"/>
  <c r="L60" i="11"/>
  <c r="J60" i="11"/>
  <c r="D60" i="11"/>
  <c r="G59" i="11"/>
  <c r="H59" i="11" s="1"/>
  <c r="F59" i="11"/>
  <c r="F88" i="11" s="1"/>
  <c r="E59" i="11"/>
  <c r="E88" i="11" s="1"/>
  <c r="G58" i="11"/>
  <c r="I58" i="11" s="1"/>
  <c r="F58" i="11"/>
  <c r="E58" i="11"/>
  <c r="G57" i="11"/>
  <c r="F57" i="11"/>
  <c r="E57" i="11"/>
  <c r="G56" i="11"/>
  <c r="F56" i="11"/>
  <c r="E56" i="11"/>
  <c r="G55" i="11"/>
  <c r="F55" i="11"/>
  <c r="E55" i="11"/>
  <c r="G54" i="11"/>
  <c r="F54" i="11"/>
  <c r="E54" i="11"/>
  <c r="G53" i="11"/>
  <c r="F53" i="11"/>
  <c r="E53" i="11"/>
  <c r="G52" i="11"/>
  <c r="F52" i="11"/>
  <c r="E52" i="11"/>
  <c r="G51" i="11"/>
  <c r="H51" i="11" s="1"/>
  <c r="F51" i="11"/>
  <c r="E51" i="11"/>
  <c r="E60" i="11" s="1"/>
  <c r="Q48" i="11"/>
  <c r="O48" i="11"/>
  <c r="N48" i="11"/>
  <c r="M48" i="11"/>
  <c r="L48" i="11"/>
  <c r="J48" i="11"/>
  <c r="D48" i="11"/>
  <c r="G47" i="11"/>
  <c r="I47" i="11" s="1"/>
  <c r="F47" i="11"/>
  <c r="F89" i="11" s="1"/>
  <c r="E47" i="11"/>
  <c r="E89" i="11" s="1"/>
  <c r="G46" i="11"/>
  <c r="F46" i="11"/>
  <c r="E46" i="11"/>
  <c r="G45" i="11"/>
  <c r="H45" i="11" s="1"/>
  <c r="F45" i="11"/>
  <c r="E45" i="11"/>
  <c r="G44" i="11"/>
  <c r="H44" i="11" s="1"/>
  <c r="F44" i="11"/>
  <c r="E44" i="11"/>
  <c r="G43" i="11"/>
  <c r="I43" i="11" s="1"/>
  <c r="F43" i="11"/>
  <c r="E43" i="11"/>
  <c r="G42" i="11"/>
  <c r="F42" i="11"/>
  <c r="E42" i="11"/>
  <c r="G41" i="11"/>
  <c r="F41" i="11"/>
  <c r="E41" i="11"/>
  <c r="G40" i="11"/>
  <c r="H40" i="11" s="1"/>
  <c r="F40" i="11"/>
  <c r="E40" i="11"/>
  <c r="G39" i="11"/>
  <c r="F39" i="11"/>
  <c r="E39" i="11"/>
  <c r="G38" i="11"/>
  <c r="I38" i="11" s="1"/>
  <c r="F38" i="11"/>
  <c r="E38" i="11"/>
  <c r="Q35" i="11"/>
  <c r="O35" i="11"/>
  <c r="N35" i="11"/>
  <c r="M35" i="11"/>
  <c r="L35" i="11"/>
  <c r="J35" i="11"/>
  <c r="D35" i="11"/>
  <c r="G34" i="11"/>
  <c r="F34" i="11"/>
  <c r="E34" i="11"/>
  <c r="G33" i="11"/>
  <c r="H33" i="11" s="1"/>
  <c r="F33" i="11"/>
  <c r="E33" i="11"/>
  <c r="G32" i="11"/>
  <c r="I32" i="11" s="1"/>
  <c r="F32" i="11"/>
  <c r="E32" i="11"/>
  <c r="G31" i="11"/>
  <c r="I31" i="11" s="1"/>
  <c r="F31" i="11"/>
  <c r="E31" i="11"/>
  <c r="G30" i="11"/>
  <c r="I30" i="11" s="1"/>
  <c r="F30" i="11"/>
  <c r="E30" i="11"/>
  <c r="G29" i="11"/>
  <c r="I29" i="11" s="1"/>
  <c r="F29" i="11"/>
  <c r="E29" i="11"/>
  <c r="R26" i="11"/>
  <c r="R61" i="11" s="1"/>
  <c r="Q26" i="11"/>
  <c r="O26" i="11"/>
  <c r="N26" i="11"/>
  <c r="M26" i="11"/>
  <c r="L26" i="11"/>
  <c r="J26" i="11"/>
  <c r="D26" i="11"/>
  <c r="S25" i="11"/>
  <c r="P25" i="11"/>
  <c r="G25" i="11"/>
  <c r="F25" i="11"/>
  <c r="F87" i="11" s="1"/>
  <c r="E25" i="11"/>
  <c r="E87" i="11" s="1"/>
  <c r="S24" i="11"/>
  <c r="P24" i="11"/>
  <c r="G24" i="11"/>
  <c r="F24" i="11"/>
  <c r="F86" i="11" s="1"/>
  <c r="E24" i="11"/>
  <c r="E86" i="11" s="1"/>
  <c r="S23" i="11"/>
  <c r="P23" i="11"/>
  <c r="G23" i="11"/>
  <c r="I23" i="11" s="1"/>
  <c r="F23" i="11"/>
  <c r="F85" i="11" s="1"/>
  <c r="E23" i="11"/>
  <c r="E85" i="11" s="1"/>
  <c r="S22" i="11"/>
  <c r="P22" i="11"/>
  <c r="G22" i="11"/>
  <c r="F22" i="11"/>
  <c r="F84" i="11" s="1"/>
  <c r="E22" i="11"/>
  <c r="E84" i="11" s="1"/>
  <c r="S21" i="11"/>
  <c r="P21" i="11"/>
  <c r="G21" i="11"/>
  <c r="F21" i="11"/>
  <c r="F83" i="11" s="1"/>
  <c r="E21" i="11"/>
  <c r="E83" i="11" s="1"/>
  <c r="S20" i="11"/>
  <c r="P20" i="11"/>
  <c r="G20" i="11"/>
  <c r="F20" i="11"/>
  <c r="E20" i="11"/>
  <c r="S19" i="11"/>
  <c r="P19" i="11"/>
  <c r="G19" i="11"/>
  <c r="G81" i="11" s="1"/>
  <c r="F19" i="11"/>
  <c r="F81" i="11" s="1"/>
  <c r="E19" i="11"/>
  <c r="E81" i="11" s="1"/>
  <c r="S18" i="11"/>
  <c r="P18" i="11"/>
  <c r="G18" i="11"/>
  <c r="I18" i="11" s="1"/>
  <c r="F18" i="11"/>
  <c r="F80" i="11" s="1"/>
  <c r="E18" i="11"/>
  <c r="E80" i="11" s="1"/>
  <c r="S17" i="11"/>
  <c r="P17" i="11"/>
  <c r="G17" i="11"/>
  <c r="I17" i="11" s="1"/>
  <c r="F17" i="11"/>
  <c r="E17" i="11"/>
  <c r="S16" i="11"/>
  <c r="P16" i="11"/>
  <c r="G16" i="11"/>
  <c r="G78" i="11" s="1"/>
  <c r="F16" i="11"/>
  <c r="F78" i="11" s="1"/>
  <c r="E16" i="11"/>
  <c r="E78" i="11" s="1"/>
  <c r="S15" i="11"/>
  <c r="P15" i="11"/>
  <c r="G15" i="11"/>
  <c r="H15" i="11" s="1"/>
  <c r="F15" i="11"/>
  <c r="E15" i="11"/>
  <c r="S14" i="11"/>
  <c r="P14" i="11"/>
  <c r="G14" i="11"/>
  <c r="F14" i="11"/>
  <c r="F76" i="11" s="1"/>
  <c r="E14" i="11"/>
  <c r="E76" i="11" s="1"/>
  <c r="S13" i="11"/>
  <c r="P13" i="11"/>
  <c r="G13" i="11"/>
  <c r="F13" i="11"/>
  <c r="E13" i="11"/>
  <c r="S12" i="11"/>
  <c r="P12" i="11"/>
  <c r="G12" i="11"/>
  <c r="H12" i="11" s="1"/>
  <c r="F12" i="11"/>
  <c r="E12" i="11"/>
  <c r="S11" i="11"/>
  <c r="P11" i="11"/>
  <c r="G11" i="11"/>
  <c r="H11" i="11" s="1"/>
  <c r="F11" i="11"/>
  <c r="F73" i="11" s="1"/>
  <c r="E11" i="11"/>
  <c r="E73" i="11" s="1"/>
  <c r="S10" i="11"/>
  <c r="P10" i="11"/>
  <c r="G10" i="11"/>
  <c r="I10" i="11" s="1"/>
  <c r="F10" i="11"/>
  <c r="E10" i="11"/>
  <c r="S9" i="11"/>
  <c r="P9" i="11"/>
  <c r="G9" i="11"/>
  <c r="F9" i="11"/>
  <c r="E9" i="11"/>
  <c r="S8" i="11"/>
  <c r="S26" i="11" s="1"/>
  <c r="S61" i="11" s="1"/>
  <c r="S98" i="11" s="1"/>
  <c r="P8" i="11"/>
  <c r="P26" i="11" s="1"/>
  <c r="P61" i="11" s="1"/>
  <c r="P98" i="11" s="1"/>
  <c r="G8" i="11"/>
  <c r="F8" i="11"/>
  <c r="E8" i="11"/>
  <c r="S7" i="11"/>
  <c r="P7" i="11"/>
  <c r="G7" i="11"/>
  <c r="F7" i="11"/>
  <c r="E7" i="11"/>
  <c r="S6" i="11"/>
  <c r="P6" i="11"/>
  <c r="G6" i="11"/>
  <c r="F6" i="11"/>
  <c r="E6" i="11"/>
  <c r="U99" i="10"/>
  <c r="Q99" i="10"/>
  <c r="O99" i="10"/>
  <c r="N99" i="10"/>
  <c r="M99" i="10"/>
  <c r="L99" i="10"/>
  <c r="D99" i="10"/>
  <c r="G98" i="10"/>
  <c r="F98" i="10"/>
  <c r="E98" i="10"/>
  <c r="G97" i="10"/>
  <c r="F97" i="10"/>
  <c r="E97" i="10"/>
  <c r="G96" i="10"/>
  <c r="S96" i="10" s="1"/>
  <c r="F96" i="10"/>
  <c r="E96" i="10"/>
  <c r="G95" i="10"/>
  <c r="F95" i="10"/>
  <c r="E95" i="10"/>
  <c r="G94" i="10"/>
  <c r="T94" i="10" s="1"/>
  <c r="F94" i="10"/>
  <c r="E94" i="10"/>
  <c r="G93" i="10"/>
  <c r="S93" i="10" s="1"/>
  <c r="F93" i="10"/>
  <c r="E93" i="10"/>
  <c r="G92" i="10"/>
  <c r="T92" i="10" s="1"/>
  <c r="F92" i="10"/>
  <c r="F99" i="10" s="1"/>
  <c r="E92" i="10"/>
  <c r="E99" i="10" s="1"/>
  <c r="U89" i="10"/>
  <c r="O89" i="10"/>
  <c r="Q88" i="10"/>
  <c r="O88" i="10"/>
  <c r="N88" i="10"/>
  <c r="M88" i="10"/>
  <c r="L88" i="10"/>
  <c r="G88" i="10"/>
  <c r="F88" i="10"/>
  <c r="E88" i="10"/>
  <c r="D88" i="10"/>
  <c r="Q87" i="10"/>
  <c r="O87" i="10"/>
  <c r="N87" i="10"/>
  <c r="M87" i="10"/>
  <c r="L87" i="10"/>
  <c r="D87" i="10"/>
  <c r="Q86" i="10"/>
  <c r="O86" i="10"/>
  <c r="N86" i="10"/>
  <c r="M86" i="10"/>
  <c r="L86" i="10"/>
  <c r="G86" i="10"/>
  <c r="F86" i="10"/>
  <c r="E86" i="10"/>
  <c r="D86" i="10"/>
  <c r="Q85" i="10"/>
  <c r="O85" i="10"/>
  <c r="N85" i="10"/>
  <c r="M85" i="10"/>
  <c r="L85" i="10"/>
  <c r="G85" i="10"/>
  <c r="T85" i="10" s="1"/>
  <c r="F85" i="10"/>
  <c r="D85" i="10"/>
  <c r="E85" i="10" s="1"/>
  <c r="Q84" i="10"/>
  <c r="O84" i="10"/>
  <c r="N84" i="10"/>
  <c r="M84" i="10"/>
  <c r="L84" i="10"/>
  <c r="G84" i="10"/>
  <c r="T84" i="10" s="1"/>
  <c r="F84" i="10"/>
  <c r="E84" i="10"/>
  <c r="D84" i="10"/>
  <c r="Q83" i="10"/>
  <c r="O83" i="10"/>
  <c r="N83" i="10"/>
  <c r="M83" i="10"/>
  <c r="L83" i="10"/>
  <c r="G83" i="10"/>
  <c r="F83" i="10"/>
  <c r="E83" i="10"/>
  <c r="D83" i="10"/>
  <c r="Q82" i="10"/>
  <c r="O82" i="10"/>
  <c r="N82" i="10"/>
  <c r="M82" i="10"/>
  <c r="L82" i="10"/>
  <c r="G82" i="10"/>
  <c r="F82" i="10"/>
  <c r="E82" i="10"/>
  <c r="D82" i="10"/>
  <c r="Q81" i="10"/>
  <c r="O81" i="10"/>
  <c r="N81" i="10"/>
  <c r="M81" i="10"/>
  <c r="L81" i="10"/>
  <c r="F81" i="10"/>
  <c r="E81" i="10"/>
  <c r="D81" i="10"/>
  <c r="G81" i="10" s="1"/>
  <c r="T81" i="10" s="1"/>
  <c r="Q80" i="10"/>
  <c r="O80" i="10"/>
  <c r="N80" i="10"/>
  <c r="M80" i="10"/>
  <c r="L80" i="10"/>
  <c r="D80" i="10"/>
  <c r="Q79" i="10"/>
  <c r="O79" i="10"/>
  <c r="N79" i="10"/>
  <c r="M79" i="10"/>
  <c r="L79" i="10"/>
  <c r="D79" i="10"/>
  <c r="Q78" i="10"/>
  <c r="O78" i="10"/>
  <c r="N78" i="10"/>
  <c r="M78" i="10"/>
  <c r="L78" i="10"/>
  <c r="G78" i="10"/>
  <c r="T78" i="10" s="1"/>
  <c r="D78" i="10"/>
  <c r="Q77" i="10"/>
  <c r="O77" i="10"/>
  <c r="N77" i="10"/>
  <c r="M77" i="10"/>
  <c r="L77" i="10"/>
  <c r="F77" i="10"/>
  <c r="D77" i="10"/>
  <c r="G77" i="10" s="1"/>
  <c r="Q76" i="10"/>
  <c r="O76" i="10"/>
  <c r="N76" i="10"/>
  <c r="M76" i="10"/>
  <c r="L76" i="10"/>
  <c r="G76" i="10"/>
  <c r="F76" i="10"/>
  <c r="E76" i="10"/>
  <c r="D76" i="10"/>
  <c r="Q75" i="10"/>
  <c r="O75" i="10"/>
  <c r="N75" i="10"/>
  <c r="M75" i="10"/>
  <c r="L75" i="10"/>
  <c r="D75" i="10"/>
  <c r="Q74" i="10"/>
  <c r="O74" i="10"/>
  <c r="N74" i="10"/>
  <c r="M74" i="10"/>
  <c r="L74" i="10"/>
  <c r="G74" i="10"/>
  <c r="F74" i="10"/>
  <c r="E74" i="10"/>
  <c r="D74" i="10"/>
  <c r="Q73" i="10"/>
  <c r="O73" i="10"/>
  <c r="N73" i="10"/>
  <c r="M73" i="10"/>
  <c r="L73" i="10"/>
  <c r="G73" i="10"/>
  <c r="T73" i="10" s="1"/>
  <c r="F73" i="10"/>
  <c r="D73" i="10"/>
  <c r="E73" i="10" s="1"/>
  <c r="Q72" i="10"/>
  <c r="O72" i="10"/>
  <c r="N72" i="10"/>
  <c r="M72" i="10"/>
  <c r="L72" i="10"/>
  <c r="G72" i="10"/>
  <c r="F72" i="10"/>
  <c r="E72" i="10"/>
  <c r="D72" i="10"/>
  <c r="Q71" i="10"/>
  <c r="O71" i="10"/>
  <c r="N71" i="10"/>
  <c r="M71" i="10"/>
  <c r="L71" i="10"/>
  <c r="E71" i="10"/>
  <c r="D71" i="10"/>
  <c r="Q70" i="10"/>
  <c r="O70" i="10"/>
  <c r="N70" i="10"/>
  <c r="M70" i="10"/>
  <c r="L70" i="10"/>
  <c r="G70" i="10"/>
  <c r="F70" i="10"/>
  <c r="E70" i="10"/>
  <c r="D70" i="10"/>
  <c r="Q69" i="10"/>
  <c r="O69" i="10"/>
  <c r="N69" i="10"/>
  <c r="M69" i="10"/>
  <c r="L69" i="10"/>
  <c r="D69" i="10"/>
  <c r="R60" i="10"/>
  <c r="Q60" i="10"/>
  <c r="O60" i="10"/>
  <c r="N60" i="10"/>
  <c r="M60" i="10"/>
  <c r="L60" i="10"/>
  <c r="J60" i="10"/>
  <c r="D60" i="10"/>
  <c r="S59" i="10"/>
  <c r="P59" i="10"/>
  <c r="G59" i="10"/>
  <c r="I59" i="10" s="1"/>
  <c r="F59" i="10"/>
  <c r="E59" i="10"/>
  <c r="S58" i="10"/>
  <c r="P58" i="10"/>
  <c r="G58" i="10"/>
  <c r="F58" i="10"/>
  <c r="E58" i="10"/>
  <c r="S57" i="10"/>
  <c r="P57" i="10"/>
  <c r="G57" i="10"/>
  <c r="I57" i="10" s="1"/>
  <c r="F57" i="10"/>
  <c r="E57" i="10"/>
  <c r="S56" i="10"/>
  <c r="G56" i="10"/>
  <c r="I56" i="10" s="1"/>
  <c r="F56" i="10"/>
  <c r="E56" i="10"/>
  <c r="S55" i="10"/>
  <c r="P55" i="10"/>
  <c r="P60" i="10" s="1"/>
  <c r="G55" i="10"/>
  <c r="I55" i="10" s="1"/>
  <c r="F55" i="10"/>
  <c r="E55" i="10"/>
  <c r="S54" i="10"/>
  <c r="G54" i="10"/>
  <c r="F54" i="10"/>
  <c r="E54" i="10"/>
  <c r="S53" i="10"/>
  <c r="P53" i="10"/>
  <c r="G53" i="10"/>
  <c r="F53" i="10"/>
  <c r="E53" i="10"/>
  <c r="P50" i="10"/>
  <c r="N50" i="10"/>
  <c r="N62" i="10" s="1"/>
  <c r="D50" i="10"/>
  <c r="Q49" i="10"/>
  <c r="H49" i="10" s="1"/>
  <c r="O49" i="10"/>
  <c r="N49" i="10"/>
  <c r="M49" i="10"/>
  <c r="L49" i="10"/>
  <c r="J49" i="10"/>
  <c r="G49" i="10"/>
  <c r="F49" i="10"/>
  <c r="E49" i="10"/>
  <c r="D49" i="10"/>
  <c r="I48" i="10"/>
  <c r="H48" i="10"/>
  <c r="I47" i="10"/>
  <c r="H47" i="10"/>
  <c r="I46" i="10"/>
  <c r="H46" i="10"/>
  <c r="I45" i="10"/>
  <c r="H45" i="10"/>
  <c r="I44" i="10"/>
  <c r="H44" i="10"/>
  <c r="I43" i="10"/>
  <c r="H43" i="10"/>
  <c r="Q41" i="10"/>
  <c r="H41" i="10" s="1"/>
  <c r="O41" i="10"/>
  <c r="N41" i="10"/>
  <c r="M41" i="10"/>
  <c r="L41" i="10"/>
  <c r="J41" i="10"/>
  <c r="G41" i="10"/>
  <c r="F41" i="10"/>
  <c r="E41" i="10"/>
  <c r="D41" i="10"/>
  <c r="I40" i="10"/>
  <c r="H40" i="10"/>
  <c r="I39" i="10"/>
  <c r="I41" i="10" s="1"/>
  <c r="H39" i="10"/>
  <c r="I38" i="10"/>
  <c r="H38" i="10"/>
  <c r="I37" i="10"/>
  <c r="H37" i="10"/>
  <c r="I36" i="10"/>
  <c r="H36" i="10"/>
  <c r="I35" i="10"/>
  <c r="H35" i="10"/>
  <c r="I34" i="10"/>
  <c r="H34" i="10"/>
  <c r="I33" i="10"/>
  <c r="H33" i="10"/>
  <c r="I32" i="10"/>
  <c r="H32" i="10"/>
  <c r="R30" i="10"/>
  <c r="Q30" i="10"/>
  <c r="H30" i="10" s="1"/>
  <c r="P30" i="10"/>
  <c r="O30" i="10"/>
  <c r="N30" i="10"/>
  <c r="M30" i="10"/>
  <c r="L30" i="10"/>
  <c r="J30" i="10"/>
  <c r="G30" i="10"/>
  <c r="F30" i="10"/>
  <c r="E30" i="10"/>
  <c r="D30" i="10"/>
  <c r="S29" i="10"/>
  <c r="I29" i="10"/>
  <c r="H29" i="10"/>
  <c r="S28" i="10"/>
  <c r="S30" i="10" s="1"/>
  <c r="I28" i="10"/>
  <c r="I30" i="10" s="1"/>
  <c r="H28" i="10"/>
  <c r="Q26" i="10"/>
  <c r="P26" i="10"/>
  <c r="O26" i="10"/>
  <c r="N26" i="10"/>
  <c r="M26" i="10"/>
  <c r="L26" i="10"/>
  <c r="J26" i="10"/>
  <c r="D26" i="10"/>
  <c r="S25" i="10"/>
  <c r="R25" i="10"/>
  <c r="G25" i="10"/>
  <c r="H25" i="10" s="1"/>
  <c r="F25" i="10"/>
  <c r="E25" i="10"/>
  <c r="S24" i="10"/>
  <c r="P24" i="10"/>
  <c r="G24" i="10"/>
  <c r="F24" i="10"/>
  <c r="E24" i="10"/>
  <c r="S23" i="10"/>
  <c r="P23" i="10"/>
  <c r="G23" i="10"/>
  <c r="H23" i="10" s="1"/>
  <c r="F23" i="10"/>
  <c r="E23" i="10"/>
  <c r="S22" i="10"/>
  <c r="P22" i="10"/>
  <c r="G22" i="10"/>
  <c r="H22" i="10" s="1"/>
  <c r="F22" i="10"/>
  <c r="E22" i="10"/>
  <c r="S21" i="10"/>
  <c r="P21" i="10"/>
  <c r="G21" i="10"/>
  <c r="F21" i="10"/>
  <c r="E21" i="10"/>
  <c r="S20" i="10"/>
  <c r="P20" i="10"/>
  <c r="G20" i="10"/>
  <c r="F20" i="10"/>
  <c r="E20" i="10"/>
  <c r="S19" i="10"/>
  <c r="R19" i="10"/>
  <c r="P19" i="10"/>
  <c r="G19" i="10"/>
  <c r="F19" i="10"/>
  <c r="E19" i="10"/>
  <c r="S18" i="10"/>
  <c r="P18" i="10"/>
  <c r="G18" i="10"/>
  <c r="H18" i="10" s="1"/>
  <c r="F18" i="10"/>
  <c r="E18" i="10"/>
  <c r="S17" i="10"/>
  <c r="P17" i="10"/>
  <c r="G17" i="10"/>
  <c r="H17" i="10" s="1"/>
  <c r="F17" i="10"/>
  <c r="E17" i="10"/>
  <c r="S16" i="10"/>
  <c r="P16" i="10"/>
  <c r="G16" i="10"/>
  <c r="I16" i="10" s="1"/>
  <c r="F16" i="10"/>
  <c r="E16" i="10"/>
  <c r="S15" i="10"/>
  <c r="P15" i="10"/>
  <c r="G15" i="10"/>
  <c r="I15" i="10" s="1"/>
  <c r="F15" i="10"/>
  <c r="E15" i="10"/>
  <c r="R14" i="10"/>
  <c r="S14" i="10" s="1"/>
  <c r="P14" i="10"/>
  <c r="G14" i="10"/>
  <c r="F14" i="10"/>
  <c r="E14" i="10"/>
  <c r="S13" i="10"/>
  <c r="P13" i="10"/>
  <c r="G13" i="10"/>
  <c r="I13" i="10" s="1"/>
  <c r="F13" i="10"/>
  <c r="E13" i="10"/>
  <c r="S12" i="10"/>
  <c r="P12" i="10"/>
  <c r="G12" i="10"/>
  <c r="F12" i="10"/>
  <c r="E12" i="10"/>
  <c r="S11" i="10"/>
  <c r="P11" i="10"/>
  <c r="G11" i="10"/>
  <c r="I11" i="10" s="1"/>
  <c r="F11" i="10"/>
  <c r="E11" i="10"/>
  <c r="S10" i="10"/>
  <c r="P10" i="10"/>
  <c r="G10" i="10"/>
  <c r="I10" i="10" s="1"/>
  <c r="F10" i="10"/>
  <c r="E10" i="10"/>
  <c r="S9" i="10"/>
  <c r="R9" i="10"/>
  <c r="P9" i="10"/>
  <c r="J9" i="10"/>
  <c r="G9" i="10"/>
  <c r="I9" i="10" s="1"/>
  <c r="F9" i="10"/>
  <c r="E9" i="10"/>
  <c r="S8" i="10"/>
  <c r="P8" i="10"/>
  <c r="G8" i="10"/>
  <c r="F8" i="10"/>
  <c r="E8" i="10"/>
  <c r="S7" i="10"/>
  <c r="P7" i="10"/>
  <c r="G7" i="10"/>
  <c r="F7" i="10"/>
  <c r="E7" i="10"/>
  <c r="R6" i="10"/>
  <c r="P6" i="10"/>
  <c r="J6" i="10"/>
  <c r="G6" i="10"/>
  <c r="G26" i="10" s="1"/>
  <c r="H26" i="10" s="1"/>
  <c r="F6" i="10"/>
  <c r="E6" i="10"/>
  <c r="S31" i="7"/>
  <c r="R31" i="7"/>
  <c r="Q31" i="7"/>
  <c r="P31" i="7"/>
  <c r="O31" i="7"/>
  <c r="N31" i="7"/>
  <c r="M31" i="7"/>
  <c r="K28" i="7"/>
  <c r="H28" i="7"/>
  <c r="N26" i="7"/>
  <c r="M26" i="7"/>
  <c r="M28" i="7" s="1"/>
  <c r="K26" i="7"/>
  <c r="H26" i="7"/>
  <c r="D26" i="7"/>
  <c r="S25" i="7"/>
  <c r="T25" i="7" s="1"/>
  <c r="R25" i="7"/>
  <c r="P25" i="7"/>
  <c r="O25" i="7"/>
  <c r="Q25" i="7" s="1"/>
  <c r="G25" i="7"/>
  <c r="F25" i="7"/>
  <c r="E25" i="7"/>
  <c r="S24" i="7"/>
  <c r="R24" i="7"/>
  <c r="P24" i="7"/>
  <c r="Q24" i="7" s="1"/>
  <c r="O24" i="7"/>
  <c r="O26" i="7" s="1"/>
  <c r="G24" i="7"/>
  <c r="J24" i="7" s="1"/>
  <c r="F24" i="7"/>
  <c r="E24" i="7"/>
  <c r="E26" i="7" s="1"/>
  <c r="N21" i="7"/>
  <c r="M21" i="7"/>
  <c r="M32" i="7" s="1"/>
  <c r="H21" i="7"/>
  <c r="D21" i="7"/>
  <c r="D28" i="7" s="1"/>
  <c r="S19" i="7"/>
  <c r="R19" i="7"/>
  <c r="Q19" i="7"/>
  <c r="P19" i="7"/>
  <c r="O19" i="7"/>
  <c r="G19" i="7"/>
  <c r="I19" i="7" s="1"/>
  <c r="F19" i="7"/>
  <c r="E19" i="7"/>
  <c r="T18" i="7"/>
  <c r="S18" i="7"/>
  <c r="R18" i="7"/>
  <c r="P18" i="7"/>
  <c r="Q18" i="7" s="1"/>
  <c r="O18" i="7"/>
  <c r="G18" i="7"/>
  <c r="F18" i="7"/>
  <c r="E18" i="7"/>
  <c r="S17" i="7"/>
  <c r="R17" i="7"/>
  <c r="Q17" i="7"/>
  <c r="P17" i="7"/>
  <c r="O17" i="7"/>
  <c r="G17" i="7"/>
  <c r="F17" i="7"/>
  <c r="E17" i="7"/>
  <c r="S16" i="7"/>
  <c r="R16" i="7"/>
  <c r="T16" i="7" s="1"/>
  <c r="P16" i="7"/>
  <c r="O16" i="7"/>
  <c r="Q16" i="7" s="1"/>
  <c r="G16" i="7"/>
  <c r="F16" i="7"/>
  <c r="E16" i="7"/>
  <c r="S15" i="7"/>
  <c r="T15" i="7" s="1"/>
  <c r="R15" i="7"/>
  <c r="P15" i="7"/>
  <c r="O15" i="7"/>
  <c r="Q15" i="7" s="1"/>
  <c r="G15" i="7"/>
  <c r="F15" i="7"/>
  <c r="E15" i="7"/>
  <c r="S14" i="7"/>
  <c r="R14" i="7"/>
  <c r="T14" i="7" s="1"/>
  <c r="P14" i="7"/>
  <c r="Q14" i="7" s="1"/>
  <c r="O14" i="7"/>
  <c r="G14" i="7"/>
  <c r="F14" i="7"/>
  <c r="E14" i="7"/>
  <c r="S13" i="7"/>
  <c r="T13" i="7" s="1"/>
  <c r="R13" i="7"/>
  <c r="P13" i="7"/>
  <c r="Q13" i="7" s="1"/>
  <c r="O13" i="7"/>
  <c r="G13" i="7"/>
  <c r="F13" i="7"/>
  <c r="E13" i="7"/>
  <c r="S12" i="7"/>
  <c r="R12" i="7"/>
  <c r="P12" i="7"/>
  <c r="O12" i="7"/>
  <c r="G12" i="7"/>
  <c r="F12" i="7"/>
  <c r="E12" i="7"/>
  <c r="T11" i="7"/>
  <c r="S11" i="7"/>
  <c r="R11" i="7"/>
  <c r="Q11" i="7"/>
  <c r="P11" i="7"/>
  <c r="O11" i="7"/>
  <c r="G11" i="7"/>
  <c r="F11" i="7"/>
  <c r="E11" i="7"/>
  <c r="T10" i="7"/>
  <c r="S10" i="7"/>
  <c r="R10" i="7"/>
  <c r="P10" i="7"/>
  <c r="Q10" i="7" s="1"/>
  <c r="O10" i="7"/>
  <c r="G10" i="7"/>
  <c r="F10" i="7"/>
  <c r="E10" i="7"/>
  <c r="S9" i="7"/>
  <c r="T9" i="7" s="1"/>
  <c r="R9" i="7"/>
  <c r="P9" i="7"/>
  <c r="Q9" i="7" s="1"/>
  <c r="O9" i="7"/>
  <c r="G9" i="7"/>
  <c r="I9" i="7" s="1"/>
  <c r="F9" i="7"/>
  <c r="E9" i="7"/>
  <c r="T8" i="7"/>
  <c r="S8" i="7"/>
  <c r="R8" i="7"/>
  <c r="Q8" i="7"/>
  <c r="P8" i="7"/>
  <c r="O8" i="7"/>
  <c r="G8" i="7"/>
  <c r="J8" i="7" s="1"/>
  <c r="F8" i="7"/>
  <c r="E8" i="7"/>
  <c r="S7" i="7"/>
  <c r="T7" i="7" s="1"/>
  <c r="R7" i="7"/>
  <c r="Q7" i="7"/>
  <c r="P7" i="7"/>
  <c r="O7" i="7"/>
  <c r="G7" i="7"/>
  <c r="I7" i="7" s="1"/>
  <c r="F7" i="7"/>
  <c r="E7" i="7"/>
  <c r="T6" i="7"/>
  <c r="S6" i="7"/>
  <c r="R6" i="7"/>
  <c r="Q6" i="7"/>
  <c r="P6" i="7"/>
  <c r="O6" i="7"/>
  <c r="G6" i="7"/>
  <c r="F6" i="7"/>
  <c r="E6" i="7"/>
  <c r="T5" i="7"/>
  <c r="S5" i="7"/>
  <c r="R5" i="7"/>
  <c r="Q5" i="7"/>
  <c r="P5" i="7"/>
  <c r="O5" i="7"/>
  <c r="K5" i="7"/>
  <c r="K21" i="7" s="1"/>
  <c r="G5" i="7"/>
  <c r="F5" i="7"/>
  <c r="E5" i="7"/>
  <c r="S4" i="7"/>
  <c r="R4" i="7"/>
  <c r="Q4" i="7"/>
  <c r="P4" i="7"/>
  <c r="O4" i="7"/>
  <c r="G4" i="7"/>
  <c r="F4" i="7"/>
  <c r="E4" i="7"/>
  <c r="T3" i="7"/>
  <c r="S3" i="7"/>
  <c r="S21" i="7" s="1"/>
  <c r="R3" i="7"/>
  <c r="P3" i="7"/>
  <c r="Q3" i="7" s="1"/>
  <c r="O3" i="7"/>
  <c r="G3" i="7"/>
  <c r="J3" i="7" s="1"/>
  <c r="F3" i="7"/>
  <c r="E3" i="7"/>
  <c r="N123" i="6"/>
  <c r="R122" i="6"/>
  <c r="Q122" i="6"/>
  <c r="P122" i="6"/>
  <c r="O122" i="6"/>
  <c r="N122" i="6"/>
  <c r="M122" i="6"/>
  <c r="L122" i="6"/>
  <c r="G122" i="6"/>
  <c r="J120" i="6"/>
  <c r="O118" i="6"/>
  <c r="N118" i="6"/>
  <c r="M118" i="6"/>
  <c r="L118" i="6"/>
  <c r="J118" i="6"/>
  <c r="D118" i="6"/>
  <c r="R117" i="6"/>
  <c r="S117" i="6" s="1"/>
  <c r="Q117" i="6"/>
  <c r="P117" i="6"/>
  <c r="O117" i="6"/>
  <c r="G117" i="6"/>
  <c r="H117" i="6" s="1"/>
  <c r="F117" i="6"/>
  <c r="E117" i="6"/>
  <c r="S116" i="6"/>
  <c r="R116" i="6"/>
  <c r="Q116" i="6"/>
  <c r="P116" i="6"/>
  <c r="O116" i="6"/>
  <c r="G116" i="6"/>
  <c r="F116" i="6"/>
  <c r="E116" i="6"/>
  <c r="R115" i="6"/>
  <c r="Q115" i="6"/>
  <c r="Q118" i="6" s="1"/>
  <c r="P115" i="6"/>
  <c r="P118" i="6" s="1"/>
  <c r="O115" i="6"/>
  <c r="G115" i="6"/>
  <c r="I115" i="6" s="1"/>
  <c r="F115" i="6"/>
  <c r="E115" i="6"/>
  <c r="L112" i="6"/>
  <c r="L120" i="6" s="1"/>
  <c r="L123" i="6" s="1"/>
  <c r="J112" i="6"/>
  <c r="Q110" i="6"/>
  <c r="N110" i="6"/>
  <c r="M110" i="6"/>
  <c r="L110" i="6"/>
  <c r="J110" i="6"/>
  <c r="D110" i="6"/>
  <c r="R109" i="6"/>
  <c r="O109" i="6"/>
  <c r="P109" i="6" s="1"/>
  <c r="G109" i="6"/>
  <c r="I109" i="6" s="1"/>
  <c r="F109" i="6"/>
  <c r="E109" i="6"/>
  <c r="S108" i="6"/>
  <c r="P108" i="6"/>
  <c r="O108" i="6"/>
  <c r="G108" i="6"/>
  <c r="I108" i="6" s="1"/>
  <c r="F108" i="6"/>
  <c r="F110" i="6" s="1"/>
  <c r="E108" i="6"/>
  <c r="E110" i="6" s="1"/>
  <c r="Q105" i="6"/>
  <c r="N105" i="6"/>
  <c r="N112" i="6" s="1"/>
  <c r="N120" i="6" s="1"/>
  <c r="M105" i="6"/>
  <c r="L105" i="6"/>
  <c r="J105" i="6"/>
  <c r="D105" i="6"/>
  <c r="D112" i="6" s="1"/>
  <c r="D120" i="6" s="1"/>
  <c r="R104" i="6"/>
  <c r="S104" i="6" s="1"/>
  <c r="O104" i="6"/>
  <c r="P104" i="6" s="1"/>
  <c r="G104" i="6"/>
  <c r="I104" i="6" s="1"/>
  <c r="F104" i="6"/>
  <c r="E104" i="6"/>
  <c r="R103" i="6"/>
  <c r="S103" i="6" s="1"/>
  <c r="P103" i="6"/>
  <c r="O103" i="6"/>
  <c r="G103" i="6"/>
  <c r="H103" i="6" s="1"/>
  <c r="F103" i="6"/>
  <c r="E103" i="6"/>
  <c r="R102" i="6"/>
  <c r="S102" i="6" s="1"/>
  <c r="P102" i="6"/>
  <c r="O102" i="6"/>
  <c r="G102" i="6"/>
  <c r="I102" i="6" s="1"/>
  <c r="F102" i="6"/>
  <c r="E102" i="6"/>
  <c r="S101" i="6"/>
  <c r="R101" i="6"/>
  <c r="P101" i="6"/>
  <c r="O101" i="6"/>
  <c r="G101" i="6"/>
  <c r="I101" i="6" s="1"/>
  <c r="F101" i="6"/>
  <c r="E101" i="6"/>
  <c r="S100" i="6"/>
  <c r="R100" i="6"/>
  <c r="O100" i="6"/>
  <c r="P100" i="6" s="1"/>
  <c r="G100" i="6"/>
  <c r="H100" i="6" s="1"/>
  <c r="F100" i="6"/>
  <c r="E100" i="6"/>
  <c r="S99" i="6"/>
  <c r="R99" i="6"/>
  <c r="O99" i="6"/>
  <c r="P99" i="6" s="1"/>
  <c r="G99" i="6"/>
  <c r="H99" i="6" s="1"/>
  <c r="F99" i="6"/>
  <c r="E99" i="6"/>
  <c r="R98" i="6"/>
  <c r="S98" i="6" s="1"/>
  <c r="P98" i="6"/>
  <c r="O98" i="6"/>
  <c r="G98" i="6"/>
  <c r="H98" i="6" s="1"/>
  <c r="F98" i="6"/>
  <c r="E98" i="6"/>
  <c r="S97" i="6"/>
  <c r="R97" i="6"/>
  <c r="P97" i="6"/>
  <c r="O97" i="6"/>
  <c r="G97" i="6"/>
  <c r="H97" i="6" s="1"/>
  <c r="F97" i="6"/>
  <c r="E97" i="6"/>
  <c r="R96" i="6"/>
  <c r="S96" i="6" s="1"/>
  <c r="O96" i="6"/>
  <c r="P96" i="6" s="1"/>
  <c r="G96" i="6"/>
  <c r="H96" i="6" s="1"/>
  <c r="F96" i="6"/>
  <c r="E96" i="6"/>
  <c r="S95" i="6"/>
  <c r="R95" i="6"/>
  <c r="P95" i="6"/>
  <c r="O95" i="6"/>
  <c r="G95" i="6"/>
  <c r="F95" i="6"/>
  <c r="E95" i="6"/>
  <c r="R94" i="6"/>
  <c r="S94" i="6" s="1"/>
  <c r="P94" i="6"/>
  <c r="O94" i="6"/>
  <c r="I94" i="6"/>
  <c r="G94" i="6"/>
  <c r="H94" i="6" s="1"/>
  <c r="F94" i="6"/>
  <c r="E94" i="6"/>
  <c r="S93" i="6"/>
  <c r="R93" i="6"/>
  <c r="P93" i="6"/>
  <c r="O93" i="6"/>
  <c r="G93" i="6"/>
  <c r="F93" i="6"/>
  <c r="E93" i="6"/>
  <c r="S92" i="6"/>
  <c r="R92" i="6"/>
  <c r="O92" i="6"/>
  <c r="P92" i="6" s="1"/>
  <c r="G92" i="6"/>
  <c r="I92" i="6" s="1"/>
  <c r="F92" i="6"/>
  <c r="E92" i="6"/>
  <c r="S91" i="6"/>
  <c r="R91" i="6"/>
  <c r="P91" i="6"/>
  <c r="O91" i="6"/>
  <c r="G91" i="6"/>
  <c r="F91" i="6"/>
  <c r="E91" i="6"/>
  <c r="R90" i="6"/>
  <c r="S90" i="6" s="1"/>
  <c r="O90" i="6"/>
  <c r="P90" i="6" s="1"/>
  <c r="G90" i="6"/>
  <c r="H90" i="6" s="1"/>
  <c r="F90" i="6"/>
  <c r="E90" i="6"/>
  <c r="S89" i="6"/>
  <c r="R89" i="6"/>
  <c r="P89" i="6"/>
  <c r="O89" i="6"/>
  <c r="G89" i="6"/>
  <c r="F89" i="6"/>
  <c r="E89" i="6"/>
  <c r="R88" i="6"/>
  <c r="S88" i="6" s="1"/>
  <c r="O88" i="6"/>
  <c r="P88" i="6" s="1"/>
  <c r="G88" i="6"/>
  <c r="I88" i="6" s="1"/>
  <c r="F88" i="6"/>
  <c r="E88" i="6"/>
  <c r="R87" i="6"/>
  <c r="P87" i="6"/>
  <c r="P105" i="6" s="1"/>
  <c r="O87" i="6"/>
  <c r="O105" i="6" s="1"/>
  <c r="G87" i="6"/>
  <c r="H87" i="6" s="1"/>
  <c r="F87" i="6"/>
  <c r="E87" i="6"/>
  <c r="R36" i="6"/>
  <c r="Q36" i="6"/>
  <c r="P36" i="6"/>
  <c r="O36" i="6"/>
  <c r="N36" i="6"/>
  <c r="M36" i="6"/>
  <c r="L36" i="6"/>
  <c r="J32" i="6"/>
  <c r="Q30" i="6"/>
  <c r="N30" i="6"/>
  <c r="M30" i="6"/>
  <c r="L30" i="6"/>
  <c r="J30" i="6"/>
  <c r="D30" i="6"/>
  <c r="R29" i="6"/>
  <c r="S29" i="6" s="1"/>
  <c r="O29" i="6"/>
  <c r="G29" i="6"/>
  <c r="I29" i="6" s="1"/>
  <c r="F29" i="6"/>
  <c r="E29" i="6"/>
  <c r="S28" i="6"/>
  <c r="R28" i="6"/>
  <c r="R30" i="6" s="1"/>
  <c r="P28" i="6"/>
  <c r="O28" i="6"/>
  <c r="G28" i="6"/>
  <c r="F28" i="6"/>
  <c r="F30" i="6" s="1"/>
  <c r="E28" i="6"/>
  <c r="E30" i="6" s="1"/>
  <c r="N25" i="6"/>
  <c r="N32" i="6" s="1"/>
  <c r="N37" i="6" s="1"/>
  <c r="L25" i="6"/>
  <c r="L32" i="6" s="1"/>
  <c r="L37" i="6" s="1"/>
  <c r="J25" i="6"/>
  <c r="S23" i="6"/>
  <c r="R23" i="6"/>
  <c r="Q23" i="6"/>
  <c r="N23" i="6"/>
  <c r="M23" i="6"/>
  <c r="L23" i="6"/>
  <c r="J23" i="6"/>
  <c r="D23" i="6"/>
  <c r="R22" i="6"/>
  <c r="S22" i="6" s="1"/>
  <c r="O22" i="6"/>
  <c r="G22" i="6"/>
  <c r="F22" i="6"/>
  <c r="F23" i="6" s="1"/>
  <c r="E22" i="6"/>
  <c r="E23" i="6" s="1"/>
  <c r="Q19" i="6"/>
  <c r="Q25" i="6" s="1"/>
  <c r="N19" i="6"/>
  <c r="M19" i="6"/>
  <c r="M25" i="6" s="1"/>
  <c r="M32" i="6" s="1"/>
  <c r="M37" i="6" s="1"/>
  <c r="L19" i="6"/>
  <c r="J19" i="6"/>
  <c r="D19" i="6"/>
  <c r="D25" i="6" s="1"/>
  <c r="D32" i="6" s="1"/>
  <c r="R18" i="6"/>
  <c r="S18" i="6" s="1"/>
  <c r="O18" i="6"/>
  <c r="P18" i="6" s="1"/>
  <c r="G18" i="6"/>
  <c r="F18" i="6"/>
  <c r="E18" i="6"/>
  <c r="S17" i="6"/>
  <c r="R17" i="6"/>
  <c r="P17" i="6"/>
  <c r="O17" i="6"/>
  <c r="G17" i="6"/>
  <c r="F17" i="6"/>
  <c r="E17" i="6"/>
  <c r="S16" i="6"/>
  <c r="R16" i="6"/>
  <c r="O16" i="6"/>
  <c r="P16" i="6" s="1"/>
  <c r="G16" i="6"/>
  <c r="I16" i="6" s="1"/>
  <c r="F16" i="6"/>
  <c r="E16" i="6"/>
  <c r="S15" i="6"/>
  <c r="R15" i="6"/>
  <c r="P15" i="6"/>
  <c r="O15" i="6"/>
  <c r="G15" i="6"/>
  <c r="F15" i="6"/>
  <c r="E15" i="6"/>
  <c r="S14" i="6"/>
  <c r="P14" i="6"/>
  <c r="O14" i="6"/>
  <c r="G14" i="6"/>
  <c r="H14" i="6" s="1"/>
  <c r="F14" i="6"/>
  <c r="E14" i="6"/>
  <c r="R13" i="6"/>
  <c r="S13" i="6" s="1"/>
  <c r="O13" i="6"/>
  <c r="P13" i="6" s="1"/>
  <c r="G13" i="6"/>
  <c r="F13" i="6"/>
  <c r="E13" i="6"/>
  <c r="S12" i="6"/>
  <c r="R12" i="6"/>
  <c r="O12" i="6"/>
  <c r="P12" i="6" s="1"/>
  <c r="G12" i="6"/>
  <c r="I12" i="6" s="1"/>
  <c r="F12" i="6"/>
  <c r="E12" i="6"/>
  <c r="R11" i="6"/>
  <c r="S11" i="6" s="1"/>
  <c r="P11" i="6"/>
  <c r="O11" i="6"/>
  <c r="G11" i="6"/>
  <c r="I11" i="6" s="1"/>
  <c r="F11" i="6"/>
  <c r="E11" i="6"/>
  <c r="S10" i="6"/>
  <c r="R10" i="6"/>
  <c r="P10" i="6"/>
  <c r="O10" i="6"/>
  <c r="G10" i="6"/>
  <c r="H10" i="6" s="1"/>
  <c r="F10" i="6"/>
  <c r="E10" i="6"/>
  <c r="S9" i="6"/>
  <c r="R9" i="6"/>
  <c r="P9" i="6"/>
  <c r="O9" i="6"/>
  <c r="G9" i="6"/>
  <c r="F9" i="6"/>
  <c r="E9" i="6"/>
  <c r="S8" i="6"/>
  <c r="R8" i="6"/>
  <c r="P8" i="6"/>
  <c r="O8" i="6"/>
  <c r="G8" i="6"/>
  <c r="H8" i="6" s="1"/>
  <c r="F8" i="6"/>
  <c r="E8" i="6"/>
  <c r="R7" i="6"/>
  <c r="S7" i="6" s="1"/>
  <c r="P7" i="6"/>
  <c r="O7" i="6"/>
  <c r="G7" i="6"/>
  <c r="I7" i="6" s="1"/>
  <c r="F7" i="6"/>
  <c r="E7" i="6"/>
  <c r="S6" i="6"/>
  <c r="R6" i="6"/>
  <c r="P6" i="6"/>
  <c r="O6" i="6"/>
  <c r="G6" i="6"/>
  <c r="H6" i="6" s="1"/>
  <c r="F6" i="6"/>
  <c r="E6" i="6"/>
  <c r="S5" i="6"/>
  <c r="R5" i="6"/>
  <c r="O5" i="6"/>
  <c r="P5" i="6" s="1"/>
  <c r="G5" i="6"/>
  <c r="I5" i="6" s="1"/>
  <c r="F5" i="6"/>
  <c r="E5" i="6"/>
  <c r="S4" i="6"/>
  <c r="R4" i="6"/>
  <c r="P4" i="6"/>
  <c r="O4" i="6"/>
  <c r="G4" i="6"/>
  <c r="I4" i="6" s="1"/>
  <c r="F4" i="6"/>
  <c r="E4" i="6"/>
  <c r="R3" i="6"/>
  <c r="S3" i="6" s="1"/>
  <c r="O3" i="6"/>
  <c r="G3" i="6"/>
  <c r="I3" i="6" s="1"/>
  <c r="F3" i="6"/>
  <c r="E3" i="6"/>
  <c r="L172" i="5"/>
  <c r="M170" i="5"/>
  <c r="M172" i="5" s="1"/>
  <c r="L170" i="5"/>
  <c r="Q167" i="5"/>
  <c r="O167" i="5"/>
  <c r="O170" i="5" s="1"/>
  <c r="O172" i="5" s="1"/>
  <c r="N167" i="5"/>
  <c r="M167" i="5"/>
  <c r="L167" i="5"/>
  <c r="Q161" i="5"/>
  <c r="Q170" i="5" s="1"/>
  <c r="Q172" i="5" s="1"/>
  <c r="N161" i="5"/>
  <c r="N170" i="5" s="1"/>
  <c r="N172" i="5" s="1"/>
  <c r="N160" i="5"/>
  <c r="M159" i="5"/>
  <c r="L159" i="5"/>
  <c r="G159" i="5"/>
  <c r="E159" i="5"/>
  <c r="B157" i="5"/>
  <c r="A157" i="5"/>
  <c r="Q154" i="5"/>
  <c r="Q152" i="5"/>
  <c r="L150" i="5"/>
  <c r="Q149" i="5"/>
  <c r="O149" i="5"/>
  <c r="O152" i="5" s="1"/>
  <c r="O154" i="5" s="1"/>
  <c r="N149" i="5"/>
  <c r="N152" i="5" s="1"/>
  <c r="N154" i="5" s="1"/>
  <c r="M149" i="5"/>
  <c r="M152" i="5" s="1"/>
  <c r="M154" i="5" s="1"/>
  <c r="L149" i="5"/>
  <c r="Q141" i="5"/>
  <c r="Q159" i="5" s="1"/>
  <c r="O141" i="5"/>
  <c r="O159" i="5" s="1"/>
  <c r="N141" i="5"/>
  <c r="N159" i="5" s="1"/>
  <c r="M141" i="5"/>
  <c r="L141" i="5"/>
  <c r="G141" i="5"/>
  <c r="F141" i="5"/>
  <c r="F159" i="5" s="1"/>
  <c r="E141" i="5"/>
  <c r="D141" i="5"/>
  <c r="D159" i="5" s="1"/>
  <c r="B141" i="5"/>
  <c r="B159" i="5" s="1"/>
  <c r="D139" i="5"/>
  <c r="B139" i="5"/>
  <c r="R110" i="5"/>
  <c r="Q110" i="5"/>
  <c r="O110" i="5"/>
  <c r="N110" i="5"/>
  <c r="M110" i="5"/>
  <c r="L110" i="5"/>
  <c r="J110" i="5"/>
  <c r="G110" i="5"/>
  <c r="H110" i="5" s="1"/>
  <c r="F110" i="5"/>
  <c r="E110" i="5"/>
  <c r="D110" i="5"/>
  <c r="S109" i="5"/>
  <c r="I109" i="5"/>
  <c r="H109" i="5"/>
  <c r="S108" i="5"/>
  <c r="P108" i="5"/>
  <c r="I108" i="5"/>
  <c r="H108" i="5"/>
  <c r="S107" i="5"/>
  <c r="P107" i="5"/>
  <c r="I107" i="5"/>
  <c r="H107" i="5"/>
  <c r="S106" i="5"/>
  <c r="P106" i="5"/>
  <c r="I106" i="5"/>
  <c r="H106" i="5"/>
  <c r="S105" i="5"/>
  <c r="P105" i="5"/>
  <c r="I105" i="5"/>
  <c r="H105" i="5"/>
  <c r="S104" i="5"/>
  <c r="P104" i="5"/>
  <c r="I104" i="5"/>
  <c r="H104" i="5"/>
  <c r="S103" i="5"/>
  <c r="P103" i="5"/>
  <c r="I103" i="5"/>
  <c r="H103" i="5"/>
  <c r="S102" i="5"/>
  <c r="P102" i="5"/>
  <c r="I102" i="5"/>
  <c r="H102" i="5"/>
  <c r="S101" i="5"/>
  <c r="P101" i="5"/>
  <c r="I101" i="5"/>
  <c r="H101" i="5"/>
  <c r="S100" i="5"/>
  <c r="P100" i="5"/>
  <c r="I100" i="5"/>
  <c r="H100" i="5"/>
  <c r="S99" i="5"/>
  <c r="P99" i="5"/>
  <c r="I99" i="5"/>
  <c r="H99" i="5"/>
  <c r="S98" i="5"/>
  <c r="P98" i="5"/>
  <c r="I98" i="5"/>
  <c r="H98" i="5"/>
  <c r="S97" i="5"/>
  <c r="P97" i="5"/>
  <c r="I97" i="5"/>
  <c r="H97" i="5"/>
  <c r="S96" i="5"/>
  <c r="P96" i="5"/>
  <c r="I96" i="5"/>
  <c r="H96" i="5"/>
  <c r="S95" i="5"/>
  <c r="P95" i="5"/>
  <c r="I95" i="5"/>
  <c r="H95" i="5"/>
  <c r="S94" i="5"/>
  <c r="P94" i="5"/>
  <c r="S93" i="5"/>
  <c r="P93" i="5"/>
  <c r="I93" i="5"/>
  <c r="H93" i="5"/>
  <c r="S92" i="5"/>
  <c r="P92" i="5"/>
  <c r="I92" i="5"/>
  <c r="H92" i="5"/>
  <c r="S91" i="5"/>
  <c r="P91" i="5"/>
  <c r="I91" i="5"/>
  <c r="H91" i="5"/>
  <c r="S90" i="5"/>
  <c r="P90" i="5"/>
  <c r="I90" i="5"/>
  <c r="H90" i="5"/>
  <c r="S89" i="5"/>
  <c r="P89" i="5"/>
  <c r="I89" i="5"/>
  <c r="H89" i="5"/>
  <c r="S88" i="5"/>
  <c r="P88" i="5"/>
  <c r="I88" i="5"/>
  <c r="H88" i="5"/>
  <c r="M36" i="5"/>
  <c r="S34" i="5"/>
  <c r="R34" i="5"/>
  <c r="B6" i="1" s="1"/>
  <c r="Q34" i="5"/>
  <c r="O34" i="5"/>
  <c r="N34" i="5"/>
  <c r="M34" i="5"/>
  <c r="L34" i="5"/>
  <c r="J34" i="5"/>
  <c r="D34" i="5"/>
  <c r="D36" i="5" s="1"/>
  <c r="S33" i="5"/>
  <c r="G33" i="5"/>
  <c r="H33" i="5" s="1"/>
  <c r="F33" i="5"/>
  <c r="E33" i="5"/>
  <c r="S32" i="5"/>
  <c r="P32" i="5"/>
  <c r="P34" i="5" s="1"/>
  <c r="G32" i="5"/>
  <c r="H32" i="5" s="1"/>
  <c r="F32" i="5"/>
  <c r="F34" i="5" s="1"/>
  <c r="E32" i="5"/>
  <c r="E34" i="5" s="1"/>
  <c r="R29" i="5"/>
  <c r="M29" i="5"/>
  <c r="R27" i="5"/>
  <c r="Q27" i="5"/>
  <c r="P27" i="5"/>
  <c r="O27" i="5"/>
  <c r="N27" i="5"/>
  <c r="M27" i="5"/>
  <c r="L27" i="5"/>
  <c r="G27" i="5"/>
  <c r="I27" i="5" s="1"/>
  <c r="D27" i="5"/>
  <c r="S26" i="5"/>
  <c r="G26" i="5"/>
  <c r="I26" i="5" s="1"/>
  <c r="F26" i="5"/>
  <c r="E26" i="5"/>
  <c r="S25" i="5"/>
  <c r="G25" i="5"/>
  <c r="H25" i="5" s="1"/>
  <c r="F25" i="5"/>
  <c r="F27" i="5" s="1"/>
  <c r="E25" i="5"/>
  <c r="R22" i="5"/>
  <c r="Q22" i="5"/>
  <c r="O22" i="5"/>
  <c r="O29" i="5" s="1"/>
  <c r="N22" i="5"/>
  <c r="M22" i="5"/>
  <c r="L22" i="5"/>
  <c r="J22" i="5"/>
  <c r="D22" i="5"/>
  <c r="D29" i="5" s="1"/>
  <c r="S21" i="5"/>
  <c r="G21" i="5"/>
  <c r="I21" i="5" s="1"/>
  <c r="F21" i="5"/>
  <c r="E21" i="5"/>
  <c r="S20" i="5"/>
  <c r="P20" i="5"/>
  <c r="G20" i="5"/>
  <c r="F20" i="5"/>
  <c r="E20" i="5"/>
  <c r="S19" i="5"/>
  <c r="P19" i="5"/>
  <c r="G19" i="5"/>
  <c r="I19" i="5" s="1"/>
  <c r="F19" i="5"/>
  <c r="E19" i="5"/>
  <c r="S18" i="5"/>
  <c r="P18" i="5"/>
  <c r="G18" i="5"/>
  <c r="H18" i="5" s="1"/>
  <c r="F18" i="5"/>
  <c r="E18" i="5"/>
  <c r="S17" i="5"/>
  <c r="P17" i="5"/>
  <c r="G17" i="5"/>
  <c r="F17" i="5"/>
  <c r="E17" i="5"/>
  <c r="S16" i="5"/>
  <c r="P16" i="5"/>
  <c r="G16" i="5"/>
  <c r="F16" i="5"/>
  <c r="E16" i="5"/>
  <c r="S15" i="5"/>
  <c r="P15" i="5"/>
  <c r="G15" i="5"/>
  <c r="H15" i="5" s="1"/>
  <c r="F15" i="5"/>
  <c r="E15" i="5"/>
  <c r="S14" i="5"/>
  <c r="P14" i="5"/>
  <c r="G14" i="5"/>
  <c r="I14" i="5" s="1"/>
  <c r="F14" i="5"/>
  <c r="E14" i="5"/>
  <c r="S13" i="5"/>
  <c r="P13" i="5"/>
  <c r="G13" i="5"/>
  <c r="F13" i="5"/>
  <c r="F22" i="5" s="1"/>
  <c r="F29" i="5" s="1"/>
  <c r="E13" i="5"/>
  <c r="S12" i="5"/>
  <c r="P12" i="5"/>
  <c r="G12" i="5"/>
  <c r="H12" i="5" s="1"/>
  <c r="F12" i="5"/>
  <c r="E12" i="5"/>
  <c r="S11" i="5"/>
  <c r="P11" i="5"/>
  <c r="G11" i="5"/>
  <c r="I11" i="5" s="1"/>
  <c r="F11" i="5"/>
  <c r="E11" i="5"/>
  <c r="S10" i="5"/>
  <c r="P10" i="5"/>
  <c r="G10" i="5"/>
  <c r="F10" i="5"/>
  <c r="E10" i="5"/>
  <c r="S9" i="5"/>
  <c r="P9" i="5"/>
  <c r="G9" i="5"/>
  <c r="I9" i="5" s="1"/>
  <c r="F9" i="5"/>
  <c r="E9" i="5"/>
  <c r="S8" i="5"/>
  <c r="P8" i="5"/>
  <c r="G8" i="5"/>
  <c r="H8" i="5" s="1"/>
  <c r="F8" i="5"/>
  <c r="E8" i="5"/>
  <c r="S7" i="5"/>
  <c r="P7" i="5"/>
  <c r="G7" i="5"/>
  <c r="I7" i="5" s="1"/>
  <c r="F7" i="5"/>
  <c r="E7" i="5"/>
  <c r="S6" i="5"/>
  <c r="S22" i="5" s="1"/>
  <c r="P6" i="5"/>
  <c r="G6" i="5"/>
  <c r="H6" i="5" s="1"/>
  <c r="F6" i="5"/>
  <c r="E6" i="5"/>
  <c r="S30" i="4"/>
  <c r="R30" i="4"/>
  <c r="Q30" i="4"/>
  <c r="P30" i="4"/>
  <c r="O30" i="4"/>
  <c r="N30" i="4"/>
  <c r="M30" i="4"/>
  <c r="N26" i="4"/>
  <c r="N31" i="4" s="1"/>
  <c r="M26" i="4"/>
  <c r="M31" i="4" s="1"/>
  <c r="K26" i="4"/>
  <c r="H26" i="4"/>
  <c r="D26" i="4"/>
  <c r="S25" i="4"/>
  <c r="T25" i="4" s="1"/>
  <c r="R25" i="4"/>
  <c r="P25" i="4"/>
  <c r="O25" i="4"/>
  <c r="G25" i="4"/>
  <c r="F25" i="4"/>
  <c r="E25" i="4"/>
  <c r="T24" i="4"/>
  <c r="S24" i="4"/>
  <c r="R24" i="4"/>
  <c r="Q24" i="4"/>
  <c r="P24" i="4"/>
  <c r="O24" i="4"/>
  <c r="G24" i="4"/>
  <c r="F24" i="4"/>
  <c r="E24" i="4"/>
  <c r="S23" i="4"/>
  <c r="T23" i="4" s="1"/>
  <c r="R23" i="4"/>
  <c r="Q23" i="4"/>
  <c r="P23" i="4"/>
  <c r="O23" i="4"/>
  <c r="G23" i="4"/>
  <c r="F23" i="4"/>
  <c r="E23" i="4"/>
  <c r="S22" i="4"/>
  <c r="T22" i="4" s="1"/>
  <c r="R22" i="4"/>
  <c r="P22" i="4"/>
  <c r="Q22" i="4" s="1"/>
  <c r="O22" i="4"/>
  <c r="I22" i="4"/>
  <c r="G22" i="4"/>
  <c r="J22" i="4" s="1"/>
  <c r="F22" i="4"/>
  <c r="E22" i="4"/>
  <c r="S21" i="4"/>
  <c r="T21" i="4" s="1"/>
  <c r="R21" i="4"/>
  <c r="Q21" i="4"/>
  <c r="P21" i="4"/>
  <c r="O21" i="4"/>
  <c r="I21" i="4"/>
  <c r="G21" i="4"/>
  <c r="J21" i="4" s="1"/>
  <c r="F21" i="4"/>
  <c r="E21" i="4"/>
  <c r="T20" i="4"/>
  <c r="S20" i="4"/>
  <c r="R20" i="4"/>
  <c r="P20" i="4"/>
  <c r="Q20" i="4" s="1"/>
  <c r="O20" i="4"/>
  <c r="I20" i="4"/>
  <c r="G20" i="4"/>
  <c r="J20" i="4" s="1"/>
  <c r="F20" i="4"/>
  <c r="E20" i="4"/>
  <c r="T19" i="4"/>
  <c r="S19" i="4"/>
  <c r="R19" i="4"/>
  <c r="P19" i="4"/>
  <c r="O19" i="4"/>
  <c r="Q19" i="4" s="1"/>
  <c r="G19" i="4"/>
  <c r="F19" i="4"/>
  <c r="E19" i="4"/>
  <c r="S18" i="4"/>
  <c r="R18" i="4"/>
  <c r="T18" i="4" s="1"/>
  <c r="P18" i="4"/>
  <c r="Q18" i="4" s="1"/>
  <c r="O18" i="4"/>
  <c r="G18" i="4"/>
  <c r="F18" i="4"/>
  <c r="E18" i="4"/>
  <c r="S17" i="4"/>
  <c r="T17" i="4" s="1"/>
  <c r="R17" i="4"/>
  <c r="Q17" i="4"/>
  <c r="P17" i="4"/>
  <c r="O17" i="4"/>
  <c r="I17" i="4"/>
  <c r="G17" i="4"/>
  <c r="F17" i="4"/>
  <c r="E17" i="4"/>
  <c r="S16" i="4"/>
  <c r="T16" i="4" s="1"/>
  <c r="R16" i="4"/>
  <c r="Q16" i="4"/>
  <c r="P16" i="4"/>
  <c r="O16" i="4"/>
  <c r="G16" i="4"/>
  <c r="F16" i="4"/>
  <c r="E16" i="4"/>
  <c r="T15" i="4"/>
  <c r="S15" i="4"/>
  <c r="R15" i="4"/>
  <c r="P15" i="4"/>
  <c r="Q15" i="4" s="1"/>
  <c r="O15" i="4"/>
  <c r="G15" i="4"/>
  <c r="F15" i="4"/>
  <c r="E15" i="4"/>
  <c r="S14" i="4"/>
  <c r="R14" i="4"/>
  <c r="T14" i="4" s="1"/>
  <c r="Q14" i="4"/>
  <c r="P14" i="4"/>
  <c r="O14" i="4"/>
  <c r="G14" i="4"/>
  <c r="F14" i="4"/>
  <c r="E14" i="4"/>
  <c r="S13" i="4"/>
  <c r="R13" i="4"/>
  <c r="Q13" i="4"/>
  <c r="I13" i="4" s="1"/>
  <c r="P13" i="4"/>
  <c r="O13" i="4"/>
  <c r="G13" i="4"/>
  <c r="J13" i="4" s="1"/>
  <c r="F13" i="4"/>
  <c r="E13" i="4"/>
  <c r="T12" i="4"/>
  <c r="S12" i="4"/>
  <c r="R12" i="4"/>
  <c r="P12" i="4"/>
  <c r="Q12" i="4" s="1"/>
  <c r="O12" i="4"/>
  <c r="G12" i="4"/>
  <c r="F12" i="4"/>
  <c r="E12" i="4"/>
  <c r="S11" i="4"/>
  <c r="T11" i="4" s="1"/>
  <c r="R11" i="4"/>
  <c r="P11" i="4"/>
  <c r="Q11" i="4" s="1"/>
  <c r="I11" i="4" s="1"/>
  <c r="O11" i="4"/>
  <c r="G11" i="4"/>
  <c r="F11" i="4"/>
  <c r="E11" i="4"/>
  <c r="S10" i="4"/>
  <c r="T10" i="4" s="1"/>
  <c r="R10" i="4"/>
  <c r="P10" i="4"/>
  <c r="Q10" i="4" s="1"/>
  <c r="O10" i="4"/>
  <c r="I10" i="4"/>
  <c r="G10" i="4"/>
  <c r="J10" i="4" s="1"/>
  <c r="F10" i="4"/>
  <c r="E10" i="4"/>
  <c r="S9" i="4"/>
  <c r="T9" i="4" s="1"/>
  <c r="R9" i="4"/>
  <c r="Q9" i="4"/>
  <c r="P9" i="4"/>
  <c r="O9" i="4"/>
  <c r="I9" i="4"/>
  <c r="G9" i="4"/>
  <c r="J9" i="4" s="1"/>
  <c r="F9" i="4"/>
  <c r="E9" i="4"/>
  <c r="T8" i="4"/>
  <c r="S8" i="4"/>
  <c r="R8" i="4"/>
  <c r="P8" i="4"/>
  <c r="Q8" i="4" s="1"/>
  <c r="O8" i="4"/>
  <c r="G8" i="4"/>
  <c r="F8" i="4"/>
  <c r="E8" i="4"/>
  <c r="S7" i="4"/>
  <c r="T7" i="4" s="1"/>
  <c r="R7" i="4"/>
  <c r="P7" i="4"/>
  <c r="Q7" i="4" s="1"/>
  <c r="O7" i="4"/>
  <c r="O26" i="4" s="1"/>
  <c r="O31" i="4" s="1"/>
  <c r="I7" i="4"/>
  <c r="G7" i="4"/>
  <c r="F7" i="4"/>
  <c r="E7" i="4"/>
  <c r="S6" i="4"/>
  <c r="R6" i="4"/>
  <c r="P6" i="4"/>
  <c r="Q6" i="4" s="1"/>
  <c r="O6" i="4"/>
  <c r="G6" i="4"/>
  <c r="J6" i="4" s="1"/>
  <c r="F6" i="4"/>
  <c r="E6" i="4"/>
  <c r="E26" i="4" s="1"/>
  <c r="N29" i="3"/>
  <c r="O33" i="3" s="1"/>
  <c r="M29" i="3"/>
  <c r="N33" i="3" s="1"/>
  <c r="L29" i="3"/>
  <c r="M33" i="3" s="1"/>
  <c r="J29" i="3"/>
  <c r="D29" i="3"/>
  <c r="S27" i="3"/>
  <c r="R27" i="3"/>
  <c r="Q27" i="3"/>
  <c r="O27" i="3"/>
  <c r="N27" i="3"/>
  <c r="M27" i="3"/>
  <c r="L27" i="3"/>
  <c r="J27" i="3"/>
  <c r="D27" i="3"/>
  <c r="S26" i="3"/>
  <c r="P26" i="3"/>
  <c r="P27" i="3" s="1"/>
  <c r="G26" i="3"/>
  <c r="F26" i="3"/>
  <c r="F27" i="3" s="1"/>
  <c r="E26" i="3"/>
  <c r="E27" i="3" s="1"/>
  <c r="R23" i="3"/>
  <c r="Q23" i="3"/>
  <c r="O23" i="3"/>
  <c r="O29" i="3" s="1"/>
  <c r="P33" i="3" s="1"/>
  <c r="N23" i="3"/>
  <c r="M23" i="3"/>
  <c r="L23" i="3"/>
  <c r="J23" i="3"/>
  <c r="D23" i="3"/>
  <c r="S22" i="3"/>
  <c r="P22" i="3"/>
  <c r="G22" i="3"/>
  <c r="H22" i="3" s="1"/>
  <c r="F22" i="3"/>
  <c r="E22" i="3"/>
  <c r="S21" i="3"/>
  <c r="P21" i="3"/>
  <c r="G21" i="3"/>
  <c r="I21" i="3" s="1"/>
  <c r="F21" i="3"/>
  <c r="E21" i="3"/>
  <c r="S20" i="3"/>
  <c r="P20" i="3"/>
  <c r="G20" i="3"/>
  <c r="H20" i="3" s="1"/>
  <c r="F20" i="3"/>
  <c r="E20" i="3"/>
  <c r="S19" i="3"/>
  <c r="P19" i="3"/>
  <c r="G19" i="3"/>
  <c r="I19" i="3" s="1"/>
  <c r="F19" i="3"/>
  <c r="E19" i="3"/>
  <c r="S18" i="3"/>
  <c r="P18" i="3"/>
  <c r="G18" i="3"/>
  <c r="F18" i="3"/>
  <c r="E18" i="3"/>
  <c r="S17" i="3"/>
  <c r="P17" i="3"/>
  <c r="G17" i="3"/>
  <c r="I17" i="3" s="1"/>
  <c r="F17" i="3"/>
  <c r="E17" i="3"/>
  <c r="S16" i="3"/>
  <c r="P16" i="3"/>
  <c r="G16" i="3"/>
  <c r="F16" i="3"/>
  <c r="E16" i="3"/>
  <c r="S15" i="3"/>
  <c r="P15" i="3"/>
  <c r="G15" i="3"/>
  <c r="I15" i="3" s="1"/>
  <c r="F15" i="3"/>
  <c r="E15" i="3"/>
  <c r="S14" i="3"/>
  <c r="P14" i="3"/>
  <c r="G14" i="3"/>
  <c r="I14" i="3" s="1"/>
  <c r="F14" i="3"/>
  <c r="E14" i="3"/>
  <c r="S13" i="3"/>
  <c r="P13" i="3"/>
  <c r="G13" i="3"/>
  <c r="I13" i="3" s="1"/>
  <c r="F13" i="3"/>
  <c r="E13" i="3"/>
  <c r="S12" i="3"/>
  <c r="P12" i="3"/>
  <c r="G12" i="3"/>
  <c r="I12" i="3" s="1"/>
  <c r="F12" i="3"/>
  <c r="E12" i="3"/>
  <c r="S11" i="3"/>
  <c r="P11" i="3"/>
  <c r="G11" i="3"/>
  <c r="I11" i="3" s="1"/>
  <c r="F11" i="3"/>
  <c r="E11" i="3"/>
  <c r="S10" i="3"/>
  <c r="P10" i="3"/>
  <c r="G10" i="3"/>
  <c r="I10" i="3" s="1"/>
  <c r="F10" i="3"/>
  <c r="E10" i="3"/>
  <c r="S9" i="3"/>
  <c r="P9" i="3"/>
  <c r="G9" i="3"/>
  <c r="F9" i="3"/>
  <c r="E9" i="3"/>
  <c r="S8" i="3"/>
  <c r="P8" i="3"/>
  <c r="G8" i="3"/>
  <c r="F8" i="3"/>
  <c r="E8" i="3"/>
  <c r="S7" i="3"/>
  <c r="P7" i="3"/>
  <c r="G7" i="3"/>
  <c r="H7" i="3" s="1"/>
  <c r="F7" i="3"/>
  <c r="E7" i="3"/>
  <c r="E23" i="3" s="1"/>
  <c r="S30" i="2"/>
  <c r="O30" i="2"/>
  <c r="M30" i="2"/>
  <c r="N27" i="2"/>
  <c r="D27" i="2"/>
  <c r="S25" i="2"/>
  <c r="R25" i="2"/>
  <c r="Q25" i="2"/>
  <c r="O25" i="2"/>
  <c r="N25" i="2"/>
  <c r="M25" i="2"/>
  <c r="L25" i="2"/>
  <c r="J25" i="2"/>
  <c r="J27" i="2" s="1"/>
  <c r="D25" i="2"/>
  <c r="S24" i="2"/>
  <c r="P24" i="2"/>
  <c r="P25" i="2" s="1"/>
  <c r="G24" i="2"/>
  <c r="I24" i="2" s="1"/>
  <c r="I25" i="2" s="1"/>
  <c r="F24" i="2"/>
  <c r="F25" i="2" s="1"/>
  <c r="E24" i="2"/>
  <c r="E25" i="2" s="1"/>
  <c r="R21" i="2"/>
  <c r="R27" i="2" s="1"/>
  <c r="Q21" i="2"/>
  <c r="O21" i="2"/>
  <c r="N21" i="2"/>
  <c r="M21" i="2"/>
  <c r="M27" i="2" s="1"/>
  <c r="L21" i="2"/>
  <c r="L27" i="2" s="1"/>
  <c r="D21" i="2"/>
  <c r="S20" i="2"/>
  <c r="G20" i="2"/>
  <c r="I20" i="2" s="1"/>
  <c r="F20" i="2"/>
  <c r="E20" i="2"/>
  <c r="S19" i="2"/>
  <c r="P19" i="2"/>
  <c r="G19" i="2"/>
  <c r="F19" i="2"/>
  <c r="E19" i="2"/>
  <c r="S18" i="2"/>
  <c r="P18" i="2"/>
  <c r="G18" i="2"/>
  <c r="F18" i="2"/>
  <c r="E18" i="2"/>
  <c r="S17" i="2"/>
  <c r="P17" i="2"/>
  <c r="G17" i="2"/>
  <c r="H17" i="2" s="1"/>
  <c r="F17" i="2"/>
  <c r="E17" i="2"/>
  <c r="S16" i="2"/>
  <c r="P16" i="2"/>
  <c r="G16" i="2"/>
  <c r="I16" i="2" s="1"/>
  <c r="F16" i="2"/>
  <c r="E16" i="2"/>
  <c r="S15" i="2"/>
  <c r="P15" i="2"/>
  <c r="P20" i="2" s="1"/>
  <c r="G15" i="2"/>
  <c r="F15" i="2"/>
  <c r="E15" i="2"/>
  <c r="S14" i="2"/>
  <c r="P14" i="2"/>
  <c r="J14" i="2"/>
  <c r="J21" i="2" s="1"/>
  <c r="G14" i="2"/>
  <c r="H14" i="2" s="1"/>
  <c r="F14" i="2"/>
  <c r="E14" i="2"/>
  <c r="S13" i="2"/>
  <c r="P13" i="2"/>
  <c r="G13" i="2"/>
  <c r="I13" i="2" s="1"/>
  <c r="F13" i="2"/>
  <c r="E13" i="2"/>
  <c r="S12" i="2"/>
  <c r="P12" i="2"/>
  <c r="G12" i="2"/>
  <c r="H12" i="2" s="1"/>
  <c r="F12" i="2"/>
  <c r="E12" i="2"/>
  <c r="S11" i="2"/>
  <c r="P11" i="2"/>
  <c r="G11" i="2"/>
  <c r="I11" i="2" s="1"/>
  <c r="F11" i="2"/>
  <c r="E11" i="2"/>
  <c r="S10" i="2"/>
  <c r="P10" i="2"/>
  <c r="G10" i="2"/>
  <c r="H10" i="2" s="1"/>
  <c r="F10" i="2"/>
  <c r="E10" i="2"/>
  <c r="S9" i="2"/>
  <c r="P9" i="2"/>
  <c r="G9" i="2"/>
  <c r="F9" i="2"/>
  <c r="E9" i="2"/>
  <c r="S8" i="2"/>
  <c r="P8" i="2"/>
  <c r="G8" i="2"/>
  <c r="F8" i="2"/>
  <c r="E8" i="2"/>
  <c r="S7" i="2"/>
  <c r="S21" i="2" s="1"/>
  <c r="P7" i="2"/>
  <c r="G7" i="2"/>
  <c r="I7" i="2" s="1"/>
  <c r="F7" i="2"/>
  <c r="E7" i="2"/>
  <c r="S6" i="2"/>
  <c r="P6" i="2"/>
  <c r="G6" i="2"/>
  <c r="F6" i="2"/>
  <c r="F21" i="2" s="1"/>
  <c r="E6" i="2"/>
  <c r="E21" i="2" s="1"/>
  <c r="B49" i="1"/>
  <c r="D49" i="1" s="1"/>
  <c r="B48" i="1"/>
  <c r="D48" i="1" s="1"/>
  <c r="B47" i="1"/>
  <c r="D47" i="1" s="1"/>
  <c r="B46" i="1"/>
  <c r="D46" i="1" s="1"/>
  <c r="B45" i="1"/>
  <c r="D45" i="1" s="1"/>
  <c r="B44" i="1"/>
  <c r="D44" i="1" s="1"/>
  <c r="B43" i="1"/>
  <c r="D43" i="1" s="1"/>
  <c r="C42" i="1"/>
  <c r="D42" i="1" s="1"/>
  <c r="D41" i="1"/>
  <c r="D40" i="1"/>
  <c r="D39" i="1"/>
  <c r="B37" i="1"/>
  <c r="C35" i="1"/>
  <c r="D35" i="1" s="1"/>
  <c r="C34" i="1"/>
  <c r="D34" i="1" s="1"/>
  <c r="D33" i="1"/>
  <c r="D32" i="1"/>
  <c r="D31" i="1"/>
  <c r="C30" i="1"/>
  <c r="D30" i="1" s="1"/>
  <c r="C29" i="1"/>
  <c r="D29" i="1" s="1"/>
  <c r="C27" i="1"/>
  <c r="D27" i="1" s="1"/>
  <c r="C26" i="1"/>
  <c r="D26" i="1" s="1"/>
  <c r="C25" i="1"/>
  <c r="D25" i="1" s="1"/>
  <c r="D24" i="1"/>
  <c r="C23" i="1"/>
  <c r="B20" i="1"/>
  <c r="C19" i="1"/>
  <c r="B19" i="1"/>
  <c r="C12" i="1"/>
  <c r="D12" i="1" s="1"/>
  <c r="C11" i="1"/>
  <c r="D11" i="1" s="1"/>
  <c r="C10" i="1"/>
  <c r="D10" i="1" s="1"/>
  <c r="C8" i="1"/>
  <c r="D8" i="1" s="1"/>
  <c r="C6" i="1"/>
  <c r="C3" i="1"/>
  <c r="D3" i="1" s="1"/>
  <c r="E20" i="22" l="1"/>
  <c r="I8" i="18"/>
  <c r="J14" i="7"/>
  <c r="I39" i="15"/>
  <c r="I11" i="22"/>
  <c r="I13" i="31"/>
  <c r="H29" i="31"/>
  <c r="I25" i="10"/>
  <c r="H507" i="14"/>
  <c r="H301" i="15"/>
  <c r="H7" i="34"/>
  <c r="H505" i="15"/>
  <c r="I82" i="22"/>
  <c r="H43" i="31"/>
  <c r="H93" i="14"/>
  <c r="H457" i="16"/>
  <c r="H84" i="22"/>
  <c r="H101" i="6"/>
  <c r="I688" i="16"/>
  <c r="I4" i="23"/>
  <c r="I90" i="6"/>
  <c r="H17" i="11"/>
  <c r="I95" i="14"/>
  <c r="H97" i="14"/>
  <c r="I589" i="14"/>
  <c r="I677" i="14"/>
  <c r="H434" i="16"/>
  <c r="H274" i="34"/>
  <c r="H74" i="18"/>
  <c r="I143" i="33"/>
  <c r="H441" i="14"/>
  <c r="H114" i="15"/>
  <c r="G372" i="15"/>
  <c r="I372" i="15" s="1"/>
  <c r="I435" i="16"/>
  <c r="H757" i="16"/>
  <c r="I21" i="18"/>
  <c r="I8" i="6"/>
  <c r="J9" i="7"/>
  <c r="I7" i="15"/>
  <c r="J21" i="18"/>
  <c r="I108" i="33"/>
  <c r="H90" i="14"/>
  <c r="I426" i="16"/>
  <c r="I7" i="19"/>
  <c r="I119" i="33"/>
  <c r="I417" i="34"/>
  <c r="E28" i="45"/>
  <c r="H104" i="6"/>
  <c r="G7" i="17"/>
  <c r="H12" i="3"/>
  <c r="F26" i="7"/>
  <c r="G89" i="11"/>
  <c r="I16" i="34"/>
  <c r="I18" i="45"/>
  <c r="H35" i="38"/>
  <c r="L28" i="45"/>
  <c r="M28" i="45"/>
  <c r="G22" i="45"/>
  <c r="I22" i="45" s="1"/>
  <c r="N28" i="45"/>
  <c r="O22" i="45"/>
  <c r="O28" i="45" s="1"/>
  <c r="R22" i="45"/>
  <c r="R28" i="45" s="1"/>
  <c r="I26" i="45"/>
  <c r="F28" i="45"/>
  <c r="P3" i="45"/>
  <c r="P22" i="45" s="1"/>
  <c r="P28" i="45" s="1"/>
  <c r="H6" i="45"/>
  <c r="H10" i="45"/>
  <c r="S3" i="45"/>
  <c r="S22" i="45" s="1"/>
  <c r="S28" i="45" s="1"/>
  <c r="H13" i="45"/>
  <c r="H17" i="45"/>
  <c r="H25" i="45"/>
  <c r="H5" i="45"/>
  <c r="H9" i="45"/>
  <c r="I21" i="45"/>
  <c r="I25" i="45"/>
  <c r="H16" i="45"/>
  <c r="H20" i="45"/>
  <c r="H4" i="45"/>
  <c r="H8" i="45"/>
  <c r="H12" i="45"/>
  <c r="H15" i="45"/>
  <c r="H19" i="45"/>
  <c r="H3" i="45"/>
  <c r="H7" i="45"/>
  <c r="H11" i="45"/>
  <c r="H26" i="45"/>
  <c r="H454" i="16"/>
  <c r="I454" i="16"/>
  <c r="I17" i="22"/>
  <c r="G18" i="22"/>
  <c r="H18" i="22" s="1"/>
  <c r="I15" i="5"/>
  <c r="I13" i="22"/>
  <c r="I41" i="11"/>
  <c r="H41" i="11"/>
  <c r="I440" i="16"/>
  <c r="H440" i="16"/>
  <c r="H48" i="37"/>
  <c r="I48" i="37"/>
  <c r="H18" i="16"/>
  <c r="H129" i="33"/>
  <c r="I129" i="33"/>
  <c r="H10" i="37"/>
  <c r="I511" i="14"/>
  <c r="H511" i="14"/>
  <c r="G360" i="16"/>
  <c r="I360" i="16" s="1"/>
  <c r="I359" i="16"/>
  <c r="H684" i="16"/>
  <c r="I684" i="16"/>
  <c r="I16" i="23"/>
  <c r="I104" i="16"/>
  <c r="G105" i="16"/>
  <c r="H670" i="14"/>
  <c r="I670" i="14"/>
  <c r="I439" i="34"/>
  <c r="I425" i="34"/>
  <c r="H24" i="13"/>
  <c r="I24" i="13"/>
  <c r="H10" i="13"/>
  <c r="I10" i="13"/>
  <c r="H379" i="14"/>
  <c r="I379" i="14"/>
  <c r="H511" i="15"/>
  <c r="I281" i="34"/>
  <c r="H283" i="34"/>
  <c r="I54" i="10"/>
  <c r="H54" i="10"/>
  <c r="H334" i="14"/>
  <c r="I334" i="14"/>
  <c r="I290" i="16"/>
  <c r="G293" i="16"/>
  <c r="I293" i="16" s="1"/>
  <c r="H290" i="16"/>
  <c r="H671" i="16"/>
  <c r="I671" i="16"/>
  <c r="I35" i="31"/>
  <c r="H35" i="31"/>
  <c r="H18" i="11"/>
  <c r="I13" i="36"/>
  <c r="H13" i="36"/>
  <c r="I190" i="14"/>
  <c r="H190" i="14"/>
  <c r="H4" i="19"/>
  <c r="I10" i="7"/>
  <c r="J10" i="7"/>
  <c r="I272" i="16"/>
  <c r="H272" i="16"/>
  <c r="H176" i="22"/>
  <c r="I45" i="11"/>
  <c r="H93" i="11"/>
  <c r="H91" i="14"/>
  <c r="H592" i="14"/>
  <c r="I674" i="14"/>
  <c r="I304" i="15"/>
  <c r="I11" i="16"/>
  <c r="I274" i="16"/>
  <c r="H433" i="16"/>
  <c r="H447" i="16"/>
  <c r="H601" i="16"/>
  <c r="I675" i="16"/>
  <c r="E13" i="17"/>
  <c r="I119" i="21"/>
  <c r="H96" i="23"/>
  <c r="H142" i="33"/>
  <c r="I37" i="34"/>
  <c r="I68" i="34"/>
  <c r="H273" i="34"/>
  <c r="I435" i="34"/>
  <c r="I11" i="35"/>
  <c r="I29" i="37"/>
  <c r="I40" i="37"/>
  <c r="H11" i="3"/>
  <c r="F105" i="6"/>
  <c r="F112" i="6" s="1"/>
  <c r="T96" i="10"/>
  <c r="F70" i="11"/>
  <c r="H86" i="14"/>
  <c r="I97" i="16"/>
  <c r="H529" i="16"/>
  <c r="H83" i="18"/>
  <c r="I268" i="21"/>
  <c r="H6" i="22"/>
  <c r="H31" i="31"/>
  <c r="H9" i="34"/>
  <c r="H42" i="34"/>
  <c r="I13" i="37"/>
  <c r="I39" i="34"/>
  <c r="H271" i="34"/>
  <c r="I31" i="37"/>
  <c r="H33" i="37"/>
  <c r="I272" i="33"/>
  <c r="F118" i="6"/>
  <c r="F120" i="6" s="1"/>
  <c r="E68" i="11"/>
  <c r="E597" i="14"/>
  <c r="E602" i="14" s="1"/>
  <c r="E608" i="14" s="1"/>
  <c r="F29" i="20"/>
  <c r="G120" i="21"/>
  <c r="H120" i="21" s="1"/>
  <c r="H91" i="22"/>
  <c r="H163" i="22"/>
  <c r="H430" i="33"/>
  <c r="H5" i="34"/>
  <c r="G50" i="10"/>
  <c r="F68" i="11"/>
  <c r="I113" i="14"/>
  <c r="I3" i="34"/>
  <c r="H23" i="40"/>
  <c r="I21" i="40"/>
  <c r="I23" i="40" s="1"/>
  <c r="I23" i="10"/>
  <c r="I100" i="14"/>
  <c r="E449" i="14"/>
  <c r="I15" i="19"/>
  <c r="F21" i="28"/>
  <c r="I439" i="33"/>
  <c r="H14" i="36"/>
  <c r="H25" i="36"/>
  <c r="H32" i="37"/>
  <c r="H34" i="37"/>
  <c r="H36" i="37"/>
  <c r="F23" i="40"/>
  <c r="H16" i="6"/>
  <c r="G96" i="11"/>
  <c r="H96" i="11" s="1"/>
  <c r="E129" i="15"/>
  <c r="I27" i="16"/>
  <c r="I5" i="18"/>
  <c r="I48" i="31"/>
  <c r="H79" i="32"/>
  <c r="I101" i="33"/>
  <c r="F256" i="33"/>
  <c r="I29" i="34"/>
  <c r="H131" i="33"/>
  <c r="I11" i="11"/>
  <c r="I14" i="13"/>
  <c r="I195" i="15"/>
  <c r="H12" i="16"/>
  <c r="I171" i="16"/>
  <c r="J5" i="18"/>
  <c r="F21" i="19"/>
  <c r="F26" i="19" s="1"/>
  <c r="F32" i="19" s="1"/>
  <c r="H5" i="22"/>
  <c r="I29" i="23"/>
  <c r="I101" i="23"/>
  <c r="I194" i="24"/>
  <c r="I7" i="31"/>
  <c r="H87" i="33"/>
  <c r="H27" i="34"/>
  <c r="I508" i="34"/>
  <c r="H26" i="37"/>
  <c r="I21" i="11"/>
  <c r="H21" i="11"/>
  <c r="H7" i="40"/>
  <c r="I7" i="40"/>
  <c r="I9" i="36"/>
  <c r="H9" i="36"/>
  <c r="I80" i="18"/>
  <c r="H92" i="22"/>
  <c r="H8" i="34"/>
  <c r="H459" i="16"/>
  <c r="H674" i="16"/>
  <c r="I674" i="16"/>
  <c r="I774" i="16"/>
  <c r="I270" i="34"/>
  <c r="I20" i="3"/>
  <c r="T88" i="10"/>
  <c r="E82" i="11"/>
  <c r="G83" i="11"/>
  <c r="I83" i="11" s="1"/>
  <c r="I119" i="15"/>
  <c r="H456" i="16"/>
  <c r="I456" i="16"/>
  <c r="H769" i="16"/>
  <c r="I769" i="16"/>
  <c r="H18" i="18"/>
  <c r="J18" i="18"/>
  <c r="I18" i="23"/>
  <c r="H18" i="23"/>
  <c r="H140" i="33"/>
  <c r="I140" i="33"/>
  <c r="I41" i="34"/>
  <c r="H25" i="37"/>
  <c r="J17" i="4"/>
  <c r="I96" i="6"/>
  <c r="I24" i="7"/>
  <c r="F82" i="11"/>
  <c r="H330" i="14"/>
  <c r="I330" i="14"/>
  <c r="H100" i="16"/>
  <c r="H182" i="16"/>
  <c r="F13" i="17"/>
  <c r="I18" i="18"/>
  <c r="F33" i="30"/>
  <c r="I434" i="34"/>
  <c r="I436" i="34"/>
  <c r="H436" i="34"/>
  <c r="I9" i="37"/>
  <c r="H9" i="37"/>
  <c r="H23" i="37"/>
  <c r="I23" i="37"/>
  <c r="I87" i="6"/>
  <c r="I105" i="14"/>
  <c r="H105" i="14"/>
  <c r="F443" i="14"/>
  <c r="F449" i="14" s="1"/>
  <c r="H513" i="14"/>
  <c r="F524" i="14"/>
  <c r="I6" i="15"/>
  <c r="H189" i="15"/>
  <c r="H275" i="16"/>
  <c r="H351" i="16"/>
  <c r="I351" i="16"/>
  <c r="H461" i="16"/>
  <c r="I3" i="17"/>
  <c r="H3" i="17"/>
  <c r="I180" i="22"/>
  <c r="I14" i="40"/>
  <c r="H14" i="40"/>
  <c r="I86" i="22"/>
  <c r="H86" i="22"/>
  <c r="H425" i="16"/>
  <c r="I425" i="16"/>
  <c r="I11" i="19"/>
  <c r="S76" i="10"/>
  <c r="T76" i="10"/>
  <c r="I33" i="11"/>
  <c r="I276" i="16"/>
  <c r="H427" i="16"/>
  <c r="H468" i="16"/>
  <c r="I468" i="16"/>
  <c r="I672" i="16"/>
  <c r="H17" i="19"/>
  <c r="I17" i="19"/>
  <c r="H11" i="20"/>
  <c r="E70" i="11"/>
  <c r="H10" i="15"/>
  <c r="I10" i="15"/>
  <c r="G129" i="15"/>
  <c r="I129" i="15" s="1"/>
  <c r="G525" i="15"/>
  <c r="I525" i="15" s="1"/>
  <c r="H465" i="16"/>
  <c r="I465" i="16"/>
  <c r="G22" i="18"/>
  <c r="I22" i="18" s="1"/>
  <c r="I14" i="19"/>
  <c r="H14" i="19"/>
  <c r="I118" i="33"/>
  <c r="H118" i="33"/>
  <c r="I21" i="37"/>
  <c r="H21" i="37"/>
  <c r="H10" i="18"/>
  <c r="I10" i="18"/>
  <c r="J10" i="18"/>
  <c r="H107" i="33"/>
  <c r="I12" i="34"/>
  <c r="H12" i="34"/>
  <c r="I191" i="14"/>
  <c r="I262" i="14"/>
  <c r="H341" i="14"/>
  <c r="H519" i="15"/>
  <c r="I519" i="15"/>
  <c r="I19" i="19"/>
  <c r="H19" i="19"/>
  <c r="I6" i="11"/>
  <c r="G68" i="11"/>
  <c r="I68" i="11" s="1"/>
  <c r="H438" i="34"/>
  <c r="I438" i="34"/>
  <c r="I4" i="20"/>
  <c r="I59" i="11"/>
  <c r="H28" i="13"/>
  <c r="H367" i="15"/>
  <c r="I367" i="15"/>
  <c r="H15" i="16"/>
  <c r="I15" i="16"/>
  <c r="H177" i="16"/>
  <c r="I270" i="16"/>
  <c r="H270" i="16"/>
  <c r="G695" i="16"/>
  <c r="H694" i="16"/>
  <c r="H7" i="22"/>
  <c r="I7" i="22"/>
  <c r="I169" i="22"/>
  <c r="H169" i="22"/>
  <c r="H17" i="5"/>
  <c r="I17" i="5"/>
  <c r="I4" i="21"/>
  <c r="H4" i="21"/>
  <c r="I375" i="14"/>
  <c r="H294" i="15"/>
  <c r="H16" i="20"/>
  <c r="I16" i="20"/>
  <c r="H11" i="36"/>
  <c r="H15" i="36"/>
  <c r="I94" i="11"/>
  <c r="H370" i="14"/>
  <c r="H601" i="15"/>
  <c r="I15" i="11"/>
  <c r="H30" i="11"/>
  <c r="I126" i="15"/>
  <c r="H602" i="16"/>
  <c r="H24" i="2"/>
  <c r="G25" i="2"/>
  <c r="H25" i="2" s="1"/>
  <c r="H14" i="3"/>
  <c r="J7" i="7"/>
  <c r="I20" i="10"/>
  <c r="H20" i="10"/>
  <c r="H23" i="11"/>
  <c r="G85" i="11"/>
  <c r="H29" i="11"/>
  <c r="G35" i="11"/>
  <c r="I35" i="11" s="1"/>
  <c r="H32" i="11"/>
  <c r="H354" i="14"/>
  <c r="I366" i="14"/>
  <c r="H12" i="15"/>
  <c r="I292" i="15"/>
  <c r="H292" i="15"/>
  <c r="H430" i="16"/>
  <c r="H680" i="16"/>
  <c r="I694" i="16"/>
  <c r="I760" i="16"/>
  <c r="H16" i="19"/>
  <c r="I6" i="21"/>
  <c r="H6" i="21"/>
  <c r="I23" i="21"/>
  <c r="H188" i="21"/>
  <c r="I188" i="21"/>
  <c r="H193" i="24"/>
  <c r="H40" i="31"/>
  <c r="H26" i="34"/>
  <c r="I331" i="14"/>
  <c r="H331" i="14"/>
  <c r="H605" i="15"/>
  <c r="H596" i="16"/>
  <c r="I596" i="16"/>
  <c r="H80" i="32"/>
  <c r="I9" i="2"/>
  <c r="H9" i="2"/>
  <c r="I9" i="6"/>
  <c r="H9" i="6"/>
  <c r="T93" i="10"/>
  <c r="I444" i="34"/>
  <c r="H444" i="34"/>
  <c r="G11" i="17"/>
  <c r="G13" i="17" s="1"/>
  <c r="I13" i="17" s="1"/>
  <c r="I10" i="17"/>
  <c r="H71" i="18"/>
  <c r="I71" i="18"/>
  <c r="G96" i="22"/>
  <c r="I95" i="22"/>
  <c r="I10" i="34"/>
  <c r="H10" i="34"/>
  <c r="I440" i="34"/>
  <c r="H440" i="34"/>
  <c r="H347" i="14"/>
  <c r="I347" i="14"/>
  <c r="H291" i="15"/>
  <c r="I291" i="15"/>
  <c r="I606" i="16"/>
  <c r="H10" i="17"/>
  <c r="I79" i="22"/>
  <c r="H246" i="34"/>
  <c r="I246" i="34"/>
  <c r="I22" i="10"/>
  <c r="H52" i="11"/>
  <c r="I52" i="11"/>
  <c r="G31" i="13"/>
  <c r="H31" i="13" s="1"/>
  <c r="H448" i="16"/>
  <c r="I448" i="16"/>
  <c r="H6" i="36"/>
  <c r="I6" i="36"/>
  <c r="I21" i="36" s="1"/>
  <c r="F198" i="15"/>
  <c r="H141" i="24"/>
  <c r="G49" i="31"/>
  <c r="H49" i="31" s="1"/>
  <c r="I26" i="36"/>
  <c r="H19" i="3"/>
  <c r="H14" i="5"/>
  <c r="I6" i="6"/>
  <c r="H38" i="11"/>
  <c r="H181" i="14"/>
  <c r="H103" i="15"/>
  <c r="H120" i="15"/>
  <c r="H274" i="15"/>
  <c r="H364" i="15"/>
  <c r="H371" i="15"/>
  <c r="I7" i="16"/>
  <c r="I202" i="16"/>
  <c r="H431" i="16"/>
  <c r="H442" i="16"/>
  <c r="I764" i="16"/>
  <c r="H5" i="17"/>
  <c r="H19" i="18"/>
  <c r="H72" i="18"/>
  <c r="H9" i="21"/>
  <c r="I11" i="21"/>
  <c r="H9" i="22"/>
  <c r="H10" i="23"/>
  <c r="H188" i="24"/>
  <c r="H190" i="24"/>
  <c r="H47" i="31"/>
  <c r="H92" i="32"/>
  <c r="I98" i="33"/>
  <c r="I135" i="33"/>
  <c r="H137" i="33"/>
  <c r="H141" i="33"/>
  <c r="H33" i="34"/>
  <c r="H35" i="34"/>
  <c r="I267" i="34"/>
  <c r="H269" i="34"/>
  <c r="H29" i="35"/>
  <c r="H17" i="37"/>
  <c r="H11" i="6"/>
  <c r="E19" i="6"/>
  <c r="F79" i="11"/>
  <c r="I355" i="14"/>
  <c r="H374" i="14"/>
  <c r="H261" i="15"/>
  <c r="I364" i="15"/>
  <c r="I176" i="16"/>
  <c r="I19" i="18"/>
  <c r="I172" i="22"/>
  <c r="H161" i="24"/>
  <c r="I15" i="34"/>
  <c r="H17" i="34"/>
  <c r="H31" i="34"/>
  <c r="I49" i="37"/>
  <c r="F77" i="11"/>
  <c r="F362" i="16"/>
  <c r="F607" i="16"/>
  <c r="F613" i="16" s="1"/>
  <c r="H68" i="32"/>
  <c r="G101" i="32"/>
  <c r="I101" i="32" s="1"/>
  <c r="E29" i="36"/>
  <c r="J19" i="7"/>
  <c r="G73" i="11"/>
  <c r="I73" i="11" s="1"/>
  <c r="E96" i="11"/>
  <c r="G196" i="15"/>
  <c r="H196" i="15" s="1"/>
  <c r="F532" i="16"/>
  <c r="F538" i="16" s="1"/>
  <c r="I5" i="19"/>
  <c r="H275" i="34"/>
  <c r="H568" i="34"/>
  <c r="I3" i="40"/>
  <c r="G26" i="7"/>
  <c r="E71" i="11"/>
  <c r="E79" i="11"/>
  <c r="F31" i="13"/>
  <c r="G33" i="21"/>
  <c r="H33" i="21" s="1"/>
  <c r="E116" i="21"/>
  <c r="E122" i="21" s="1"/>
  <c r="H267" i="33"/>
  <c r="H277" i="33"/>
  <c r="I410" i="34"/>
  <c r="I188" i="16"/>
  <c r="H188" i="16"/>
  <c r="I429" i="16"/>
  <c r="G611" i="16"/>
  <c r="I611" i="16" s="1"/>
  <c r="H610" i="16"/>
  <c r="I668" i="16"/>
  <c r="H770" i="16"/>
  <c r="H73" i="18"/>
  <c r="I73" i="18"/>
  <c r="I27" i="30"/>
  <c r="I31" i="30" s="1"/>
  <c r="H27" i="30"/>
  <c r="H24" i="31"/>
  <c r="I88" i="33"/>
  <c r="H88" i="33"/>
  <c r="H444" i="33"/>
  <c r="I444" i="33"/>
  <c r="H243" i="34"/>
  <c r="I243" i="34"/>
  <c r="I406" i="34"/>
  <c r="I64" i="31"/>
  <c r="H64" i="31"/>
  <c r="I12" i="37"/>
  <c r="H12" i="37"/>
  <c r="H13" i="10"/>
  <c r="S94" i="10"/>
  <c r="H6" i="11"/>
  <c r="G18" i="14"/>
  <c r="I16" i="14"/>
  <c r="I79" i="14"/>
  <c r="H79" i="14"/>
  <c r="I83" i="14"/>
  <c r="H83" i="14"/>
  <c r="I184" i="14"/>
  <c r="H336" i="14"/>
  <c r="I338" i="14"/>
  <c r="I439" i="14"/>
  <c r="H439" i="14"/>
  <c r="I683" i="14"/>
  <c r="H683" i="14"/>
  <c r="H689" i="14"/>
  <c r="G690" i="14"/>
  <c r="I690" i="14" s="1"/>
  <c r="I689" i="14"/>
  <c r="H297" i="15"/>
  <c r="I299" i="15"/>
  <c r="H299" i="15"/>
  <c r="I439" i="15"/>
  <c r="I441" i="15"/>
  <c r="H441" i="15"/>
  <c r="I506" i="15"/>
  <c r="H506" i="15"/>
  <c r="I98" i="16"/>
  <c r="I167" i="16"/>
  <c r="G190" i="16"/>
  <c r="G198" i="16" s="1"/>
  <c r="H167" i="16"/>
  <c r="I284" i="16"/>
  <c r="H291" i="16"/>
  <c r="H18" i="19"/>
  <c r="I18" i="19"/>
  <c r="H181" i="21"/>
  <c r="I181" i="21"/>
  <c r="I5" i="23"/>
  <c r="H5" i="23"/>
  <c r="H148" i="24"/>
  <c r="I27" i="31"/>
  <c r="H27" i="31"/>
  <c r="H33" i="31"/>
  <c r="I33" i="31"/>
  <c r="H13" i="34"/>
  <c r="I13" i="34"/>
  <c r="I276" i="34"/>
  <c r="H276" i="34"/>
  <c r="G606" i="34"/>
  <c r="I606" i="34" s="1"/>
  <c r="H7" i="36"/>
  <c r="I202" i="14"/>
  <c r="H202" i="14"/>
  <c r="I599" i="14"/>
  <c r="G600" i="14"/>
  <c r="H600" i="14" s="1"/>
  <c r="H37" i="15"/>
  <c r="G40" i="15"/>
  <c r="I112" i="15"/>
  <c r="H112" i="15"/>
  <c r="I186" i="15"/>
  <c r="H186" i="15"/>
  <c r="E617" i="15"/>
  <c r="I599" i="16"/>
  <c r="H599" i="16"/>
  <c r="H263" i="21"/>
  <c r="I263" i="21"/>
  <c r="I7" i="23"/>
  <c r="H7" i="23"/>
  <c r="I280" i="33"/>
  <c r="H280" i="33"/>
  <c r="G428" i="34"/>
  <c r="I428" i="34" s="1"/>
  <c r="I366" i="34"/>
  <c r="I270" i="14"/>
  <c r="H270" i="14"/>
  <c r="G271" i="14"/>
  <c r="H271" i="14" s="1"/>
  <c r="I669" i="14"/>
  <c r="H669" i="14"/>
  <c r="I116" i="15"/>
  <c r="H116" i="15"/>
  <c r="E30" i="16"/>
  <c r="I20" i="19"/>
  <c r="H20" i="19"/>
  <c r="H23" i="23"/>
  <c r="I23" i="23"/>
  <c r="I132" i="33"/>
  <c r="H132" i="33"/>
  <c r="H40" i="34"/>
  <c r="I40" i="34"/>
  <c r="I12" i="36"/>
  <c r="H12" i="36"/>
  <c r="I4" i="40"/>
  <c r="H4" i="40"/>
  <c r="H7" i="2"/>
  <c r="H17" i="3"/>
  <c r="H21" i="3"/>
  <c r="I6" i="5"/>
  <c r="I22" i="6"/>
  <c r="I23" i="6" s="1"/>
  <c r="H22" i="6"/>
  <c r="H91" i="6"/>
  <c r="I91" i="6"/>
  <c r="H16" i="10"/>
  <c r="I18" i="10"/>
  <c r="H56" i="10"/>
  <c r="I95" i="11"/>
  <c r="I342" i="14"/>
  <c r="I346" i="14"/>
  <c r="I8" i="15"/>
  <c r="H8" i="15"/>
  <c r="H188" i="15"/>
  <c r="I188" i="15"/>
  <c r="I365" i="15"/>
  <c r="H365" i="15"/>
  <c r="H604" i="15"/>
  <c r="I604" i="15"/>
  <c r="I3" i="16"/>
  <c r="I19" i="16"/>
  <c r="I189" i="16"/>
  <c r="I441" i="16"/>
  <c r="H14" i="18"/>
  <c r="I14" i="18"/>
  <c r="G30" i="19"/>
  <c r="I30" i="19" s="1"/>
  <c r="I29" i="19"/>
  <c r="H10" i="20"/>
  <c r="I10" i="20"/>
  <c r="H3" i="22"/>
  <c r="H81" i="22"/>
  <c r="I81" i="22"/>
  <c r="I15" i="23"/>
  <c r="H15" i="23"/>
  <c r="H12" i="31"/>
  <c r="I12" i="31"/>
  <c r="H99" i="33"/>
  <c r="I99" i="33"/>
  <c r="I54" i="37"/>
  <c r="H54" i="37"/>
  <c r="H17" i="40"/>
  <c r="H15" i="3"/>
  <c r="I8" i="5"/>
  <c r="H3" i="6"/>
  <c r="I103" i="6"/>
  <c r="I8" i="10"/>
  <c r="H8" i="10"/>
  <c r="I335" i="14"/>
  <c r="H348" i="14"/>
  <c r="H350" i="14"/>
  <c r="I350" i="14"/>
  <c r="I680" i="14"/>
  <c r="H680" i="14"/>
  <c r="I22" i="15"/>
  <c r="H128" i="15"/>
  <c r="I128" i="15"/>
  <c r="I296" i="15"/>
  <c r="H600" i="15"/>
  <c r="I600" i="15"/>
  <c r="H14" i="16"/>
  <c r="H173" i="16"/>
  <c r="E204" i="16"/>
  <c r="H353" i="16"/>
  <c r="I353" i="16"/>
  <c r="I771" i="16"/>
  <c r="J14" i="18"/>
  <c r="I67" i="18"/>
  <c r="H67" i="18"/>
  <c r="H29" i="19"/>
  <c r="I179" i="22"/>
  <c r="H179" i="22"/>
  <c r="I259" i="33"/>
  <c r="G260" i="33"/>
  <c r="I260" i="33" s="1"/>
  <c r="I32" i="34"/>
  <c r="H32" i="34"/>
  <c r="I6" i="40"/>
  <c r="I18" i="2"/>
  <c r="H18" i="2"/>
  <c r="H27" i="5"/>
  <c r="J27" i="5" s="1"/>
  <c r="J29" i="5" s="1"/>
  <c r="J36" i="5" s="1"/>
  <c r="I93" i="6"/>
  <c r="H93" i="6"/>
  <c r="G84" i="11"/>
  <c r="H22" i="11"/>
  <c r="I22" i="11"/>
  <c r="I40" i="11"/>
  <c r="H43" i="11"/>
  <c r="H17" i="13"/>
  <c r="I17" i="13"/>
  <c r="I99" i="14"/>
  <c r="H99" i="14"/>
  <c r="H339" i="14"/>
  <c r="I339" i="14"/>
  <c r="I440" i="14"/>
  <c r="H440" i="14"/>
  <c r="H586" i="14"/>
  <c r="H673" i="14"/>
  <c r="H18" i="15"/>
  <c r="I18" i="15"/>
  <c r="H111" i="15"/>
  <c r="I111" i="15"/>
  <c r="H9" i="16"/>
  <c r="H676" i="16"/>
  <c r="I762" i="16"/>
  <c r="I7" i="17"/>
  <c r="H7" i="17"/>
  <c r="H26" i="20"/>
  <c r="H8" i="23"/>
  <c r="I8" i="23"/>
  <c r="I28" i="31"/>
  <c r="H34" i="31"/>
  <c r="I36" i="31"/>
  <c r="G469" i="33"/>
  <c r="I469" i="33" s="1"/>
  <c r="I460" i="33"/>
  <c r="H460" i="33"/>
  <c r="H6" i="34"/>
  <c r="I6" i="34"/>
  <c r="H30" i="34"/>
  <c r="I30" i="34"/>
  <c r="H22" i="35"/>
  <c r="I19" i="36"/>
  <c r="H19" i="36"/>
  <c r="H16" i="2"/>
  <c r="E27" i="2"/>
  <c r="J7" i="4"/>
  <c r="H19" i="5"/>
  <c r="H21" i="5"/>
  <c r="I98" i="6"/>
  <c r="H10" i="10"/>
  <c r="I20" i="11"/>
  <c r="H20" i="11"/>
  <c r="H84" i="14"/>
  <c r="I187" i="14"/>
  <c r="H378" i="14"/>
  <c r="I378" i="14"/>
  <c r="I588" i="14"/>
  <c r="H588" i="14"/>
  <c r="I283" i="15"/>
  <c r="H283" i="15"/>
  <c r="H293" i="15"/>
  <c r="H507" i="15"/>
  <c r="I278" i="16"/>
  <c r="H278" i="16"/>
  <c r="I420" i="16"/>
  <c r="I422" i="16"/>
  <c r="H422" i="16"/>
  <c r="I673" i="16"/>
  <c r="H681" i="16"/>
  <c r="H78" i="18"/>
  <c r="I78" i="18"/>
  <c r="I24" i="21"/>
  <c r="H24" i="21"/>
  <c r="H352" i="21"/>
  <c r="I98" i="23"/>
  <c r="H187" i="24"/>
  <c r="I187" i="24"/>
  <c r="H32" i="31"/>
  <c r="H28" i="34"/>
  <c r="H580" i="34"/>
  <c r="H89" i="35"/>
  <c r="I18" i="37"/>
  <c r="H18" i="37"/>
  <c r="I12" i="2"/>
  <c r="I13" i="6"/>
  <c r="H13" i="6"/>
  <c r="G23" i="6"/>
  <c r="H23" i="6" s="1"/>
  <c r="I100" i="6"/>
  <c r="I110" i="6"/>
  <c r="T72" i="10"/>
  <c r="S72" i="10"/>
  <c r="G76" i="11"/>
  <c r="H76" i="11" s="1"/>
  <c r="H14" i="11"/>
  <c r="H31" i="11"/>
  <c r="I34" i="11"/>
  <c r="H34" i="11"/>
  <c r="I15" i="13"/>
  <c r="I22" i="13"/>
  <c r="H22" i="13"/>
  <c r="I96" i="14"/>
  <c r="H96" i="14"/>
  <c r="H180" i="14"/>
  <c r="I180" i="14"/>
  <c r="I332" i="14"/>
  <c r="I5" i="15"/>
  <c r="I256" i="15"/>
  <c r="H256" i="15"/>
  <c r="I258" i="15"/>
  <c r="H258" i="15"/>
  <c r="I29" i="16"/>
  <c r="H29" i="16"/>
  <c r="H170" i="16"/>
  <c r="I350" i="16"/>
  <c r="I355" i="16"/>
  <c r="I424" i="16"/>
  <c r="I438" i="16"/>
  <c r="H76" i="18"/>
  <c r="I260" i="21"/>
  <c r="H344" i="21"/>
  <c r="I344" i="21"/>
  <c r="H8" i="31"/>
  <c r="I8" i="31"/>
  <c r="I10" i="2"/>
  <c r="H10" i="3"/>
  <c r="I25" i="5"/>
  <c r="H5" i="6"/>
  <c r="H95" i="6"/>
  <c r="I95" i="6"/>
  <c r="H109" i="6"/>
  <c r="I21" i="10"/>
  <c r="H21" i="10"/>
  <c r="H55" i="10"/>
  <c r="H57" i="10"/>
  <c r="I14" i="11"/>
  <c r="H114" i="14"/>
  <c r="I114" i="14"/>
  <c r="H187" i="15"/>
  <c r="G285" i="15"/>
  <c r="H8" i="3"/>
  <c r="I8" i="3"/>
  <c r="I22" i="3"/>
  <c r="H7" i="5"/>
  <c r="H88" i="6"/>
  <c r="I17" i="10"/>
  <c r="G70" i="11"/>
  <c r="I70" i="11" s="1"/>
  <c r="I8" i="11"/>
  <c r="H10" i="11"/>
  <c r="I12" i="11"/>
  <c r="I44" i="11"/>
  <c r="H47" i="11"/>
  <c r="I51" i="11"/>
  <c r="I11" i="13"/>
  <c r="H359" i="14"/>
  <c r="I359" i="14"/>
  <c r="H679" i="14"/>
  <c r="H433" i="15"/>
  <c r="H515" i="15"/>
  <c r="I515" i="15"/>
  <c r="I593" i="15"/>
  <c r="H604" i="16"/>
  <c r="I604" i="16"/>
  <c r="H112" i="21"/>
  <c r="I112" i="21"/>
  <c r="I183" i="21"/>
  <c r="H183" i="21"/>
  <c r="G24" i="23"/>
  <c r="H24" i="23" s="1"/>
  <c r="I19" i="31"/>
  <c r="H19" i="31"/>
  <c r="H14" i="37"/>
  <c r="I14" i="37"/>
  <c r="H26" i="3"/>
  <c r="I26" i="3"/>
  <c r="I27" i="3" s="1"/>
  <c r="G27" i="3"/>
  <c r="H27" i="3" s="1"/>
  <c r="I97" i="6"/>
  <c r="H9" i="10"/>
  <c r="H8" i="11"/>
  <c r="H35" i="11"/>
  <c r="H4" i="14"/>
  <c r="I8" i="14"/>
  <c r="H81" i="14"/>
  <c r="I98" i="14"/>
  <c r="H98" i="14"/>
  <c r="I510" i="14"/>
  <c r="I579" i="14"/>
  <c r="H579" i="14"/>
  <c r="H108" i="15"/>
  <c r="I108" i="15"/>
  <c r="H277" i="15"/>
  <c r="H366" i="15"/>
  <c r="I437" i="15"/>
  <c r="I268" i="16"/>
  <c r="H268" i="16"/>
  <c r="H352" i="16"/>
  <c r="I455" i="16"/>
  <c r="H463" i="16"/>
  <c r="I463" i="16"/>
  <c r="I772" i="16"/>
  <c r="H772" i="16"/>
  <c r="H340" i="21"/>
  <c r="H4" i="6"/>
  <c r="H7" i="6"/>
  <c r="I10" i="6"/>
  <c r="H92" i="6"/>
  <c r="H15" i="2"/>
  <c r="I15" i="2"/>
  <c r="I17" i="2"/>
  <c r="I18" i="5"/>
  <c r="I33" i="5"/>
  <c r="H108" i="6"/>
  <c r="H11" i="10"/>
  <c r="H13" i="2"/>
  <c r="J24" i="4"/>
  <c r="I12" i="5"/>
  <c r="H26" i="5"/>
  <c r="I117" i="6"/>
  <c r="E21" i="7"/>
  <c r="E28" i="7" s="1"/>
  <c r="S84" i="10"/>
  <c r="E25" i="13"/>
  <c r="I23" i="13"/>
  <c r="I85" i="14"/>
  <c r="H85" i="14"/>
  <c r="I106" i="14"/>
  <c r="H179" i="14"/>
  <c r="I179" i="14"/>
  <c r="I367" i="14"/>
  <c r="H367" i="14"/>
  <c r="I37" i="15"/>
  <c r="I257" i="15"/>
  <c r="H257" i="15"/>
  <c r="H284" i="15"/>
  <c r="I284" i="15"/>
  <c r="I178" i="16"/>
  <c r="H178" i="16"/>
  <c r="I444" i="16"/>
  <c r="H444" i="16"/>
  <c r="I460" i="16"/>
  <c r="H40" i="21"/>
  <c r="I40" i="21"/>
  <c r="H261" i="21"/>
  <c r="I261" i="21"/>
  <c r="I175" i="22"/>
  <c r="H175" i="22"/>
  <c r="H72" i="32"/>
  <c r="I6" i="37"/>
  <c r="H6" i="37"/>
  <c r="G105" i="6"/>
  <c r="G110" i="6" s="1"/>
  <c r="H110" i="6" s="1"/>
  <c r="S81" i="10"/>
  <c r="H55" i="11"/>
  <c r="I55" i="11"/>
  <c r="E198" i="15"/>
  <c r="I196" i="15"/>
  <c r="H175" i="16"/>
  <c r="I175" i="16"/>
  <c r="F293" i="16"/>
  <c r="I685" i="16"/>
  <c r="H685" i="16"/>
  <c r="E86" i="18"/>
  <c r="E92" i="18" s="1"/>
  <c r="H9" i="19"/>
  <c r="I9" i="19"/>
  <c r="H254" i="21"/>
  <c r="I254" i="21"/>
  <c r="G14" i="22"/>
  <c r="I14" i="22" s="1"/>
  <c r="I75" i="22"/>
  <c r="H75" i="22"/>
  <c r="G93" i="22"/>
  <c r="I93" i="22" s="1"/>
  <c r="I173" i="22"/>
  <c r="H173" i="22"/>
  <c r="I29" i="30"/>
  <c r="H29" i="30"/>
  <c r="I97" i="33"/>
  <c r="H97" i="33"/>
  <c r="I23" i="34"/>
  <c r="H23" i="34"/>
  <c r="H18" i="36"/>
  <c r="I18" i="36"/>
  <c r="I52" i="37"/>
  <c r="H52" i="37"/>
  <c r="J19" i="4"/>
  <c r="E27" i="5"/>
  <c r="I16" i="7"/>
  <c r="S78" i="10"/>
  <c r="F75" i="11"/>
  <c r="G80" i="11"/>
  <c r="I80" i="11" s="1"/>
  <c r="E12" i="14"/>
  <c r="E18" i="14" s="1"/>
  <c r="I345" i="14"/>
  <c r="H345" i="14"/>
  <c r="I521" i="14"/>
  <c r="G522" i="14"/>
  <c r="H522" i="14" s="1"/>
  <c r="H14" i="15"/>
  <c r="I14" i="15"/>
  <c r="G30" i="16"/>
  <c r="I172" i="16"/>
  <c r="H172" i="16"/>
  <c r="I186" i="16"/>
  <c r="H186" i="16"/>
  <c r="G449" i="16"/>
  <c r="H449" i="16" s="1"/>
  <c r="E469" i="16"/>
  <c r="H48" i="21"/>
  <c r="I48" i="21"/>
  <c r="I348" i="21"/>
  <c r="H348" i="21"/>
  <c r="I93" i="23"/>
  <c r="H93" i="23"/>
  <c r="I38" i="31"/>
  <c r="H38" i="31"/>
  <c r="H81" i="31"/>
  <c r="I81" i="31"/>
  <c r="G82" i="31"/>
  <c r="I6" i="35"/>
  <c r="I13" i="35"/>
  <c r="I30" i="37"/>
  <c r="I51" i="37"/>
  <c r="H13" i="40"/>
  <c r="I13" i="40"/>
  <c r="E69" i="11"/>
  <c r="E72" i="11"/>
  <c r="I38" i="15"/>
  <c r="H38" i="15"/>
  <c r="E305" i="15"/>
  <c r="I300" i="15"/>
  <c r="H300" i="15"/>
  <c r="F206" i="16"/>
  <c r="I201" i="16"/>
  <c r="H201" i="16"/>
  <c r="G204" i="16"/>
  <c r="I85" i="18"/>
  <c r="H85" i="18"/>
  <c r="I10" i="19"/>
  <c r="H10" i="19"/>
  <c r="H278" i="21"/>
  <c r="I278" i="21"/>
  <c r="H4" i="22"/>
  <c r="I4" i="22"/>
  <c r="G398" i="34"/>
  <c r="I397" i="34"/>
  <c r="F71" i="11"/>
  <c r="E75" i="11"/>
  <c r="E77" i="11"/>
  <c r="F72" i="11"/>
  <c r="H82" i="14"/>
  <c r="H201" i="14"/>
  <c r="F380" i="14"/>
  <c r="H509" i="14"/>
  <c r="H514" i="14"/>
  <c r="I600" i="14"/>
  <c r="H4" i="15"/>
  <c r="H13" i="15"/>
  <c r="H21" i="15"/>
  <c r="H268" i="15"/>
  <c r="I607" i="15"/>
  <c r="H609" i="15"/>
  <c r="H25" i="16"/>
  <c r="H169" i="16"/>
  <c r="I169" i="16"/>
  <c r="H4" i="17"/>
  <c r="I4" i="17"/>
  <c r="H9" i="18"/>
  <c r="H70" i="18"/>
  <c r="I70" i="18"/>
  <c r="I89" i="18"/>
  <c r="G90" i="18"/>
  <c r="H90" i="18" s="1"/>
  <c r="H3" i="19"/>
  <c r="G24" i="19"/>
  <c r="H24" i="19" s="1"/>
  <c r="H23" i="19"/>
  <c r="H13" i="20"/>
  <c r="I31" i="21"/>
  <c r="H31" i="21"/>
  <c r="I78" i="22"/>
  <c r="H80" i="22"/>
  <c r="I80" i="22"/>
  <c r="G30" i="23"/>
  <c r="H30" i="23" s="1"/>
  <c r="I172" i="24"/>
  <c r="H172" i="24"/>
  <c r="H28" i="30"/>
  <c r="H69" i="32"/>
  <c r="I34" i="34"/>
  <c r="I67" i="34"/>
  <c r="H67" i="34"/>
  <c r="H12" i="6"/>
  <c r="I99" i="6"/>
  <c r="F21" i="7"/>
  <c r="F28" i="7" s="1"/>
  <c r="I263" i="14"/>
  <c r="H263" i="14"/>
  <c r="H684" i="14"/>
  <c r="H19" i="15"/>
  <c r="I19" i="15"/>
  <c r="H190" i="15"/>
  <c r="I295" i="15"/>
  <c r="H295" i="15"/>
  <c r="E443" i="15"/>
  <c r="E449" i="15" s="1"/>
  <c r="I440" i="15"/>
  <c r="H514" i="15"/>
  <c r="I530" i="15"/>
  <c r="G531" i="15"/>
  <c r="H531" i="15" s="1"/>
  <c r="H592" i="15"/>
  <c r="H6" i="16"/>
  <c r="H104" i="16"/>
  <c r="I437" i="16"/>
  <c r="H437" i="16"/>
  <c r="I758" i="16"/>
  <c r="H758" i="16"/>
  <c r="J9" i="18"/>
  <c r="J12" i="18"/>
  <c r="I12" i="18"/>
  <c r="H89" i="18"/>
  <c r="I23" i="19"/>
  <c r="H15" i="20"/>
  <c r="I12" i="21"/>
  <c r="I14" i="21"/>
  <c r="H14" i="21"/>
  <c r="I92" i="23"/>
  <c r="I24" i="30"/>
  <c r="H78" i="32"/>
  <c r="I266" i="33"/>
  <c r="H266" i="33"/>
  <c r="H57" i="34"/>
  <c r="H20" i="37"/>
  <c r="H22" i="37"/>
  <c r="I22" i="37"/>
  <c r="I41" i="37"/>
  <c r="I4" i="34"/>
  <c r="H4" i="34"/>
  <c r="I20" i="36"/>
  <c r="H20" i="36"/>
  <c r="I12" i="40"/>
  <c r="H12" i="40"/>
  <c r="H16" i="40"/>
  <c r="I16" i="40"/>
  <c r="F107" i="16"/>
  <c r="I283" i="16"/>
  <c r="H283" i="16"/>
  <c r="H423" i="16"/>
  <c r="I423" i="16"/>
  <c r="J20" i="18"/>
  <c r="I20" i="18"/>
  <c r="E17" i="20"/>
  <c r="I26" i="21"/>
  <c r="H26" i="21"/>
  <c r="H170" i="22"/>
  <c r="I170" i="22"/>
  <c r="H284" i="33"/>
  <c r="I284" i="33"/>
  <c r="I11" i="34"/>
  <c r="H11" i="34"/>
  <c r="I25" i="34"/>
  <c r="H25" i="34"/>
  <c r="I188" i="14"/>
  <c r="F267" i="14"/>
  <c r="F273" i="14" s="1"/>
  <c r="I340" i="14"/>
  <c r="I343" i="14"/>
  <c r="E356" i="14"/>
  <c r="E518" i="14"/>
  <c r="E524" i="14" s="1"/>
  <c r="I585" i="14"/>
  <c r="F129" i="15"/>
  <c r="H510" i="15"/>
  <c r="H608" i="15"/>
  <c r="I94" i="16"/>
  <c r="H174" i="16"/>
  <c r="H195" i="16"/>
  <c r="H280" i="16"/>
  <c r="E362" i="16"/>
  <c r="I421" i="16"/>
  <c r="H421" i="16"/>
  <c r="H20" i="18"/>
  <c r="H345" i="21"/>
  <c r="I345" i="21"/>
  <c r="I17" i="23"/>
  <c r="I97" i="23"/>
  <c r="I109" i="23"/>
  <c r="I154" i="24"/>
  <c r="H25" i="31"/>
  <c r="H65" i="31"/>
  <c r="E73" i="33"/>
  <c r="H139" i="33"/>
  <c r="I146" i="33"/>
  <c r="H148" i="33"/>
  <c r="F428" i="34"/>
  <c r="F429" i="34" s="1"/>
  <c r="F24" i="35"/>
  <c r="F32" i="35" s="1"/>
  <c r="H30" i="35"/>
  <c r="F97" i="35"/>
  <c r="H446" i="33"/>
  <c r="E19" i="34"/>
  <c r="I13" i="19"/>
  <c r="H13" i="19"/>
  <c r="I33" i="21"/>
  <c r="I90" i="22"/>
  <c r="H90" i="22"/>
  <c r="E116" i="23"/>
  <c r="I108" i="23"/>
  <c r="H108" i="23"/>
  <c r="H67" i="31"/>
  <c r="I67" i="31"/>
  <c r="I462" i="16"/>
  <c r="H462" i="16"/>
  <c r="E182" i="22"/>
  <c r="E188" i="22" s="1"/>
  <c r="I30" i="30"/>
  <c r="H30" i="30"/>
  <c r="F73" i="33"/>
  <c r="E81" i="33"/>
  <c r="I15" i="35"/>
  <c r="E190" i="16"/>
  <c r="E198" i="16" s="1"/>
  <c r="F116" i="21"/>
  <c r="F122" i="21" s="1"/>
  <c r="I7" i="35"/>
  <c r="F53" i="21"/>
  <c r="I353" i="21"/>
  <c r="H102" i="23"/>
  <c r="H146" i="24"/>
  <c r="H155" i="24"/>
  <c r="I301" i="33"/>
  <c r="I303" i="33"/>
  <c r="F418" i="33"/>
  <c r="I435" i="33"/>
  <c r="I409" i="34"/>
  <c r="F218" i="34"/>
  <c r="H240" i="34"/>
  <c r="F288" i="34"/>
  <c r="N275" i="21"/>
  <c r="N281" i="21" s="1"/>
  <c r="N285" i="21" s="1"/>
  <c r="M275" i="21"/>
  <c r="M281" i="21" s="1"/>
  <c r="M285" i="21" s="1"/>
  <c r="I355" i="21"/>
  <c r="I8" i="21"/>
  <c r="I28" i="21"/>
  <c r="F33" i="21"/>
  <c r="I51" i="21"/>
  <c r="I182" i="21"/>
  <c r="H253" i="21"/>
  <c r="I257" i="21"/>
  <c r="H264" i="21"/>
  <c r="I351" i="21"/>
  <c r="H354" i="21"/>
  <c r="I357" i="21"/>
  <c r="H5" i="21"/>
  <c r="H13" i="21"/>
  <c r="I18" i="21"/>
  <c r="H20" i="21"/>
  <c r="H25" i="21"/>
  <c r="H115" i="21"/>
  <c r="H184" i="21"/>
  <c r="G279" i="21"/>
  <c r="H279" i="21" s="1"/>
  <c r="L365" i="21"/>
  <c r="L368" i="21" s="1"/>
  <c r="I266" i="21"/>
  <c r="I356" i="21"/>
  <c r="I3" i="21"/>
  <c r="H16" i="21"/>
  <c r="H44" i="21"/>
  <c r="H180" i="21"/>
  <c r="S194" i="21"/>
  <c r="S195" i="21" s="1"/>
  <c r="I346" i="21"/>
  <c r="H349" i="21"/>
  <c r="I32" i="21"/>
  <c r="I187" i="21"/>
  <c r="G191" i="21"/>
  <c r="I191" i="21" s="1"/>
  <c r="S340" i="21"/>
  <c r="S359" i="21" s="1"/>
  <c r="S365" i="21" s="1"/>
  <c r="E29" i="21"/>
  <c r="E35" i="21" s="1"/>
  <c r="F29" i="21"/>
  <c r="J281" i="21"/>
  <c r="H27" i="21"/>
  <c r="O33" i="21"/>
  <c r="D35" i="21"/>
  <c r="D55" i="21" s="1"/>
  <c r="I38" i="21"/>
  <c r="P53" i="21"/>
  <c r="N197" i="21"/>
  <c r="N200" i="21" s="1"/>
  <c r="D275" i="21"/>
  <c r="D281" i="21" s="1"/>
  <c r="G29" i="21"/>
  <c r="F359" i="21"/>
  <c r="F365" i="21" s="1"/>
  <c r="I17" i="21"/>
  <c r="R33" i="21"/>
  <c r="H45" i="21"/>
  <c r="I114" i="21"/>
  <c r="L275" i="21"/>
  <c r="L281" i="21" s="1"/>
  <c r="L285" i="21" s="1"/>
  <c r="H347" i="21"/>
  <c r="D23" i="1"/>
  <c r="E25" i="6"/>
  <c r="E32" i="6" s="1"/>
  <c r="C9" i="1"/>
  <c r="S28" i="7"/>
  <c r="S32" i="7"/>
  <c r="J12" i="4"/>
  <c r="I12" i="4"/>
  <c r="J18" i="7"/>
  <c r="I18" i="7"/>
  <c r="E29" i="3"/>
  <c r="H12" i="10"/>
  <c r="I12" i="10"/>
  <c r="S50" i="10"/>
  <c r="I78" i="11"/>
  <c r="H78" i="11"/>
  <c r="I303" i="15"/>
  <c r="H303" i="15"/>
  <c r="Q781" i="16"/>
  <c r="S152" i="24"/>
  <c r="I152" i="24"/>
  <c r="H152" i="24"/>
  <c r="H160" i="24"/>
  <c r="I13" i="5"/>
  <c r="H13" i="5"/>
  <c r="D6" i="1"/>
  <c r="I18" i="6"/>
  <c r="H18" i="6"/>
  <c r="I271" i="16"/>
  <c r="H271" i="16"/>
  <c r="H11" i="5"/>
  <c r="Q29" i="5"/>
  <c r="Q36" i="5" s="1"/>
  <c r="I15" i="6"/>
  <c r="H15" i="6"/>
  <c r="F26" i="10"/>
  <c r="D89" i="10"/>
  <c r="G69" i="10"/>
  <c r="F69" i="10"/>
  <c r="S27" i="2"/>
  <c r="I19" i="2"/>
  <c r="H19" i="2"/>
  <c r="I7" i="3"/>
  <c r="G23" i="3"/>
  <c r="H23" i="3" s="1"/>
  <c r="I9" i="3"/>
  <c r="H9" i="3"/>
  <c r="H9" i="5"/>
  <c r="B7" i="1"/>
  <c r="S30" i="6"/>
  <c r="I7" i="10"/>
  <c r="H7" i="10"/>
  <c r="E69" i="10"/>
  <c r="E89" i="10" s="1"/>
  <c r="E101" i="10" s="1"/>
  <c r="I106" i="15"/>
  <c r="H106" i="15"/>
  <c r="R116" i="21"/>
  <c r="R122" i="21" s="1"/>
  <c r="R126" i="21" s="1"/>
  <c r="S114" i="21"/>
  <c r="S116" i="21" s="1"/>
  <c r="S122" i="21" s="1"/>
  <c r="I28" i="6"/>
  <c r="I30" i="6" s="1"/>
  <c r="H28" i="6"/>
  <c r="G30" i="6"/>
  <c r="H30" i="6" s="1"/>
  <c r="J15" i="7"/>
  <c r="I15" i="7"/>
  <c r="J26" i="7"/>
  <c r="F50" i="10"/>
  <c r="F90" i="11"/>
  <c r="F27" i="2"/>
  <c r="S87" i="6"/>
  <c r="S105" i="6" s="1"/>
  <c r="R105" i="6"/>
  <c r="O21" i="7"/>
  <c r="G86" i="11"/>
  <c r="H24" i="11"/>
  <c r="E48" i="11"/>
  <c r="H58" i="11"/>
  <c r="I189" i="14"/>
  <c r="H189" i="14"/>
  <c r="G140" i="24"/>
  <c r="H140" i="24" s="1"/>
  <c r="F140" i="24"/>
  <c r="E140" i="24"/>
  <c r="I46" i="11"/>
  <c r="H46" i="11"/>
  <c r="G82" i="11"/>
  <c r="G60" i="11"/>
  <c r="I60" i="11" s="1"/>
  <c r="I53" i="11"/>
  <c r="H53" i="11"/>
  <c r="H11" i="2"/>
  <c r="I14" i="4"/>
  <c r="J14" i="4"/>
  <c r="T19" i="7"/>
  <c r="Q12" i="7"/>
  <c r="I276" i="15"/>
  <c r="H276" i="15"/>
  <c r="J4" i="18"/>
  <c r="I4" i="18"/>
  <c r="H4" i="18"/>
  <c r="Q26" i="7"/>
  <c r="L152" i="5"/>
  <c r="L154" i="5" s="1"/>
  <c r="S26" i="7"/>
  <c r="G87" i="10"/>
  <c r="S87" i="10" s="1"/>
  <c r="F87" i="10"/>
  <c r="E87" i="10"/>
  <c r="I24" i="11"/>
  <c r="M90" i="11"/>
  <c r="H73" i="11"/>
  <c r="P12" i="14"/>
  <c r="P18" i="14" s="1"/>
  <c r="P22" i="14" s="1"/>
  <c r="I9" i="14"/>
  <c r="H9" i="14"/>
  <c r="E196" i="14"/>
  <c r="E198" i="14" s="1"/>
  <c r="P686" i="14"/>
  <c r="P692" i="14" s="1"/>
  <c r="P695" i="14" s="1"/>
  <c r="I115" i="15"/>
  <c r="H115" i="15"/>
  <c r="G101" i="16"/>
  <c r="I92" i="16"/>
  <c r="I19" i="20"/>
  <c r="H19" i="20"/>
  <c r="H16" i="3"/>
  <c r="I16" i="3"/>
  <c r="G79" i="10"/>
  <c r="F79" i="10"/>
  <c r="E79" i="10"/>
  <c r="J11" i="7"/>
  <c r="I11" i="7"/>
  <c r="I349" i="14"/>
  <c r="H349" i="14"/>
  <c r="I516" i="14"/>
  <c r="H516" i="14"/>
  <c r="Q527" i="14"/>
  <c r="I516" i="15"/>
  <c r="H516" i="15"/>
  <c r="I768" i="16"/>
  <c r="H768" i="16"/>
  <c r="T4" i="7"/>
  <c r="J17" i="7"/>
  <c r="I17" i="7"/>
  <c r="H6" i="2"/>
  <c r="G21" i="2"/>
  <c r="G27" i="2" s="1"/>
  <c r="I6" i="2"/>
  <c r="P21" i="2"/>
  <c r="R30" i="2"/>
  <c r="Q27" i="2"/>
  <c r="T13" i="4"/>
  <c r="F36" i="5"/>
  <c r="H102" i="6"/>
  <c r="R21" i="7"/>
  <c r="J16" i="7"/>
  <c r="T17" i="7"/>
  <c r="E26" i="10"/>
  <c r="E50" i="10" s="1"/>
  <c r="G80" i="10"/>
  <c r="E80" i="10"/>
  <c r="F80" i="10"/>
  <c r="F69" i="11"/>
  <c r="F26" i="11"/>
  <c r="S3" i="14"/>
  <c r="S12" i="14" s="1"/>
  <c r="S18" i="14" s="1"/>
  <c r="R12" i="14"/>
  <c r="R192" i="14"/>
  <c r="R356" i="14"/>
  <c r="R362" i="14" s="1"/>
  <c r="R382" i="14" s="1"/>
  <c r="R386" i="14" s="1"/>
  <c r="R686" i="14"/>
  <c r="R692" i="14" s="1"/>
  <c r="R695" i="14" s="1"/>
  <c r="S667" i="14"/>
  <c r="S686" i="14" s="1"/>
  <c r="S692" i="14" s="1"/>
  <c r="I269" i="15"/>
  <c r="H269" i="15"/>
  <c r="I271" i="15"/>
  <c r="H271" i="15"/>
  <c r="I273" i="15"/>
  <c r="H273" i="15"/>
  <c r="I17" i="16"/>
  <c r="H17" i="16"/>
  <c r="T70" i="10"/>
  <c r="S70" i="10"/>
  <c r="J23" i="4"/>
  <c r="I23" i="4"/>
  <c r="J8" i="4"/>
  <c r="I8" i="4"/>
  <c r="J11" i="4"/>
  <c r="J15" i="4"/>
  <c r="I15" i="4"/>
  <c r="I16" i="5"/>
  <c r="H16" i="5"/>
  <c r="F19" i="6"/>
  <c r="F25" i="6" s="1"/>
  <c r="F32" i="6" s="1"/>
  <c r="O110" i="6"/>
  <c r="O112" i="6" s="1"/>
  <c r="O120" i="6" s="1"/>
  <c r="O123" i="6" s="1"/>
  <c r="R118" i="6"/>
  <c r="S115" i="6"/>
  <c r="S118" i="6" s="1"/>
  <c r="J25" i="7"/>
  <c r="I25" i="7"/>
  <c r="D62" i="10"/>
  <c r="G26" i="11"/>
  <c r="H26" i="11" s="1"/>
  <c r="I7" i="11"/>
  <c r="H7" i="11"/>
  <c r="G69" i="11"/>
  <c r="G90" i="11" s="1"/>
  <c r="I186" i="14"/>
  <c r="H186" i="14"/>
  <c r="C16" i="1"/>
  <c r="D16" i="1" s="1"/>
  <c r="R273" i="14"/>
  <c r="R277" i="14" s="1"/>
  <c r="I344" i="14"/>
  <c r="H344" i="14"/>
  <c r="H368" i="15"/>
  <c r="I436" i="15"/>
  <c r="H436" i="15"/>
  <c r="R22" i="16"/>
  <c r="I187" i="16"/>
  <c r="H187" i="16"/>
  <c r="I531" i="16"/>
  <c r="H531" i="16"/>
  <c r="I670" i="16"/>
  <c r="H670" i="16"/>
  <c r="H50" i="21"/>
  <c r="I50" i="21"/>
  <c r="G53" i="21"/>
  <c r="I18" i="4"/>
  <c r="J18" i="4"/>
  <c r="P22" i="5"/>
  <c r="P29" i="5" s="1"/>
  <c r="P36" i="5" s="1"/>
  <c r="P21" i="5"/>
  <c r="S110" i="5"/>
  <c r="I110" i="5"/>
  <c r="G19" i="6"/>
  <c r="E105" i="6"/>
  <c r="E112" i="6" s="1"/>
  <c r="J6" i="7"/>
  <c r="I6" i="7"/>
  <c r="O90" i="10"/>
  <c r="O101" i="10"/>
  <c r="O104" i="10"/>
  <c r="G75" i="11"/>
  <c r="I13" i="11"/>
  <c r="H13" i="11"/>
  <c r="L90" i="11"/>
  <c r="I12" i="13"/>
  <c r="H12" i="13"/>
  <c r="S33" i="13"/>
  <c r="F12" i="14"/>
  <c r="F18" i="14" s="1"/>
  <c r="P80" i="14"/>
  <c r="O101" i="14"/>
  <c r="O109" i="14" s="1"/>
  <c r="O117" i="14" s="1"/>
  <c r="O121" i="14" s="1"/>
  <c r="I266" i="14"/>
  <c r="H266" i="14"/>
  <c r="S356" i="14"/>
  <c r="S362" i="14" s="1"/>
  <c r="H3" i="15"/>
  <c r="G26" i="15"/>
  <c r="I26" i="15" s="1"/>
  <c r="I17" i="15"/>
  <c r="H17" i="15"/>
  <c r="H255" i="21"/>
  <c r="I255" i="21"/>
  <c r="R29" i="3"/>
  <c r="S33" i="3" s="1"/>
  <c r="C4" i="1"/>
  <c r="D4" i="1" s="1"/>
  <c r="H20" i="5"/>
  <c r="I20" i="5"/>
  <c r="Q32" i="6"/>
  <c r="Q89" i="10"/>
  <c r="T97" i="10"/>
  <c r="T99" i="10" s="1"/>
  <c r="S97" i="10"/>
  <c r="I56" i="11"/>
  <c r="H56" i="11"/>
  <c r="Q90" i="11"/>
  <c r="I8" i="13"/>
  <c r="H8" i="13"/>
  <c r="I6" i="14"/>
  <c r="H6" i="14"/>
  <c r="P101" i="14"/>
  <c r="P109" i="14" s="1"/>
  <c r="P117" i="14" s="1"/>
  <c r="P121" i="14" s="1"/>
  <c r="G115" i="14"/>
  <c r="H115" i="14" s="1"/>
  <c r="I112" i="14"/>
  <c r="H112" i="14"/>
  <c r="O115" i="14"/>
  <c r="S365" i="15"/>
  <c r="R368" i="15"/>
  <c r="R374" i="15" s="1"/>
  <c r="R378" i="15" s="1"/>
  <c r="H77" i="18"/>
  <c r="I84" i="18"/>
  <c r="H84" i="18"/>
  <c r="I89" i="6"/>
  <c r="H89" i="6"/>
  <c r="Q112" i="6"/>
  <c r="H116" i="6"/>
  <c r="G118" i="6"/>
  <c r="H118" i="6" s="1"/>
  <c r="I116" i="6"/>
  <c r="I118" i="6" s="1"/>
  <c r="J13" i="7"/>
  <c r="I13" i="7"/>
  <c r="P62" i="10"/>
  <c r="I279" i="16"/>
  <c r="H279" i="16"/>
  <c r="O86" i="18"/>
  <c r="O92" i="18" s="1"/>
  <c r="O95" i="18" s="1"/>
  <c r="P67" i="18"/>
  <c r="P86" i="18" s="1"/>
  <c r="P92" i="18" s="1"/>
  <c r="P95" i="18" s="1"/>
  <c r="P29" i="19"/>
  <c r="P30" i="19" s="1"/>
  <c r="N30" i="19"/>
  <c r="I18" i="3"/>
  <c r="H18" i="3"/>
  <c r="F26" i="4"/>
  <c r="G34" i="5"/>
  <c r="I34" i="5" s="1"/>
  <c r="I32" i="5"/>
  <c r="I105" i="6"/>
  <c r="I3" i="7"/>
  <c r="I14" i="10"/>
  <c r="H14" i="10"/>
  <c r="U101" i="10"/>
  <c r="X69" i="10"/>
  <c r="G48" i="11"/>
  <c r="G72" i="11"/>
  <c r="F25" i="13"/>
  <c r="F33" i="13" s="1"/>
  <c r="R101" i="14"/>
  <c r="S78" i="14"/>
  <c r="S101" i="14" s="1"/>
  <c r="S109" i="14" s="1"/>
  <c r="S117" i="14" s="1"/>
  <c r="G204" i="14"/>
  <c r="H203" i="14"/>
  <c r="P356" i="14"/>
  <c r="P362" i="14" s="1"/>
  <c r="I353" i="14"/>
  <c r="H353" i="14"/>
  <c r="I113" i="15"/>
  <c r="H113" i="15"/>
  <c r="I260" i="15"/>
  <c r="H260" i="15"/>
  <c r="I265" i="15"/>
  <c r="H265" i="15"/>
  <c r="P305" i="15"/>
  <c r="I596" i="15"/>
  <c r="H596" i="15"/>
  <c r="O190" i="16"/>
  <c r="O198" i="16" s="1"/>
  <c r="O206" i="16" s="1"/>
  <c r="O210" i="16" s="1"/>
  <c r="P167" i="16"/>
  <c r="P190" i="16" s="1"/>
  <c r="P198" i="16" s="1"/>
  <c r="S775" i="16"/>
  <c r="S781" i="16" s="1"/>
  <c r="H69" i="18"/>
  <c r="G86" i="18"/>
  <c r="I69" i="18"/>
  <c r="Q126" i="21"/>
  <c r="I99" i="23"/>
  <c r="H99" i="23"/>
  <c r="I107" i="23"/>
  <c r="H107" i="23"/>
  <c r="S149" i="24"/>
  <c r="H305" i="33"/>
  <c r="I305" i="33"/>
  <c r="F23" i="3"/>
  <c r="F29" i="3" s="1"/>
  <c r="G26" i="4"/>
  <c r="R19" i="6"/>
  <c r="I58" i="10"/>
  <c r="H58" i="10"/>
  <c r="I9" i="11"/>
  <c r="G71" i="11"/>
  <c r="H9" i="11"/>
  <c r="Q61" i="11"/>
  <c r="Q98" i="11" s="1"/>
  <c r="G25" i="13"/>
  <c r="H25" i="13" s="1"/>
  <c r="I6" i="13"/>
  <c r="H6" i="13"/>
  <c r="O192" i="14"/>
  <c r="O198" i="14" s="1"/>
  <c r="O206" i="14" s="1"/>
  <c r="O210" i="14" s="1"/>
  <c r="P179" i="14"/>
  <c r="P192" i="14" s="1"/>
  <c r="P198" i="14" s="1"/>
  <c r="P206" i="14" s="1"/>
  <c r="P210" i="14" s="1"/>
  <c r="I337" i="14"/>
  <c r="H337" i="14"/>
  <c r="I508" i="14"/>
  <c r="H508" i="14"/>
  <c r="G518" i="14"/>
  <c r="S188" i="15"/>
  <c r="R192" i="15"/>
  <c r="R198" i="15" s="1"/>
  <c r="R202" i="15" s="1"/>
  <c r="Q287" i="16"/>
  <c r="H528" i="16"/>
  <c r="G532" i="16"/>
  <c r="S53" i="21"/>
  <c r="I168" i="22"/>
  <c r="H168" i="22"/>
  <c r="G182" i="22"/>
  <c r="H182" i="22" s="1"/>
  <c r="R21" i="28"/>
  <c r="S24" i="28"/>
  <c r="I19" i="11"/>
  <c r="H19" i="11"/>
  <c r="Q18" i="14"/>
  <c r="I12" i="14"/>
  <c r="H12" i="14"/>
  <c r="F192" i="14"/>
  <c r="I6" i="4"/>
  <c r="Q25" i="4"/>
  <c r="J16" i="4"/>
  <c r="I16" i="4"/>
  <c r="T12" i="7"/>
  <c r="I24" i="10"/>
  <c r="H24" i="10"/>
  <c r="J50" i="10"/>
  <c r="J62" i="10" s="1"/>
  <c r="Q50" i="10"/>
  <c r="S85" i="10"/>
  <c r="G99" i="10"/>
  <c r="I25" i="11"/>
  <c r="H25" i="11"/>
  <c r="G87" i="11"/>
  <c r="I87" i="11" s="1"/>
  <c r="F60" i="11"/>
  <c r="G74" i="11"/>
  <c r="I265" i="14"/>
  <c r="H265" i="14"/>
  <c r="I371" i="14"/>
  <c r="H371" i="14"/>
  <c r="I517" i="14"/>
  <c r="H517" i="14"/>
  <c r="I593" i="14"/>
  <c r="H593" i="14"/>
  <c r="H675" i="14"/>
  <c r="H682" i="14"/>
  <c r="H685" i="14"/>
  <c r="L198" i="15"/>
  <c r="L202" i="15" s="1"/>
  <c r="H262" i="15"/>
  <c r="D307" i="15"/>
  <c r="S522" i="15"/>
  <c r="S527" i="15" s="1"/>
  <c r="H184" i="16"/>
  <c r="I113" i="21"/>
  <c r="H113" i="21"/>
  <c r="H358" i="21"/>
  <c r="F110" i="23"/>
  <c r="F116" i="23" s="1"/>
  <c r="S110" i="33"/>
  <c r="F204" i="14"/>
  <c r="H442" i="14"/>
  <c r="G443" i="14"/>
  <c r="Q692" i="14"/>
  <c r="S110" i="23"/>
  <c r="S116" i="23" s="1"/>
  <c r="I8" i="2"/>
  <c r="H8" i="2"/>
  <c r="P23" i="3"/>
  <c r="P29" i="3" s="1"/>
  <c r="Q33" i="3" s="1"/>
  <c r="I24" i="4"/>
  <c r="E22" i="5"/>
  <c r="I17" i="6"/>
  <c r="I19" i="6" s="1"/>
  <c r="H17" i="6"/>
  <c r="R110" i="6"/>
  <c r="S109" i="6"/>
  <c r="S110" i="6" s="1"/>
  <c r="S23" i="3"/>
  <c r="S29" i="3" s="1"/>
  <c r="R26" i="4"/>
  <c r="R31" i="4" s="1"/>
  <c r="I19" i="4"/>
  <c r="Q26" i="4"/>
  <c r="L29" i="5"/>
  <c r="L36" i="5" s="1"/>
  <c r="I14" i="6"/>
  <c r="I6" i="10"/>
  <c r="H6" i="10"/>
  <c r="L50" i="10"/>
  <c r="L62" i="10" s="1"/>
  <c r="E60" i="10"/>
  <c r="T74" i="10"/>
  <c r="S74" i="10"/>
  <c r="S92" i="10"/>
  <c r="I39" i="11"/>
  <c r="H39" i="11"/>
  <c r="I42" i="11"/>
  <c r="H42" i="11"/>
  <c r="O98" i="11"/>
  <c r="L33" i="13"/>
  <c r="Q117" i="14"/>
  <c r="I183" i="14"/>
  <c r="H183" i="14"/>
  <c r="Q206" i="14"/>
  <c r="F356" i="14"/>
  <c r="I373" i="14"/>
  <c r="H373" i="14"/>
  <c r="S597" i="14"/>
  <c r="S602" i="14" s="1"/>
  <c r="S608" i="14" s="1"/>
  <c r="I9" i="15"/>
  <c r="H9" i="15"/>
  <c r="H16" i="15"/>
  <c r="E40" i="15"/>
  <c r="O117" i="15"/>
  <c r="O123" i="15" s="1"/>
  <c r="O131" i="15" s="1"/>
  <c r="O135" i="15" s="1"/>
  <c r="S255" i="15"/>
  <c r="S281" i="15" s="1"/>
  <c r="S287" i="15" s="1"/>
  <c r="S307" i="15" s="1"/>
  <c r="R281" i="15"/>
  <c r="R287" i="15" s="1"/>
  <c r="F281" i="15"/>
  <c r="F287" i="15" s="1"/>
  <c r="E522" i="15"/>
  <c r="E527" i="15" s="1"/>
  <c r="E533" i="15" s="1"/>
  <c r="I443" i="16"/>
  <c r="H443" i="16"/>
  <c r="P469" i="16"/>
  <c r="H467" i="16"/>
  <c r="I467" i="16"/>
  <c r="H763" i="16"/>
  <c r="I12" i="20"/>
  <c r="H12" i="20"/>
  <c r="I14" i="23"/>
  <c r="H14" i="23"/>
  <c r="R32" i="23"/>
  <c r="R36" i="23" s="1"/>
  <c r="H91" i="23"/>
  <c r="G110" i="23"/>
  <c r="I110" i="23" s="1"/>
  <c r="I91" i="23"/>
  <c r="P24" i="30"/>
  <c r="Q36" i="30" s="1"/>
  <c r="F69" i="31"/>
  <c r="G69" i="31"/>
  <c r="Q29" i="3"/>
  <c r="J5" i="7"/>
  <c r="I5" i="7"/>
  <c r="I14" i="7"/>
  <c r="N32" i="7"/>
  <c r="N28" i="7"/>
  <c r="F60" i="10"/>
  <c r="G75" i="10"/>
  <c r="S75" i="10" s="1"/>
  <c r="F75" i="10"/>
  <c r="E75" i="10"/>
  <c r="T77" i="10"/>
  <c r="S77" i="10"/>
  <c r="F74" i="11"/>
  <c r="F48" i="11"/>
  <c r="I29" i="13"/>
  <c r="I31" i="13" s="1"/>
  <c r="H29" i="13"/>
  <c r="I352" i="14"/>
  <c r="H352" i="14"/>
  <c r="E360" i="14"/>
  <c r="H446" i="14"/>
  <c r="G447" i="14"/>
  <c r="I447" i="14" s="1"/>
  <c r="I512" i="14"/>
  <c r="H512" i="14"/>
  <c r="E686" i="14"/>
  <c r="E692" i="14" s="1"/>
  <c r="H11" i="15"/>
  <c r="I11" i="15"/>
  <c r="I259" i="15"/>
  <c r="H259" i="15"/>
  <c r="H508" i="15"/>
  <c r="I508" i="15"/>
  <c r="I595" i="15"/>
  <c r="H595" i="15"/>
  <c r="Q617" i="15"/>
  <c r="O445" i="16"/>
  <c r="O451" i="16" s="1"/>
  <c r="I765" i="16"/>
  <c r="H765" i="16"/>
  <c r="Q92" i="18"/>
  <c r="I9" i="20"/>
  <c r="G17" i="20"/>
  <c r="H17" i="20" s="1"/>
  <c r="I47" i="21"/>
  <c r="H47" i="21"/>
  <c r="Q281" i="21"/>
  <c r="I174" i="22"/>
  <c r="H174" i="22"/>
  <c r="H12" i="23"/>
  <c r="I12" i="23"/>
  <c r="I57" i="31"/>
  <c r="H57" i="31"/>
  <c r="S26" i="4"/>
  <c r="O36" i="5"/>
  <c r="R36" i="5"/>
  <c r="R26" i="7"/>
  <c r="L89" i="10"/>
  <c r="R98" i="11"/>
  <c r="F35" i="11"/>
  <c r="I7" i="13"/>
  <c r="H7" i="13"/>
  <c r="I14" i="2"/>
  <c r="T6" i="4"/>
  <c r="T26" i="4" s="1"/>
  <c r="N29" i="5"/>
  <c r="N36" i="5" s="1"/>
  <c r="O23" i="6"/>
  <c r="P22" i="6"/>
  <c r="P23" i="6" s="1"/>
  <c r="H29" i="6"/>
  <c r="M112" i="6"/>
  <c r="M120" i="6" s="1"/>
  <c r="M123" i="6" s="1"/>
  <c r="T24" i="7"/>
  <c r="P25" i="10"/>
  <c r="H15" i="10"/>
  <c r="I53" i="10"/>
  <c r="I60" i="10" s="1"/>
  <c r="H53" i="10"/>
  <c r="G60" i="10"/>
  <c r="H59" i="10"/>
  <c r="M89" i="10"/>
  <c r="F78" i="10"/>
  <c r="E78" i="10"/>
  <c r="S88" i="10"/>
  <c r="I54" i="11"/>
  <c r="H54" i="11"/>
  <c r="I57" i="11"/>
  <c r="H57" i="11"/>
  <c r="H70" i="11"/>
  <c r="N90" i="11"/>
  <c r="I20" i="13"/>
  <c r="H20" i="13"/>
  <c r="R36" i="13"/>
  <c r="H10" i="14"/>
  <c r="D18" i="14"/>
  <c r="F101" i="14"/>
  <c r="F109" i="14" s="1"/>
  <c r="E101" i="14"/>
  <c r="H88" i="14"/>
  <c r="I107" i="14"/>
  <c r="H107" i="14"/>
  <c r="I194" i="14"/>
  <c r="H194" i="14"/>
  <c r="S439" i="14"/>
  <c r="S443" i="14" s="1"/>
  <c r="S449" i="14" s="1"/>
  <c r="R443" i="14"/>
  <c r="R449" i="14" s="1"/>
  <c r="R453" i="14" s="1"/>
  <c r="I446" i="14"/>
  <c r="O518" i="14"/>
  <c r="O524" i="14" s="1"/>
  <c r="O527" i="14" s="1"/>
  <c r="H521" i="14"/>
  <c r="I590" i="14"/>
  <c r="H590" i="14"/>
  <c r="R606" i="14"/>
  <c r="S605" i="14"/>
  <c r="S606" i="14" s="1"/>
  <c r="I30" i="15"/>
  <c r="G32" i="15"/>
  <c r="H30" i="15"/>
  <c r="P522" i="15"/>
  <c r="P527" i="15" s="1"/>
  <c r="P533" i="15" s="1"/>
  <c r="P537" i="15" s="1"/>
  <c r="Q527" i="15"/>
  <c r="O611" i="15"/>
  <c r="O617" i="15" s="1"/>
  <c r="O620" i="15" s="1"/>
  <c r="P593" i="15"/>
  <c r="P611" i="15" s="1"/>
  <c r="P617" i="15" s="1"/>
  <c r="P620" i="15" s="1"/>
  <c r="P30" i="16"/>
  <c r="I12" i="19"/>
  <c r="H12" i="19"/>
  <c r="H9" i="20"/>
  <c r="I262" i="21"/>
  <c r="H262" i="21"/>
  <c r="S162" i="24"/>
  <c r="P58" i="31"/>
  <c r="H39" i="31"/>
  <c r="I39" i="31"/>
  <c r="O30" i="6"/>
  <c r="P29" i="6"/>
  <c r="P30" i="6" s="1"/>
  <c r="P110" i="6"/>
  <c r="P112" i="6" s="1"/>
  <c r="P120" i="6" s="1"/>
  <c r="P123" i="6" s="1"/>
  <c r="P21" i="7"/>
  <c r="R26" i="10"/>
  <c r="R50" i="10" s="1"/>
  <c r="R62" i="10" s="1"/>
  <c r="S6" i="10"/>
  <c r="S26" i="10" s="1"/>
  <c r="O50" i="10"/>
  <c r="O62" i="10" s="1"/>
  <c r="G71" i="10"/>
  <c r="T71" i="10" s="1"/>
  <c r="F71" i="10"/>
  <c r="T82" i="10"/>
  <c r="S82" i="10"/>
  <c r="I16" i="11"/>
  <c r="H16" i="11"/>
  <c r="E26" i="11"/>
  <c r="E35" i="11"/>
  <c r="S25" i="13"/>
  <c r="I3" i="14"/>
  <c r="H3" i="14"/>
  <c r="G101" i="14"/>
  <c r="H101" i="14" s="1"/>
  <c r="I78" i="14"/>
  <c r="O380" i="14"/>
  <c r="Q449" i="14"/>
  <c r="P518" i="14"/>
  <c r="P524" i="14" s="1"/>
  <c r="P527" i="14" s="1"/>
  <c r="H580" i="14"/>
  <c r="G597" i="14"/>
  <c r="I587" i="14"/>
  <c r="H587" i="14"/>
  <c r="G686" i="14"/>
  <c r="H686" i="14" s="1"/>
  <c r="I667" i="14"/>
  <c r="H667" i="14"/>
  <c r="P26" i="15"/>
  <c r="S38" i="15"/>
  <c r="S40" i="15" s="1"/>
  <c r="R40" i="15"/>
  <c r="H447" i="15"/>
  <c r="I447" i="15"/>
  <c r="Q449" i="15"/>
  <c r="F611" i="15"/>
  <c r="F617" i="15" s="1"/>
  <c r="I419" i="16"/>
  <c r="G445" i="16"/>
  <c r="H419" i="16"/>
  <c r="S21" i="23"/>
  <c r="S26" i="23" s="1"/>
  <c r="S32" i="23" s="1"/>
  <c r="I86" i="33"/>
  <c r="I24" i="34"/>
  <c r="G43" i="34"/>
  <c r="H24" i="34"/>
  <c r="P30" i="2"/>
  <c r="O27" i="2"/>
  <c r="I10" i="5"/>
  <c r="H10" i="5"/>
  <c r="P110" i="5"/>
  <c r="P109" i="5"/>
  <c r="G21" i="7"/>
  <c r="J4" i="7"/>
  <c r="I4" i="7"/>
  <c r="I49" i="10"/>
  <c r="S60" i="10"/>
  <c r="N89" i="10"/>
  <c r="D90" i="11"/>
  <c r="D98" i="11" s="1"/>
  <c r="I16" i="13"/>
  <c r="H16" i="13"/>
  <c r="O12" i="14"/>
  <c r="O18" i="14" s="1"/>
  <c r="O22" i="14" s="1"/>
  <c r="I5" i="14"/>
  <c r="H5" i="14"/>
  <c r="I80" i="14"/>
  <c r="H80" i="14"/>
  <c r="I94" i="14"/>
  <c r="H94" i="14"/>
  <c r="F115" i="14"/>
  <c r="D198" i="14"/>
  <c r="D206" i="14" s="1"/>
  <c r="S194" i="14"/>
  <c r="S196" i="14" s="1"/>
  <c r="R196" i="14"/>
  <c r="E273" i="14"/>
  <c r="I582" i="14"/>
  <c r="H582" i="14"/>
  <c r="F26" i="15"/>
  <c r="F34" i="15" s="1"/>
  <c r="F42" i="15" s="1"/>
  <c r="S4" i="15"/>
  <c r="S26" i="15" s="1"/>
  <c r="S34" i="15" s="1"/>
  <c r="S42" i="15" s="1"/>
  <c r="R26" i="15"/>
  <c r="Q123" i="15"/>
  <c r="S192" i="15"/>
  <c r="S198" i="15" s="1"/>
  <c r="I270" i="15"/>
  <c r="H270" i="15"/>
  <c r="S305" i="15"/>
  <c r="O22" i="16"/>
  <c r="P3" i="16"/>
  <c r="P22" i="16" s="1"/>
  <c r="P32" i="16" s="1"/>
  <c r="P36" i="16" s="1"/>
  <c r="I75" i="18"/>
  <c r="H75" i="18"/>
  <c r="O96" i="22"/>
  <c r="P95" i="22"/>
  <c r="P96" i="22" s="1"/>
  <c r="I26" i="31"/>
  <c r="H26" i="31"/>
  <c r="G73" i="33"/>
  <c r="I73" i="33" s="1"/>
  <c r="I42" i="33"/>
  <c r="O356" i="14"/>
  <c r="O362" i="14" s="1"/>
  <c r="I595" i="14"/>
  <c r="H595" i="14"/>
  <c r="H605" i="14"/>
  <c r="G606" i="14"/>
  <c r="H606" i="14" s="1"/>
  <c r="F686" i="14"/>
  <c r="F692" i="14" s="1"/>
  <c r="I672" i="14"/>
  <c r="H672" i="14"/>
  <c r="I31" i="15"/>
  <c r="H31" i="15"/>
  <c r="F117" i="15"/>
  <c r="N131" i="15"/>
  <c r="N135" i="15" s="1"/>
  <c r="I298" i="15"/>
  <c r="H298" i="15"/>
  <c r="E368" i="15"/>
  <c r="E374" i="15" s="1"/>
  <c r="F522" i="15"/>
  <c r="F527" i="15" s="1"/>
  <c r="F533" i="15" s="1"/>
  <c r="S22" i="16"/>
  <c r="S32" i="16" s="1"/>
  <c r="S101" i="16"/>
  <c r="S107" i="16" s="1"/>
  <c r="S190" i="16"/>
  <c r="S198" i="16" s="1"/>
  <c r="S206" i="16" s="1"/>
  <c r="P362" i="16"/>
  <c r="P366" i="16" s="1"/>
  <c r="I354" i="16"/>
  <c r="H354" i="16"/>
  <c r="I597" i="16"/>
  <c r="G607" i="16"/>
  <c r="G779" i="16"/>
  <c r="H779" i="16" s="1"/>
  <c r="H778" i="16"/>
  <c r="M365" i="21"/>
  <c r="M368" i="21" s="1"/>
  <c r="O20" i="22"/>
  <c r="O23" i="22" s="1"/>
  <c r="H9" i="23"/>
  <c r="I9" i="23"/>
  <c r="I94" i="23"/>
  <c r="H94" i="23"/>
  <c r="I103" i="23"/>
  <c r="H103" i="23"/>
  <c r="H105" i="23"/>
  <c r="I105" i="23"/>
  <c r="E24" i="30"/>
  <c r="E33" i="30" s="1"/>
  <c r="I74" i="31"/>
  <c r="H74" i="31"/>
  <c r="H112" i="33"/>
  <c r="I112" i="33"/>
  <c r="Q362" i="14"/>
  <c r="I368" i="14"/>
  <c r="H368" i="14"/>
  <c r="O600" i="14"/>
  <c r="P599" i="14"/>
  <c r="P600" i="14" s="1"/>
  <c r="M692" i="14"/>
  <c r="M695" i="14" s="1"/>
  <c r="E26" i="15"/>
  <c r="H24" i="15"/>
  <c r="R32" i="15"/>
  <c r="S29" i="15"/>
  <c r="S32" i="15" s="1"/>
  <c r="G117" i="15"/>
  <c r="I117" i="15" s="1"/>
  <c r="I255" i="15"/>
  <c r="H255" i="15"/>
  <c r="G281" i="15"/>
  <c r="F368" i="15"/>
  <c r="F374" i="15" s="1"/>
  <c r="R443" i="15"/>
  <c r="R449" i="15" s="1"/>
  <c r="R452" i="15" s="1"/>
  <c r="R522" i="15"/>
  <c r="R527" i="15" s="1"/>
  <c r="R533" i="15" s="1"/>
  <c r="R537" i="15" s="1"/>
  <c r="I518" i="15"/>
  <c r="H518" i="15"/>
  <c r="D533" i="15"/>
  <c r="I773" i="16"/>
  <c r="H773" i="16"/>
  <c r="S3" i="20"/>
  <c r="S17" i="20" s="1"/>
  <c r="S23" i="20" s="1"/>
  <c r="S31" i="20" s="1"/>
  <c r="R17" i="20"/>
  <c r="R23" i="20" s="1"/>
  <c r="H96" i="22"/>
  <c r="I96" i="22"/>
  <c r="O21" i="23"/>
  <c r="O26" i="23" s="1"/>
  <c r="O32" i="23" s="1"/>
  <c r="O36" i="23" s="1"/>
  <c r="P4" i="23"/>
  <c r="F25" i="32"/>
  <c r="R62" i="32"/>
  <c r="S62" i="32" s="1"/>
  <c r="S4" i="32"/>
  <c r="R19" i="34"/>
  <c r="R53" i="34"/>
  <c r="S53" i="34" s="1"/>
  <c r="O60" i="34"/>
  <c r="P60" i="34" s="1"/>
  <c r="O43" i="34"/>
  <c r="D70" i="34"/>
  <c r="D77" i="34" s="1"/>
  <c r="D83" i="34" s="1"/>
  <c r="G52" i="34"/>
  <c r="F52" i="34"/>
  <c r="F239" i="34"/>
  <c r="E239" i="34"/>
  <c r="G239" i="34"/>
  <c r="H239" i="34" s="1"/>
  <c r="G22" i="5"/>
  <c r="G29" i="5" s="1"/>
  <c r="S27" i="5"/>
  <c r="S29" i="5" s="1"/>
  <c r="S36" i="5" s="1"/>
  <c r="O19" i="6"/>
  <c r="P3" i="6"/>
  <c r="P19" i="6" s="1"/>
  <c r="E118" i="6"/>
  <c r="I8" i="7"/>
  <c r="T83" i="10"/>
  <c r="S83" i="10"/>
  <c r="T95" i="10"/>
  <c r="S95" i="10"/>
  <c r="T98" i="10"/>
  <c r="S98" i="10"/>
  <c r="G79" i="11"/>
  <c r="H79" i="11" s="1"/>
  <c r="D61" i="11"/>
  <c r="E31" i="13"/>
  <c r="I87" i="14"/>
  <c r="H87" i="14"/>
  <c r="E204" i="14"/>
  <c r="Q273" i="14"/>
  <c r="F360" i="14"/>
  <c r="S380" i="14"/>
  <c r="I671" i="14"/>
  <c r="H671" i="14"/>
  <c r="I676" i="14"/>
  <c r="H676" i="14"/>
  <c r="H23" i="15"/>
  <c r="I23" i="15"/>
  <c r="O26" i="15"/>
  <c r="O34" i="15" s="1"/>
  <c r="O42" i="15" s="1"/>
  <c r="O46" i="15" s="1"/>
  <c r="I191" i="15"/>
  <c r="H191" i="15"/>
  <c r="G192" i="15"/>
  <c r="I264" i="15"/>
  <c r="H264" i="15"/>
  <c r="I302" i="15"/>
  <c r="H302" i="15"/>
  <c r="I435" i="15"/>
  <c r="H435" i="15"/>
  <c r="I614" i="15"/>
  <c r="H614" i="15"/>
  <c r="G615" i="15"/>
  <c r="I615" i="15" s="1"/>
  <c r="P101" i="16"/>
  <c r="P107" i="16" s="1"/>
  <c r="P111" i="16" s="1"/>
  <c r="I179" i="16"/>
  <c r="H179" i="16"/>
  <c r="F775" i="16"/>
  <c r="F781" i="16" s="1"/>
  <c r="F15" i="18"/>
  <c r="F24" i="18" s="1"/>
  <c r="I7" i="18"/>
  <c r="J7" i="18"/>
  <c r="J11" i="18"/>
  <c r="I11" i="18"/>
  <c r="H11" i="18"/>
  <c r="R86" i="18"/>
  <c r="R92" i="18" s="1"/>
  <c r="R95" i="18" s="1"/>
  <c r="E21" i="19"/>
  <c r="E26" i="19" s="1"/>
  <c r="E32" i="19" s="1"/>
  <c r="H6" i="19"/>
  <c r="G21" i="19"/>
  <c r="N31" i="20"/>
  <c r="N35" i="20" s="1"/>
  <c r="I194" i="21"/>
  <c r="G195" i="21"/>
  <c r="H195" i="21" s="1"/>
  <c r="E270" i="21"/>
  <c r="E275" i="21" s="1"/>
  <c r="E281" i="21" s="1"/>
  <c r="I259" i="21"/>
  <c r="H259" i="21"/>
  <c r="I88" i="22"/>
  <c r="H88" i="22"/>
  <c r="R182" i="22"/>
  <c r="R188" i="22" s="1"/>
  <c r="R191" i="22" s="1"/>
  <c r="S177" i="22"/>
  <c r="S182" i="22" s="1"/>
  <c r="S188" i="22" s="1"/>
  <c r="P110" i="23"/>
  <c r="P116" i="23" s="1"/>
  <c r="P119" i="23" s="1"/>
  <c r="G150" i="24"/>
  <c r="H150" i="24" s="1"/>
  <c r="F150" i="24"/>
  <c r="E150" i="24"/>
  <c r="I189" i="24"/>
  <c r="H189" i="24"/>
  <c r="E21" i="28"/>
  <c r="O53" i="31"/>
  <c r="O44" i="31"/>
  <c r="R62" i="31"/>
  <c r="S62" i="31" s="1"/>
  <c r="I37" i="31"/>
  <c r="H37" i="31"/>
  <c r="H66" i="31"/>
  <c r="I66" i="31"/>
  <c r="G290" i="33"/>
  <c r="I228" i="33"/>
  <c r="H563" i="34"/>
  <c r="I581" i="34"/>
  <c r="H581" i="34"/>
  <c r="F96" i="11"/>
  <c r="I195" i="14"/>
  <c r="H195" i="14"/>
  <c r="G356" i="14"/>
  <c r="I581" i="14"/>
  <c r="H581" i="14"/>
  <c r="I594" i="14"/>
  <c r="H594" i="14"/>
  <c r="R117" i="15"/>
  <c r="R123" i="15" s="1"/>
  <c r="Q198" i="15"/>
  <c r="F305" i="15"/>
  <c r="O305" i="15"/>
  <c r="O443" i="15"/>
  <c r="O449" i="15" s="1"/>
  <c r="O452" i="15" s="1"/>
  <c r="P433" i="15"/>
  <c r="P443" i="15" s="1"/>
  <c r="P449" i="15" s="1"/>
  <c r="P452" i="15" s="1"/>
  <c r="R611" i="15"/>
  <c r="R617" i="15" s="1"/>
  <c r="R620" i="15" s="1"/>
  <c r="S593" i="15"/>
  <c r="S611" i="15" s="1"/>
  <c r="S617" i="15" s="1"/>
  <c r="G611" i="15"/>
  <c r="I8" i="16"/>
  <c r="H8" i="16"/>
  <c r="R190" i="16"/>
  <c r="R198" i="16" s="1"/>
  <c r="R281" i="16"/>
  <c r="R287" i="16" s="1"/>
  <c r="I269" i="16"/>
  <c r="G281" i="16"/>
  <c r="I281" i="16" s="1"/>
  <c r="S469" i="16"/>
  <c r="R469" i="16"/>
  <c r="S532" i="16"/>
  <c r="S538" i="16" s="1"/>
  <c r="P686" i="16"/>
  <c r="P691" i="16" s="1"/>
  <c r="P697" i="16" s="1"/>
  <c r="P701" i="16" s="1"/>
  <c r="J3" i="18"/>
  <c r="I3" i="18"/>
  <c r="G15" i="18"/>
  <c r="S86" i="18"/>
  <c r="S92" i="18" s="1"/>
  <c r="E53" i="21"/>
  <c r="I185" i="24"/>
  <c r="H185" i="24"/>
  <c r="E38" i="33"/>
  <c r="I273" i="33"/>
  <c r="H273" i="33"/>
  <c r="I21" i="13"/>
  <c r="H21" i="13"/>
  <c r="O107" i="14"/>
  <c r="Q602" i="14"/>
  <c r="Q34" i="15"/>
  <c r="G121" i="15"/>
  <c r="I121" i="15" s="1"/>
  <c r="E121" i="15"/>
  <c r="Q287" i="15"/>
  <c r="G305" i="15"/>
  <c r="I305" i="15"/>
  <c r="H305" i="15"/>
  <c r="H372" i="15"/>
  <c r="Q374" i="15"/>
  <c r="F443" i="15"/>
  <c r="F449" i="15" s="1"/>
  <c r="I597" i="15"/>
  <c r="H597" i="15"/>
  <c r="I599" i="15"/>
  <c r="H599" i="15"/>
  <c r="I181" i="16"/>
  <c r="H181" i="16"/>
  <c r="S281" i="16"/>
  <c r="S287" i="16" s="1"/>
  <c r="P445" i="16"/>
  <c r="P451" i="16" s="1"/>
  <c r="O469" i="16"/>
  <c r="L613" i="16"/>
  <c r="L616" i="16" s="1"/>
  <c r="S668" i="16"/>
  <c r="S686" i="16" s="1"/>
  <c r="S691" i="16" s="1"/>
  <c r="S697" i="16" s="1"/>
  <c r="R686" i="16"/>
  <c r="R691" i="16" s="1"/>
  <c r="R697" i="16" s="1"/>
  <c r="R701" i="16" s="1"/>
  <c r="P191" i="21"/>
  <c r="P197" i="21" s="1"/>
  <c r="P200" i="21" s="1"/>
  <c r="R18" i="22"/>
  <c r="B22" i="1" s="1"/>
  <c r="I171" i="22"/>
  <c r="H171" i="22"/>
  <c r="I6" i="31"/>
  <c r="H6" i="31"/>
  <c r="G20" i="31"/>
  <c r="R577" i="34"/>
  <c r="S577" i="34" s="1"/>
  <c r="S545" i="34"/>
  <c r="I19" i="10"/>
  <c r="H19" i="10"/>
  <c r="M50" i="10"/>
  <c r="M62" i="10" s="1"/>
  <c r="S73" i="10"/>
  <c r="O90" i="11"/>
  <c r="I81" i="11"/>
  <c r="H81" i="11"/>
  <c r="H30" i="13"/>
  <c r="I185" i="14"/>
  <c r="H185" i="14"/>
  <c r="P380" i="14"/>
  <c r="I369" i="14"/>
  <c r="H369" i="14"/>
  <c r="R597" i="14"/>
  <c r="R602" i="14" s="1"/>
  <c r="R608" i="14" s="1"/>
  <c r="R612" i="14" s="1"/>
  <c r="J608" i="14"/>
  <c r="H678" i="14"/>
  <c r="H681" i="14"/>
  <c r="I20" i="15"/>
  <c r="H20" i="15"/>
  <c r="H25" i="15"/>
  <c r="H280" i="15"/>
  <c r="E285" i="15"/>
  <c r="E287" i="15" s="1"/>
  <c r="H290" i="15"/>
  <c r="R305" i="15"/>
  <c r="S368" i="15"/>
  <c r="S374" i="15" s="1"/>
  <c r="I512" i="15"/>
  <c r="H512" i="15"/>
  <c r="R204" i="16"/>
  <c r="Q538" i="16"/>
  <c r="Q691" i="16"/>
  <c r="I689" i="16"/>
  <c r="H689" i="16"/>
  <c r="I39" i="21"/>
  <c r="H39" i="21"/>
  <c r="H49" i="21"/>
  <c r="I49" i="21"/>
  <c r="R191" i="21"/>
  <c r="R197" i="21" s="1"/>
  <c r="R200" i="21" s="1"/>
  <c r="S180" i="21"/>
  <c r="S191" i="21" s="1"/>
  <c r="H189" i="21"/>
  <c r="H12" i="22"/>
  <c r="H76" i="22"/>
  <c r="G102" i="22"/>
  <c r="I102" i="22" s="1"/>
  <c r="I101" i="22"/>
  <c r="E21" i="23"/>
  <c r="E26" i="23" s="1"/>
  <c r="E32" i="23" s="1"/>
  <c r="I138" i="24"/>
  <c r="H138" i="24"/>
  <c r="F44" i="31"/>
  <c r="P265" i="33"/>
  <c r="P288" i="33" s="1"/>
  <c r="P293" i="33" s="1"/>
  <c r="P309" i="33" s="1"/>
  <c r="P313" i="33" s="1"/>
  <c r="O288" i="33"/>
  <c r="O293" i="33" s="1"/>
  <c r="O309" i="33" s="1"/>
  <c r="O313" i="33" s="1"/>
  <c r="T86" i="10"/>
  <c r="S86" i="10"/>
  <c r="E74" i="11"/>
  <c r="Q66" i="11"/>
  <c r="H68" i="11"/>
  <c r="I9" i="13"/>
  <c r="H9" i="13"/>
  <c r="H13" i="13"/>
  <c r="I19" i="13"/>
  <c r="H19" i="13"/>
  <c r="R107" i="14"/>
  <c r="S104" i="14"/>
  <c r="S107" i="14" s="1"/>
  <c r="S180" i="14"/>
  <c r="S192" i="14" s="1"/>
  <c r="S198" i="14" s="1"/>
  <c r="S206" i="14" s="1"/>
  <c r="G196" i="14"/>
  <c r="H196" i="14" s="1"/>
  <c r="I182" i="14"/>
  <c r="I261" i="14"/>
  <c r="H261" i="14"/>
  <c r="G267" i="14"/>
  <c r="H264" i="14"/>
  <c r="L362" i="14"/>
  <c r="L382" i="14" s="1"/>
  <c r="L386" i="14" s="1"/>
  <c r="R380" i="14"/>
  <c r="H377" i="14"/>
  <c r="H515" i="14"/>
  <c r="I591" i="14"/>
  <c r="H591" i="14"/>
  <c r="I15" i="15"/>
  <c r="I109" i="15"/>
  <c r="H109" i="15"/>
  <c r="I290" i="15"/>
  <c r="I603" i="15"/>
  <c r="H603" i="15"/>
  <c r="I5" i="16"/>
  <c r="H5" i="16"/>
  <c r="O30" i="16"/>
  <c r="I277" i="16"/>
  <c r="H277" i="16"/>
  <c r="O538" i="16"/>
  <c r="O542" i="16" s="1"/>
  <c r="I189" i="21"/>
  <c r="I12" i="22"/>
  <c r="H101" i="22"/>
  <c r="F182" i="22"/>
  <c r="F188" i="22" s="1"/>
  <c r="L174" i="24"/>
  <c r="S138" i="24"/>
  <c r="E166" i="24"/>
  <c r="P33" i="30"/>
  <c r="F65" i="32"/>
  <c r="E65" i="32"/>
  <c r="I233" i="34"/>
  <c r="H233" i="34"/>
  <c r="G88" i="11"/>
  <c r="G192" i="14"/>
  <c r="O597" i="14"/>
  <c r="O602" i="14" s="1"/>
  <c r="O608" i="14" s="1"/>
  <c r="O612" i="14" s="1"/>
  <c r="I105" i="15"/>
  <c r="H105" i="15"/>
  <c r="R129" i="15"/>
  <c r="P192" i="15"/>
  <c r="P198" i="15" s="1"/>
  <c r="P202" i="15" s="1"/>
  <c r="O281" i="15"/>
  <c r="O287" i="15" s="1"/>
  <c r="O307" i="15" s="1"/>
  <c r="O311" i="15" s="1"/>
  <c r="I267" i="15"/>
  <c r="H267" i="15"/>
  <c r="I279" i="15"/>
  <c r="H279" i="15"/>
  <c r="P368" i="15"/>
  <c r="P374" i="15" s="1"/>
  <c r="P378" i="15" s="1"/>
  <c r="G443" i="15"/>
  <c r="I443" i="15" s="1"/>
  <c r="I602" i="15"/>
  <c r="H602" i="15"/>
  <c r="I26" i="16"/>
  <c r="H26" i="16"/>
  <c r="R101" i="16"/>
  <c r="R107" i="16" s="1"/>
  <c r="R111" i="16" s="1"/>
  <c r="R360" i="16"/>
  <c r="S447" i="16"/>
  <c r="S449" i="16" s="1"/>
  <c r="R449" i="16"/>
  <c r="N15" i="18"/>
  <c r="N24" i="18" s="1"/>
  <c r="N28" i="18" s="1"/>
  <c r="R15" i="18"/>
  <c r="H79" i="18"/>
  <c r="I79" i="18"/>
  <c r="I24" i="19"/>
  <c r="Q26" i="19"/>
  <c r="I15" i="21"/>
  <c r="H15" i="21"/>
  <c r="I52" i="21"/>
  <c r="H52" i="21"/>
  <c r="H186" i="21"/>
  <c r="I186" i="21"/>
  <c r="F270" i="21"/>
  <c r="F275" i="21" s="1"/>
  <c r="F281" i="21" s="1"/>
  <c r="R270" i="21"/>
  <c r="R275" i="21" s="1"/>
  <c r="R281" i="21" s="1"/>
  <c r="R285" i="21" s="1"/>
  <c r="S253" i="21"/>
  <c r="S270" i="21" s="1"/>
  <c r="S275" i="21" s="1"/>
  <c r="S281" i="21" s="1"/>
  <c r="O93" i="22"/>
  <c r="I83" i="22"/>
  <c r="H83" i="22"/>
  <c r="Q116" i="23"/>
  <c r="S140" i="24"/>
  <c r="S166" i="24"/>
  <c r="H166" i="24"/>
  <c r="I166" i="24"/>
  <c r="G173" i="24"/>
  <c r="F173" i="24"/>
  <c r="E173" i="24"/>
  <c r="F77" i="32"/>
  <c r="G77" i="32"/>
  <c r="I77" i="32" s="1"/>
  <c r="E77" i="32"/>
  <c r="H83" i="33"/>
  <c r="I83" i="33"/>
  <c r="I106" i="33"/>
  <c r="H106" i="33"/>
  <c r="R283" i="33"/>
  <c r="S251" i="33"/>
  <c r="S283" i="33" s="1"/>
  <c r="S536" i="34"/>
  <c r="S556" i="34" s="1"/>
  <c r="R556" i="34"/>
  <c r="I5" i="40"/>
  <c r="H5" i="40"/>
  <c r="N30" i="2"/>
  <c r="P26" i="4"/>
  <c r="P31" i="4" s="1"/>
  <c r="H115" i="6"/>
  <c r="E77" i="10"/>
  <c r="H94" i="11"/>
  <c r="I15" i="14"/>
  <c r="H15" i="14"/>
  <c r="N109" i="14"/>
  <c r="N117" i="14" s="1"/>
  <c r="N121" i="14" s="1"/>
  <c r="E107" i="14"/>
  <c r="H178" i="14"/>
  <c r="I358" i="14"/>
  <c r="I376" i="14"/>
  <c r="H376" i="14"/>
  <c r="L524" i="14"/>
  <c r="L527" i="14" s="1"/>
  <c r="P579" i="14"/>
  <c r="P597" i="14" s="1"/>
  <c r="P602" i="14" s="1"/>
  <c r="P608" i="14" s="1"/>
  <c r="P612" i="14" s="1"/>
  <c r="H584" i="14"/>
  <c r="H599" i="14"/>
  <c r="P32" i="15"/>
  <c r="S120" i="15"/>
  <c r="S121" i="15" s="1"/>
  <c r="S123" i="15" s="1"/>
  <c r="S131" i="15" s="1"/>
  <c r="S126" i="15"/>
  <c r="S129" i="15" s="1"/>
  <c r="P255" i="15"/>
  <c r="P281" i="15" s="1"/>
  <c r="P287" i="15" s="1"/>
  <c r="H432" i="15"/>
  <c r="S530" i="15"/>
  <c r="S531" i="15" s="1"/>
  <c r="I610" i="15"/>
  <c r="H610" i="15"/>
  <c r="M617" i="15"/>
  <c r="M620" i="15" s="1"/>
  <c r="H21" i="16"/>
  <c r="I96" i="16"/>
  <c r="H96" i="16"/>
  <c r="P201" i="16"/>
  <c r="P204" i="16" s="1"/>
  <c r="P293" i="16"/>
  <c r="N362" i="16"/>
  <c r="N366" i="16" s="1"/>
  <c r="H432" i="16"/>
  <c r="I464" i="16"/>
  <c r="G536" i="16"/>
  <c r="I536" i="16" s="1"/>
  <c r="I535" i="16"/>
  <c r="H535" i="16"/>
  <c r="O607" i="16"/>
  <c r="O613" i="16" s="1"/>
  <c r="O616" i="16" s="1"/>
  <c r="H767" i="16"/>
  <c r="O15" i="18"/>
  <c r="O24" i="18" s="1"/>
  <c r="O28" i="18" s="1"/>
  <c r="P3" i="18"/>
  <c r="P15" i="18" s="1"/>
  <c r="E22" i="18"/>
  <c r="E24" i="18" s="1"/>
  <c r="F17" i="20"/>
  <c r="F21" i="20" s="1"/>
  <c r="E21" i="20"/>
  <c r="R29" i="21"/>
  <c r="R35" i="21" s="1"/>
  <c r="P7" i="21"/>
  <c r="O29" i="21"/>
  <c r="O35" i="21" s="1"/>
  <c r="O55" i="21" s="1"/>
  <c r="O59" i="21" s="1"/>
  <c r="I41" i="21"/>
  <c r="H41" i="21"/>
  <c r="H46" i="21"/>
  <c r="I46" i="21"/>
  <c r="M197" i="21"/>
  <c r="M200" i="21" s="1"/>
  <c r="G270" i="21"/>
  <c r="I252" i="21"/>
  <c r="I362" i="21"/>
  <c r="G363" i="21"/>
  <c r="I363" i="21" s="1"/>
  <c r="H362" i="21"/>
  <c r="F14" i="22"/>
  <c r="F20" i="22" s="1"/>
  <c r="P75" i="22"/>
  <c r="P93" i="22" s="1"/>
  <c r="Q191" i="22"/>
  <c r="F21" i="23"/>
  <c r="F26" i="23" s="1"/>
  <c r="F32" i="23" s="1"/>
  <c r="I104" i="23"/>
  <c r="H104" i="23"/>
  <c r="R110" i="23"/>
  <c r="R116" i="23" s="1"/>
  <c r="R119" i="23" s="1"/>
  <c r="I171" i="24"/>
  <c r="H171" i="24"/>
  <c r="I186" i="24"/>
  <c r="H186" i="24"/>
  <c r="I18" i="28"/>
  <c r="I19" i="28" s="1"/>
  <c r="H18" i="28"/>
  <c r="G19" i="28"/>
  <c r="F81" i="33"/>
  <c r="I95" i="33"/>
  <c r="H95" i="33"/>
  <c r="S409" i="33"/>
  <c r="R442" i="33"/>
  <c r="S442" i="33" s="1"/>
  <c r="I438" i="33"/>
  <c r="H438" i="33"/>
  <c r="I284" i="34"/>
  <c r="Q288" i="34"/>
  <c r="H284" i="34"/>
  <c r="E775" i="16"/>
  <c r="E781" i="16" s="1"/>
  <c r="I759" i="16"/>
  <c r="H759" i="16"/>
  <c r="R20" i="31"/>
  <c r="I62" i="32"/>
  <c r="H62" i="32"/>
  <c r="G94" i="33"/>
  <c r="F94" i="33"/>
  <c r="E94" i="33"/>
  <c r="G77" i="11"/>
  <c r="I77" i="11" s="1"/>
  <c r="I11" i="14"/>
  <c r="H11" i="14"/>
  <c r="E380" i="14"/>
  <c r="I668" i="14"/>
  <c r="H668" i="14"/>
  <c r="I504" i="15"/>
  <c r="H504" i="15"/>
  <c r="E22" i="16"/>
  <c r="E32" i="16" s="1"/>
  <c r="Q198" i="16"/>
  <c r="H194" i="16"/>
  <c r="S201" i="16"/>
  <c r="S204" i="16" s="1"/>
  <c r="H203" i="16"/>
  <c r="I203" i="16"/>
  <c r="S350" i="16"/>
  <c r="S356" i="16" s="1"/>
  <c r="S362" i="16" s="1"/>
  <c r="R356" i="16"/>
  <c r="R362" i="16" s="1"/>
  <c r="R366" i="16" s="1"/>
  <c r="R607" i="16"/>
  <c r="R613" i="16" s="1"/>
  <c r="R616" i="16" s="1"/>
  <c r="S596" i="16"/>
  <c r="S607" i="16" s="1"/>
  <c r="S613" i="16" s="1"/>
  <c r="I600" i="16"/>
  <c r="H603" i="16"/>
  <c r="I761" i="16"/>
  <c r="H761" i="16"/>
  <c r="H13" i="18"/>
  <c r="O22" i="18"/>
  <c r="H3" i="20"/>
  <c r="I8" i="20"/>
  <c r="H8" i="20"/>
  <c r="H14" i="20"/>
  <c r="I14" i="20"/>
  <c r="H22" i="21"/>
  <c r="O53" i="21"/>
  <c r="H43" i="21"/>
  <c r="P116" i="21"/>
  <c r="P122" i="21" s="1"/>
  <c r="P126" i="21" s="1"/>
  <c r="E191" i="21"/>
  <c r="E197" i="21" s="1"/>
  <c r="O270" i="21"/>
  <c r="P252" i="21"/>
  <c r="P270" i="21" s="1"/>
  <c r="P275" i="21" s="1"/>
  <c r="P281" i="21" s="1"/>
  <c r="P285" i="21" s="1"/>
  <c r="H342" i="21"/>
  <c r="G359" i="21"/>
  <c r="H77" i="22"/>
  <c r="I85" i="22"/>
  <c r="I178" i="22"/>
  <c r="H178" i="22"/>
  <c r="S142" i="24"/>
  <c r="F156" i="24"/>
  <c r="E156" i="24"/>
  <c r="G156" i="24"/>
  <c r="G162" i="24"/>
  <c r="H162" i="24" s="1"/>
  <c r="F162" i="24"/>
  <c r="E162" i="24"/>
  <c r="G195" i="24"/>
  <c r="I184" i="24"/>
  <c r="I195" i="24" s="1"/>
  <c r="H184" i="24"/>
  <c r="I15" i="31"/>
  <c r="H15" i="31"/>
  <c r="F49" i="31"/>
  <c r="L71" i="31"/>
  <c r="L78" i="31" s="1"/>
  <c r="L84" i="31" s="1"/>
  <c r="L88" i="31" s="1"/>
  <c r="Q71" i="31"/>
  <c r="H54" i="31"/>
  <c r="M81" i="32"/>
  <c r="F75" i="32"/>
  <c r="G75" i="32"/>
  <c r="I75" i="32" s="1"/>
  <c r="O38" i="33"/>
  <c r="O83" i="33"/>
  <c r="G121" i="33"/>
  <c r="H121" i="33" s="1"/>
  <c r="E121" i="33"/>
  <c r="R446" i="33"/>
  <c r="S446" i="33" s="1"/>
  <c r="S387" i="33"/>
  <c r="M449" i="33"/>
  <c r="O362" i="16"/>
  <c r="O366" i="16" s="1"/>
  <c r="I458" i="16"/>
  <c r="H458" i="16"/>
  <c r="I181" i="22"/>
  <c r="H181" i="22"/>
  <c r="H106" i="23"/>
  <c r="I106" i="23"/>
  <c r="S24" i="30"/>
  <c r="G62" i="31"/>
  <c r="H62" i="31" s="1"/>
  <c r="F62" i="31"/>
  <c r="E62" i="31"/>
  <c r="D71" i="31"/>
  <c r="D78" i="31" s="1"/>
  <c r="D84" i="31" s="1"/>
  <c r="H81" i="33"/>
  <c r="I81" i="33"/>
  <c r="H20" i="2"/>
  <c r="H13" i="3"/>
  <c r="L273" i="14"/>
  <c r="L277" i="14" s="1"/>
  <c r="O271" i="14"/>
  <c r="O273" i="14" s="1"/>
  <c r="O277" i="14" s="1"/>
  <c r="P270" i="14"/>
  <c r="P271" i="14" s="1"/>
  <c r="P273" i="14" s="1"/>
  <c r="P277" i="14" s="1"/>
  <c r="I372" i="14"/>
  <c r="H372" i="14"/>
  <c r="H596" i="14"/>
  <c r="M34" i="15"/>
  <c r="M42" i="15" s="1"/>
  <c r="M46" i="15" s="1"/>
  <c r="E32" i="15"/>
  <c r="I40" i="15"/>
  <c r="H40" i="15"/>
  <c r="E117" i="15"/>
  <c r="H104" i="15"/>
  <c r="H107" i="15"/>
  <c r="I263" i="15"/>
  <c r="H263" i="15"/>
  <c r="H266" i="15"/>
  <c r="H272" i="15"/>
  <c r="I275" i="15"/>
  <c r="H275" i="15"/>
  <c r="H278" i="15"/>
  <c r="O522" i="15"/>
  <c r="O527" i="15" s="1"/>
  <c r="O533" i="15" s="1"/>
  <c r="O537" i="15" s="1"/>
  <c r="I520" i="15"/>
  <c r="H520" i="15"/>
  <c r="F22" i="16"/>
  <c r="H28" i="16"/>
  <c r="I93" i="16"/>
  <c r="H93" i="16"/>
  <c r="I194" i="16"/>
  <c r="E445" i="16"/>
  <c r="E451" i="16" s="1"/>
  <c r="H530" i="16"/>
  <c r="F686" i="16"/>
  <c r="F691" i="16" s="1"/>
  <c r="F697" i="16" s="1"/>
  <c r="I679" i="16"/>
  <c r="H682" i="16"/>
  <c r="H756" i="16"/>
  <c r="G775" i="16"/>
  <c r="I756" i="16"/>
  <c r="H6" i="17"/>
  <c r="I13" i="18"/>
  <c r="P19" i="18"/>
  <c r="P22" i="18" s="1"/>
  <c r="O17" i="20"/>
  <c r="O23" i="20" s="1"/>
  <c r="O31" i="20" s="1"/>
  <c r="O35" i="20" s="1"/>
  <c r="P29" i="20"/>
  <c r="I28" i="20"/>
  <c r="P29" i="21"/>
  <c r="P35" i="21" s="1"/>
  <c r="P55" i="21" s="1"/>
  <c r="P59" i="21" s="1"/>
  <c r="H19" i="21"/>
  <c r="F191" i="21"/>
  <c r="F197" i="21" s="1"/>
  <c r="Q197" i="21"/>
  <c r="I256" i="21"/>
  <c r="H256" i="21"/>
  <c r="I342" i="21"/>
  <c r="P163" i="22"/>
  <c r="P182" i="22" s="1"/>
  <c r="P188" i="22" s="1"/>
  <c r="P191" i="22" s="1"/>
  <c r="O182" i="22"/>
  <c r="O188" i="22" s="1"/>
  <c r="O191" i="22" s="1"/>
  <c r="H165" i="22"/>
  <c r="I143" i="24"/>
  <c r="H143" i="24"/>
  <c r="S157" i="24"/>
  <c r="I157" i="24"/>
  <c r="E164" i="24"/>
  <c r="G164" i="24"/>
  <c r="F164" i="24"/>
  <c r="I165" i="24"/>
  <c r="H165" i="24"/>
  <c r="I168" i="24"/>
  <c r="S168" i="24"/>
  <c r="H168" i="24"/>
  <c r="M71" i="31"/>
  <c r="M78" i="31" s="1"/>
  <c r="M84" i="31" s="1"/>
  <c r="M88" i="31" s="1"/>
  <c r="R54" i="31"/>
  <c r="O51" i="32"/>
  <c r="N81" i="32"/>
  <c r="G63" i="32"/>
  <c r="H63" i="32" s="1"/>
  <c r="F63" i="32"/>
  <c r="E63" i="32"/>
  <c r="I73" i="32"/>
  <c r="H73" i="32"/>
  <c r="E75" i="32"/>
  <c r="E83" i="32"/>
  <c r="F83" i="32"/>
  <c r="G83" i="32"/>
  <c r="I83" i="32" s="1"/>
  <c r="I76" i="33"/>
  <c r="D113" i="33"/>
  <c r="Q113" i="33"/>
  <c r="Q123" i="33"/>
  <c r="H115" i="33"/>
  <c r="I115" i="33"/>
  <c r="F121" i="33"/>
  <c r="H278" i="33"/>
  <c r="I278" i="33"/>
  <c r="L262" i="34"/>
  <c r="R532" i="16"/>
  <c r="R538" i="16" s="1"/>
  <c r="R542" i="16" s="1"/>
  <c r="P607" i="16"/>
  <c r="P613" i="16" s="1"/>
  <c r="P616" i="16" s="1"/>
  <c r="R14" i="22"/>
  <c r="R93" i="22"/>
  <c r="R98" i="22" s="1"/>
  <c r="R104" i="22" s="1"/>
  <c r="R108" i="22" s="1"/>
  <c r="I3" i="23"/>
  <c r="G21" i="23"/>
  <c r="H3" i="23"/>
  <c r="I151" i="24"/>
  <c r="S151" i="24"/>
  <c r="H228" i="34"/>
  <c r="I228" i="34"/>
  <c r="S228" i="34"/>
  <c r="I7" i="14"/>
  <c r="H7" i="14"/>
  <c r="N18" i="14"/>
  <c r="N22" i="14" s="1"/>
  <c r="M273" i="14"/>
  <c r="M277" i="14" s="1"/>
  <c r="I351" i="14"/>
  <c r="G360" i="14"/>
  <c r="G380" i="14"/>
  <c r="I380" i="14" s="1"/>
  <c r="I365" i="14"/>
  <c r="I583" i="14"/>
  <c r="H583" i="14"/>
  <c r="I107" i="15"/>
  <c r="H110" i="15"/>
  <c r="I127" i="15"/>
  <c r="S443" i="15"/>
  <c r="S449" i="15" s="1"/>
  <c r="G522" i="15"/>
  <c r="I522" i="15" s="1"/>
  <c r="I20" i="16"/>
  <c r="H20" i="16"/>
  <c r="P281" i="16"/>
  <c r="P287" i="16" s="1"/>
  <c r="Q366" i="16"/>
  <c r="F445" i="16"/>
  <c r="F451" i="16" s="1"/>
  <c r="I428" i="16"/>
  <c r="H428" i="16"/>
  <c r="I605" i="16"/>
  <c r="H605" i="16"/>
  <c r="G686" i="16"/>
  <c r="E686" i="16"/>
  <c r="E691" i="16" s="1"/>
  <c r="E697" i="16" s="1"/>
  <c r="I6" i="17"/>
  <c r="H8" i="18"/>
  <c r="H12" i="18"/>
  <c r="P17" i="20"/>
  <c r="P23" i="20" s="1"/>
  <c r="P31" i="20" s="1"/>
  <c r="P35" i="20" s="1"/>
  <c r="I5" i="20"/>
  <c r="H5" i="20"/>
  <c r="H32" i="21"/>
  <c r="I269" i="21"/>
  <c r="O359" i="21"/>
  <c r="O365" i="21" s="1"/>
  <c r="O368" i="21" s="1"/>
  <c r="I350" i="21"/>
  <c r="H350" i="21"/>
  <c r="P14" i="22"/>
  <c r="P20" i="22" s="1"/>
  <c r="P23" i="22" s="1"/>
  <c r="I8" i="22"/>
  <c r="F93" i="22"/>
  <c r="F98" i="22" s="1"/>
  <c r="F104" i="22" s="1"/>
  <c r="H87" i="22"/>
  <c r="I89" i="22"/>
  <c r="H89" i="22"/>
  <c r="I167" i="22"/>
  <c r="H167" i="22"/>
  <c r="S29" i="23"/>
  <c r="S30" i="23" s="1"/>
  <c r="O110" i="23"/>
  <c r="O116" i="23" s="1"/>
  <c r="O119" i="23" s="1"/>
  <c r="H113" i="23"/>
  <c r="I113" i="23"/>
  <c r="G114" i="23"/>
  <c r="H114" i="23" s="1"/>
  <c r="M174" i="24"/>
  <c r="E143" i="24"/>
  <c r="S165" i="24"/>
  <c r="G169" i="24"/>
  <c r="H169" i="24" s="1"/>
  <c r="F169" i="24"/>
  <c r="E169" i="24"/>
  <c r="E25" i="32"/>
  <c r="O25" i="32"/>
  <c r="I61" i="32"/>
  <c r="H61" i="32"/>
  <c r="Q81" i="32"/>
  <c r="S115" i="33"/>
  <c r="S123" i="33" s="1"/>
  <c r="I271" i="33"/>
  <c r="H271" i="33"/>
  <c r="H60" i="34"/>
  <c r="I60" i="34"/>
  <c r="F245" i="34"/>
  <c r="G245" i="34"/>
  <c r="E245" i="34"/>
  <c r="E281" i="16"/>
  <c r="O281" i="16"/>
  <c r="O287" i="16" s="1"/>
  <c r="O295" i="16" s="1"/>
  <c r="O299" i="16" s="1"/>
  <c r="R445" i="16"/>
  <c r="R451" i="16" s="1"/>
  <c r="R471" i="16" s="1"/>
  <c r="R475" i="16" s="1"/>
  <c r="F469" i="16"/>
  <c r="E607" i="16"/>
  <c r="E613" i="16" s="1"/>
  <c r="P7" i="17"/>
  <c r="P13" i="17" s="1"/>
  <c r="P17" i="17" s="1"/>
  <c r="S19" i="18"/>
  <c r="S22" i="18" s="1"/>
  <c r="R22" i="18"/>
  <c r="B18" i="1" s="1"/>
  <c r="F86" i="18"/>
  <c r="F92" i="18" s="1"/>
  <c r="I27" i="20"/>
  <c r="H27" i="20"/>
  <c r="G29" i="20"/>
  <c r="M122" i="21"/>
  <c r="M126" i="21" s="1"/>
  <c r="Q104" i="22"/>
  <c r="F139" i="24"/>
  <c r="G139" i="24"/>
  <c r="S144" i="24"/>
  <c r="I144" i="24"/>
  <c r="O64" i="31"/>
  <c r="P64" i="31" s="1"/>
  <c r="I41" i="31"/>
  <c r="H41" i="31"/>
  <c r="H269" i="33"/>
  <c r="I269" i="33"/>
  <c r="Q288" i="33"/>
  <c r="R307" i="33"/>
  <c r="S299" i="33"/>
  <c r="S386" i="33"/>
  <c r="R445" i="33"/>
  <c r="S445" i="33" s="1"/>
  <c r="I432" i="33"/>
  <c r="H432" i="33"/>
  <c r="I256" i="34"/>
  <c r="H256" i="34"/>
  <c r="S196" i="16"/>
  <c r="F281" i="16"/>
  <c r="R293" i="16"/>
  <c r="S445" i="16"/>
  <c r="S451" i="16" s="1"/>
  <c r="P775" i="16"/>
  <c r="P781" i="16" s="1"/>
  <c r="P784" i="16" s="1"/>
  <c r="S3" i="17"/>
  <c r="S7" i="17" s="1"/>
  <c r="S13" i="17" s="1"/>
  <c r="R7" i="17"/>
  <c r="Q17" i="17"/>
  <c r="J22" i="18"/>
  <c r="J24" i="18" s="1"/>
  <c r="O21" i="19"/>
  <c r="O26" i="19" s="1"/>
  <c r="O32" i="19" s="1"/>
  <c r="O36" i="19" s="1"/>
  <c r="H265" i="21"/>
  <c r="I265" i="21"/>
  <c r="H272" i="21"/>
  <c r="G273" i="21"/>
  <c r="H10" i="22"/>
  <c r="P21" i="23"/>
  <c r="P26" i="23" s="1"/>
  <c r="P32" i="23" s="1"/>
  <c r="P36" i="23" s="1"/>
  <c r="I11" i="23"/>
  <c r="H11" i="23"/>
  <c r="H19" i="23"/>
  <c r="Q174" i="24"/>
  <c r="E139" i="24"/>
  <c r="E145" i="24"/>
  <c r="F145" i="24"/>
  <c r="S154" i="24"/>
  <c r="H5" i="31"/>
  <c r="I5" i="31"/>
  <c r="H9" i="31"/>
  <c r="H11" i="31"/>
  <c r="I30" i="31"/>
  <c r="H30" i="31"/>
  <c r="I60" i="31"/>
  <c r="H60" i="31"/>
  <c r="H58" i="32"/>
  <c r="P83" i="32"/>
  <c r="S92" i="32"/>
  <c r="S101" i="32" s="1"/>
  <c r="E149" i="33"/>
  <c r="H229" i="33"/>
  <c r="S376" i="33"/>
  <c r="R439" i="33"/>
  <c r="S439" i="33" s="1"/>
  <c r="S381" i="33"/>
  <c r="D449" i="33"/>
  <c r="E429" i="33"/>
  <c r="E432" i="33"/>
  <c r="Q74" i="34"/>
  <c r="H17" i="36"/>
  <c r="I17" i="36"/>
  <c r="I606" i="15"/>
  <c r="H606" i="15"/>
  <c r="H4" i="16"/>
  <c r="H13" i="16"/>
  <c r="F30" i="16"/>
  <c r="E101" i="16"/>
  <c r="E107" i="16" s="1"/>
  <c r="I99" i="16"/>
  <c r="I105" i="16"/>
  <c r="H105" i="16"/>
  <c r="I180" i="16"/>
  <c r="H183" i="16"/>
  <c r="N198" i="16"/>
  <c r="N206" i="16" s="1"/>
  <c r="N210" i="16" s="1"/>
  <c r="I267" i="16"/>
  <c r="H267" i="16"/>
  <c r="H273" i="16"/>
  <c r="S290" i="16"/>
  <c r="S293" i="16" s="1"/>
  <c r="H436" i="16"/>
  <c r="I439" i="16"/>
  <c r="H439" i="16"/>
  <c r="I466" i="16"/>
  <c r="E532" i="16"/>
  <c r="E538" i="16" s="1"/>
  <c r="N613" i="16"/>
  <c r="N616" i="16" s="1"/>
  <c r="H669" i="16"/>
  <c r="I677" i="16"/>
  <c r="H677" i="16"/>
  <c r="I766" i="16"/>
  <c r="H766" i="16"/>
  <c r="H6" i="18"/>
  <c r="J6" i="18"/>
  <c r="H81" i="18"/>
  <c r="P3" i="19"/>
  <c r="P21" i="19" s="1"/>
  <c r="P26" i="19" s="1"/>
  <c r="H8" i="19"/>
  <c r="H20" i="20"/>
  <c r="S5" i="21"/>
  <c r="S29" i="21" s="1"/>
  <c r="S35" i="21" s="1"/>
  <c r="H7" i="21"/>
  <c r="Q35" i="21"/>
  <c r="I272" i="21"/>
  <c r="I341" i="21"/>
  <c r="H164" i="22"/>
  <c r="I177" i="22"/>
  <c r="H177" i="22"/>
  <c r="G186" i="22"/>
  <c r="I186" i="22" s="1"/>
  <c r="I185" i="22"/>
  <c r="S137" i="24"/>
  <c r="S141" i="24"/>
  <c r="G145" i="24"/>
  <c r="S169" i="24"/>
  <c r="O57" i="31"/>
  <c r="P57" i="31" s="1"/>
  <c r="Q75" i="31"/>
  <c r="H76" i="32"/>
  <c r="I76" i="32"/>
  <c r="O73" i="33"/>
  <c r="I94" i="33"/>
  <c r="H94" i="33"/>
  <c r="I120" i="33"/>
  <c r="H120" i="33"/>
  <c r="P149" i="33"/>
  <c r="I130" i="33"/>
  <c r="H144" i="33"/>
  <c r="I144" i="33"/>
  <c r="E290" i="33"/>
  <c r="E291" i="33" s="1"/>
  <c r="S241" i="33"/>
  <c r="S274" i="33" s="1"/>
  <c r="I302" i="33"/>
  <c r="H302" i="33"/>
  <c r="O418" i="33"/>
  <c r="F429" i="33"/>
  <c r="F432" i="33"/>
  <c r="I448" i="33"/>
  <c r="H448" i="33"/>
  <c r="F59" i="34"/>
  <c r="G59" i="34"/>
  <c r="I59" i="34" s="1"/>
  <c r="E59" i="34"/>
  <c r="O254" i="34"/>
  <c r="O218" i="34"/>
  <c r="I442" i="34"/>
  <c r="H442" i="34"/>
  <c r="I368" i="15"/>
  <c r="I434" i="15"/>
  <c r="H434" i="15"/>
  <c r="I446" i="15"/>
  <c r="H446" i="15"/>
  <c r="H16" i="16"/>
  <c r="G22" i="16"/>
  <c r="H196" i="16"/>
  <c r="I292" i="16"/>
  <c r="I598" i="16"/>
  <c r="H598" i="16"/>
  <c r="O686" i="16"/>
  <c r="O691" i="16" s="1"/>
  <c r="O697" i="16" s="1"/>
  <c r="O701" i="16" s="1"/>
  <c r="I683" i="16"/>
  <c r="I11" i="17"/>
  <c r="H11" i="17"/>
  <c r="I6" i="18"/>
  <c r="N26" i="19"/>
  <c r="Q23" i="20"/>
  <c r="I10" i="21"/>
  <c r="H10" i="21"/>
  <c r="O191" i="21"/>
  <c r="O197" i="21" s="1"/>
  <c r="O200" i="21" s="1"/>
  <c r="I258" i="21"/>
  <c r="H258" i="21"/>
  <c r="I267" i="21"/>
  <c r="H267" i="21"/>
  <c r="O273" i="21"/>
  <c r="P272" i="21"/>
  <c r="P273" i="21" s="1"/>
  <c r="E359" i="21"/>
  <c r="E365" i="21" s="1"/>
  <c r="H185" i="22"/>
  <c r="H13" i="23"/>
  <c r="H95" i="23"/>
  <c r="G142" i="24"/>
  <c r="I142" i="24" s="1"/>
  <c r="F142" i="24"/>
  <c r="E142" i="24"/>
  <c r="S153" i="24"/>
  <c r="I153" i="24"/>
  <c r="H153" i="24"/>
  <c r="F57" i="31"/>
  <c r="F71" i="31" s="1"/>
  <c r="E57" i="31"/>
  <c r="S73" i="31"/>
  <c r="S75" i="31" s="1"/>
  <c r="R75" i="31"/>
  <c r="F51" i="32"/>
  <c r="S76" i="32"/>
  <c r="S83" i="32"/>
  <c r="R87" i="32"/>
  <c r="F38" i="33"/>
  <c r="S94" i="33"/>
  <c r="P116" i="33"/>
  <c r="G229" i="33"/>
  <c r="I229" i="33" s="1"/>
  <c r="I211" i="33"/>
  <c r="S276" i="33"/>
  <c r="G256" i="33"/>
  <c r="I256" i="33" s="1"/>
  <c r="E307" i="33"/>
  <c r="H392" i="33"/>
  <c r="G429" i="33"/>
  <c r="I429" i="33" s="1"/>
  <c r="P451" i="33"/>
  <c r="L70" i="34"/>
  <c r="L77" i="34" s="1"/>
  <c r="L83" i="34" s="1"/>
  <c r="L87" i="34" s="1"/>
  <c r="I65" i="34"/>
  <c r="S72" i="34"/>
  <c r="S74" i="34" s="1"/>
  <c r="Q613" i="16"/>
  <c r="I68" i="18"/>
  <c r="H68" i="18"/>
  <c r="I185" i="21"/>
  <c r="H185" i="21"/>
  <c r="Q365" i="21"/>
  <c r="E93" i="22"/>
  <c r="E98" i="22" s="1"/>
  <c r="E104" i="22" s="1"/>
  <c r="H20" i="23"/>
  <c r="I20" i="23"/>
  <c r="P174" i="24"/>
  <c r="P181" i="24" s="1"/>
  <c r="H158" i="24"/>
  <c r="I158" i="24"/>
  <c r="I59" i="31"/>
  <c r="H59" i="31"/>
  <c r="O93" i="33"/>
  <c r="E104" i="33"/>
  <c r="G104" i="33"/>
  <c r="I104" i="33" s="1"/>
  <c r="F104" i="33"/>
  <c r="S448" i="33"/>
  <c r="G453" i="33"/>
  <c r="H453" i="33" s="1"/>
  <c r="F453" i="33"/>
  <c r="I56" i="34"/>
  <c r="H56" i="34"/>
  <c r="S59" i="34"/>
  <c r="H231" i="34"/>
  <c r="I231" i="34"/>
  <c r="O586" i="34"/>
  <c r="P566" i="34"/>
  <c r="P586" i="34" s="1"/>
  <c r="I7" i="20"/>
  <c r="D365" i="21"/>
  <c r="G149" i="24"/>
  <c r="I149" i="24" s="1"/>
  <c r="F149" i="24"/>
  <c r="F158" i="24"/>
  <c r="H163" i="24"/>
  <c r="S31" i="30"/>
  <c r="S33" i="30" s="1"/>
  <c r="R44" i="31"/>
  <c r="G56" i="31"/>
  <c r="I56" i="31" s="1"/>
  <c r="F56" i="31"/>
  <c r="G51" i="32"/>
  <c r="I51" i="32" s="1"/>
  <c r="I29" i="32"/>
  <c r="G85" i="32"/>
  <c r="I85" i="32" s="1"/>
  <c r="F85" i="32"/>
  <c r="E85" i="32"/>
  <c r="I89" i="33"/>
  <c r="H89" i="33"/>
  <c r="S129" i="33"/>
  <c r="R149" i="33"/>
  <c r="L288" i="33"/>
  <c r="L293" i="33" s="1"/>
  <c r="L309" i="33" s="1"/>
  <c r="L313" i="33" s="1"/>
  <c r="P307" i="33"/>
  <c r="G436" i="33"/>
  <c r="F436" i="33"/>
  <c r="E436" i="33"/>
  <c r="E223" i="34"/>
  <c r="E252" i="34" s="1"/>
  <c r="D252" i="34"/>
  <c r="F223" i="34"/>
  <c r="F252" i="34" s="1"/>
  <c r="G223" i="34"/>
  <c r="H223" i="34" s="1"/>
  <c r="M32" i="16"/>
  <c r="M36" i="16" s="1"/>
  <c r="R30" i="16"/>
  <c r="B15" i="1" s="1"/>
  <c r="B50" i="1" s="1"/>
  <c r="H95" i="16"/>
  <c r="I95" i="16"/>
  <c r="I168" i="16"/>
  <c r="H168" i="16"/>
  <c r="G356" i="16"/>
  <c r="P532" i="16"/>
  <c r="P538" i="16" s="1"/>
  <c r="P542" i="16" s="1"/>
  <c r="I82" i="18"/>
  <c r="H82" i="18"/>
  <c r="L92" i="18"/>
  <c r="L95" i="18" s="1"/>
  <c r="R21" i="19"/>
  <c r="H7" i="20"/>
  <c r="I21" i="21"/>
  <c r="H21" i="21"/>
  <c r="I42" i="21"/>
  <c r="I190" i="21"/>
  <c r="I343" i="21"/>
  <c r="H343" i="21"/>
  <c r="H17" i="22"/>
  <c r="I166" i="22"/>
  <c r="G137" i="24"/>
  <c r="H137" i="24" s="1"/>
  <c r="F137" i="24"/>
  <c r="H147" i="24"/>
  <c r="E149" i="24"/>
  <c r="S163" i="24"/>
  <c r="F195" i="24"/>
  <c r="H31" i="30"/>
  <c r="I4" i="31"/>
  <c r="H4" i="31"/>
  <c r="G44" i="31"/>
  <c r="R56" i="31"/>
  <c r="S56" i="31" s="1"/>
  <c r="E56" i="31"/>
  <c r="G68" i="31"/>
  <c r="I68" i="31" s="1"/>
  <c r="F68" i="31"/>
  <c r="E68" i="31"/>
  <c r="G25" i="32"/>
  <c r="I25" i="32" s="1"/>
  <c r="I57" i="32"/>
  <c r="G58" i="32"/>
  <c r="I58" i="32" s="1"/>
  <c r="G64" i="32"/>
  <c r="H64" i="32" s="1"/>
  <c r="F64" i="32"/>
  <c r="I66" i="32"/>
  <c r="H66" i="32"/>
  <c r="S66" i="32"/>
  <c r="Q149" i="33"/>
  <c r="S145" i="33"/>
  <c r="I145" i="33"/>
  <c r="M288" i="33"/>
  <c r="M293" i="33" s="1"/>
  <c r="M309" i="33" s="1"/>
  <c r="M313" i="33" s="1"/>
  <c r="S307" i="33"/>
  <c r="O61" i="34"/>
  <c r="P61" i="34" s="1"/>
  <c r="I36" i="34"/>
  <c r="H36" i="34"/>
  <c r="H421" i="34"/>
  <c r="D75" i="31"/>
  <c r="R70" i="32"/>
  <c r="S70" i="32" s="1"/>
  <c r="F71" i="32"/>
  <c r="G71" i="32"/>
  <c r="E71" i="32"/>
  <c r="G74" i="32"/>
  <c r="H74" i="32" s="1"/>
  <c r="F74" i="32"/>
  <c r="R83" i="33"/>
  <c r="R38" i="33"/>
  <c r="G38" i="33"/>
  <c r="I38" i="33" s="1"/>
  <c r="G279" i="33"/>
  <c r="H279" i="33" s="1"/>
  <c r="F279" i="33"/>
  <c r="E279" i="33"/>
  <c r="I285" i="33"/>
  <c r="H285" i="33"/>
  <c r="I296" i="33"/>
  <c r="H296" i="33"/>
  <c r="G307" i="33"/>
  <c r="H394" i="34"/>
  <c r="H415" i="34"/>
  <c r="I415" i="34"/>
  <c r="I19" i="35"/>
  <c r="H19" i="35"/>
  <c r="Q451" i="16"/>
  <c r="G469" i="16"/>
  <c r="H469" i="16" s="1"/>
  <c r="O775" i="16"/>
  <c r="O781" i="16" s="1"/>
  <c r="O784" i="16" s="1"/>
  <c r="G116" i="21"/>
  <c r="G136" i="24"/>
  <c r="D174" i="24"/>
  <c r="D181" i="24" s="1"/>
  <c r="D197" i="24" s="1"/>
  <c r="H170" i="24"/>
  <c r="I170" i="24"/>
  <c r="S195" i="24"/>
  <c r="N71" i="31"/>
  <c r="N78" i="31" s="1"/>
  <c r="N84" i="31" s="1"/>
  <c r="N88" i="31" s="1"/>
  <c r="I58" i="31"/>
  <c r="H58" i="31"/>
  <c r="I70" i="31"/>
  <c r="H70" i="31"/>
  <c r="F73" i="31"/>
  <c r="F75" i="31" s="1"/>
  <c r="E74" i="31"/>
  <c r="E75" i="31" s="1"/>
  <c r="R67" i="32"/>
  <c r="S67" i="32" s="1"/>
  <c r="H65" i="32"/>
  <c r="I65" i="32"/>
  <c r="G67" i="32"/>
  <c r="H67" i="32" s="1"/>
  <c r="E67" i="32"/>
  <c r="E74" i="32"/>
  <c r="R103" i="33"/>
  <c r="S103" i="33" s="1"/>
  <c r="P105" i="33"/>
  <c r="O118" i="33"/>
  <c r="P118" i="33" s="1"/>
  <c r="L113" i="33"/>
  <c r="E92" i="33"/>
  <c r="F92" i="33"/>
  <c r="H136" i="33"/>
  <c r="I136" i="33"/>
  <c r="R287" i="33"/>
  <c r="S254" i="33"/>
  <c r="S287" i="33" s="1"/>
  <c r="E270" i="33"/>
  <c r="G274" i="33"/>
  <c r="I274" i="33" s="1"/>
  <c r="E274" i="33"/>
  <c r="S370" i="33"/>
  <c r="S392" i="33" s="1"/>
  <c r="R429" i="33"/>
  <c r="R392" i="33"/>
  <c r="P429" i="33"/>
  <c r="E434" i="33"/>
  <c r="H440" i="33"/>
  <c r="R233" i="34"/>
  <c r="S233" i="34" s="1"/>
  <c r="G175" i="34"/>
  <c r="I175" i="34" s="1"/>
  <c r="R210" i="34"/>
  <c r="H218" i="34"/>
  <c r="S588" i="34"/>
  <c r="S592" i="34" s="1"/>
  <c r="S594" i="34" s="1"/>
  <c r="S608" i="34" s="1"/>
  <c r="S94" i="35"/>
  <c r="S95" i="35" s="1"/>
  <c r="R95" i="35"/>
  <c r="H438" i="15"/>
  <c r="H442" i="15"/>
  <c r="H509" i="15"/>
  <c r="H513" i="15"/>
  <c r="H517" i="15"/>
  <c r="H521" i="15"/>
  <c r="H524" i="15"/>
  <c r="H594" i="15"/>
  <c r="H598" i="15"/>
  <c r="S25" i="16"/>
  <c r="S30" i="16" s="1"/>
  <c r="Q107" i="16"/>
  <c r="P688" i="16"/>
  <c r="P689" i="16" s="1"/>
  <c r="R53" i="21"/>
  <c r="B21" i="1" s="1"/>
  <c r="P340" i="21"/>
  <c r="P359" i="21" s="1"/>
  <c r="P365" i="21" s="1"/>
  <c r="P368" i="21" s="1"/>
  <c r="H100" i="23"/>
  <c r="E136" i="24"/>
  <c r="E165" i="24"/>
  <c r="S170" i="24"/>
  <c r="E195" i="24"/>
  <c r="H191" i="24"/>
  <c r="G24" i="30"/>
  <c r="G33" i="30" s="1"/>
  <c r="N33" i="30"/>
  <c r="I49" i="31"/>
  <c r="E55" i="31"/>
  <c r="G55" i="31"/>
  <c r="I55" i="31" s="1"/>
  <c r="F55" i="31"/>
  <c r="G61" i="31"/>
  <c r="I61" i="31" s="1"/>
  <c r="F61" i="31"/>
  <c r="G73" i="31"/>
  <c r="G75" i="31" s="1"/>
  <c r="F74" i="31"/>
  <c r="S10" i="32"/>
  <c r="S72" i="32"/>
  <c r="F67" i="32"/>
  <c r="M86" i="32"/>
  <c r="M87" i="32" s="1"/>
  <c r="M89" i="32" s="1"/>
  <c r="M103" i="32" s="1"/>
  <c r="M107" i="32" s="1"/>
  <c r="D86" i="32"/>
  <c r="Q86" i="32"/>
  <c r="N86" i="32"/>
  <c r="P98" i="33"/>
  <c r="R105" i="33"/>
  <c r="S105" i="33" s="1"/>
  <c r="I90" i="33"/>
  <c r="H90" i="33"/>
  <c r="G105" i="33"/>
  <c r="F105" i="33"/>
  <c r="E105" i="33"/>
  <c r="I117" i="33"/>
  <c r="H117" i="33"/>
  <c r="O229" i="33"/>
  <c r="G270" i="33"/>
  <c r="E287" i="33"/>
  <c r="G287" i="33"/>
  <c r="H287" i="33" s="1"/>
  <c r="F287" i="33"/>
  <c r="S374" i="33"/>
  <c r="R432" i="33"/>
  <c r="S432" i="33" s="1"/>
  <c r="R437" i="33"/>
  <c r="S437" i="33" s="1"/>
  <c r="R453" i="33"/>
  <c r="S453" i="33" s="1"/>
  <c r="S391" i="33"/>
  <c r="S408" i="33"/>
  <c r="R441" i="33"/>
  <c r="S441" i="33" s="1"/>
  <c r="R425" i="33"/>
  <c r="S421" i="33"/>
  <c r="G434" i="33"/>
  <c r="H434" i="33" s="1"/>
  <c r="H451" i="33"/>
  <c r="F454" i="33"/>
  <c r="G48" i="34"/>
  <c r="H46" i="34"/>
  <c r="M252" i="34"/>
  <c r="I225" i="34"/>
  <c r="H225" i="34"/>
  <c r="I235" i="34"/>
  <c r="H235" i="34"/>
  <c r="F238" i="34"/>
  <c r="E238" i="34"/>
  <c r="G238" i="34"/>
  <c r="I238" i="34" s="1"/>
  <c r="P403" i="34"/>
  <c r="H408" i="34"/>
  <c r="H420" i="34"/>
  <c r="F575" i="34"/>
  <c r="E575" i="34"/>
  <c r="G575" i="34"/>
  <c r="O606" i="34"/>
  <c r="P597" i="34"/>
  <c r="P606" i="34" s="1"/>
  <c r="R775" i="16"/>
  <c r="R781" i="16" s="1"/>
  <c r="R784" i="16" s="1"/>
  <c r="I10" i="31"/>
  <c r="H10" i="31"/>
  <c r="E44" i="31"/>
  <c r="L81" i="32"/>
  <c r="L89" i="32" s="1"/>
  <c r="L103" i="32" s="1"/>
  <c r="L107" i="32" s="1"/>
  <c r="H73" i="33"/>
  <c r="N113" i="33"/>
  <c r="H100" i="33"/>
  <c r="I100" i="33"/>
  <c r="G110" i="33"/>
  <c r="I110" i="33" s="1"/>
  <c r="F110" i="33"/>
  <c r="E110" i="33"/>
  <c r="R265" i="33"/>
  <c r="R229" i="33"/>
  <c r="I265" i="33"/>
  <c r="G433" i="33"/>
  <c r="E433" i="33"/>
  <c r="E175" i="34"/>
  <c r="O257" i="34"/>
  <c r="P257" i="34" s="1"/>
  <c r="E111" i="33"/>
  <c r="G111" i="33"/>
  <c r="I111" i="33" s="1"/>
  <c r="F149" i="33"/>
  <c r="R275" i="33"/>
  <c r="R284" i="33"/>
  <c r="R271" i="33"/>
  <c r="S238" i="33"/>
  <c r="S271" i="33" s="1"/>
  <c r="O437" i="33"/>
  <c r="P437" i="33" s="1"/>
  <c r="R62" i="34"/>
  <c r="S62" i="34" s="1"/>
  <c r="O74" i="34"/>
  <c r="I55" i="34"/>
  <c r="H55" i="34"/>
  <c r="F175" i="34"/>
  <c r="G259" i="34"/>
  <c r="E259" i="34"/>
  <c r="F259" i="34"/>
  <c r="I268" i="34"/>
  <c r="H268" i="34"/>
  <c r="Q426" i="34"/>
  <c r="F21" i="36"/>
  <c r="F29" i="36" s="1"/>
  <c r="S65" i="31"/>
  <c r="O77" i="32"/>
  <c r="P77" i="32" s="1"/>
  <c r="R80" i="32"/>
  <c r="S80" i="32" s="1"/>
  <c r="S22" i="32"/>
  <c r="U103" i="32"/>
  <c r="O96" i="33"/>
  <c r="P96" i="33" s="1"/>
  <c r="R118" i="33"/>
  <c r="S118" i="33" s="1"/>
  <c r="G91" i="33"/>
  <c r="H91" i="33" s="1"/>
  <c r="F91" i="33"/>
  <c r="I103" i="33"/>
  <c r="H103" i="33"/>
  <c r="S120" i="33"/>
  <c r="R256" i="33"/>
  <c r="O430" i="33"/>
  <c r="P430" i="33" s="1"/>
  <c r="G418" i="33"/>
  <c r="I418" i="33" s="1"/>
  <c r="Q449" i="33"/>
  <c r="H14" i="34"/>
  <c r="I14" i="34"/>
  <c r="H54" i="34"/>
  <c r="I54" i="34"/>
  <c r="Q70" i="34"/>
  <c r="N252" i="34"/>
  <c r="S249" i="34"/>
  <c r="I249" i="34"/>
  <c r="H249" i="34"/>
  <c r="L594" i="34"/>
  <c r="L608" i="34" s="1"/>
  <c r="L612" i="34" s="1"/>
  <c r="H20" i="35"/>
  <c r="I20" i="35"/>
  <c r="H55" i="37"/>
  <c r="P21" i="28"/>
  <c r="O20" i="31"/>
  <c r="H17" i="31"/>
  <c r="I17" i="31"/>
  <c r="R68" i="31"/>
  <c r="S68" i="31" s="1"/>
  <c r="R74" i="31"/>
  <c r="S74" i="31" s="1"/>
  <c r="E54" i="31"/>
  <c r="S9" i="32"/>
  <c r="R71" i="32"/>
  <c r="S71" i="32" s="1"/>
  <c r="S14" i="32"/>
  <c r="R77" i="32"/>
  <c r="S77" i="32" s="1"/>
  <c r="O85" i="32"/>
  <c r="O87" i="32" s="1"/>
  <c r="O89" i="32" s="1"/>
  <c r="O103" i="32" s="1"/>
  <c r="O107" i="32" s="1"/>
  <c r="E90" i="33"/>
  <c r="E91" i="33"/>
  <c r="F98" i="33"/>
  <c r="H134" i="33"/>
  <c r="S232" i="33"/>
  <c r="R270" i="33"/>
  <c r="E273" i="33"/>
  <c r="E392" i="33"/>
  <c r="S371" i="33"/>
  <c r="R430" i="33"/>
  <c r="S430" i="33" s="1"/>
  <c r="I441" i="33"/>
  <c r="I445" i="33"/>
  <c r="H445" i="33"/>
  <c r="H3" i="34"/>
  <c r="I18" i="34"/>
  <c r="H18" i="34"/>
  <c r="G69" i="34"/>
  <c r="F69" i="34"/>
  <c r="E69" i="34"/>
  <c r="F237" i="34"/>
  <c r="G237" i="34"/>
  <c r="I237" i="34" s="1"/>
  <c r="G288" i="34"/>
  <c r="I407" i="34"/>
  <c r="H407" i="34"/>
  <c r="P591" i="34"/>
  <c r="N592" i="34"/>
  <c r="I47" i="37"/>
  <c r="I55" i="37" s="1"/>
  <c r="H47" i="37"/>
  <c r="E250" i="34"/>
  <c r="G250" i="34"/>
  <c r="I250" i="34" s="1"/>
  <c r="S254" i="34"/>
  <c r="I398" i="34"/>
  <c r="H398" i="34"/>
  <c r="F157" i="24"/>
  <c r="E157" i="24"/>
  <c r="S159" i="24"/>
  <c r="I159" i="24"/>
  <c r="H159" i="24"/>
  <c r="P195" i="24"/>
  <c r="I192" i="24"/>
  <c r="H192" i="24"/>
  <c r="F63" i="31"/>
  <c r="G63" i="31"/>
  <c r="I63" i="31" s="1"/>
  <c r="E63" i="31"/>
  <c r="P61" i="32"/>
  <c r="P81" i="32" s="1"/>
  <c r="O81" i="32"/>
  <c r="H51" i="32"/>
  <c r="E61" i="32"/>
  <c r="D81" i="32"/>
  <c r="F73" i="32"/>
  <c r="P91" i="33"/>
  <c r="M113" i="33"/>
  <c r="I85" i="33"/>
  <c r="H85" i="33"/>
  <c r="F88" i="33"/>
  <c r="F113" i="33" s="1"/>
  <c r="L123" i="33"/>
  <c r="L125" i="33" s="1"/>
  <c r="F229" i="33"/>
  <c r="F290" i="33"/>
  <c r="F291" i="33" s="1"/>
  <c r="I276" i="33"/>
  <c r="H276" i="33"/>
  <c r="N454" i="33"/>
  <c r="R454" i="33"/>
  <c r="Q454" i="33"/>
  <c r="M454" i="33"/>
  <c r="M455" i="33" s="1"/>
  <c r="M457" i="33" s="1"/>
  <c r="M471" i="33" s="1"/>
  <c r="M475" i="33" s="1"/>
  <c r="O454" i="33"/>
  <c r="L454" i="33"/>
  <c r="L455" i="33" s="1"/>
  <c r="L457" i="33" s="1"/>
  <c r="L471" i="33" s="1"/>
  <c r="L475" i="33" s="1"/>
  <c r="O19" i="34"/>
  <c r="S60" i="34"/>
  <c r="F64" i="34"/>
  <c r="G64" i="34"/>
  <c r="E64" i="34"/>
  <c r="O210" i="34"/>
  <c r="I224" i="34"/>
  <c r="H224" i="34"/>
  <c r="H248" i="34"/>
  <c r="I248" i="34"/>
  <c r="F250" i="34"/>
  <c r="R406" i="34"/>
  <c r="R426" i="34" s="1"/>
  <c r="R367" i="34"/>
  <c r="H441" i="34"/>
  <c r="I441" i="34"/>
  <c r="G445" i="34"/>
  <c r="I445" i="34" s="1"/>
  <c r="F590" i="34"/>
  <c r="E590" i="34"/>
  <c r="G590" i="34"/>
  <c r="H590" i="34" s="1"/>
  <c r="I10" i="35"/>
  <c r="H10" i="35"/>
  <c r="P23" i="35"/>
  <c r="H15" i="37"/>
  <c r="I15" i="37"/>
  <c r="H27" i="37"/>
  <c r="I27" i="37"/>
  <c r="M70" i="34"/>
  <c r="M77" i="34" s="1"/>
  <c r="M83" i="34" s="1"/>
  <c r="M87" i="34" s="1"/>
  <c r="I227" i="34"/>
  <c r="H227" i="34"/>
  <c r="F255" i="34"/>
  <c r="E255" i="34"/>
  <c r="H367" i="34"/>
  <c r="S403" i="34"/>
  <c r="E556" i="34"/>
  <c r="E30" i="35"/>
  <c r="R25" i="32"/>
  <c r="R61" i="32"/>
  <c r="S3" i="32"/>
  <c r="O79" i="32"/>
  <c r="P79" i="32" s="1"/>
  <c r="I67" i="32"/>
  <c r="G84" i="32"/>
  <c r="E84" i="32"/>
  <c r="O109" i="33"/>
  <c r="P109" i="33" s="1"/>
  <c r="R117" i="33"/>
  <c r="S117" i="33" s="1"/>
  <c r="O119" i="33"/>
  <c r="P119" i="33" s="1"/>
  <c r="I92" i="33"/>
  <c r="H92" i="33"/>
  <c r="R286" i="33"/>
  <c r="S253" i="33"/>
  <c r="S286" i="33" s="1"/>
  <c r="D288" i="33"/>
  <c r="D293" i="33" s="1"/>
  <c r="D309" i="33" s="1"/>
  <c r="H275" i="33"/>
  <c r="I275" i="33"/>
  <c r="H300" i="33"/>
  <c r="I300" i="33"/>
  <c r="G392" i="33"/>
  <c r="I392" i="33" s="1"/>
  <c r="R436" i="33"/>
  <c r="S436" i="33" s="1"/>
  <c r="E437" i="33"/>
  <c r="F437" i="33"/>
  <c r="F447" i="33"/>
  <c r="E447" i="33"/>
  <c r="G447" i="33"/>
  <c r="H447" i="33" s="1"/>
  <c r="D455" i="33"/>
  <c r="G452" i="33"/>
  <c r="H452" i="33" s="1"/>
  <c r="R64" i="34"/>
  <c r="S64" i="34" s="1"/>
  <c r="G72" i="34"/>
  <c r="G74" i="34" s="1"/>
  <c r="F72" i="34"/>
  <c r="F74" i="34" s="1"/>
  <c r="E72" i="34"/>
  <c r="F210" i="34"/>
  <c r="G261" i="34"/>
  <c r="F261" i="34"/>
  <c r="E261" i="34"/>
  <c r="G403" i="34"/>
  <c r="I403" i="34" s="1"/>
  <c r="E403" i="34"/>
  <c r="F403" i="34"/>
  <c r="D426" i="34"/>
  <c r="D431" i="34" s="1"/>
  <c r="D447" i="34" s="1"/>
  <c r="F589" i="34"/>
  <c r="G589" i="34"/>
  <c r="H589" i="34" s="1"/>
  <c r="H167" i="24"/>
  <c r="O21" i="28"/>
  <c r="E66" i="31"/>
  <c r="R79" i="32"/>
  <c r="S79" i="32" s="1"/>
  <c r="F84" i="32"/>
  <c r="R86" i="33"/>
  <c r="S86" i="33" s="1"/>
  <c r="S95" i="33"/>
  <c r="R119" i="33"/>
  <c r="S119" i="33" s="1"/>
  <c r="G102" i="33"/>
  <c r="I102" i="33" s="1"/>
  <c r="E102" i="33"/>
  <c r="E109" i="33"/>
  <c r="D122" i="33"/>
  <c r="P285" i="33"/>
  <c r="E266" i="33"/>
  <c r="E267" i="33"/>
  <c r="E268" i="33"/>
  <c r="I298" i="33"/>
  <c r="H298" i="33"/>
  <c r="I304" i="33"/>
  <c r="H304" i="33"/>
  <c r="S396" i="33"/>
  <c r="R418" i="33"/>
  <c r="F431" i="33"/>
  <c r="G437" i="33"/>
  <c r="E452" i="33"/>
  <c r="E455" i="33" s="1"/>
  <c r="G63" i="34"/>
  <c r="I63" i="34" s="1"/>
  <c r="F63" i="34"/>
  <c r="E63" i="34"/>
  <c r="O231" i="34"/>
  <c r="P231" i="34" s="1"/>
  <c r="F236" i="34"/>
  <c r="G236" i="34"/>
  <c r="G252" i="34" s="1"/>
  <c r="E244" i="34"/>
  <c r="H255" i="34"/>
  <c r="S273" i="34"/>
  <c r="S288" i="34" s="1"/>
  <c r="R288" i="34"/>
  <c r="H279" i="34"/>
  <c r="I279" i="34"/>
  <c r="E367" i="34"/>
  <c r="O404" i="34"/>
  <c r="P404" i="34" s="1"/>
  <c r="O367" i="34"/>
  <c r="I353" i="34"/>
  <c r="G367" i="34"/>
  <c r="I367" i="34" s="1"/>
  <c r="I574" i="34"/>
  <c r="H574" i="34"/>
  <c r="E589" i="34"/>
  <c r="G24" i="35"/>
  <c r="G32" i="35" s="1"/>
  <c r="H8" i="35"/>
  <c r="H8" i="40"/>
  <c r="I8" i="40"/>
  <c r="N181" i="24"/>
  <c r="N197" i="24" s="1"/>
  <c r="Q200" i="24"/>
  <c r="R36" i="30"/>
  <c r="H24" i="30"/>
  <c r="H53" i="31"/>
  <c r="E51" i="32"/>
  <c r="S58" i="32"/>
  <c r="R73" i="33"/>
  <c r="G93" i="33"/>
  <c r="E93" i="33"/>
  <c r="N121" i="33"/>
  <c r="P121" i="33" s="1"/>
  <c r="P123" i="33" s="1"/>
  <c r="M121" i="33"/>
  <c r="M123" i="33" s="1"/>
  <c r="M125" i="33" s="1"/>
  <c r="L121" i="33"/>
  <c r="O256" i="33"/>
  <c r="G268" i="33"/>
  <c r="H268" i="33" s="1"/>
  <c r="F276" i="33"/>
  <c r="F288" i="33" s="1"/>
  <c r="E276" i="33"/>
  <c r="Q291" i="33"/>
  <c r="I370" i="33"/>
  <c r="G431" i="33"/>
  <c r="F455" i="33"/>
  <c r="F452" i="33"/>
  <c r="F19" i="34"/>
  <c r="O55" i="34"/>
  <c r="P55" i="34" s="1"/>
  <c r="G58" i="34"/>
  <c r="I58" i="34" s="1"/>
  <c r="F58" i="34"/>
  <c r="E58" i="34"/>
  <c r="H73" i="34"/>
  <c r="I73" i="34"/>
  <c r="I214" i="34"/>
  <c r="G218" i="34"/>
  <c r="I218" i="34" s="1"/>
  <c r="H226" i="34"/>
  <c r="I226" i="34"/>
  <c r="I230" i="34"/>
  <c r="H230" i="34"/>
  <c r="F244" i="34"/>
  <c r="E288" i="34"/>
  <c r="R398" i="34"/>
  <c r="S397" i="34"/>
  <c r="S398" i="34" s="1"/>
  <c r="G570" i="34"/>
  <c r="H570" i="34" s="1"/>
  <c r="E570" i="34"/>
  <c r="Q24" i="35"/>
  <c r="F89" i="36"/>
  <c r="M89" i="36" s="1"/>
  <c r="E89" i="36"/>
  <c r="D118" i="36"/>
  <c r="E118" i="36" s="1"/>
  <c r="L252" i="34"/>
  <c r="F242" i="34"/>
  <c r="E242" i="34"/>
  <c r="I247" i="34"/>
  <c r="E254" i="34"/>
  <c r="D262" i="34"/>
  <c r="G254" i="34"/>
  <c r="F254" i="34"/>
  <c r="G258" i="34"/>
  <c r="H258" i="34" s="1"/>
  <c r="F258" i="34"/>
  <c r="E258" i="34"/>
  <c r="M426" i="34"/>
  <c r="M431" i="34" s="1"/>
  <c r="M447" i="34" s="1"/>
  <c r="M451" i="34" s="1"/>
  <c r="F405" i="34"/>
  <c r="E405" i="34"/>
  <c r="S551" i="34"/>
  <c r="R583" i="34"/>
  <c r="S583" i="34" s="1"/>
  <c r="G569" i="34"/>
  <c r="E569" i="34"/>
  <c r="F569" i="34"/>
  <c r="H27" i="36"/>
  <c r="R64" i="31"/>
  <c r="S64" i="31" s="1"/>
  <c r="I84" i="33"/>
  <c r="H116" i="33"/>
  <c r="H281" i="33"/>
  <c r="O392" i="33"/>
  <c r="N449" i="33"/>
  <c r="I442" i="33"/>
  <c r="H443" i="33"/>
  <c r="R68" i="34"/>
  <c r="S68" i="34" s="1"/>
  <c r="N70" i="34"/>
  <c r="N77" i="34" s="1"/>
  <c r="N83" i="34" s="1"/>
  <c r="N87" i="34" s="1"/>
  <c r="F61" i="34"/>
  <c r="G61" i="34"/>
  <c r="H61" i="34" s="1"/>
  <c r="E73" i="34"/>
  <c r="I223" i="34"/>
  <c r="E225" i="34"/>
  <c r="E235" i="34"/>
  <c r="G242" i="34"/>
  <c r="I272" i="34"/>
  <c r="R428" i="34"/>
  <c r="R429" i="34" s="1"/>
  <c r="E394" i="34"/>
  <c r="G405" i="34"/>
  <c r="I419" i="34"/>
  <c r="I443" i="34"/>
  <c r="H443" i="34"/>
  <c r="I534" i="34"/>
  <c r="G556" i="34"/>
  <c r="I556" i="34" s="1"/>
  <c r="S567" i="34"/>
  <c r="S584" i="34"/>
  <c r="P148" i="37"/>
  <c r="O145" i="37"/>
  <c r="H70" i="32"/>
  <c r="O88" i="33"/>
  <c r="P88" i="33" s="1"/>
  <c r="I96" i="33"/>
  <c r="G149" i="33"/>
  <c r="E229" i="33"/>
  <c r="O266" i="33"/>
  <c r="P266" i="33" s="1"/>
  <c r="E418" i="33"/>
  <c r="R452" i="33"/>
  <c r="S452" i="33" s="1"/>
  <c r="S422" i="33"/>
  <c r="R438" i="33"/>
  <c r="S438" i="33" s="1"/>
  <c r="P52" i="34"/>
  <c r="R61" i="34"/>
  <c r="S61" i="34" s="1"/>
  <c r="O175" i="34"/>
  <c r="G210" i="34"/>
  <c r="I210" i="34" s="1"/>
  <c r="O222" i="34"/>
  <c r="E224" i="34"/>
  <c r="F224" i="34"/>
  <c r="I229" i="34"/>
  <c r="H229" i="34"/>
  <c r="P288" i="34"/>
  <c r="G588" i="34"/>
  <c r="I588" i="34" s="1"/>
  <c r="E588" i="34"/>
  <c r="F588" i="34"/>
  <c r="I9" i="35"/>
  <c r="H9" i="35"/>
  <c r="H14" i="35"/>
  <c r="H16" i="35"/>
  <c r="I16" i="35"/>
  <c r="H10" i="36"/>
  <c r="I10" i="36"/>
  <c r="J18" i="40"/>
  <c r="E256" i="33"/>
  <c r="R451" i="33"/>
  <c r="R43" i="34"/>
  <c r="O54" i="34"/>
  <c r="P54" i="34" s="1"/>
  <c r="I38" i="34"/>
  <c r="H38" i="34"/>
  <c r="H53" i="34"/>
  <c r="I53" i="34"/>
  <c r="R222" i="34"/>
  <c r="R175" i="34"/>
  <c r="H238" i="34"/>
  <c r="G241" i="34"/>
  <c r="H241" i="34" s="1"/>
  <c r="F241" i="34"/>
  <c r="G404" i="34"/>
  <c r="E404" i="34"/>
  <c r="I412" i="34"/>
  <c r="H412" i="34"/>
  <c r="E428" i="34"/>
  <c r="E429" i="34" s="1"/>
  <c r="S566" i="34"/>
  <c r="S586" i="34" s="1"/>
  <c r="R591" i="34"/>
  <c r="S591" i="34" s="1"/>
  <c r="D591" i="34"/>
  <c r="D592" i="34" s="1"/>
  <c r="Q591" i="34"/>
  <c r="Q592" i="34" s="1"/>
  <c r="O591" i="34"/>
  <c r="M591" i="34"/>
  <c r="M592" i="34" s="1"/>
  <c r="M594" i="34" s="1"/>
  <c r="M608" i="34" s="1"/>
  <c r="M612" i="34" s="1"/>
  <c r="P97" i="35"/>
  <c r="I8" i="36"/>
  <c r="H8" i="36"/>
  <c r="I229" i="37"/>
  <c r="H229" i="37"/>
  <c r="R58" i="32"/>
  <c r="E85" i="33"/>
  <c r="E113" i="33" s="1"/>
  <c r="I109" i="33"/>
  <c r="E117" i="33"/>
  <c r="I128" i="33"/>
  <c r="I133" i="33"/>
  <c r="F280" i="33"/>
  <c r="F281" i="33"/>
  <c r="G282" i="33"/>
  <c r="D292" i="33"/>
  <c r="I306" i="33"/>
  <c r="S390" i="33"/>
  <c r="R431" i="33"/>
  <c r="S431" i="33" s="1"/>
  <c r="F443" i="33"/>
  <c r="F444" i="33"/>
  <c r="F445" i="33"/>
  <c r="R63" i="34"/>
  <c r="S63" i="34" s="1"/>
  <c r="O65" i="34"/>
  <c r="P65" i="34" s="1"/>
  <c r="H47" i="34"/>
  <c r="I47" i="34"/>
  <c r="R52" i="34"/>
  <c r="F55" i="34"/>
  <c r="E55" i="34"/>
  <c r="E70" i="34" s="1"/>
  <c r="F57" i="34"/>
  <c r="E67" i="34"/>
  <c r="P255" i="34"/>
  <c r="I179" i="34"/>
  <c r="Q252" i="34"/>
  <c r="I222" i="34"/>
  <c r="H222" i="34"/>
  <c r="H234" i="34"/>
  <c r="E241" i="34"/>
  <c r="H278" i="34"/>
  <c r="I278" i="34"/>
  <c r="E445" i="34"/>
  <c r="G563" i="34"/>
  <c r="I563" i="34" s="1"/>
  <c r="G37" i="37"/>
  <c r="H37" i="37" s="1"/>
  <c r="H7" i="37"/>
  <c r="R229" i="37"/>
  <c r="O283" i="33"/>
  <c r="P283" i="33" s="1"/>
  <c r="O433" i="33"/>
  <c r="P433" i="33" s="1"/>
  <c r="H62" i="34"/>
  <c r="R241" i="34"/>
  <c r="S241" i="34" s="1"/>
  <c r="F232" i="34"/>
  <c r="E232" i="34"/>
  <c r="G414" i="34"/>
  <c r="F414" i="34"/>
  <c r="E414" i="34"/>
  <c r="I9" i="40"/>
  <c r="H9" i="40"/>
  <c r="O453" i="33"/>
  <c r="O455" i="33" s="1"/>
  <c r="Q455" i="33"/>
  <c r="P69" i="34"/>
  <c r="H80" i="34"/>
  <c r="G81" i="34"/>
  <c r="G251" i="34"/>
  <c r="I251" i="34" s="1"/>
  <c r="F251" i="34"/>
  <c r="N262" i="34"/>
  <c r="F367" i="34"/>
  <c r="S445" i="34"/>
  <c r="E530" i="34"/>
  <c r="M586" i="34"/>
  <c r="S570" i="34"/>
  <c r="R24" i="35"/>
  <c r="I28" i="35"/>
  <c r="H28" i="35"/>
  <c r="O227" i="34"/>
  <c r="P227" i="34" s="1"/>
  <c r="R234" i="34"/>
  <c r="S234" i="34" s="1"/>
  <c r="R424" i="34"/>
  <c r="S391" i="34"/>
  <c r="S424" i="34" s="1"/>
  <c r="F425" i="34"/>
  <c r="N586" i="34"/>
  <c r="S6" i="35"/>
  <c r="S24" i="35" s="1"/>
  <c r="S32" i="35" s="1"/>
  <c r="I94" i="35"/>
  <c r="I95" i="35" s="1"/>
  <c r="H94" i="35"/>
  <c r="G95" i="35"/>
  <c r="H95" i="35" s="1"/>
  <c r="P37" i="37"/>
  <c r="F39" i="37"/>
  <c r="F42" i="37" s="1"/>
  <c r="G39" i="37"/>
  <c r="E39" i="37"/>
  <c r="E42" i="37" s="1"/>
  <c r="D42" i="37"/>
  <c r="D44" i="37" s="1"/>
  <c r="D57" i="37" s="1"/>
  <c r="H19" i="34"/>
  <c r="H66" i="34"/>
  <c r="J77" i="34"/>
  <c r="J83" i="34" s="1"/>
  <c r="H232" i="34"/>
  <c r="J290" i="34"/>
  <c r="O414" i="34"/>
  <c r="L426" i="34"/>
  <c r="L431" i="34" s="1"/>
  <c r="L447" i="34" s="1"/>
  <c r="L451" i="34" s="1"/>
  <c r="G413" i="34"/>
  <c r="E413" i="34"/>
  <c r="G424" i="34"/>
  <c r="E424" i="34"/>
  <c r="S530" i="34"/>
  <c r="I571" i="34"/>
  <c r="H571" i="34"/>
  <c r="G573" i="34"/>
  <c r="F573" i="34"/>
  <c r="E573" i="34"/>
  <c r="G578" i="34"/>
  <c r="I578" i="34" s="1"/>
  <c r="E578" i="34"/>
  <c r="Q30" i="35"/>
  <c r="S27" i="35"/>
  <c r="S30" i="35" s="1"/>
  <c r="E91" i="35"/>
  <c r="E97" i="35" s="1"/>
  <c r="F55" i="37"/>
  <c r="G145" i="37"/>
  <c r="H143" i="37"/>
  <c r="P18" i="40"/>
  <c r="I257" i="34"/>
  <c r="R425" i="34"/>
  <c r="S392" i="34"/>
  <c r="S425" i="34" s="1"/>
  <c r="N426" i="34"/>
  <c r="N431" i="34" s="1"/>
  <c r="N447" i="34" s="1"/>
  <c r="N451" i="34" s="1"/>
  <c r="I416" i="34"/>
  <c r="F530" i="34"/>
  <c r="O573" i="34"/>
  <c r="P573" i="34" s="1"/>
  <c r="Q586" i="34"/>
  <c r="P40" i="37"/>
  <c r="O42" i="37"/>
  <c r="O44" i="37" s="1"/>
  <c r="P60" i="37" s="1"/>
  <c r="H280" i="34"/>
  <c r="I285" i="34"/>
  <c r="I287" i="34"/>
  <c r="E412" i="34"/>
  <c r="F412" i="34"/>
  <c r="E423" i="34"/>
  <c r="R576" i="34"/>
  <c r="S576" i="34" s="1"/>
  <c r="R579" i="34"/>
  <c r="S579" i="34" s="1"/>
  <c r="O556" i="34"/>
  <c r="E577" i="34"/>
  <c r="I12" i="35"/>
  <c r="H12" i="35"/>
  <c r="H18" i="35"/>
  <c r="I16" i="37"/>
  <c r="H16" i="37"/>
  <c r="E18" i="40"/>
  <c r="E25" i="40" s="1"/>
  <c r="H244" i="34"/>
  <c r="R260" i="34"/>
  <c r="S260" i="34" s="1"/>
  <c r="D260" i="34"/>
  <c r="H282" i="34"/>
  <c r="G394" i="34"/>
  <c r="I394" i="34" s="1"/>
  <c r="G411" i="34"/>
  <c r="H411" i="34" s="1"/>
  <c r="F411" i="34"/>
  <c r="F423" i="34"/>
  <c r="F445" i="34"/>
  <c r="G567" i="34"/>
  <c r="H567" i="34" s="1"/>
  <c r="F567" i="34"/>
  <c r="E567" i="34"/>
  <c r="E586" i="34" s="1"/>
  <c r="F577" i="34"/>
  <c r="H6" i="35"/>
  <c r="P24" i="35"/>
  <c r="Q29" i="36"/>
  <c r="Q44" i="37"/>
  <c r="S55" i="37"/>
  <c r="S57" i="37" s="1"/>
  <c r="F38" i="38"/>
  <c r="S114" i="38"/>
  <c r="S122" i="38"/>
  <c r="F18" i="40"/>
  <c r="M261" i="34"/>
  <c r="M262" i="34" s="1"/>
  <c r="M264" i="34" s="1"/>
  <c r="R574" i="34"/>
  <c r="S574" i="34" s="1"/>
  <c r="I530" i="34"/>
  <c r="G572" i="34"/>
  <c r="I572" i="34" s="1"/>
  <c r="E572" i="34"/>
  <c r="I582" i="34"/>
  <c r="I583" i="34"/>
  <c r="G585" i="34"/>
  <c r="F585" i="34"/>
  <c r="E585" i="34"/>
  <c r="I8" i="35"/>
  <c r="I27" i="35"/>
  <c r="I30" i="35" s="1"/>
  <c r="H27" i="35"/>
  <c r="P20" i="36"/>
  <c r="P21" i="36" s="1"/>
  <c r="P29" i="36" s="1"/>
  <c r="Q32" i="36" s="1"/>
  <c r="G21" i="36"/>
  <c r="I19" i="37"/>
  <c r="H19" i="37"/>
  <c r="H53" i="37"/>
  <c r="I53" i="37"/>
  <c r="E145" i="37"/>
  <c r="S23" i="40"/>
  <c r="S25" i="40" s="1"/>
  <c r="O261" i="34"/>
  <c r="P261" i="34" s="1"/>
  <c r="D586" i="34"/>
  <c r="G566" i="34"/>
  <c r="I566" i="34" s="1"/>
  <c r="S578" i="34"/>
  <c r="S15" i="35"/>
  <c r="I21" i="35"/>
  <c r="H21" i="35"/>
  <c r="S88" i="35"/>
  <c r="S91" i="35" s="1"/>
  <c r="S97" i="35" s="1"/>
  <c r="I90" i="35"/>
  <c r="I91" i="35" s="1"/>
  <c r="H90" i="35"/>
  <c r="R91" i="35"/>
  <c r="R97" i="35" s="1"/>
  <c r="R101" i="35" s="1"/>
  <c r="H24" i="36"/>
  <c r="I24" i="36"/>
  <c r="I27" i="36" s="1"/>
  <c r="F37" i="37"/>
  <c r="I139" i="37"/>
  <c r="I10" i="40"/>
  <c r="H10" i="40"/>
  <c r="I422" i="34"/>
  <c r="I423" i="34"/>
  <c r="O570" i="34"/>
  <c r="P570" i="34" s="1"/>
  <c r="O576" i="34"/>
  <c r="P576" i="34" s="1"/>
  <c r="P588" i="34"/>
  <c r="P592" i="34" s="1"/>
  <c r="O592" i="34"/>
  <c r="O594" i="34" s="1"/>
  <c r="O608" i="34" s="1"/>
  <c r="O612" i="34" s="1"/>
  <c r="I576" i="34"/>
  <c r="I577" i="34"/>
  <c r="G579" i="34"/>
  <c r="F579" i="34"/>
  <c r="E579" i="34"/>
  <c r="G584" i="34"/>
  <c r="H584" i="34" s="1"/>
  <c r="E584" i="34"/>
  <c r="P229" i="37"/>
  <c r="Q125" i="38"/>
  <c r="P122" i="38"/>
  <c r="G418" i="34"/>
  <c r="H418" i="34" s="1"/>
  <c r="E418" i="34"/>
  <c r="F419" i="34"/>
  <c r="R568" i="34"/>
  <c r="S568" i="34" s="1"/>
  <c r="I561" i="34"/>
  <c r="F566" i="34"/>
  <c r="F586" i="34" s="1"/>
  <c r="E583" i="34"/>
  <c r="F584" i="34"/>
  <c r="E24" i="35"/>
  <c r="I16" i="36"/>
  <c r="H16" i="36"/>
  <c r="H8" i="37"/>
  <c r="O57" i="37"/>
  <c r="H114" i="38"/>
  <c r="R18" i="40"/>
  <c r="G38" i="38"/>
  <c r="Q38" i="38"/>
  <c r="H36" i="38"/>
  <c r="E37" i="37"/>
  <c r="I142" i="37"/>
  <c r="I143" i="37" s="1"/>
  <c r="H142" i="37"/>
  <c r="P32" i="38"/>
  <c r="Q41" i="38" s="1"/>
  <c r="I35" i="38"/>
  <c r="I36" i="38" s="1"/>
  <c r="D25" i="40"/>
  <c r="H597" i="34"/>
  <c r="I17" i="35"/>
  <c r="I11" i="37"/>
  <c r="H24" i="37"/>
  <c r="I35" i="37"/>
  <c r="P42" i="37"/>
  <c r="H50" i="37"/>
  <c r="P145" i="37"/>
  <c r="R145" i="37"/>
  <c r="M125" i="38"/>
  <c r="L122" i="38"/>
  <c r="I28" i="37"/>
  <c r="H28" i="37"/>
  <c r="S145" i="37"/>
  <c r="Q122" i="38"/>
  <c r="H120" i="38"/>
  <c r="I15" i="40"/>
  <c r="H21" i="40"/>
  <c r="J23" i="40"/>
  <c r="J25" i="40" s="1"/>
  <c r="Q25" i="40"/>
  <c r="H11" i="40"/>
  <c r="G18" i="40"/>
  <c r="H22" i="40"/>
  <c r="I531" i="15" l="1"/>
  <c r="I258" i="34"/>
  <c r="I22" i="5"/>
  <c r="H26" i="15"/>
  <c r="T87" i="10"/>
  <c r="G28" i="45"/>
  <c r="I28" i="45" s="1"/>
  <c r="F25" i="40"/>
  <c r="H525" i="15"/>
  <c r="I115" i="14"/>
  <c r="H129" i="15"/>
  <c r="H293" i="16"/>
  <c r="I287" i="33"/>
  <c r="G374" i="15"/>
  <c r="H22" i="45"/>
  <c r="I18" i="22"/>
  <c r="E23" i="20"/>
  <c r="E31" i="20" s="1"/>
  <c r="G62" i="10"/>
  <c r="H28" i="45"/>
  <c r="E90" i="11"/>
  <c r="E98" i="11" s="1"/>
  <c r="I570" i="34"/>
  <c r="I96" i="11"/>
  <c r="H360" i="16"/>
  <c r="I120" i="21"/>
  <c r="I26" i="7"/>
  <c r="G98" i="11"/>
  <c r="I98" i="11" s="1"/>
  <c r="H21" i="2"/>
  <c r="E307" i="15"/>
  <c r="H105" i="6"/>
  <c r="G35" i="21"/>
  <c r="I35" i="21" s="1"/>
  <c r="G287" i="15"/>
  <c r="G307" i="15" s="1"/>
  <c r="G122" i="21"/>
  <c r="H122" i="21" s="1"/>
  <c r="I169" i="24"/>
  <c r="H83" i="11"/>
  <c r="H75" i="32"/>
  <c r="H60" i="10"/>
  <c r="H22" i="5"/>
  <c r="S71" i="10"/>
  <c r="G273" i="14"/>
  <c r="H273" i="14" s="1"/>
  <c r="I590" i="34"/>
  <c r="H236" i="34"/>
  <c r="H22" i="18"/>
  <c r="I236" i="34"/>
  <c r="G28" i="7"/>
  <c r="H60" i="11"/>
  <c r="G123" i="6"/>
  <c r="T75" i="10"/>
  <c r="G602" i="14"/>
  <c r="G608" i="14" s="1"/>
  <c r="I122" i="21"/>
  <c r="H690" i="14"/>
  <c r="H190" i="16"/>
  <c r="I695" i="16"/>
  <c r="H695" i="16"/>
  <c r="I64" i="32"/>
  <c r="I24" i="23"/>
  <c r="H611" i="16"/>
  <c r="I190" i="16"/>
  <c r="I241" i="34"/>
  <c r="F293" i="33"/>
  <c r="F309" i="33" s="1"/>
  <c r="I589" i="34"/>
  <c r="H403" i="34"/>
  <c r="H104" i="33"/>
  <c r="I140" i="24"/>
  <c r="I267" i="14"/>
  <c r="I606" i="14"/>
  <c r="I76" i="11"/>
  <c r="H469" i="33"/>
  <c r="H445" i="34"/>
  <c r="I449" i="16"/>
  <c r="G362" i="14"/>
  <c r="G382" i="14" s="1"/>
  <c r="E206" i="16"/>
  <c r="E44" i="37"/>
  <c r="E57" i="37" s="1"/>
  <c r="H101" i="32"/>
  <c r="H77" i="32"/>
  <c r="I279" i="33"/>
  <c r="E471" i="16"/>
  <c r="I271" i="14"/>
  <c r="H69" i="11"/>
  <c r="E61" i="11"/>
  <c r="F44" i="37"/>
  <c r="F117" i="14"/>
  <c r="E362" i="14"/>
  <c r="E382" i="14" s="1"/>
  <c r="H428" i="34"/>
  <c r="G92" i="18"/>
  <c r="H92" i="18" s="1"/>
  <c r="I447" i="33"/>
  <c r="H250" i="34"/>
  <c r="H572" i="34"/>
  <c r="H83" i="32"/>
  <c r="H186" i="22"/>
  <c r="G275" i="21"/>
  <c r="I275" i="21" s="1"/>
  <c r="H281" i="15"/>
  <c r="I162" i="24"/>
  <c r="F362" i="14"/>
  <c r="F382" i="14" s="1"/>
  <c r="G33" i="13"/>
  <c r="H33" i="13" s="1"/>
  <c r="G429" i="34"/>
  <c r="I779" i="16"/>
  <c r="H82" i="31"/>
  <c r="I82" i="31"/>
  <c r="H80" i="11"/>
  <c r="I61" i="34"/>
  <c r="H63" i="34"/>
  <c r="G206" i="16"/>
  <c r="I469" i="16"/>
  <c r="H14" i="22"/>
  <c r="I522" i="14"/>
  <c r="G98" i="22"/>
  <c r="H98" i="22" s="1"/>
  <c r="F62" i="10"/>
  <c r="I90" i="18"/>
  <c r="I584" i="34"/>
  <c r="G29" i="3"/>
  <c r="I29" i="3" s="1"/>
  <c r="E109" i="14"/>
  <c r="E117" i="14" s="1"/>
  <c r="F98" i="11"/>
  <c r="I62" i="31"/>
  <c r="F78" i="31"/>
  <c r="F84" i="31" s="1"/>
  <c r="H56" i="31"/>
  <c r="H13" i="17"/>
  <c r="F471" i="16"/>
  <c r="G20" i="22"/>
  <c r="I20" i="22" s="1"/>
  <c r="H93" i="22"/>
  <c r="I30" i="23"/>
  <c r="I567" i="34"/>
  <c r="E206" i="14"/>
  <c r="I204" i="16"/>
  <c r="H204" i="16"/>
  <c r="I150" i="24"/>
  <c r="E33" i="13"/>
  <c r="I84" i="11"/>
  <c r="H84" i="11"/>
  <c r="I37" i="37"/>
  <c r="H61" i="31"/>
  <c r="E34" i="15"/>
  <c r="E42" i="15" s="1"/>
  <c r="I91" i="33"/>
  <c r="H30" i="19"/>
  <c r="I418" i="34"/>
  <c r="H117" i="15"/>
  <c r="F307" i="15"/>
  <c r="G25" i="6"/>
  <c r="H237" i="34"/>
  <c r="E32" i="35"/>
  <c r="F57" i="37"/>
  <c r="H102" i="33"/>
  <c r="H142" i="24"/>
  <c r="E29" i="5"/>
  <c r="E36" i="5" s="1"/>
  <c r="H606" i="34"/>
  <c r="G26" i="23"/>
  <c r="I26" i="23" s="1"/>
  <c r="I86" i="18"/>
  <c r="H19" i="6"/>
  <c r="I30" i="16"/>
  <c r="H30" i="16"/>
  <c r="I285" i="15"/>
  <c r="H285" i="15"/>
  <c r="I195" i="21"/>
  <c r="H191" i="21"/>
  <c r="H29" i="21"/>
  <c r="G197" i="21"/>
  <c r="I197" i="21" s="1"/>
  <c r="I279" i="21"/>
  <c r="I29" i="21"/>
  <c r="S197" i="21"/>
  <c r="E55" i="21"/>
  <c r="O275" i="21"/>
  <c r="O281" i="21" s="1"/>
  <c r="O285" i="21" s="1"/>
  <c r="F35" i="21"/>
  <c r="F55" i="21" s="1"/>
  <c r="H363" i="21"/>
  <c r="S55" i="21"/>
  <c r="M293" i="34"/>
  <c r="M290" i="34"/>
  <c r="I33" i="30"/>
  <c r="H33" i="30"/>
  <c r="M154" i="33"/>
  <c r="M151" i="33"/>
  <c r="P125" i="33"/>
  <c r="R431" i="34"/>
  <c r="R447" i="34" s="1"/>
  <c r="R451" i="34" s="1"/>
  <c r="C37" i="1"/>
  <c r="D37" i="1" s="1"/>
  <c r="Q594" i="34"/>
  <c r="D594" i="34"/>
  <c r="D608" i="34" s="1"/>
  <c r="D593" i="34"/>
  <c r="J21" i="7"/>
  <c r="O457" i="33"/>
  <c r="O471" i="33" s="1"/>
  <c r="O475" i="33" s="1"/>
  <c r="J26" i="4"/>
  <c r="I424" i="34"/>
  <c r="H424" i="34"/>
  <c r="Q32" i="35"/>
  <c r="Q36" i="35" s="1"/>
  <c r="S425" i="33"/>
  <c r="E288" i="33"/>
  <c r="E293" i="33" s="1"/>
  <c r="E309" i="33" s="1"/>
  <c r="P24" i="18"/>
  <c r="P28" i="18" s="1"/>
  <c r="H579" i="34"/>
  <c r="I579" i="34"/>
  <c r="Q57" i="37"/>
  <c r="R60" i="37"/>
  <c r="P101" i="35"/>
  <c r="H404" i="34"/>
  <c r="I404" i="34"/>
  <c r="H588" i="34"/>
  <c r="E81" i="32"/>
  <c r="S149" i="33"/>
  <c r="P98" i="22"/>
  <c r="P104" i="22" s="1"/>
  <c r="P108" i="22" s="1"/>
  <c r="O200" i="24"/>
  <c r="L181" i="24"/>
  <c r="L197" i="24" s="1"/>
  <c r="R131" i="15"/>
  <c r="R135" i="15" s="1"/>
  <c r="G198" i="15"/>
  <c r="I198" i="15" s="1"/>
  <c r="I192" i="15"/>
  <c r="Q277" i="14"/>
  <c r="I32" i="15"/>
  <c r="H32" i="15"/>
  <c r="Q31" i="4"/>
  <c r="I26" i="4"/>
  <c r="H443" i="14"/>
  <c r="G449" i="14"/>
  <c r="I449" i="14" s="1"/>
  <c r="I443" i="14"/>
  <c r="H110" i="33"/>
  <c r="R25" i="6"/>
  <c r="S19" i="6"/>
  <c r="P382" i="14"/>
  <c r="P386" i="14" s="1"/>
  <c r="I79" i="11"/>
  <c r="Q30" i="2"/>
  <c r="P27" i="2"/>
  <c r="H87" i="11"/>
  <c r="T26" i="7"/>
  <c r="J12" i="7"/>
  <c r="I12" i="7"/>
  <c r="S112" i="6"/>
  <c r="S120" i="6" s="1"/>
  <c r="I453" i="33"/>
  <c r="E62" i="10"/>
  <c r="Q42" i="15"/>
  <c r="Q210" i="14"/>
  <c r="I270" i="33"/>
  <c r="H270" i="33"/>
  <c r="R592" i="34"/>
  <c r="R594" i="34" s="1"/>
  <c r="R608" i="34" s="1"/>
  <c r="R612" i="34" s="1"/>
  <c r="Q616" i="16"/>
  <c r="Q125" i="33"/>
  <c r="Q90" i="10"/>
  <c r="X67" i="10"/>
  <c r="X68" i="10" s="1"/>
  <c r="Q101" i="10"/>
  <c r="Q104" i="10"/>
  <c r="H437" i="33"/>
  <c r="I437" i="33"/>
  <c r="I239" i="34"/>
  <c r="R262" i="34"/>
  <c r="I433" i="33"/>
  <c r="H433" i="33"/>
  <c r="I48" i="34"/>
  <c r="H48" i="34"/>
  <c r="Q111" i="16"/>
  <c r="Q368" i="21"/>
  <c r="H18" i="40"/>
  <c r="G25" i="40"/>
  <c r="I25" i="40" s="1"/>
  <c r="H122" i="38"/>
  <c r="I122" i="38"/>
  <c r="P38" i="38"/>
  <c r="H29" i="36"/>
  <c r="R32" i="36"/>
  <c r="P70" i="34"/>
  <c r="P77" i="34" s="1"/>
  <c r="P83" i="34" s="1"/>
  <c r="P87" i="34" s="1"/>
  <c r="I64" i="34"/>
  <c r="H64" i="34"/>
  <c r="I268" i="33"/>
  <c r="S262" i="34"/>
  <c r="Q431" i="34"/>
  <c r="P449" i="33"/>
  <c r="I121" i="33"/>
  <c r="R113" i="33"/>
  <c r="C36" i="1" s="1"/>
  <c r="D36" i="1" s="1"/>
  <c r="S83" i="33"/>
  <c r="S113" i="33" s="1"/>
  <c r="S125" i="33" s="1"/>
  <c r="S151" i="33" s="1"/>
  <c r="H21" i="23"/>
  <c r="I17" i="20"/>
  <c r="I72" i="34"/>
  <c r="Q181" i="24"/>
  <c r="S200" i="24"/>
  <c r="Q293" i="33"/>
  <c r="I139" i="24"/>
  <c r="H139" i="24"/>
  <c r="I156" i="24"/>
  <c r="H156" i="24"/>
  <c r="H270" i="21"/>
  <c r="I281" i="15"/>
  <c r="I196" i="14"/>
  <c r="G24" i="18"/>
  <c r="I15" i="18"/>
  <c r="H15" i="18"/>
  <c r="G26" i="19"/>
  <c r="G32" i="19" s="1"/>
  <c r="I21" i="19"/>
  <c r="H21" i="19"/>
  <c r="I356" i="14"/>
  <c r="G692" i="14"/>
  <c r="I692" i="14" s="1"/>
  <c r="I686" i="14"/>
  <c r="G116" i="23"/>
  <c r="I116" i="23" s="1"/>
  <c r="H110" i="23"/>
  <c r="H447" i="14"/>
  <c r="S382" i="14"/>
  <c r="I21" i="2"/>
  <c r="G107" i="16"/>
  <c r="I107" i="16" s="1"/>
  <c r="I101" i="16"/>
  <c r="H101" i="16"/>
  <c r="S86" i="32"/>
  <c r="S87" i="32" s="1"/>
  <c r="S89" i="32" s="1"/>
  <c r="S103" i="32" s="1"/>
  <c r="Q55" i="21"/>
  <c r="F81" i="32"/>
  <c r="R307" i="15"/>
  <c r="R311" i="15" s="1"/>
  <c r="R13" i="17"/>
  <c r="C17" i="1"/>
  <c r="H145" i="37"/>
  <c r="I145" i="37"/>
  <c r="P44" i="37"/>
  <c r="H72" i="34"/>
  <c r="I137" i="24"/>
  <c r="G29" i="36"/>
  <c r="I29" i="36" s="1"/>
  <c r="H21" i="36"/>
  <c r="G97" i="35"/>
  <c r="H97" i="35" s="1"/>
  <c r="N264" i="34"/>
  <c r="H578" i="34"/>
  <c r="H252" i="34"/>
  <c r="I252" i="34"/>
  <c r="Q264" i="34"/>
  <c r="I434" i="33"/>
  <c r="O70" i="34"/>
  <c r="O77" i="34" s="1"/>
  <c r="O83" i="34" s="1"/>
  <c r="O87" i="34" s="1"/>
  <c r="H274" i="33"/>
  <c r="E74" i="34"/>
  <c r="E75" i="34" s="1"/>
  <c r="F292" i="33"/>
  <c r="G288" i="33"/>
  <c r="H288" i="33" s="1"/>
  <c r="G455" i="33"/>
  <c r="H455" i="33" s="1"/>
  <c r="O449" i="33"/>
  <c r="H307" i="33"/>
  <c r="I307" i="33"/>
  <c r="H85" i="32"/>
  <c r="I21" i="23"/>
  <c r="R26" i="19"/>
  <c r="R32" i="19" s="1"/>
  <c r="S21" i="19"/>
  <c r="S26" i="19" s="1"/>
  <c r="S32" i="19" s="1"/>
  <c r="G21" i="20"/>
  <c r="G23" i="20" s="1"/>
  <c r="G31" i="20" s="1"/>
  <c r="Q31" i="20"/>
  <c r="I114" i="23"/>
  <c r="I270" i="21"/>
  <c r="R55" i="21"/>
  <c r="C21" i="1"/>
  <c r="P307" i="15"/>
  <c r="P311" i="15" s="1"/>
  <c r="I18" i="40"/>
  <c r="G617" i="15"/>
  <c r="H617" i="15" s="1"/>
  <c r="I611" i="15"/>
  <c r="H611" i="15"/>
  <c r="O71" i="31"/>
  <c r="O78" i="31" s="1"/>
  <c r="O84" i="31" s="1"/>
  <c r="O88" i="31" s="1"/>
  <c r="P53" i="31"/>
  <c r="P71" i="31" s="1"/>
  <c r="P78" i="31" s="1"/>
  <c r="P84" i="31" s="1"/>
  <c r="P88" i="31" s="1"/>
  <c r="R31" i="20"/>
  <c r="C20" i="1"/>
  <c r="Q382" i="14"/>
  <c r="G451" i="16"/>
  <c r="G471" i="16" s="1"/>
  <c r="I445" i="16"/>
  <c r="H445" i="16"/>
  <c r="M101" i="10"/>
  <c r="M90" i="10"/>
  <c r="M104" i="10"/>
  <c r="L90" i="10"/>
  <c r="L101" i="10"/>
  <c r="L104" i="10"/>
  <c r="Q95" i="18"/>
  <c r="G188" i="22"/>
  <c r="I182" i="22"/>
  <c r="I518" i="14"/>
  <c r="H518" i="14"/>
  <c r="G524" i="14"/>
  <c r="G36" i="5"/>
  <c r="H36" i="5" s="1"/>
  <c r="H34" i="5"/>
  <c r="I254" i="34"/>
  <c r="H254" i="34"/>
  <c r="G262" i="34"/>
  <c r="I20" i="31"/>
  <c r="H20" i="31"/>
  <c r="N90" i="10"/>
  <c r="N101" i="10"/>
  <c r="N104" i="10"/>
  <c r="Q533" i="15"/>
  <c r="S222" i="34"/>
  <c r="S252" i="34" s="1"/>
  <c r="R252" i="34"/>
  <c r="I84" i="32"/>
  <c r="H84" i="32"/>
  <c r="H71" i="32"/>
  <c r="I71" i="32"/>
  <c r="P25" i="6"/>
  <c r="P32" i="6" s="1"/>
  <c r="P37" i="6" s="1"/>
  <c r="P32" i="35"/>
  <c r="H24" i="35"/>
  <c r="G260" i="34"/>
  <c r="E260" i="34"/>
  <c r="F260" i="34"/>
  <c r="R455" i="33"/>
  <c r="S451" i="33"/>
  <c r="S455" i="33" s="1"/>
  <c r="I405" i="34"/>
  <c r="H405" i="34"/>
  <c r="P197" i="24"/>
  <c r="I69" i="34"/>
  <c r="H69" i="34"/>
  <c r="Q471" i="16"/>
  <c r="N32" i="19"/>
  <c r="N36" i="19" s="1"/>
  <c r="O262" i="34"/>
  <c r="O264" i="34" s="1"/>
  <c r="P254" i="34"/>
  <c r="P262" i="34" s="1"/>
  <c r="P264" i="34" s="1"/>
  <c r="Q87" i="32"/>
  <c r="E449" i="33"/>
  <c r="E457" i="33" s="1"/>
  <c r="E471" i="33" s="1"/>
  <c r="Q108" i="22"/>
  <c r="Q119" i="23"/>
  <c r="H116" i="23"/>
  <c r="J15" i="18"/>
  <c r="G123" i="15"/>
  <c r="G131" i="15" s="1"/>
  <c r="H267" i="14"/>
  <c r="Q131" i="15"/>
  <c r="P32" i="7"/>
  <c r="H86" i="18"/>
  <c r="I26" i="10"/>
  <c r="I50" i="10" s="1"/>
  <c r="H71" i="11"/>
  <c r="I71" i="11"/>
  <c r="I204" i="14"/>
  <c r="H204" i="14"/>
  <c r="H72" i="11"/>
  <c r="I72" i="11"/>
  <c r="I75" i="11"/>
  <c r="H75" i="11"/>
  <c r="I23" i="3"/>
  <c r="F262" i="34"/>
  <c r="F264" i="34" s="1"/>
  <c r="F290" i="34" s="1"/>
  <c r="R288" i="33"/>
  <c r="R293" i="33" s="1"/>
  <c r="R309" i="33" s="1"/>
  <c r="R313" i="33" s="1"/>
  <c r="I74" i="11"/>
  <c r="H74" i="11"/>
  <c r="I48" i="11"/>
  <c r="H48" i="11"/>
  <c r="R32" i="16"/>
  <c r="R36" i="16" s="1"/>
  <c r="C15" i="1"/>
  <c r="D15" i="1" s="1"/>
  <c r="R28" i="7"/>
  <c r="R32" i="7"/>
  <c r="S79" i="10"/>
  <c r="T79" i="10"/>
  <c r="I414" i="34"/>
  <c r="H414" i="34"/>
  <c r="D264" i="34"/>
  <c r="D290" i="34" s="1"/>
  <c r="F426" i="34"/>
  <c r="F86" i="32"/>
  <c r="F87" i="32" s="1"/>
  <c r="E86" i="32"/>
  <c r="E87" i="32" s="1"/>
  <c r="G86" i="32"/>
  <c r="G87" i="32" s="1"/>
  <c r="F76" i="31"/>
  <c r="Q32" i="19"/>
  <c r="Q22" i="14"/>
  <c r="I18" i="14"/>
  <c r="H18" i="14"/>
  <c r="G538" i="16"/>
  <c r="H538" i="16" s="1"/>
  <c r="I532" i="16"/>
  <c r="H532" i="16"/>
  <c r="I360" i="14"/>
  <c r="H360" i="14"/>
  <c r="G21" i="28"/>
  <c r="H19" i="28"/>
  <c r="O98" i="22"/>
  <c r="O104" i="22" s="1"/>
  <c r="O108" i="22" s="1"/>
  <c r="H77" i="11"/>
  <c r="G291" i="33"/>
  <c r="H290" i="33"/>
  <c r="O25" i="6"/>
  <c r="O32" i="6" s="1"/>
  <c r="O37" i="6" s="1"/>
  <c r="H59" i="34"/>
  <c r="H43" i="34"/>
  <c r="I43" i="34"/>
  <c r="Q453" i="14"/>
  <c r="C5" i="1"/>
  <c r="S31" i="4"/>
  <c r="O471" i="16"/>
  <c r="O475" i="16" s="1"/>
  <c r="H29" i="3"/>
  <c r="R33" i="3"/>
  <c r="C14" i="1"/>
  <c r="D14" i="1" s="1"/>
  <c r="R109" i="14"/>
  <c r="R117" i="14" s="1"/>
  <c r="R121" i="14" s="1"/>
  <c r="I53" i="21"/>
  <c r="H53" i="21"/>
  <c r="G61" i="11"/>
  <c r="F89" i="10"/>
  <c r="F101" i="10" s="1"/>
  <c r="G591" i="34"/>
  <c r="G592" i="34" s="1"/>
  <c r="F591" i="34"/>
  <c r="E591" i="34"/>
  <c r="E592" i="34" s="1"/>
  <c r="L154" i="33"/>
  <c r="L151" i="33"/>
  <c r="R449" i="33"/>
  <c r="S429" i="33"/>
  <c r="S449" i="33" s="1"/>
  <c r="I29" i="5"/>
  <c r="H29" i="5"/>
  <c r="S394" i="34"/>
  <c r="O113" i="33"/>
  <c r="P83" i="33"/>
  <c r="P113" i="33" s="1"/>
  <c r="M181" i="24"/>
  <c r="M197" i="24" s="1"/>
  <c r="P200" i="24"/>
  <c r="G81" i="32"/>
  <c r="I81" i="32" s="1"/>
  <c r="H380" i="14"/>
  <c r="Q378" i="15"/>
  <c r="I374" i="15"/>
  <c r="H374" i="15"/>
  <c r="I413" i="34"/>
  <c r="H413" i="34"/>
  <c r="R586" i="34"/>
  <c r="E262" i="34"/>
  <c r="E264" i="34" s="1"/>
  <c r="E290" i="34" s="1"/>
  <c r="I23" i="35"/>
  <c r="I24" i="35" s="1"/>
  <c r="H23" i="35"/>
  <c r="I356" i="16"/>
  <c r="H356" i="16"/>
  <c r="G362" i="16"/>
  <c r="P29" i="40"/>
  <c r="P25" i="40"/>
  <c r="Q457" i="33"/>
  <c r="F122" i="33"/>
  <c r="F123" i="33" s="1"/>
  <c r="F125" i="33" s="1"/>
  <c r="F151" i="33" s="1"/>
  <c r="E122" i="33"/>
  <c r="E123" i="33" s="1"/>
  <c r="E125" i="33" s="1"/>
  <c r="E151" i="33" s="1"/>
  <c r="G122" i="33"/>
  <c r="G426" i="34"/>
  <c r="E71" i="31"/>
  <c r="E78" i="31" s="1"/>
  <c r="E84" i="31" s="1"/>
  <c r="H116" i="21"/>
  <c r="H436" i="33"/>
  <c r="I436" i="33"/>
  <c r="E285" i="16"/>
  <c r="E287" i="16" s="1"/>
  <c r="E295" i="16" s="1"/>
  <c r="R20" i="22"/>
  <c r="C22" i="1"/>
  <c r="I173" i="24"/>
  <c r="H173" i="24"/>
  <c r="F285" i="16"/>
  <c r="F287" i="16" s="1"/>
  <c r="F295" i="16" s="1"/>
  <c r="Q697" i="16"/>
  <c r="P471" i="16"/>
  <c r="P475" i="16" s="1"/>
  <c r="H597" i="14"/>
  <c r="H281" i="16"/>
  <c r="Q620" i="15"/>
  <c r="I26" i="11"/>
  <c r="J25" i="4"/>
  <c r="I25" i="4"/>
  <c r="Q37" i="6"/>
  <c r="I82" i="11"/>
  <c r="H82" i="11"/>
  <c r="O32" i="7"/>
  <c r="O28" i="7"/>
  <c r="T69" i="10"/>
  <c r="S69" i="10"/>
  <c r="G89" i="10"/>
  <c r="T89" i="10" s="1"/>
  <c r="G285" i="16"/>
  <c r="G287" i="16" s="1"/>
  <c r="G295" i="16" s="1"/>
  <c r="T21" i="7"/>
  <c r="T28" i="7" s="1"/>
  <c r="G32" i="16"/>
  <c r="H22" i="16"/>
  <c r="I22" i="16"/>
  <c r="I74" i="32"/>
  <c r="R34" i="15"/>
  <c r="R42" i="15" s="1"/>
  <c r="R46" i="15" s="1"/>
  <c r="H68" i="31"/>
  <c r="N594" i="34"/>
  <c r="N608" i="34" s="1"/>
  <c r="N612" i="34" s="1"/>
  <c r="H29" i="20"/>
  <c r="I29" i="20"/>
  <c r="Q285" i="21"/>
  <c r="H259" i="34"/>
  <c r="I259" i="34"/>
  <c r="P295" i="16"/>
  <c r="P299" i="16" s="1"/>
  <c r="I411" i="34"/>
  <c r="I290" i="33"/>
  <c r="H454" i="33"/>
  <c r="I454" i="33"/>
  <c r="H111" i="33"/>
  <c r="Q77" i="34"/>
  <c r="D430" i="34"/>
  <c r="I585" i="34"/>
  <c r="H585" i="34"/>
  <c r="I452" i="33"/>
  <c r="R70" i="34"/>
  <c r="R77" i="34" s="1"/>
  <c r="R83" i="34" s="1"/>
  <c r="R87" i="34" s="1"/>
  <c r="S52" i="34"/>
  <c r="S70" i="34" s="1"/>
  <c r="S77" i="34" s="1"/>
  <c r="S83" i="34" s="1"/>
  <c r="H282" i="33"/>
  <c r="I282" i="33"/>
  <c r="P222" i="34"/>
  <c r="P252" i="34" s="1"/>
  <c r="O252" i="34"/>
  <c r="S418" i="33"/>
  <c r="D457" i="33"/>
  <c r="D471" i="33" s="1"/>
  <c r="D456" i="33"/>
  <c r="S454" i="33"/>
  <c r="H63" i="31"/>
  <c r="D76" i="31"/>
  <c r="I44" i="31"/>
  <c r="H44" i="31"/>
  <c r="I116" i="21"/>
  <c r="H102" i="22"/>
  <c r="N123" i="33"/>
  <c r="N125" i="33" s="1"/>
  <c r="I73" i="31"/>
  <c r="S54" i="31"/>
  <c r="S71" i="31" s="1"/>
  <c r="S78" i="31" s="1"/>
  <c r="S84" i="31" s="1"/>
  <c r="R71" i="31"/>
  <c r="R78" i="31" s="1"/>
  <c r="R84" i="31" s="1"/>
  <c r="R88" i="31" s="1"/>
  <c r="H164" i="24"/>
  <c r="I164" i="24"/>
  <c r="G781" i="16"/>
  <c r="H781" i="16" s="1"/>
  <c r="I775" i="16"/>
  <c r="H775" i="16"/>
  <c r="H195" i="24"/>
  <c r="H20" i="22"/>
  <c r="I198" i="16"/>
  <c r="H198" i="16"/>
  <c r="Q206" i="16"/>
  <c r="H536" i="16"/>
  <c r="F196" i="14"/>
  <c r="F198" i="14" s="1"/>
  <c r="F206" i="14" s="1"/>
  <c r="S295" i="16"/>
  <c r="I597" i="14"/>
  <c r="H192" i="15"/>
  <c r="F70" i="34"/>
  <c r="F77" i="34" s="1"/>
  <c r="F83" i="34" s="1"/>
  <c r="O32" i="16"/>
  <c r="O36" i="16" s="1"/>
  <c r="G113" i="33"/>
  <c r="H113" i="33" s="1"/>
  <c r="H121" i="15"/>
  <c r="I69" i="11"/>
  <c r="H615" i="15"/>
  <c r="I69" i="31"/>
  <c r="H69" i="31"/>
  <c r="Q121" i="14"/>
  <c r="S99" i="10"/>
  <c r="Q695" i="14"/>
  <c r="H149" i="24"/>
  <c r="D101" i="10"/>
  <c r="D90" i="10"/>
  <c r="D9" i="1"/>
  <c r="R29" i="40"/>
  <c r="R25" i="40"/>
  <c r="H251" i="34"/>
  <c r="F23" i="20"/>
  <c r="F31" i="20" s="1"/>
  <c r="I569" i="34"/>
  <c r="H569" i="34"/>
  <c r="H431" i="33"/>
  <c r="I431" i="33"/>
  <c r="S256" i="33"/>
  <c r="S265" i="33"/>
  <c r="S288" i="33" s="1"/>
  <c r="S293" i="33" s="1"/>
  <c r="S309" i="33" s="1"/>
  <c r="H575" i="34"/>
  <c r="I575" i="34"/>
  <c r="Q452" i="15"/>
  <c r="F61" i="11"/>
  <c r="S426" i="34"/>
  <c r="S431" i="34" s="1"/>
  <c r="S447" i="34" s="1"/>
  <c r="I149" i="33"/>
  <c r="H149" i="33"/>
  <c r="H291" i="33"/>
  <c r="E426" i="34"/>
  <c r="E431" i="34" s="1"/>
  <c r="E447" i="34" s="1"/>
  <c r="E174" i="24"/>
  <c r="E181" i="24" s="1"/>
  <c r="E197" i="24" s="1"/>
  <c r="I63" i="32"/>
  <c r="O123" i="33"/>
  <c r="O125" i="33" s="1"/>
  <c r="R32" i="35"/>
  <c r="R36" i="35" s="1"/>
  <c r="C28" i="1"/>
  <c r="I38" i="38"/>
  <c r="H38" i="38"/>
  <c r="G586" i="34"/>
  <c r="H586" i="34" s="1"/>
  <c r="H566" i="34"/>
  <c r="I573" i="34"/>
  <c r="H573" i="34"/>
  <c r="G42" i="37"/>
  <c r="H42" i="37" s="1"/>
  <c r="I39" i="37"/>
  <c r="I42" i="37" s="1"/>
  <c r="H39" i="37"/>
  <c r="F592" i="34"/>
  <c r="S25" i="32"/>
  <c r="P454" i="33"/>
  <c r="P455" i="33" s="1"/>
  <c r="P457" i="33" s="1"/>
  <c r="P471" i="33" s="1"/>
  <c r="P475" i="33" s="1"/>
  <c r="N455" i="33"/>
  <c r="N457" i="33" s="1"/>
  <c r="N471" i="33" s="1"/>
  <c r="N475" i="33" s="1"/>
  <c r="P426" i="34"/>
  <c r="P431" i="34" s="1"/>
  <c r="P447" i="34" s="1"/>
  <c r="P451" i="34" s="1"/>
  <c r="H58" i="34"/>
  <c r="H55" i="31"/>
  <c r="F449" i="33"/>
  <c r="F457" i="33" s="1"/>
  <c r="F471" i="33" s="1"/>
  <c r="H73" i="31"/>
  <c r="I273" i="21"/>
  <c r="H273" i="21"/>
  <c r="S471" i="16"/>
  <c r="I245" i="34"/>
  <c r="H245" i="34"/>
  <c r="G527" i="15"/>
  <c r="G533" i="15" s="1"/>
  <c r="H522" i="15"/>
  <c r="Q200" i="21"/>
  <c r="F32" i="16"/>
  <c r="I288" i="34"/>
  <c r="H288" i="34"/>
  <c r="S15" i="18"/>
  <c r="R24" i="18"/>
  <c r="C18" i="1"/>
  <c r="G449" i="15"/>
  <c r="I449" i="15" s="1"/>
  <c r="H443" i="15"/>
  <c r="G198" i="14"/>
  <c r="I192" i="14"/>
  <c r="H192" i="14"/>
  <c r="I538" i="16"/>
  <c r="Q542" i="16"/>
  <c r="Q608" i="14"/>
  <c r="R295" i="16"/>
  <c r="R299" i="16" s="1"/>
  <c r="Q202" i="15"/>
  <c r="I52" i="34"/>
  <c r="G70" i="34"/>
  <c r="G77" i="34" s="1"/>
  <c r="G83" i="34" s="1"/>
  <c r="H52" i="34"/>
  <c r="P34" i="15"/>
  <c r="P42" i="15" s="1"/>
  <c r="P46" i="15" s="1"/>
  <c r="I101" i="14"/>
  <c r="G109" i="14"/>
  <c r="S533" i="15"/>
  <c r="Q295" i="16"/>
  <c r="I25" i="13"/>
  <c r="Q21" i="7"/>
  <c r="Q120" i="6"/>
  <c r="X66" i="11"/>
  <c r="X67" i="11" s="1"/>
  <c r="I90" i="11"/>
  <c r="X68" i="11"/>
  <c r="H90" i="11"/>
  <c r="R198" i="14"/>
  <c r="R206" i="14" s="1"/>
  <c r="R210" i="14" s="1"/>
  <c r="T80" i="10"/>
  <c r="S80" i="10"/>
  <c r="H27" i="2"/>
  <c r="I27" i="2"/>
  <c r="G112" i="6"/>
  <c r="G120" i="6" s="1"/>
  <c r="P86" i="32"/>
  <c r="P87" i="32" s="1"/>
  <c r="P89" i="32" s="1"/>
  <c r="P103" i="32" s="1"/>
  <c r="P107" i="32" s="1"/>
  <c r="N87" i="32"/>
  <c r="N89" i="32" s="1"/>
  <c r="N103" i="32" s="1"/>
  <c r="N107" i="32" s="1"/>
  <c r="P594" i="34"/>
  <c r="P608" i="34" s="1"/>
  <c r="P612" i="34" s="1"/>
  <c r="I81" i="34"/>
  <c r="H81" i="34"/>
  <c r="I93" i="33"/>
  <c r="H93" i="33"/>
  <c r="I145" i="24"/>
  <c r="H145" i="24"/>
  <c r="S62" i="10"/>
  <c r="I242" i="34"/>
  <c r="H242" i="34"/>
  <c r="G71" i="31"/>
  <c r="G78" i="31" s="1"/>
  <c r="G84" i="31" s="1"/>
  <c r="S174" i="24"/>
  <c r="S181" i="24" s="1"/>
  <c r="S197" i="24" s="1"/>
  <c r="D123" i="33"/>
  <c r="D125" i="33" s="1"/>
  <c r="D151" i="33" s="1"/>
  <c r="H261" i="34"/>
  <c r="I261" i="34"/>
  <c r="R81" i="32"/>
  <c r="R89" i="32" s="1"/>
  <c r="R103" i="32" s="1"/>
  <c r="R107" i="32" s="1"/>
  <c r="S61" i="32"/>
  <c r="S81" i="32" s="1"/>
  <c r="S428" i="34"/>
  <c r="S429" i="34" s="1"/>
  <c r="O426" i="34"/>
  <c r="O431" i="34" s="1"/>
  <c r="O447" i="34" s="1"/>
  <c r="O451" i="34" s="1"/>
  <c r="H105" i="33"/>
  <c r="I105" i="33"/>
  <c r="G174" i="24"/>
  <c r="H174" i="24" s="1"/>
  <c r="I136" i="24"/>
  <c r="I174" i="24" s="1"/>
  <c r="H136" i="24"/>
  <c r="F174" i="24"/>
  <c r="F181" i="24" s="1"/>
  <c r="F197" i="24" s="1"/>
  <c r="G449" i="33"/>
  <c r="I449" i="33" s="1"/>
  <c r="H429" i="33"/>
  <c r="H75" i="31"/>
  <c r="I75" i="31"/>
  <c r="P32" i="19"/>
  <c r="P36" i="19" s="1"/>
  <c r="I74" i="34"/>
  <c r="H74" i="34"/>
  <c r="R123" i="33"/>
  <c r="G691" i="16"/>
  <c r="G697" i="16" s="1"/>
  <c r="I686" i="16"/>
  <c r="H686" i="16"/>
  <c r="L264" i="34"/>
  <c r="D87" i="32"/>
  <c r="E123" i="15"/>
  <c r="E131" i="15" s="1"/>
  <c r="Q78" i="31"/>
  <c r="G365" i="21"/>
  <c r="I365" i="21" s="1"/>
  <c r="I359" i="21"/>
  <c r="H359" i="21"/>
  <c r="Q307" i="15"/>
  <c r="H356" i="14"/>
  <c r="R206" i="16"/>
  <c r="R210" i="16" s="1"/>
  <c r="F121" i="15"/>
  <c r="F123" i="15" s="1"/>
  <c r="F131" i="15" s="1"/>
  <c r="G613" i="16"/>
  <c r="H613" i="16" s="1"/>
  <c r="I607" i="16"/>
  <c r="H607" i="16"/>
  <c r="O382" i="14"/>
  <c r="O386" i="14" s="1"/>
  <c r="H50" i="10"/>
  <c r="Q62" i="10"/>
  <c r="D75" i="34"/>
  <c r="P206" i="16"/>
  <c r="P210" i="16" s="1"/>
  <c r="G34" i="15"/>
  <c r="G42" i="15" s="1"/>
  <c r="E120" i="6"/>
  <c r="C13" i="1"/>
  <c r="D13" i="1" s="1"/>
  <c r="R18" i="14"/>
  <c r="R22" i="14" s="1"/>
  <c r="P26" i="7"/>
  <c r="P28" i="7" s="1"/>
  <c r="R112" i="6"/>
  <c r="R120" i="6" s="1"/>
  <c r="R123" i="6" s="1"/>
  <c r="Q784" i="16"/>
  <c r="G431" i="34" l="1"/>
  <c r="G447" i="34" s="1"/>
  <c r="H362" i="14"/>
  <c r="I602" i="14"/>
  <c r="I362" i="14"/>
  <c r="H602" i="14"/>
  <c r="H197" i="21"/>
  <c r="H107" i="16"/>
  <c r="H287" i="15"/>
  <c r="G55" i="21"/>
  <c r="I55" i="21" s="1"/>
  <c r="I287" i="15"/>
  <c r="H692" i="14"/>
  <c r="H98" i="11"/>
  <c r="H25" i="40"/>
  <c r="H35" i="21"/>
  <c r="I781" i="16"/>
  <c r="I92" i="18"/>
  <c r="E292" i="33"/>
  <c r="I113" i="33"/>
  <c r="I273" i="14"/>
  <c r="I33" i="13"/>
  <c r="I586" i="34"/>
  <c r="H449" i="14"/>
  <c r="E456" i="33"/>
  <c r="I34" i="15"/>
  <c r="I97" i="35"/>
  <c r="E77" i="34"/>
  <c r="E83" i="34" s="1"/>
  <c r="H112" i="6"/>
  <c r="G430" i="34"/>
  <c r="G32" i="6"/>
  <c r="I25" i="6"/>
  <c r="H25" i="6"/>
  <c r="E430" i="34"/>
  <c r="F75" i="34"/>
  <c r="G281" i="21"/>
  <c r="I613" i="16"/>
  <c r="I288" i="33"/>
  <c r="I591" i="34"/>
  <c r="H429" i="34"/>
  <c r="I429" i="34"/>
  <c r="G32" i="23"/>
  <c r="H26" i="23"/>
  <c r="H275" i="21"/>
  <c r="G292" i="33"/>
  <c r="H449" i="15"/>
  <c r="I98" i="22"/>
  <c r="I527" i="15"/>
  <c r="G44" i="37"/>
  <c r="G57" i="37" s="1"/>
  <c r="I57" i="37" s="1"/>
  <c r="G104" i="22"/>
  <c r="H34" i="15"/>
  <c r="H365" i="21"/>
  <c r="G88" i="32"/>
  <c r="G89" i="32"/>
  <c r="G103" i="32" s="1"/>
  <c r="E88" i="32"/>
  <c r="E89" i="32"/>
  <c r="E103" i="32" s="1"/>
  <c r="F89" i="32"/>
  <c r="F103" i="32" s="1"/>
  <c r="F88" i="32"/>
  <c r="G594" i="34"/>
  <c r="G608" i="34" s="1"/>
  <c r="G593" i="34"/>
  <c r="H592" i="34"/>
  <c r="I592" i="34"/>
  <c r="I594" i="34" s="1"/>
  <c r="E594" i="34"/>
  <c r="E608" i="34" s="1"/>
  <c r="E593" i="34"/>
  <c r="H62" i="10"/>
  <c r="I62" i="10"/>
  <c r="Q290" i="34"/>
  <c r="Q293" i="34"/>
  <c r="Q123" i="6"/>
  <c r="I120" i="6"/>
  <c r="H120" i="6"/>
  <c r="H362" i="16"/>
  <c r="I362" i="16"/>
  <c r="I86" i="32"/>
  <c r="Q28" i="7"/>
  <c r="I21" i="7"/>
  <c r="Q32" i="7"/>
  <c r="R457" i="33"/>
  <c r="R471" i="33" s="1"/>
  <c r="R475" i="33" s="1"/>
  <c r="H431" i="34"/>
  <c r="I431" i="34"/>
  <c r="Q447" i="34"/>
  <c r="H78" i="31"/>
  <c r="Q84" i="31"/>
  <c r="Q197" i="24"/>
  <c r="H198" i="15"/>
  <c r="S89" i="10"/>
  <c r="H287" i="16"/>
  <c r="I617" i="15"/>
  <c r="Q537" i="15"/>
  <c r="I533" i="15"/>
  <c r="H533" i="15"/>
  <c r="F456" i="33"/>
  <c r="R35" i="20"/>
  <c r="D20" i="1"/>
  <c r="G457" i="33"/>
  <c r="G471" i="33" s="1"/>
  <c r="G456" i="33"/>
  <c r="R17" i="17"/>
  <c r="D17" i="1"/>
  <c r="H449" i="33"/>
  <c r="R32" i="6"/>
  <c r="S25" i="6"/>
  <c r="C7" i="1"/>
  <c r="D7" i="1" s="1"/>
  <c r="I287" i="16"/>
  <c r="H81" i="32"/>
  <c r="H123" i="15"/>
  <c r="H527" i="15"/>
  <c r="H31" i="20"/>
  <c r="I31" i="20"/>
  <c r="Q35" i="20"/>
  <c r="G293" i="33"/>
  <c r="G309" i="33" s="1"/>
  <c r="G76" i="31"/>
  <c r="Q311" i="15"/>
  <c r="I307" i="15"/>
  <c r="H307" i="15"/>
  <c r="F593" i="34"/>
  <c r="F594" i="34"/>
  <c r="F608" i="34" s="1"/>
  <c r="P293" i="34"/>
  <c r="P290" i="34"/>
  <c r="Q309" i="33"/>
  <c r="I293" i="33"/>
  <c r="D28" i="1"/>
  <c r="H86" i="32"/>
  <c r="H691" i="16"/>
  <c r="F431" i="34"/>
  <c r="F447" i="34" s="1"/>
  <c r="F430" i="34"/>
  <c r="G75" i="34"/>
  <c r="I697" i="16"/>
  <c r="Q701" i="16"/>
  <c r="H697" i="16"/>
  <c r="H451" i="16"/>
  <c r="H426" i="34"/>
  <c r="G206" i="14"/>
  <c r="H198" i="14"/>
  <c r="I198" i="14"/>
  <c r="I451" i="16"/>
  <c r="N290" i="34"/>
  <c r="N293" i="34"/>
  <c r="H77" i="34"/>
  <c r="Q83" i="34"/>
  <c r="D5" i="1"/>
  <c r="Q135" i="15"/>
  <c r="H131" i="15"/>
  <c r="I131" i="15"/>
  <c r="H32" i="16"/>
  <c r="I32" i="16"/>
  <c r="Q151" i="33"/>
  <c r="Q154" i="33"/>
  <c r="O290" i="34"/>
  <c r="O293" i="34"/>
  <c r="H188" i="22"/>
  <c r="I188" i="22"/>
  <c r="O151" i="33"/>
  <c r="O154" i="33"/>
  <c r="I691" i="16"/>
  <c r="H471" i="16"/>
  <c r="Q475" i="16"/>
  <c r="I471" i="16"/>
  <c r="P151" i="33"/>
  <c r="P154" i="33"/>
  <c r="G104" i="10"/>
  <c r="G101" i="10"/>
  <c r="T101" i="10" s="1"/>
  <c r="Q386" i="14"/>
  <c r="I382" i="14"/>
  <c r="H382" i="14"/>
  <c r="H122" i="33"/>
  <c r="I122" i="33"/>
  <c r="G123" i="33"/>
  <c r="H591" i="34"/>
  <c r="I426" i="34"/>
  <c r="I71" i="31"/>
  <c r="I78" i="31" s="1"/>
  <c r="D88" i="32"/>
  <c r="D89" i="32"/>
  <c r="D103" i="32" s="1"/>
  <c r="N154" i="33"/>
  <c r="N151" i="33"/>
  <c r="H26" i="19"/>
  <c r="I260" i="34"/>
  <c r="H260" i="34"/>
  <c r="I23" i="20"/>
  <c r="S264" i="34"/>
  <c r="S290" i="34" s="1"/>
  <c r="L293" i="34"/>
  <c r="L290" i="34"/>
  <c r="G117" i="14"/>
  <c r="I109" i="14"/>
  <c r="H109" i="14"/>
  <c r="I608" i="14"/>
  <c r="Q612" i="14"/>
  <c r="H608" i="14"/>
  <c r="R28" i="18"/>
  <c r="D18" i="1"/>
  <c r="S24" i="18"/>
  <c r="I291" i="33"/>
  <c r="H70" i="34"/>
  <c r="D22" i="1"/>
  <c r="R23" i="22"/>
  <c r="I455" i="33"/>
  <c r="I457" i="33" s="1"/>
  <c r="I26" i="19"/>
  <c r="I123" i="15"/>
  <c r="I524" i="14"/>
  <c r="H524" i="14"/>
  <c r="H23" i="20"/>
  <c r="R264" i="34"/>
  <c r="I36" i="5"/>
  <c r="E76" i="31"/>
  <c r="M200" i="24"/>
  <c r="G181" i="24"/>
  <c r="G197" i="24" s="1"/>
  <c r="R36" i="19"/>
  <c r="D19" i="1"/>
  <c r="Q46" i="15"/>
  <c r="I42" i="15"/>
  <c r="H42" i="15"/>
  <c r="Q608" i="34"/>
  <c r="R125" i="33"/>
  <c r="I112" i="6"/>
  <c r="I24" i="18"/>
  <c r="H24" i="18"/>
  <c r="S457" i="33"/>
  <c r="S471" i="33" s="1"/>
  <c r="G264" i="34"/>
  <c r="G290" i="34" s="1"/>
  <c r="I262" i="34"/>
  <c r="I264" i="34" s="1"/>
  <c r="H262" i="34"/>
  <c r="Q60" i="37"/>
  <c r="P57" i="37"/>
  <c r="I285" i="16"/>
  <c r="H285" i="16"/>
  <c r="H206" i="16"/>
  <c r="Q210" i="16"/>
  <c r="I206" i="16"/>
  <c r="R59" i="21"/>
  <c r="D21" i="1"/>
  <c r="H71" i="31"/>
  <c r="Q299" i="16"/>
  <c r="I295" i="16"/>
  <c r="H295" i="16"/>
  <c r="I70" i="34"/>
  <c r="I77" i="34" s="1"/>
  <c r="Q471" i="33"/>
  <c r="H21" i="28"/>
  <c r="I21" i="28"/>
  <c r="H32" i="19"/>
  <c r="Q36" i="19"/>
  <c r="I32" i="19"/>
  <c r="I87" i="32"/>
  <c r="I89" i="32" s="1"/>
  <c r="H87" i="32"/>
  <c r="Q89" i="32"/>
  <c r="P36" i="35"/>
  <c r="H32" i="35"/>
  <c r="I32" i="35"/>
  <c r="I21" i="20"/>
  <c r="H21" i="20"/>
  <c r="Q59" i="21"/>
  <c r="H55" i="21" l="1"/>
  <c r="H57" i="37"/>
  <c r="H44" i="37"/>
  <c r="I44" i="37"/>
  <c r="H32" i="6"/>
  <c r="I32" i="6"/>
  <c r="I32" i="23"/>
  <c r="H32" i="23"/>
  <c r="H293" i="33"/>
  <c r="H104" i="22"/>
  <c r="I104" i="22"/>
  <c r="I281" i="21"/>
  <c r="H281" i="21"/>
  <c r="C50" i="1"/>
  <c r="I197" i="24"/>
  <c r="H197" i="24"/>
  <c r="D50" i="1"/>
  <c r="I181" i="24"/>
  <c r="H457" i="33"/>
  <c r="H117" i="14"/>
  <c r="I117" i="14"/>
  <c r="H83" i="34"/>
  <c r="Q87" i="34"/>
  <c r="I83" i="34"/>
  <c r="S101" i="10"/>
  <c r="H181" i="24"/>
  <c r="H290" i="34"/>
  <c r="I290" i="34"/>
  <c r="R154" i="33"/>
  <c r="R151" i="33"/>
  <c r="I84" i="31"/>
  <c r="Q88" i="31"/>
  <c r="H84" i="31"/>
  <c r="H264" i="34"/>
  <c r="H594" i="34"/>
  <c r="H89" i="32"/>
  <c r="Q103" i="32"/>
  <c r="I608" i="34"/>
  <c r="H608" i="34"/>
  <c r="Q612" i="34"/>
  <c r="Q475" i="33"/>
  <c r="I471" i="33"/>
  <c r="H471" i="33"/>
  <c r="R37" i="6"/>
  <c r="S32" i="6"/>
  <c r="I28" i="7"/>
  <c r="J28" i="7"/>
  <c r="R293" i="34"/>
  <c r="R290" i="34"/>
  <c r="G125" i="33"/>
  <c r="H123" i="33"/>
  <c r="I123" i="33"/>
  <c r="I125" i="33" s="1"/>
  <c r="I206" i="14"/>
  <c r="H206" i="14"/>
  <c r="H447" i="34"/>
  <c r="Q451" i="34"/>
  <c r="I447" i="34"/>
  <c r="H309" i="33"/>
  <c r="I309" i="33"/>
  <c r="Q313" i="33"/>
  <c r="G151" i="33" l="1"/>
  <c r="H125" i="33"/>
  <c r="H103" i="32"/>
  <c r="Q107" i="32"/>
  <c r="I103" i="32"/>
  <c r="I151" i="33" l="1"/>
  <c r="H151" i="33"/>
</calcChain>
</file>

<file path=xl/comments1.xml><?xml version="1.0" encoding="utf-8"?>
<comments xmlns="http://schemas.openxmlformats.org/spreadsheetml/2006/main">
  <authors>
    <author/>
  </authors>
  <commentList>
    <comment ref="J6" authorId="0" shapeId="0">
      <text>
        <r>
          <rPr>
            <sz val="10"/>
            <color rgb="FF000000"/>
            <rFont val="Arial"/>
            <scheme val="minor"/>
          </rPr>
          <t>Is this split between Wages &amp; Benefits?
No, it eliminates 1 FT Attorney Position, and also includes the portion of the year Jeris will be on Military Leave.
======</t>
        </r>
      </text>
    </comment>
  </commentList>
</comments>
</file>

<file path=xl/sharedStrings.xml><?xml version="1.0" encoding="utf-8"?>
<sst xmlns="http://schemas.openxmlformats.org/spreadsheetml/2006/main" count="10180" uniqueCount="2437">
  <si>
    <t>GENERAL FUND</t>
  </si>
  <si>
    <t>Department Name</t>
  </si>
  <si>
    <t>Tentative Budget Revenues</t>
  </si>
  <si>
    <t>Tentative Budget Expenses</t>
  </si>
  <si>
    <t>Net Program Cost</t>
  </si>
  <si>
    <t>Council</t>
  </si>
  <si>
    <t>Executive</t>
  </si>
  <si>
    <t>Personnel Management</t>
  </si>
  <si>
    <t>Auditor</t>
  </si>
  <si>
    <t>Recorder</t>
  </si>
  <si>
    <t>Attorney</t>
  </si>
  <si>
    <t xml:space="preserve">     Victim Services</t>
  </si>
  <si>
    <t xml:space="preserve">     Public Defender</t>
  </si>
  <si>
    <t>Sheriff</t>
  </si>
  <si>
    <t xml:space="preserve">     Sheriff Administration</t>
  </si>
  <si>
    <t xml:space="preserve">     Sheriff Support</t>
  </si>
  <si>
    <t xml:space="preserve">     Sheriff Explorer</t>
  </si>
  <si>
    <t xml:space="preserve">     Sheriff IT</t>
  </si>
  <si>
    <t>Public Works Admin</t>
  </si>
  <si>
    <t xml:space="preserve">     Sheriff Patrol</t>
  </si>
  <si>
    <t xml:space="preserve">     Engineering</t>
  </si>
  <si>
    <t xml:space="preserve">     Sheriff Criminal</t>
  </si>
  <si>
    <t xml:space="preserve">     Road</t>
  </si>
  <si>
    <t xml:space="preserve">     Sheriff Search &amp; Rescue</t>
  </si>
  <si>
    <t xml:space="preserve">     Vegetation Management</t>
  </si>
  <si>
    <t xml:space="preserve">     Sheriff Corrections</t>
  </si>
  <si>
    <t xml:space="preserve">     Sheriff Animal Control</t>
  </si>
  <si>
    <t xml:space="preserve">     Sheriff Animal Shelter</t>
  </si>
  <si>
    <t xml:space="preserve">     Sheriff Emergency Mgmt.</t>
  </si>
  <si>
    <t>Fire &amp; Ambulance</t>
  </si>
  <si>
    <t>IT</t>
  </si>
  <si>
    <t>Building &amp; Grounds</t>
  </si>
  <si>
    <t>Fairgrounds</t>
  </si>
  <si>
    <t>Fair</t>
  </si>
  <si>
    <t>Rodeo</t>
  </si>
  <si>
    <t>Library</t>
  </si>
  <si>
    <t>Non-Departmental</t>
  </si>
  <si>
    <t>Economic Development</t>
  </si>
  <si>
    <t>Public Health (Opioid)</t>
  </si>
  <si>
    <t>Contributions &amp; Transfers Out</t>
  </si>
  <si>
    <t>Property Taxes</t>
  </si>
  <si>
    <t>Sales Taxes</t>
  </si>
  <si>
    <t>Intergovernmental Revenue</t>
  </si>
  <si>
    <t>Interest &amp; Investment Income</t>
  </si>
  <si>
    <t>Miscellaneous Revenues</t>
  </si>
  <si>
    <t>Contributions &amp; Transfers In</t>
  </si>
  <si>
    <t>Use of Fund Balance</t>
  </si>
  <si>
    <t>Total</t>
  </si>
  <si>
    <t>Department:</t>
  </si>
  <si>
    <t>COUNCIL</t>
  </si>
  <si>
    <t>Account</t>
  </si>
  <si>
    <t>Title</t>
  </si>
  <si>
    <t>2019 Actual</t>
  </si>
  <si>
    <t>Inflation Adjustment 26%</t>
  </si>
  <si>
    <t>Population Growth Adjustment 11.50%</t>
  </si>
  <si>
    <t xml:space="preserve">Adjusted 2019 Baseline </t>
  </si>
  <si>
    <t>Variance 2019 vs 2026</t>
  </si>
  <si>
    <t>Difference between 2026 &amp; 2019</t>
  </si>
  <si>
    <t>15% Budget cut exercise</t>
  </si>
  <si>
    <t>2023 Actual</t>
  </si>
  <si>
    <t>2024 Actual</t>
  </si>
  <si>
    <t>Approved
  2025
 Budget</t>
  </si>
  <si>
    <t>2025 YTD Actual</t>
  </si>
  <si>
    <t xml:space="preserve">Projected 2025 </t>
  </si>
  <si>
    <t>2026
 Requested
 Budget</t>
  </si>
  <si>
    <t>2026 
Tentative 
Budget</t>
  </si>
  <si>
    <t>Difference</t>
  </si>
  <si>
    <t>100-4112-110</t>
  </si>
  <si>
    <t>FULL TIME EMPLOYEES</t>
  </si>
  <si>
    <t>100-4112-115</t>
  </si>
  <si>
    <t>OVERTIME</t>
  </si>
  <si>
    <t>100-4112-130</t>
  </si>
  <si>
    <t>EMPLOYEE BENEFITS</t>
  </si>
  <si>
    <t>100-4112-210</t>
  </si>
  <si>
    <t>SUBSCRIPTIONS &amp; MEMBERSHIPS</t>
  </si>
  <si>
    <t>100-4112-230</t>
  </si>
  <si>
    <t>TRAVEL</t>
  </si>
  <si>
    <t>100-4112-231</t>
  </si>
  <si>
    <t>NACO TRAVEL</t>
  </si>
  <si>
    <t>100-4112-240</t>
  </si>
  <si>
    <t>OFFICE SUPPLIES</t>
  </si>
  <si>
    <t>100-4112-250</t>
  </si>
  <si>
    <t>EQUIPMENT SUPPLIES &amp; MAINT</t>
  </si>
  <si>
    <t>100-4112-280</t>
  </si>
  <si>
    <t>COMMUNICATIONS</t>
  </si>
  <si>
    <t>100-4112-310</t>
  </si>
  <si>
    <t>PROFESSIONAL &amp; TECHNICAL</t>
  </si>
  <si>
    <t>100-4112-311</t>
  </si>
  <si>
    <t>SOFTWARE PACKAGES</t>
  </si>
  <si>
    <t>100-4112-330</t>
  </si>
  <si>
    <t>EDUCATION &amp; TRAINING</t>
  </si>
  <si>
    <t>100-4112-510</t>
  </si>
  <si>
    <t>INSURANCE</t>
  </si>
  <si>
    <t>100-4112-620</t>
  </si>
  <si>
    <t>MISCELLANEOUS SERVICES</t>
  </si>
  <si>
    <t>100-4112-999</t>
  </si>
  <si>
    <t>TAX ADMIN - COUNCIL 10%</t>
  </si>
  <si>
    <t>Total COUNCIL:</t>
  </si>
  <si>
    <t>100-4112-740</t>
  </si>
  <si>
    <t>CAPITALIZED EQUIPMENT</t>
  </si>
  <si>
    <t>Total COUNCIL - Capital Projects:</t>
  </si>
  <si>
    <t>Total Expenses and Capital Projects</t>
  </si>
  <si>
    <t>Period</t>
  </si>
  <si>
    <t>Expenditure</t>
  </si>
  <si>
    <t>EXECUTIVE</t>
  </si>
  <si>
    <t>100-4131-110</t>
  </si>
  <si>
    <t>100-4131-115</t>
  </si>
  <si>
    <t>100-4131-125</t>
  </si>
  <si>
    <t>SEASONAL EMPLOYEES</t>
  </si>
  <si>
    <t>100-4131-130</t>
  </si>
  <si>
    <t>100-4131-210</t>
  </si>
  <si>
    <t>100-4131-230</t>
  </si>
  <si>
    <t>100-4131-240</t>
  </si>
  <si>
    <t>100-4131-250</t>
  </si>
  <si>
    <t>100-4131-251</t>
  </si>
  <si>
    <t>NON CAPITALIZED EQUIPMENT</t>
  </si>
  <si>
    <t>100-4131-280</t>
  </si>
  <si>
    <t>100-4131-310</t>
  </si>
  <si>
    <t>100-4131-330</t>
  </si>
  <si>
    <t>100-4131-510</t>
  </si>
  <si>
    <t>100-4131-620</t>
  </si>
  <si>
    <t>100-4131-622</t>
  </si>
  <si>
    <t>CITY MANAGERS ASSOCIATION</t>
  </si>
  <si>
    <t>100-4131-999</t>
  </si>
  <si>
    <t>TAX ADMIN - EXECUTIVE 15%</t>
  </si>
  <si>
    <t>Total EXECUTIVE:</t>
  </si>
  <si>
    <t>100-4131-740</t>
  </si>
  <si>
    <t>Total EXECUTIVE - Capital Projects:</t>
  </si>
  <si>
    <t>PERSONNEL MANAGEMENT</t>
  </si>
  <si>
    <t>100-4134-110</t>
  </si>
  <si>
    <t>100-4134-115</t>
  </si>
  <si>
    <t>100-4134-120</t>
  </si>
  <si>
    <t>PART TIME EMPLOYEES</t>
  </si>
  <si>
    <t>100-4134-130</t>
  </si>
  <si>
    <t>100-4134-210</t>
  </si>
  <si>
    <t>100-4134-230</t>
  </si>
  <si>
    <t>100-4134-240</t>
  </si>
  <si>
    <t>100-4134-250</t>
  </si>
  <si>
    <t>100-4134-251</t>
  </si>
  <si>
    <t>100-4134-280</t>
  </si>
  <si>
    <t>100-4134-310</t>
  </si>
  <si>
    <t>100-4134-311</t>
  </si>
  <si>
    <t>100-4134-330</t>
  </si>
  <si>
    <t>100-4134-481</t>
  </si>
  <si>
    <t>HUMAN RESOURCE EXPENSES</t>
  </si>
  <si>
    <t>100-4134-510</t>
  </si>
  <si>
    <t>100-4134-515</t>
  </si>
  <si>
    <t>SPEC PROGRAM- EMPLOYEE ASSIST</t>
  </si>
  <si>
    <t>100-4134-606</t>
  </si>
  <si>
    <t>EMPLOYEE SAFETY PROGRAM</t>
  </si>
  <si>
    <t>100-4134-620</t>
  </si>
  <si>
    <t>100-4134-630</t>
  </si>
  <si>
    <t>LONGEVITY SERVICE AWARD</t>
  </si>
  <si>
    <t>100-4134-999</t>
  </si>
  <si>
    <t>TAX ADMIN - HUMAN RESOURCE 15%</t>
  </si>
  <si>
    <t>Total PERSONNEL MANAGEMENT:</t>
  </si>
  <si>
    <t>Finance</t>
  </si>
  <si>
    <t>Direct Program Revenues Included</t>
  </si>
  <si>
    <t>AUDITOR (1)</t>
  </si>
  <si>
    <t>100-4132-110</t>
  </si>
  <si>
    <t>100-4132-115</t>
  </si>
  <si>
    <t>100-4132-120</t>
  </si>
  <si>
    <t>100-4132-130</t>
  </si>
  <si>
    <t>100-4132-210</t>
  </si>
  <si>
    <t>100-4132-230</t>
  </si>
  <si>
    <t>100-4132-240</t>
  </si>
  <si>
    <t>100-4132-251</t>
  </si>
  <si>
    <t>100-4132-280</t>
  </si>
  <si>
    <t>100-4132-310</t>
  </si>
  <si>
    <t>100-4132-311</t>
  </si>
  <si>
    <t>100-4132-330</t>
  </si>
  <si>
    <t>100-4132-510</t>
  </si>
  <si>
    <t>100-4132-520</t>
  </si>
  <si>
    <t>COLLECTION COSTS</t>
  </si>
  <si>
    <t>100-4132-620</t>
  </si>
  <si>
    <t>100-4132-999</t>
  </si>
  <si>
    <t>TAX ADMIN - FINANCE 10%</t>
  </si>
  <si>
    <t>Total FINANCE:</t>
  </si>
  <si>
    <t>FINANCE - Capital Projects</t>
  </si>
  <si>
    <t>400-4132-720</t>
  </si>
  <si>
    <t>BUILDINGS</t>
  </si>
  <si>
    <t>400-4132-740</t>
  </si>
  <si>
    <t>Total FINANCE - Capital Projects:</t>
  </si>
  <si>
    <t>Total Finance Expenses and Capital Projects</t>
  </si>
  <si>
    <t>Program Revenues</t>
  </si>
  <si>
    <t>100-34-18000</t>
  </si>
  <si>
    <t>ACCOUNTING FEES</t>
  </si>
  <si>
    <t>100-34-47700</t>
  </si>
  <si>
    <t>ADMIN FEES (GARBAGE BILLINGS)</t>
  </si>
  <si>
    <t>Total Program Revenues</t>
  </si>
  <si>
    <t>Total Expenditures net of Revenues</t>
  </si>
  <si>
    <t>AUDITOR (2)</t>
  </si>
  <si>
    <t>AUDITOR</t>
  </si>
  <si>
    <t>100-4141-110</t>
  </si>
  <si>
    <t>100-4141-115</t>
  </si>
  <si>
    <t>100-4141-120</t>
  </si>
  <si>
    <t>100-4141-125</t>
  </si>
  <si>
    <t>100-4141-130</t>
  </si>
  <si>
    <t>100-4141-210</t>
  </si>
  <si>
    <t>100-4141-220</t>
  </si>
  <si>
    <t>PUBLIC NOTICES</t>
  </si>
  <si>
    <t>100-4141-230</t>
  </si>
  <si>
    <t>100-4141-240</t>
  </si>
  <si>
    <t>100-4141-241</t>
  </si>
  <si>
    <t>VALUATION NOTICES</t>
  </si>
  <si>
    <t>100-4141-250</t>
  </si>
  <si>
    <t>SUPPLIES &amp; MAINT</t>
  </si>
  <si>
    <t>100-4141-251</t>
  </si>
  <si>
    <t>100-4141-280</t>
  </si>
  <si>
    <t>100-4141-290</t>
  </si>
  <si>
    <t>FUEL</t>
  </si>
  <si>
    <t>100-4141-310</t>
  </si>
  <si>
    <t>100-4141-311</t>
  </si>
  <si>
    <t>100-4141-330</t>
  </si>
  <si>
    <t>100-4141-510</t>
  </si>
  <si>
    <t>100-4141-520</t>
  </si>
  <si>
    <t>100-4141-610</t>
  </si>
  <si>
    <t>100-4141-620</t>
  </si>
  <si>
    <t>100-4141-999</t>
  </si>
  <si>
    <t>TAX ADMIN - AUDITOR 86%</t>
  </si>
  <si>
    <t>Total AUDITOR:</t>
  </si>
  <si>
    <t>Narrative Explainations</t>
  </si>
  <si>
    <t>grant software - RAPZ and Other</t>
  </si>
  <si>
    <t>grant writer</t>
  </si>
  <si>
    <t>grant writer benies</t>
  </si>
  <si>
    <t>Auditor benies</t>
  </si>
  <si>
    <t>Garbage Collections Personnel</t>
  </si>
  <si>
    <t>U&amp;G benies</t>
  </si>
  <si>
    <t>collection costs</t>
  </si>
  <si>
    <t>1-time Accounting change for software costs</t>
  </si>
  <si>
    <t>Displayed total</t>
  </si>
  <si>
    <t>Elected Auditor</t>
  </si>
  <si>
    <t>Auditor Benies</t>
  </si>
  <si>
    <t>County-wide budgeting software</t>
  </si>
  <si>
    <t>Auditor team travel</t>
  </si>
  <si>
    <t xml:space="preserve">Subscriptions </t>
  </si>
  <si>
    <t>Adjustments to tax fund</t>
  </si>
  <si>
    <t>2026 Requested Budget</t>
  </si>
  <si>
    <t>100-4142-110</t>
  </si>
  <si>
    <t>100-4142-115</t>
  </si>
  <si>
    <t>100-4142-120</t>
  </si>
  <si>
    <t>100-4142-125</t>
  </si>
  <si>
    <t>100-4142-130</t>
  </si>
  <si>
    <t>100-4142-210</t>
  </si>
  <si>
    <t>100-4142-230</t>
  </si>
  <si>
    <t>100-4142-240</t>
  </si>
  <si>
    <t>100-4142-250</t>
  </si>
  <si>
    <t>100-4142-251</t>
  </si>
  <si>
    <t>100-4142-280</t>
  </si>
  <si>
    <t>100-4142-290</t>
  </si>
  <si>
    <t>100-4142-311</t>
  </si>
  <si>
    <t>100-4142-480</t>
  </si>
  <si>
    <t>SPECIAL DEPT SUPPLIES</t>
  </si>
  <si>
    <t>100-4142-510</t>
  </si>
  <si>
    <t>100-4142-620</t>
  </si>
  <si>
    <t>Total CLERK:</t>
  </si>
  <si>
    <t>100-4142-740</t>
  </si>
  <si>
    <t xml:space="preserve">Total CLERK - Capital Projects: </t>
  </si>
  <si>
    <t>Total CLERK Expenses and Capital</t>
  </si>
  <si>
    <t>100-32-22000</t>
  </si>
  <si>
    <t>MARRIAGE LICENSES</t>
  </si>
  <si>
    <t>100-34-11000</t>
  </si>
  <si>
    <t>CLERK FEES</t>
  </si>
  <si>
    <t xml:space="preserve">Total Program Revenues: </t>
  </si>
  <si>
    <t>100-4170-110</t>
  </si>
  <si>
    <t>100-4170-115</t>
  </si>
  <si>
    <t>100-4170-120</t>
  </si>
  <si>
    <t>100-4170-125</t>
  </si>
  <si>
    <t>100-4170-130</t>
  </si>
  <si>
    <t>100-4170-200</t>
  </si>
  <si>
    <t>MATERIAL SUPPLIES &amp; SERVICES</t>
  </si>
  <si>
    <t>100-4170-210</t>
  </si>
  <si>
    <t>100-4170-230</t>
  </si>
  <si>
    <t>100-4170-240</t>
  </si>
  <si>
    <t>100-4170-250</t>
  </si>
  <si>
    <t>100-4170-251</t>
  </si>
  <si>
    <t>100-4170-270</t>
  </si>
  <si>
    <t>UTILITIES</t>
  </si>
  <si>
    <t>100-4170-280</t>
  </si>
  <si>
    <t>100-4170-290</t>
  </si>
  <si>
    <t>100-4170-311</t>
  </si>
  <si>
    <t>100-4170-482</t>
  </si>
  <si>
    <t>MUNICIPAL ELECTION SERVICES</t>
  </si>
  <si>
    <t>100-4170-510</t>
  </si>
  <si>
    <t>100-4170-620</t>
  </si>
  <si>
    <t>Total ELECTIONS:</t>
  </si>
  <si>
    <t>100-4170-720</t>
  </si>
  <si>
    <t>100-4170-740</t>
  </si>
  <si>
    <t xml:space="preserve">Total ELECTIONS - Capital Projects: </t>
  </si>
  <si>
    <t>Total ELECTIONS Expenses and Capital</t>
  </si>
  <si>
    <t>100-33-12600</t>
  </si>
  <si>
    <t>FEDERAL GRANTS - HAVA</t>
  </si>
  <si>
    <t>100-33-43010</t>
  </si>
  <si>
    <t>MISC STATE GRANTS - ELECTION</t>
  </si>
  <si>
    <t>100-33-75100</t>
  </si>
  <si>
    <t>MUNICIPAL ELECTION CONTRACTS</t>
  </si>
  <si>
    <t>RECORDER</t>
  </si>
  <si>
    <t>100-4144-110</t>
  </si>
  <si>
    <t>100-4144-115</t>
  </si>
  <si>
    <t>100-4144-120</t>
  </si>
  <si>
    <t>100-4144-125</t>
  </si>
  <si>
    <t>100-4144-130</t>
  </si>
  <si>
    <t>100-4144-210</t>
  </si>
  <si>
    <t>100-4144-230</t>
  </si>
  <si>
    <t>100-4144-240</t>
  </si>
  <si>
    <t>100-4144-250</t>
  </si>
  <si>
    <t>100-4144-251</t>
  </si>
  <si>
    <t>100-4144-280</t>
  </si>
  <si>
    <t>100-4144-310</t>
  </si>
  <si>
    <t>100-4144-311</t>
  </si>
  <si>
    <t>100-4144-330</t>
  </si>
  <si>
    <t>100-4144-510</t>
  </si>
  <si>
    <t>100-4144-620</t>
  </si>
  <si>
    <t>100-4144-999</t>
  </si>
  <si>
    <t>TAX ADMIN - RECORDER 50%</t>
  </si>
  <si>
    <t>Total RECORDER:</t>
  </si>
  <si>
    <t>100-34-12000</t>
  </si>
  <si>
    <t>RECORDER FEES</t>
  </si>
  <si>
    <t>100-34-12001</t>
  </si>
  <si>
    <t>TAX ADMIN - RECORDER FEES</t>
  </si>
  <si>
    <t>150-4146-110</t>
  </si>
  <si>
    <t>150-4146-115</t>
  </si>
  <si>
    <t>150-4146-120</t>
  </si>
  <si>
    <t>150-4146-130</t>
  </si>
  <si>
    <t>150-4146-210</t>
  </si>
  <si>
    <t>150-4146-230</t>
  </si>
  <si>
    <t>150-4146-240</t>
  </si>
  <si>
    <t>150-4146-250</t>
  </si>
  <si>
    <t>150-4146-251</t>
  </si>
  <si>
    <t>150-4146-280</t>
  </si>
  <si>
    <t>150-4146-310</t>
  </si>
  <si>
    <t>150-4146-311</t>
  </si>
  <si>
    <t>150-4146-320</t>
  </si>
  <si>
    <t>PROFESSIONAL &amp; TECHN ST AUDITS</t>
  </si>
  <si>
    <t>150-4146-330</t>
  </si>
  <si>
    <t>150-4146-510</t>
  </si>
  <si>
    <t>150-4146-520</t>
  </si>
  <si>
    <t>150-4146-620</t>
  </si>
  <si>
    <t>150-4146-621</t>
  </si>
  <si>
    <t>M V MAILOUT PROGRAM</t>
  </si>
  <si>
    <t>Capital Projects</t>
  </si>
  <si>
    <t>400-4146-740</t>
  </si>
  <si>
    <t>150-34-96000</t>
  </si>
  <si>
    <t>USTC - MOTOR VEHICLE CONTRACT</t>
  </si>
  <si>
    <t>150-4143-110</t>
  </si>
  <si>
    <t>150-4143-115</t>
  </si>
  <si>
    <t>150-4143-125</t>
  </si>
  <si>
    <t>150-4143-130</t>
  </si>
  <si>
    <t>150-4143-210</t>
  </si>
  <si>
    <t>150-4143-230</t>
  </si>
  <si>
    <t>150-4143-240</t>
  </si>
  <si>
    <t>150-4143-241</t>
  </si>
  <si>
    <t>TAX NOTICES EXPENSES</t>
  </si>
  <si>
    <t>150-4143-242</t>
  </si>
  <si>
    <t>TAX NOTICES POSTAGE</t>
  </si>
  <si>
    <t>150-4143-250</t>
  </si>
  <si>
    <t>150-4143-251</t>
  </si>
  <si>
    <t>150-4143-280</t>
  </si>
  <si>
    <t>150-4143-310</t>
  </si>
  <si>
    <t>150-4143-311</t>
  </si>
  <si>
    <t>150-4143-330</t>
  </si>
  <si>
    <t>150-4143-510</t>
  </si>
  <si>
    <t>150-4143-610</t>
  </si>
  <si>
    <t>MISC SUPPLIES</t>
  </si>
  <si>
    <t>150-4143-620</t>
  </si>
  <si>
    <t>All cells with dollar amounts should not have decimals</t>
  </si>
  <si>
    <t>be collapsable</t>
  </si>
  <si>
    <t>C-F</t>
  </si>
  <si>
    <t>for the printed version, hide columns D-K</t>
  </si>
  <si>
    <t>upDATE AND ANNUALIZE</t>
  </si>
  <si>
    <t>Title for this section: Reference data</t>
  </si>
  <si>
    <t>keep the actual and add an annualilzed column</t>
  </si>
  <si>
    <t>ATTORNEY</t>
  </si>
  <si>
    <t>100-4145-110</t>
  </si>
  <si>
    <t>100-4145-115</t>
  </si>
  <si>
    <t>100-4145-120</t>
  </si>
  <si>
    <t>100-4145-130</t>
  </si>
  <si>
    <t>100-4145-200</t>
  </si>
  <si>
    <t>LAW LIBRARY- MATERIALS &amp; SUPP</t>
  </si>
  <si>
    <t>100-4145-210</t>
  </si>
  <si>
    <t>100-4145-230</t>
  </si>
  <si>
    <t>100-4145-240</t>
  </si>
  <si>
    <t>100-4145-250</t>
  </si>
  <si>
    <t>100-4145-251</t>
  </si>
  <si>
    <t>100-4145-280</t>
  </si>
  <si>
    <t>100-4145-310</t>
  </si>
  <si>
    <t>100-4145-311</t>
  </si>
  <si>
    <t>100-4145-312</t>
  </si>
  <si>
    <t>WITNESS AND TRIAL COSTS</t>
  </si>
  <si>
    <t>100-4145-330</t>
  </si>
  <si>
    <t>100-4145-480</t>
  </si>
  <si>
    <t>SPECIAL DEPTARTMENT SUPPLIES</t>
  </si>
  <si>
    <t>100-4145-482</t>
  </si>
  <si>
    <t>SPEC DEPT SUPPLIES - TRAFFIC</t>
  </si>
  <si>
    <t>100-4145-510</t>
  </si>
  <si>
    <t>100-4145-620</t>
  </si>
  <si>
    <t>100-4145-999</t>
  </si>
  <si>
    <t>TAX ADMIN - ATTORNEY 9%</t>
  </si>
  <si>
    <t>Total ATTORNEY</t>
  </si>
  <si>
    <t>100-4145-720</t>
  </si>
  <si>
    <t>100-4145-740</t>
  </si>
  <si>
    <t>Total ATTORNEY - Capital Projects</t>
  </si>
  <si>
    <t>VAWA - INVESTIGATION</t>
  </si>
  <si>
    <t>100-4166-110</t>
  </si>
  <si>
    <t>100-4166-115</t>
  </si>
  <si>
    <t>100-4166-130</t>
  </si>
  <si>
    <t>100-4166-230</t>
  </si>
  <si>
    <t>100-4166-240</t>
  </si>
  <si>
    <t>100-4166-251</t>
  </si>
  <si>
    <t>100-4166-280</t>
  </si>
  <si>
    <t>100-4166-330</t>
  </si>
  <si>
    <t>TOTAL VAWA - INVESTIGATION</t>
  </si>
  <si>
    <t>100-4168-110</t>
  </si>
  <si>
    <t>100-4168-130</t>
  </si>
  <si>
    <t>100-4168-230</t>
  </si>
  <si>
    <t>100-4168-240</t>
  </si>
  <si>
    <t>100-4168-280</t>
  </si>
  <si>
    <t>100-4168-330</t>
  </si>
  <si>
    <t>TOTAL VAWA - PROSECUTION</t>
  </si>
  <si>
    <t>Total ATTORNEY Expenses and Capital Projects</t>
  </si>
  <si>
    <t>100-33-14110</t>
  </si>
  <si>
    <t>FED GRANT - VAWA - PROSECUTION</t>
  </si>
  <si>
    <t>100-33-14115</t>
  </si>
  <si>
    <t>FED GRANT - VAWA - INVESTIGATR</t>
  </si>
  <si>
    <t>100-34-19100</t>
  </si>
  <si>
    <t>ATTORNEY FEES-OTHER REVENUES</t>
  </si>
  <si>
    <t>100-34-19300</t>
  </si>
  <si>
    <t>MUNICIPAL PROSECUTION REV</t>
  </si>
  <si>
    <t>100-35-10000</t>
  </si>
  <si>
    <t>MISC COURT FINES</t>
  </si>
  <si>
    <t>100-35-14000</t>
  </si>
  <si>
    <t>COURT FINES - STATE</t>
  </si>
  <si>
    <t>100-35-21000</t>
  </si>
  <si>
    <t>BAIL FORFEITURES</t>
  </si>
  <si>
    <t>Attorney Combined</t>
  </si>
  <si>
    <t>15% cut target</t>
  </si>
  <si>
    <t>Approved
 2025
 Budget</t>
  </si>
  <si>
    <t>2025 Actual</t>
  </si>
  <si>
    <t>2026
 Requested
 Budget</t>
  </si>
  <si>
    <t>Difference between Target and Actual</t>
  </si>
  <si>
    <t>Percentage cut</t>
  </si>
  <si>
    <t>Total Attorney</t>
  </si>
  <si>
    <t>Expenditure Comparison</t>
  </si>
  <si>
    <t>Victim Services</t>
  </si>
  <si>
    <t>VICTIM ADVOCATES</t>
  </si>
  <si>
    <t>100-4148-110</t>
  </si>
  <si>
    <t>100-4148-115</t>
  </si>
  <si>
    <t>100-4148-120</t>
  </si>
  <si>
    <t>100-4148-125</t>
  </si>
  <si>
    <t>100-4148-130</t>
  </si>
  <si>
    <t>100-4148-142</t>
  </si>
  <si>
    <t>PAGER PAY</t>
  </si>
  <si>
    <t>100-4148-230</t>
  </si>
  <si>
    <t>100-4148-240</t>
  </si>
  <si>
    <t>100-4148-250</t>
  </si>
  <si>
    <t>100-4148-251</t>
  </si>
  <si>
    <t>100-4148-270</t>
  </si>
  <si>
    <t>100-4148-280</t>
  </si>
  <si>
    <t>100-4148-290</t>
  </si>
  <si>
    <t>100-4148-310</t>
  </si>
  <si>
    <t>100-4148-330</t>
  </si>
  <si>
    <t>100-4148-450</t>
  </si>
  <si>
    <t>SPEC DEPT-EMERG ASSISTANCE</t>
  </si>
  <si>
    <t>100-4148-455</t>
  </si>
  <si>
    <t>MENTAL HEALTH FIRST RESPONDERS</t>
  </si>
  <si>
    <t>100-4148-480</t>
  </si>
  <si>
    <t>SPECIAL GRANT EXPENSE</t>
  </si>
  <si>
    <t>100-4148-486</t>
  </si>
  <si>
    <t>UNIFORMS</t>
  </si>
  <si>
    <t>100-4148-510</t>
  </si>
  <si>
    <t>Total VICTIM SERVICES</t>
  </si>
  <si>
    <t>VICITM SERVICES -CACHE ACHIEVE</t>
  </si>
  <si>
    <t>100-4147-110</t>
  </si>
  <si>
    <t>100-4147-120</t>
  </si>
  <si>
    <t>100-4147-125</t>
  </si>
  <si>
    <t>100-4147-130</t>
  </si>
  <si>
    <t>100-4147-230</t>
  </si>
  <si>
    <t>100-4147-251</t>
  </si>
  <si>
    <t>TOTAL VICITM SERVICES -CACHE ACHIEVE</t>
  </si>
  <si>
    <t>VOCA - MAIN</t>
  </si>
  <si>
    <t>100-4162-110</t>
  </si>
  <si>
    <t>100-4162-115</t>
  </si>
  <si>
    <t>100-4162-120</t>
  </si>
  <si>
    <t>100-4162-130</t>
  </si>
  <si>
    <t>100-4162-230</t>
  </si>
  <si>
    <t>100-4162-240</t>
  </si>
  <si>
    <t>100-4162-251</t>
  </si>
  <si>
    <t>100-4162-280</t>
  </si>
  <si>
    <t>100-4162-330</t>
  </si>
  <si>
    <t>100-4162-450</t>
  </si>
  <si>
    <t>EMERGENCY ASSISTANCE</t>
  </si>
  <si>
    <t>TOTAL VOCA - MAIN</t>
  </si>
  <si>
    <t>VOCA - SAS</t>
  </si>
  <si>
    <t>100-4164-110</t>
  </si>
  <si>
    <t>100-4164-120</t>
  </si>
  <si>
    <t>100-4164-130</t>
  </si>
  <si>
    <t>100-4164-230</t>
  </si>
  <si>
    <t>100-4164-240</t>
  </si>
  <si>
    <t>100-4164-251</t>
  </si>
  <si>
    <t>100-4164-280</t>
  </si>
  <si>
    <t>100-4164-330</t>
  </si>
  <si>
    <t>100-4164-486</t>
  </si>
  <si>
    <t>UNIFORMS AND SUPPLIES</t>
  </si>
  <si>
    <t>TOTAL VOCA - SAS</t>
  </si>
  <si>
    <t>Total Victim Services Expenses and Capital Projects</t>
  </si>
  <si>
    <t>Victim Services Combined</t>
  </si>
  <si>
    <t>Total Vicitm Services</t>
  </si>
  <si>
    <t>100-33-14100</t>
  </si>
  <si>
    <t>FEDERAL GRANT - VOCA</t>
  </si>
  <si>
    <t>100-33-14105</t>
  </si>
  <si>
    <t>FEDERAL GRANT - VOCA - SAS</t>
  </si>
  <si>
    <t>100-33-43000</t>
  </si>
  <si>
    <t>MISC STATE GRANTS</t>
  </si>
  <si>
    <t>290-4149-110</t>
  </si>
  <si>
    <t>290-4149-115</t>
  </si>
  <si>
    <t>290-4149-120</t>
  </si>
  <si>
    <t>290-4149-130</t>
  </si>
  <si>
    <t>290-4149-142</t>
  </si>
  <si>
    <t>290-4149-210</t>
  </si>
  <si>
    <t>290-4149-230</t>
  </si>
  <si>
    <t>290-4149-240</t>
  </si>
  <si>
    <t>290-4149-251</t>
  </si>
  <si>
    <t>290-4149-260</t>
  </si>
  <si>
    <t>BUILDING &amp; GROUNDS</t>
  </si>
  <si>
    <t>290-4149-270</t>
  </si>
  <si>
    <t>290-4149-280</t>
  </si>
  <si>
    <t>290-4149-310</t>
  </si>
  <si>
    <t>290-4149-330</t>
  </si>
  <si>
    <t>290-4149-450</t>
  </si>
  <si>
    <t>290-4149-510</t>
  </si>
  <si>
    <t>290-4149-720</t>
  </si>
  <si>
    <t>290-4149-730</t>
  </si>
  <si>
    <t>IMPROVEMENTS</t>
  </si>
  <si>
    <t>290-4149-740</t>
  </si>
  <si>
    <t>290-33-14100</t>
  </si>
  <si>
    <t>290-33-15000</t>
  </si>
  <si>
    <t>CRIME VICTIM CHILDRENS JUSTICE</t>
  </si>
  <si>
    <t>290-33-18000</t>
  </si>
  <si>
    <t>FEDERAL GRANT - CDBG</t>
  </si>
  <si>
    <t>290-33-70112</t>
  </si>
  <si>
    <t>DRUG PREVENTION</t>
  </si>
  <si>
    <t>Projected 2025</t>
  </si>
  <si>
    <t>Public Defender</t>
  </si>
  <si>
    <t>PUBLIC DEFENDER</t>
  </si>
  <si>
    <t>100-4126-110</t>
  </si>
  <si>
    <t>100-4126-115</t>
  </si>
  <si>
    <t>100-4126-125</t>
  </si>
  <si>
    <t>100-4126-130</t>
  </si>
  <si>
    <t>100-4126-200</t>
  </si>
  <si>
    <t>INDIGENT CAPITAL DEFENSE FUND</t>
  </si>
  <si>
    <t>100-4126-210</t>
  </si>
  <si>
    <t>100-4126-230</t>
  </si>
  <si>
    <t>100-4126-240</t>
  </si>
  <si>
    <t>100-4126-251</t>
  </si>
  <si>
    <t>100-4126-260</t>
  </si>
  <si>
    <t>BUILDINGS AND GROUNDS</t>
  </si>
  <si>
    <t>100-4126-280</t>
  </si>
  <si>
    <t>100-4126-290</t>
  </si>
  <si>
    <t>100-4126-295</t>
  </si>
  <si>
    <t>RENT</t>
  </si>
  <si>
    <t>100-4126-310</t>
  </si>
  <si>
    <t>100-4126-311</t>
  </si>
  <si>
    <t>100-4126-330</t>
  </si>
  <si>
    <t>100-4126-480</t>
  </si>
  <si>
    <t>SOCIAL WORKER EXPENSE</t>
  </si>
  <si>
    <t>100-4126-510</t>
  </si>
  <si>
    <t>100-4126-620</t>
  </si>
  <si>
    <t>Total PUBLIC DEFENDER:</t>
  </si>
  <si>
    <t>100-33-44250</t>
  </si>
  <si>
    <t>STATE GRANT - INDIGENT DEF COM</t>
  </si>
  <si>
    <t>100-35-15000</t>
  </si>
  <si>
    <t>COURT FINES - PUBLIC DEFENDER</t>
  </si>
  <si>
    <t>100-34-19500</t>
  </si>
  <si>
    <t>PUBLIC DEFENDER REVENUE</t>
  </si>
  <si>
    <t>SHERIFF</t>
  </si>
  <si>
    <t>100-4214-110</t>
  </si>
  <si>
    <t>100-4214-115</t>
  </si>
  <si>
    <t>100-4214-120</t>
  </si>
  <si>
    <t>100-4214-130</t>
  </si>
  <si>
    <t>100-4214-230</t>
  </si>
  <si>
    <t>100-4214-240</t>
  </si>
  <si>
    <t>100-4214-330</t>
  </si>
  <si>
    <t>100-4214-480</t>
  </si>
  <si>
    <t>SPECIAL DEPARTMENT SUPPLIES</t>
  </si>
  <si>
    <t>100-4214-486</t>
  </si>
  <si>
    <t>Total Sheriff</t>
  </si>
  <si>
    <t>Difference Between Requested and Tentative Budgets</t>
  </si>
  <si>
    <t>SHERIFF: ADMINISTRATION</t>
  </si>
  <si>
    <t>100-4215-110</t>
  </si>
  <si>
    <t>100-4215-115</t>
  </si>
  <si>
    <t>100-4215-120</t>
  </si>
  <si>
    <t>100-4215-130</t>
  </si>
  <si>
    <t>100-4215-210</t>
  </si>
  <si>
    <t>100-4215-230</t>
  </si>
  <si>
    <t>100-4215-240</t>
  </si>
  <si>
    <t>100-4215-250</t>
  </si>
  <si>
    <t>EQUIPMENT SUPPLIES &amp; SERVICES</t>
  </si>
  <si>
    <t>100-4215-251</t>
  </si>
  <si>
    <t>100-4215-260</t>
  </si>
  <si>
    <t>100-4215-270</t>
  </si>
  <si>
    <t>100-4215-280</t>
  </si>
  <si>
    <t>100-4215-290</t>
  </si>
  <si>
    <t>100-4215-310</t>
  </si>
  <si>
    <t>100-4215-311</t>
  </si>
  <si>
    <t>100-4215-330</t>
  </si>
  <si>
    <t>100-4215-333</t>
  </si>
  <si>
    <t>ALL P/S TESTING FEES</t>
  </si>
  <si>
    <t>100-4215-381</t>
  </si>
  <si>
    <t>MEALS</t>
  </si>
  <si>
    <t>100-4215-410</t>
  </si>
  <si>
    <t>CIVIL SERVICES</t>
  </si>
  <si>
    <t>100-4215-480</t>
  </si>
  <si>
    <t>100-4215-486</t>
  </si>
  <si>
    <t>100-4215-510</t>
  </si>
  <si>
    <t>100-4215-620</t>
  </si>
  <si>
    <t>400-4215-730</t>
  </si>
  <si>
    <t>400-4215-720</t>
  </si>
  <si>
    <t>BUILDING</t>
  </si>
  <si>
    <t>400-4215-740</t>
  </si>
  <si>
    <t xml:space="preserve">Total Sheriff - Capital Projects: </t>
  </si>
  <si>
    <t>Total Sheriff Expenses and Capital Projects</t>
  </si>
  <si>
    <t>100-33-70109</t>
  </si>
  <si>
    <t>LOGAN CITY - DRUG TASK FORCE</t>
  </si>
  <si>
    <t>100-34-21000</t>
  </si>
  <si>
    <t>SHERIFF FEES</t>
  </si>
  <si>
    <t>100-34-21500</t>
  </si>
  <si>
    <t>CIVIL FEES</t>
  </si>
  <si>
    <t>SHERIFF: SEARCH AND RESCUE</t>
  </si>
  <si>
    <t>100-4216-210</t>
  </si>
  <si>
    <t>100-4216-230</t>
  </si>
  <si>
    <t>100-4216-240</t>
  </si>
  <si>
    <t>100-4216-250</t>
  </si>
  <si>
    <t>100-4216-251</t>
  </si>
  <si>
    <t>100-4216-270</t>
  </si>
  <si>
    <t>100-4216-280</t>
  </si>
  <si>
    <t>100-4216-330</t>
  </si>
  <si>
    <t>100-4216-480</t>
  </si>
  <si>
    <t>100-4216-481</t>
  </si>
  <si>
    <t>PHILANTHROPIC ACTIVITIES</t>
  </si>
  <si>
    <t>100-4216-486</t>
  </si>
  <si>
    <t>100-4216-510</t>
  </si>
  <si>
    <t>100-4216-720</t>
  </si>
  <si>
    <t>100-4216-740</t>
  </si>
  <si>
    <t>Total Sheriff Search and Rescue:</t>
  </si>
  <si>
    <t>Total Sheriff Search and Rescue - Capital Projects:</t>
  </si>
  <si>
    <t>Total Sheriff Search and Rescue Expenses and Capital Projects</t>
  </si>
  <si>
    <t>100-33-11110</t>
  </si>
  <si>
    <t>FED -SRS TITLE III</t>
  </si>
  <si>
    <t>100-33-43104</t>
  </si>
  <si>
    <t>MISC STATE REV-SEARCH &amp; RESCUE</t>
  </si>
  <si>
    <t>100-38-78000</t>
  </si>
  <si>
    <t>CONTRIBUTION - SEARCH &amp; RESCUE</t>
  </si>
  <si>
    <t>SHERIFF: EXPLORER</t>
  </si>
  <si>
    <t>100-4217-210</t>
  </si>
  <si>
    <t>100-4217-250</t>
  </si>
  <si>
    <t>100-4217-251</t>
  </si>
  <si>
    <t>100-4217-330</t>
  </si>
  <si>
    <t>100-4217-486</t>
  </si>
  <si>
    <t>100-4217-611</t>
  </si>
  <si>
    <t>MISC SUPPLIES - POSSE BURGER</t>
  </si>
  <si>
    <t>Total Sheriff  Explorer:</t>
  </si>
  <si>
    <t>100-38-78100</t>
  </si>
  <si>
    <t>CONTRIBUTION - EXPLORER</t>
  </si>
  <si>
    <t>SHERIFF: CORRECTIONS</t>
  </si>
  <si>
    <t>100-4230-110</t>
  </si>
  <si>
    <t>100-4230-115</t>
  </si>
  <si>
    <t>100-4230-120</t>
  </si>
  <si>
    <t>100-4230-130</t>
  </si>
  <si>
    <t>100-4230-142</t>
  </si>
  <si>
    <t>100-4230-200</t>
  </si>
  <si>
    <t>INMATE SUPPLIES</t>
  </si>
  <si>
    <t>100-4230-210</t>
  </si>
  <si>
    <t>100-4230-230</t>
  </si>
  <si>
    <t>100-4230-231</t>
  </si>
  <si>
    <t>TRAVEL -EXTRADITION EXPENSES</t>
  </si>
  <si>
    <t>100-4230-240</t>
  </si>
  <si>
    <t>100-4230-250</t>
  </si>
  <si>
    <t>100-4230-251</t>
  </si>
  <si>
    <t>100-4230-255</t>
  </si>
  <si>
    <t>PRISONERS SUPPLIES - W/RELEASE</t>
  </si>
  <si>
    <t>100-4230-270</t>
  </si>
  <si>
    <t>100-4230-280</t>
  </si>
  <si>
    <t>100-4230-290</t>
  </si>
  <si>
    <t>100-4230-310</t>
  </si>
  <si>
    <t>100-4230-311</t>
  </si>
  <si>
    <t>100-4230-315</t>
  </si>
  <si>
    <t>MEDICAL EXPENSE</t>
  </si>
  <si>
    <t>100-4230-316</t>
  </si>
  <si>
    <t>MEDICAL EXPENSE REIMBURSEMENT</t>
  </si>
  <si>
    <t>100-4230-330</t>
  </si>
  <si>
    <t>100-4230-333</t>
  </si>
  <si>
    <t>100-4230-381</t>
  </si>
  <si>
    <t>100-4230-450</t>
  </si>
  <si>
    <t>SPECIAL JAIL SUPPLIES</t>
  </si>
  <si>
    <t>100-4230-486</t>
  </si>
  <si>
    <t>100-4230-510</t>
  </si>
  <si>
    <t>Total Sheriff Corrections:</t>
  </si>
  <si>
    <t>100-4230-720</t>
  </si>
  <si>
    <t>100-4230-740</t>
  </si>
  <si>
    <t>Total Sheriff Corrections Expenses and Capital Projects</t>
  </si>
  <si>
    <t>100-33-12350</t>
  </si>
  <si>
    <t>FEDERAL GRANT - SCAAP</t>
  </si>
  <si>
    <t>100-34-23000</t>
  </si>
  <si>
    <t>INMATE HOUSING - FRANKLIN CNTY</t>
  </si>
  <si>
    <t>100-34-23005</t>
  </si>
  <si>
    <t>INMATE HOUSING - SALT LAKE CO.</t>
  </si>
  <si>
    <t>100-34-23010</t>
  </si>
  <si>
    <t>INMATE HOUSING - RICH COUNTY</t>
  </si>
  <si>
    <t>100-34-23050</t>
  </si>
  <si>
    <t>JAIL COMMISSARY REVENUE</t>
  </si>
  <si>
    <t>100-34-23100</t>
  </si>
  <si>
    <t>JAIL WORK-RELEASE REIMB</t>
  </si>
  <si>
    <t>100-34-23150</t>
  </si>
  <si>
    <t>JAIL FEES -MISCELLANEOUS</t>
  </si>
  <si>
    <t>100-34-23200</t>
  </si>
  <si>
    <t>JAIL PHONE SYSTM COMMISSION</t>
  </si>
  <si>
    <t>100-34-23300</t>
  </si>
  <si>
    <t>JAIL FEES CONDITION OF PROBATI</t>
  </si>
  <si>
    <t>100-34-23400</t>
  </si>
  <si>
    <t>JAIL FEES-CONT W/ST CORRECTION</t>
  </si>
  <si>
    <t>100-34-23500</t>
  </si>
  <si>
    <t>MEDICAL/DENTAL ETC REIMBURSEME</t>
  </si>
  <si>
    <t>100-34-23525</t>
  </si>
  <si>
    <t>INMATE MED &amp;   CART</t>
  </si>
  <si>
    <t>100-34-23555</t>
  </si>
  <si>
    <t>INMATE MEDICAL CO-PAYMENTS</t>
  </si>
  <si>
    <t>100-34-23800</t>
  </si>
  <si>
    <t>INMATE HOUSING - FEDERAL</t>
  </si>
  <si>
    <t>100-34-23850</t>
  </si>
  <si>
    <t>INMATE HOUSING - I.C.E.</t>
  </si>
  <si>
    <t>SHERIFF: IT</t>
  </si>
  <si>
    <t>100-4236-251</t>
  </si>
  <si>
    <t>100-4236-280</t>
  </si>
  <si>
    <t>100-4236-311</t>
  </si>
  <si>
    <t>100-4236-330</t>
  </si>
  <si>
    <t>Total Sheriff IT:</t>
  </si>
  <si>
    <t>SHERIFF: ANIMAL CONTROL</t>
  </si>
  <si>
    <t>100-4253-110</t>
  </si>
  <si>
    <t>100-4253-115</t>
  </si>
  <si>
    <t>100-4253-130</t>
  </si>
  <si>
    <t>100-4253-142</t>
  </si>
  <si>
    <t>100-4253-200</t>
  </si>
  <si>
    <t>MATERIAL SUPPLIES &amp; SERVICE</t>
  </si>
  <si>
    <t>100-4253-230</t>
  </si>
  <si>
    <t>100-4253-251</t>
  </si>
  <si>
    <t>100-4253-290</t>
  </si>
  <si>
    <t>100-4253-330</t>
  </si>
  <si>
    <t>100-4253-486</t>
  </si>
  <si>
    <t>100-4253-510</t>
  </si>
  <si>
    <t>Total Sheriff Animal Control:</t>
  </si>
  <si>
    <t>100-34-22010</t>
  </si>
  <si>
    <t>ANIMAL CONTROL CONTRACTS</t>
  </si>
  <si>
    <t>ANIMAL SHELTER</t>
  </si>
  <si>
    <t>100-4254-110</t>
  </si>
  <si>
    <t>100-4254-115</t>
  </si>
  <si>
    <t>100-4254-120</t>
  </si>
  <si>
    <t>100-4254-125</t>
  </si>
  <si>
    <t>100-4254-130</t>
  </si>
  <si>
    <t>100-4254-210</t>
  </si>
  <si>
    <t>100-4254-230</t>
  </si>
  <si>
    <t>100-4254-240</t>
  </si>
  <si>
    <t>100-4254-250</t>
  </si>
  <si>
    <t>100-4254-251</t>
  </si>
  <si>
    <t>100-4254-280</t>
  </si>
  <si>
    <t>100-4254-290</t>
  </si>
  <si>
    <t>100-4254-310</t>
  </si>
  <si>
    <t>100-4254-311</t>
  </si>
  <si>
    <t>100-4254-330</t>
  </si>
  <si>
    <t>100-4254-480</t>
  </si>
  <si>
    <t>100-4254-486</t>
  </si>
  <si>
    <t>100-4254-510</t>
  </si>
  <si>
    <t>Total Sheriff Animal Shelter</t>
  </si>
  <si>
    <t>100-4254-740</t>
  </si>
  <si>
    <t>Total Sheriff Animal Shelter Expenses and Capital Projects</t>
  </si>
  <si>
    <t>100-34-22050</t>
  </si>
  <si>
    <t>IMPOUND AND HOUSING</t>
  </si>
  <si>
    <t>SHERIFF: EMERGENCY MANAGEMENT</t>
  </si>
  <si>
    <t>100-4255-110</t>
  </si>
  <si>
    <t>100-4255-115</t>
  </si>
  <si>
    <t>100-4255-120</t>
  </si>
  <si>
    <t>100-4255-130</t>
  </si>
  <si>
    <t>100-4255-210</t>
  </si>
  <si>
    <t>100-4255-230</t>
  </si>
  <si>
    <t>100-4255-240</t>
  </si>
  <si>
    <t>100-4255-250</t>
  </si>
  <si>
    <t>100-4255-251</t>
  </si>
  <si>
    <t>100-4255-254</t>
  </si>
  <si>
    <t>GRANT SUPPLIES &amp; NON CAP EQUIP</t>
  </si>
  <si>
    <t>100-4255-280</t>
  </si>
  <si>
    <t>100-4255-290</t>
  </si>
  <si>
    <t>100-4255-311</t>
  </si>
  <si>
    <t>100-4255-330</t>
  </si>
  <si>
    <t>100-4255-480</t>
  </si>
  <si>
    <t>100-4255-481</t>
  </si>
  <si>
    <t>100-4255-486</t>
  </si>
  <si>
    <t>100-4255-510</t>
  </si>
  <si>
    <t>100-4255-630</t>
  </si>
  <si>
    <t>EMERGENCY OPERATIONS</t>
  </si>
  <si>
    <t>Total Sheriff Emergency Managements:</t>
  </si>
  <si>
    <t>100-33-12000</t>
  </si>
  <si>
    <t>ST&amp; LOCAL ASSIST GRANT-EMPG</t>
  </si>
  <si>
    <t>SHERIFF - SUPPORT SERVICES</t>
  </si>
  <si>
    <t>100-4211-110</t>
  </si>
  <si>
    <t>100-4211-115</t>
  </si>
  <si>
    <t>100-4211-120</t>
  </si>
  <si>
    <t>100-4211-130</t>
  </si>
  <si>
    <t>100-4211-142</t>
  </si>
  <si>
    <t>100-4211-210</t>
  </si>
  <si>
    <t>100-4211-230</t>
  </si>
  <si>
    <t>100-4211-240</t>
  </si>
  <si>
    <t>100-4211-250</t>
  </si>
  <si>
    <t>100-4211-251</t>
  </si>
  <si>
    <t>100-4211-255</t>
  </si>
  <si>
    <t>PROBATION ANKLE MONITORS</t>
  </si>
  <si>
    <t>100-4211-280</t>
  </si>
  <si>
    <t>100-4211-290</t>
  </si>
  <si>
    <t>100-4211-311</t>
  </si>
  <si>
    <t>100-4211-330</t>
  </si>
  <si>
    <t>100-4211-410</t>
  </si>
  <si>
    <t>100-4211-480</t>
  </si>
  <si>
    <t>100-4211-486</t>
  </si>
  <si>
    <t>100-4211-510</t>
  </si>
  <si>
    <t>Total: Sheriff Support Services</t>
  </si>
  <si>
    <t>100-34-23700</t>
  </si>
  <si>
    <t>COURT SEC HOUSE CITY INMATES</t>
  </si>
  <si>
    <t>100-34-26000</t>
  </si>
  <si>
    <t>OTHER PUB SAFETY SUPPORT SERVC</t>
  </si>
  <si>
    <t>100-34-26101</t>
  </si>
  <si>
    <t>BAILIFF &amp; CRT SECURITY -CITIES</t>
  </si>
  <si>
    <t>100-34-26100</t>
  </si>
  <si>
    <t>BAILIFF &amp; CRT SECURITY- STATE</t>
  </si>
  <si>
    <t>100-35-22500</t>
  </si>
  <si>
    <t>PROBATION SUPERVISION</t>
  </si>
  <si>
    <t>SHERIFF - PATROL</t>
  </si>
  <si>
    <t>100-4205-110</t>
  </si>
  <si>
    <t>100-4205-115</t>
  </si>
  <si>
    <t>100-4205-120</t>
  </si>
  <si>
    <t>100-4205-130</t>
  </si>
  <si>
    <t>100-4205-142</t>
  </si>
  <si>
    <t>100-4205-210</t>
  </si>
  <si>
    <t>100-4205-230</t>
  </si>
  <si>
    <t>100-4205-240</t>
  </si>
  <si>
    <t>100-4205-251</t>
  </si>
  <si>
    <t>100-4205-330</t>
  </si>
  <si>
    <t>100-4205-480</t>
  </si>
  <si>
    <t>100-4205-486</t>
  </si>
  <si>
    <t>Total Sheriff Patrol:</t>
  </si>
  <si>
    <t>100-33-58000</t>
  </si>
  <si>
    <t>ST. LIQUOR ALLOCATION</t>
  </si>
  <si>
    <t>100-34-22000</t>
  </si>
  <si>
    <t>SPEC PROTECT SRV-CONTRACTS</t>
  </si>
  <si>
    <t>100-34-22200</t>
  </si>
  <si>
    <t>LAW ENFORCE SPECIAL EVENT FEES</t>
  </si>
  <si>
    <t>MISC STATE GRANT</t>
  </si>
  <si>
    <t>SHERIFF - CRIMINAL</t>
  </si>
  <si>
    <t>100-4210-110</t>
  </si>
  <si>
    <t>100-4210-115</t>
  </si>
  <si>
    <t>100-4210-120</t>
  </si>
  <si>
    <t>100-4210-130</t>
  </si>
  <si>
    <t>100-4210-142</t>
  </si>
  <si>
    <t>100-4210-210</t>
  </si>
  <si>
    <t>100-4210-230</t>
  </si>
  <si>
    <t>100-4210-240</t>
  </si>
  <si>
    <t>100-4210-250</t>
  </si>
  <si>
    <t>100-4210-251</t>
  </si>
  <si>
    <t>100-4210-280</t>
  </si>
  <si>
    <t>100-4210-290</t>
  </si>
  <si>
    <t>100-4210-310</t>
  </si>
  <si>
    <t>100-4210-330</t>
  </si>
  <si>
    <t>100-4210-480</t>
  </si>
  <si>
    <t>100-4210-481</t>
  </si>
  <si>
    <t>SPEC SUPPS-SUBSTANCE ABUSE ED</t>
  </si>
  <si>
    <t>100-4210-486</t>
  </si>
  <si>
    <t>100-4210-510</t>
  </si>
  <si>
    <t>Total Sheriff: Criminal</t>
  </si>
  <si>
    <t>100-4210-740</t>
  </si>
  <si>
    <t>Total Sheriff: Criminal - Capital Projects</t>
  </si>
  <si>
    <t>Total Sheriff: Criminal Expenses and Capital Projects</t>
  </si>
  <si>
    <t>100-34-22101</t>
  </si>
  <si>
    <t>CACHE COUNTY SCHOOLS CONTRACT</t>
  </si>
  <si>
    <t>Sheriff - Animal Control</t>
  </si>
  <si>
    <t>Sheriff - Animal Shelter</t>
  </si>
  <si>
    <t>Fire</t>
  </si>
  <si>
    <t>2020 Actual</t>
  </si>
  <si>
    <t>2021 Actual</t>
  </si>
  <si>
    <t>2022 Actual</t>
  </si>
  <si>
    <t>100-4220-110</t>
  </si>
  <si>
    <t>100-4220-115</t>
  </si>
  <si>
    <t>100-4220-120</t>
  </si>
  <si>
    <t>100-4220-125</t>
  </si>
  <si>
    <t>100-4220-130</t>
  </si>
  <si>
    <t>100-4220-140</t>
  </si>
  <si>
    <t>UNIFORM ALLOWANCE</t>
  </si>
  <si>
    <t>100-4220-210</t>
  </si>
  <si>
    <t>100-4220-230</t>
  </si>
  <si>
    <t>100-4220-240</t>
  </si>
  <si>
    <t>100-4220-250</t>
  </si>
  <si>
    <t>100-4220-255</t>
  </si>
  <si>
    <t>WILDLAND FIRE EQUIP &amp; SUPPLIES</t>
  </si>
  <si>
    <t>100-4220-270</t>
  </si>
  <si>
    <t>100-4220-280</t>
  </si>
  <si>
    <t>100-4220-290</t>
  </si>
  <si>
    <t>100-4220-311</t>
  </si>
  <si>
    <t>100-4220-315</t>
  </si>
  <si>
    <t>PROF &amp; TECH-MEDICAL</t>
  </si>
  <si>
    <t>100-4220-450</t>
  </si>
  <si>
    <t>HAZARD/MATERIALS SUPPLIES</t>
  </si>
  <si>
    <t>100-4220-451</t>
  </si>
  <si>
    <t>TECHNICAL RESCUE MATERIALS/SUP</t>
  </si>
  <si>
    <t>100-4220-720</t>
  </si>
  <si>
    <t>100-4220-740</t>
  </si>
  <si>
    <t>100-4265-110</t>
  </si>
  <si>
    <t>100-4265-115</t>
  </si>
  <si>
    <t>100-4265-120</t>
  </si>
  <si>
    <t>100-4265-125</t>
  </si>
  <si>
    <t>100-4265-130</t>
  </si>
  <si>
    <t>100-4265-142</t>
  </si>
  <si>
    <t>100-4265-210</t>
  </si>
  <si>
    <t>100-4265-230</t>
  </si>
  <si>
    <t>100-4265-240</t>
  </si>
  <si>
    <t>100-4265-250</t>
  </si>
  <si>
    <t>100-4265-251</t>
  </si>
  <si>
    <t>100-4265-255</t>
  </si>
  <si>
    <t>100-4265-270</t>
  </si>
  <si>
    <t>100-4265-280</t>
  </si>
  <si>
    <t>100-4265-290</t>
  </si>
  <si>
    <t>100-4265-310</t>
  </si>
  <si>
    <t>100-4265-311</t>
  </si>
  <si>
    <t>100-4265-330</t>
  </si>
  <si>
    <t>100-4265-450</t>
  </si>
  <si>
    <t>100-4265-451</t>
  </si>
  <si>
    <t>100-4265-481</t>
  </si>
  <si>
    <t>100-4265-486</t>
  </si>
  <si>
    <t>FIRE PREVENTION PROMO-SUPPLIES</t>
  </si>
  <si>
    <t>100-4265-510</t>
  </si>
  <si>
    <t>100-4265-511</t>
  </si>
  <si>
    <t>WILDLAND FIRE MITIGATION FUND</t>
  </si>
  <si>
    <t>100-4265-520</t>
  </si>
  <si>
    <t>BILLING AND COLLECTION COSTS</t>
  </si>
  <si>
    <t>100-4265-521</t>
  </si>
  <si>
    <t>BAD DEBT COLLECTION FEES</t>
  </si>
  <si>
    <t>100-4265-522</t>
  </si>
  <si>
    <t>PATIENT REFUNDS</t>
  </si>
  <si>
    <t>100-4265-610</t>
  </si>
  <si>
    <t>MISC SUPPLIES - RECOGNITION</t>
  </si>
  <si>
    <t>100-4265-620</t>
  </si>
  <si>
    <t>100-4265-625</t>
  </si>
  <si>
    <t>MISC SERVICES - AIR COMPRESSOR</t>
  </si>
  <si>
    <t>100-4265-630</t>
  </si>
  <si>
    <t>RANGE FIRE SUPPRESSION</t>
  </si>
  <si>
    <t>100-4265-631</t>
  </si>
  <si>
    <t>OTHER FIRE 100% REIMBURSABLE</t>
  </si>
  <si>
    <t>100-4265-632</t>
  </si>
  <si>
    <t>STATE FIRE WARDEN COST SHARE</t>
  </si>
  <si>
    <t>100-4265-720</t>
  </si>
  <si>
    <t>100-4265-740</t>
  </si>
  <si>
    <t>Total FIRE:</t>
  </si>
  <si>
    <t>Ambulance</t>
  </si>
  <si>
    <t>100-4260-110</t>
  </si>
  <si>
    <t>100-4260-115</t>
  </si>
  <si>
    <t>100-4260-120</t>
  </si>
  <si>
    <t>100-4260-125</t>
  </si>
  <si>
    <t>100-4260-130</t>
  </si>
  <si>
    <t>100-4260-142</t>
  </si>
  <si>
    <t>100-4260-210</t>
  </si>
  <si>
    <t>100-4260-230</t>
  </si>
  <si>
    <t>100-4260-240</t>
  </si>
  <si>
    <t>100-4260-250</t>
  </si>
  <si>
    <t>100-4260-251</t>
  </si>
  <si>
    <t>100-4260-255</t>
  </si>
  <si>
    <t>100-4260-270</t>
  </si>
  <si>
    <t>100-4260-280</t>
  </si>
  <si>
    <t>100-4260-290</t>
  </si>
  <si>
    <t>100-4260-310</t>
  </si>
  <si>
    <t>100-4260-311</t>
  </si>
  <si>
    <t>100-4260-330</t>
  </si>
  <si>
    <t>100-4260-450</t>
  </si>
  <si>
    <t>100-4260-451</t>
  </si>
  <si>
    <t>100-4260-481</t>
  </si>
  <si>
    <t>100-4260-486</t>
  </si>
  <si>
    <t>100-4260-510</t>
  </si>
  <si>
    <t>100-4260-511</t>
  </si>
  <si>
    <t>100-4260-520</t>
  </si>
  <si>
    <t>100-4260-521</t>
  </si>
  <si>
    <t>100-4260-522</t>
  </si>
  <si>
    <t>100-4260-610</t>
  </si>
  <si>
    <t>100-4260-620</t>
  </si>
  <si>
    <t>100-4260-625</t>
  </si>
  <si>
    <t>100-4260-630</t>
  </si>
  <si>
    <t>100-4260-631</t>
  </si>
  <si>
    <t>100-4260-632</t>
  </si>
  <si>
    <t>100-4260-720</t>
  </si>
  <si>
    <t>100-4260-740</t>
  </si>
  <si>
    <t>295-4262-115</t>
  </si>
  <si>
    <t>295-4262-120</t>
  </si>
  <si>
    <t>295-4262-130</t>
  </si>
  <si>
    <t>295-4262-210</t>
  </si>
  <si>
    <t>295-4262-230</t>
  </si>
  <si>
    <t>295-4262-240</t>
  </si>
  <si>
    <t>295-4262-250</t>
  </si>
  <si>
    <t>295-4262-251</t>
  </si>
  <si>
    <t>295-4262-270</t>
  </si>
  <si>
    <t>295-4262-280</t>
  </si>
  <si>
    <t>295-4262-290</t>
  </si>
  <si>
    <t>295-4262-291</t>
  </si>
  <si>
    <t>LEASE PAYMENTS</t>
  </si>
  <si>
    <t>295-4262-292</t>
  </si>
  <si>
    <t>295-4262-310</t>
  </si>
  <si>
    <t>295-4262-480</t>
  </si>
  <si>
    <t>295-4262-510</t>
  </si>
  <si>
    <t>295-4262-620</t>
  </si>
  <si>
    <t>MISC SERVICES</t>
  </si>
  <si>
    <t>295-4262-740</t>
  </si>
  <si>
    <t>295-4262-990</t>
  </si>
  <si>
    <t>CONTRIB TO FUND BALANCE</t>
  </si>
  <si>
    <t>Total Ambulance:</t>
  </si>
  <si>
    <t>Fire &amp; Ambulance Combined</t>
  </si>
  <si>
    <t>FIRE &amp; AMBULANCE</t>
  </si>
  <si>
    <t>100-4265-140</t>
  </si>
  <si>
    <t>100-4265-291</t>
  </si>
  <si>
    <t>100-4265-292</t>
  </si>
  <si>
    <t>100-4265-315</t>
  </si>
  <si>
    <t>100-4265-480</t>
  </si>
  <si>
    <t>Total FIRE &amp; AMBULANCE:</t>
  </si>
  <si>
    <t>400-4265-720</t>
  </si>
  <si>
    <t>400-4265-740</t>
  </si>
  <si>
    <t>Total FIRE &amp; AMBULANCE - Capital Projects:</t>
  </si>
  <si>
    <t>100-33-42710</t>
  </si>
  <si>
    <t>STATE GRANT - EMS PER CAPITA</t>
  </si>
  <si>
    <t>100-34-27107</t>
  </si>
  <si>
    <t>FIRES 100% REIMBURSEABLE COSTS</t>
  </si>
  <si>
    <t>100-34-27108</t>
  </si>
  <si>
    <t>FIRE INSPECTION FEES</t>
  </si>
  <si>
    <t>100-34-27110</t>
  </si>
  <si>
    <t>FIRE SERVICES CONTRACTS</t>
  </si>
  <si>
    <t>100-34-27210</t>
  </si>
  <si>
    <t>AMBULANCE FEES</t>
  </si>
  <si>
    <t>100-34-27220</t>
  </si>
  <si>
    <t>STANDBY FEES</t>
  </si>
  <si>
    <t>100-34-27230</t>
  </si>
  <si>
    <t>BAD DEBT COLLECTIONS</t>
  </si>
  <si>
    <t>100-34-27240</t>
  </si>
  <si>
    <t>PAYMENT ADJUSTMENTS</t>
  </si>
  <si>
    <t>100-34-27250</t>
  </si>
  <si>
    <t>BAD DEBT WRITE-OFF</t>
  </si>
  <si>
    <t>100-34-27260</t>
  </si>
  <si>
    <t>BAD DEBT - ESTIMATE</t>
  </si>
  <si>
    <t>100-34-27310</t>
  </si>
  <si>
    <t>EMS CONTRACTS</t>
  </si>
  <si>
    <t>Fire District</t>
  </si>
  <si>
    <t>200-4220-330</t>
  </si>
  <si>
    <t>200-4220-460</t>
  </si>
  <si>
    <t>DEPT ALLOCATIONS</t>
  </si>
  <si>
    <t>200-4220-620</t>
  </si>
  <si>
    <t>DEVELOPMENT SERVICES</t>
  </si>
  <si>
    <t>DEVELOPMENT SERVICES ADMIN</t>
  </si>
  <si>
    <t>200-4175-110</t>
  </si>
  <si>
    <t>200-4175-115</t>
  </si>
  <si>
    <t>200-4175-120</t>
  </si>
  <si>
    <t>200-4175-130</t>
  </si>
  <si>
    <t>200-4175-210</t>
  </si>
  <si>
    <t>200-4175-230</t>
  </si>
  <si>
    <t>200-4175-240</t>
  </si>
  <si>
    <t>200-4175-250</t>
  </si>
  <si>
    <t>200-4175-251</t>
  </si>
  <si>
    <t>200-4175-280</t>
  </si>
  <si>
    <t>200-4175-310</t>
  </si>
  <si>
    <t>200-4175-311</t>
  </si>
  <si>
    <t>200-4175-330</t>
  </si>
  <si>
    <t>200-4175-510</t>
  </si>
  <si>
    <t>200-4175-620</t>
  </si>
  <si>
    <t>200-36-50990</t>
  </si>
  <si>
    <t>SALE OF ASSETS - DEV SERV</t>
  </si>
  <si>
    <t>200-36-90000</t>
  </si>
  <si>
    <t>SUNDRY REVENUE - DEV SERV</t>
  </si>
  <si>
    <t>TRAILS MANAGEMENT</t>
  </si>
  <si>
    <t>100-4780-110</t>
  </si>
  <si>
    <t>100-4780-115</t>
  </si>
  <si>
    <t>100-4780-120</t>
  </si>
  <si>
    <t>100-4780-130</t>
  </si>
  <si>
    <t>100-4780-210</t>
  </si>
  <si>
    <t>100-4780-230</t>
  </si>
  <si>
    <t>100-4780-240</t>
  </si>
  <si>
    <t>100-4780-250</t>
  </si>
  <si>
    <t>100-4780-251</t>
  </si>
  <si>
    <t>100-4780-280</t>
  </si>
  <si>
    <t>100-4780-290</t>
  </si>
  <si>
    <t>TRAIL SIGNAGE AND AMENITIES</t>
  </si>
  <si>
    <t>100-4780-310</t>
  </si>
  <si>
    <t>100-4780-311</t>
  </si>
  <si>
    <t>100-4780-315</t>
  </si>
  <si>
    <t>TRAIL PLANNING AND DESIGN</t>
  </si>
  <si>
    <t>100-4780-480</t>
  </si>
  <si>
    <t>TRAIL DEVELOPMENT</t>
  </si>
  <si>
    <t>100-4780-510</t>
  </si>
  <si>
    <t>100-4780-620</t>
  </si>
  <si>
    <t>100-4780-730</t>
  </si>
  <si>
    <t>Total TRAILS MANAGEMENT:</t>
  </si>
  <si>
    <t>200-33-44310</t>
  </si>
  <si>
    <t>STATE AWARDS - UDOT - TRAILS</t>
  </si>
  <si>
    <t>200-34-22500</t>
  </si>
  <si>
    <t>TRAIL COORDINATOR FEES</t>
  </si>
  <si>
    <t>100-33-70310</t>
  </si>
  <si>
    <t>LOCAL GRANTS - TRAILS</t>
  </si>
  <si>
    <t>100-38-24780</t>
  </si>
  <si>
    <t>PUBLIC CONTRIBUTIONS - TRAILS</t>
  </si>
  <si>
    <t>200-4180-110</t>
  </si>
  <si>
    <t>200-4180-115</t>
  </si>
  <si>
    <t>200-4180-120</t>
  </si>
  <si>
    <t>200-4180-130</t>
  </si>
  <si>
    <t>200-4180-210</t>
  </si>
  <si>
    <t>200-4180-220</t>
  </si>
  <si>
    <t>200-4180-230</t>
  </si>
  <si>
    <t>200-4180-240</t>
  </si>
  <si>
    <t>200-4180-251</t>
  </si>
  <si>
    <t>200-4180-280</t>
  </si>
  <si>
    <t>200-4180-310</t>
  </si>
  <si>
    <t>200-4180-311</t>
  </si>
  <si>
    <t>200-4180-330</t>
  </si>
  <si>
    <t>200-4180-510</t>
  </si>
  <si>
    <t>200-4180-620</t>
  </si>
  <si>
    <t>200-4180-622</t>
  </si>
  <si>
    <t>200-4180-624</t>
  </si>
  <si>
    <t>CACHE PLANNER'S ASSOCIATION</t>
  </si>
  <si>
    <t>200-32-10000</t>
  </si>
  <si>
    <t>BUSINESS LICENSES</t>
  </si>
  <si>
    <t>200-32-13000</t>
  </si>
  <si>
    <t>ZONING &amp; SUBDIVISION</t>
  </si>
  <si>
    <t>200-34-22000</t>
  </si>
  <si>
    <t>COUNTY WIDE PLANNING</t>
  </si>
  <si>
    <t>GIS</t>
  </si>
  <si>
    <t>100-4135-110</t>
  </si>
  <si>
    <t>100-4135-115</t>
  </si>
  <si>
    <t>100-4135-130</t>
  </si>
  <si>
    <t>100-4135-230</t>
  </si>
  <si>
    <t>100-4135-240</t>
  </si>
  <si>
    <t>100-4135-250</t>
  </si>
  <si>
    <t>100-4135-280</t>
  </si>
  <si>
    <t>100-4135-310</t>
  </si>
  <si>
    <t>100-4135-311</t>
  </si>
  <si>
    <t>100-4135-330</t>
  </si>
  <si>
    <t>100-4135-510</t>
  </si>
  <si>
    <t>100-4135-999</t>
  </si>
  <si>
    <t>TAX ADMIN - GIS 60%</t>
  </si>
  <si>
    <t>Total GIS DEPT:</t>
  </si>
  <si>
    <t>100-34-13000</t>
  </si>
  <si>
    <t>GIS FEES - CDPO</t>
  </si>
  <si>
    <t>200-4241-110</t>
  </si>
  <si>
    <t>200-4241-115</t>
  </si>
  <si>
    <t>200-4241-125</t>
  </si>
  <si>
    <t>200-4241-130</t>
  </si>
  <si>
    <t>200-4241-210</t>
  </si>
  <si>
    <t>200-4241-230</t>
  </si>
  <si>
    <t>200-4241-240</t>
  </si>
  <si>
    <t>200-4241-250</t>
  </si>
  <si>
    <t>200-4241-251</t>
  </si>
  <si>
    <t>200-4241-280</t>
  </si>
  <si>
    <t>200-4241-290</t>
  </si>
  <si>
    <t>200-4241-310</t>
  </si>
  <si>
    <t>200-4241-311</t>
  </si>
  <si>
    <t>SOFTWARE</t>
  </si>
  <si>
    <t>200-4241-330</t>
  </si>
  <si>
    <t>200-4241-510</t>
  </si>
  <si>
    <t>420-4241-740</t>
  </si>
  <si>
    <t>200-32-21000</t>
  </si>
  <si>
    <t>BUILDING PERMITS</t>
  </si>
  <si>
    <t>200-32-21100</t>
  </si>
  <si>
    <t>PLAN CHECKING FEES</t>
  </si>
  <si>
    <t>200-32-21200</t>
  </si>
  <si>
    <t>1% SURCHARGE BUILDING PERMITS</t>
  </si>
  <si>
    <t>200-34-19000</t>
  </si>
  <si>
    <t>BUILDING INSPECT - CONTRACTS</t>
  </si>
  <si>
    <t>200-35-10000</t>
  </si>
  <si>
    <t>MISC CODE VIOLATION FINES</t>
  </si>
  <si>
    <t>420-36-51990</t>
  </si>
  <si>
    <t>SALE OF CAPITAL ASSETS - DEV S</t>
  </si>
  <si>
    <t>200-4780-110</t>
  </si>
  <si>
    <t>200-4780-115</t>
  </si>
  <si>
    <t>200-4780-130</t>
  </si>
  <si>
    <t>200-4780-230</t>
  </si>
  <si>
    <t>200-4780-240</t>
  </si>
  <si>
    <t>200-4780-250</t>
  </si>
  <si>
    <t>200-4780-251</t>
  </si>
  <si>
    <t>200-4780-280</t>
  </si>
  <si>
    <t>200-4780-310</t>
  </si>
  <si>
    <t>200-4780-311</t>
  </si>
  <si>
    <t>200-4780-315</t>
  </si>
  <si>
    <t>200-4780-480</t>
  </si>
  <si>
    <t>200-4780-510</t>
  </si>
  <si>
    <t>200-4780-620</t>
  </si>
  <si>
    <t>PUBLIC WORKS ADMIN</t>
  </si>
  <si>
    <t>25% General Fund</t>
  </si>
  <si>
    <t>75% Municipal Services Fund</t>
  </si>
  <si>
    <t>100-4410-110</t>
  </si>
  <si>
    <t>100-4410-115</t>
  </si>
  <si>
    <t>100-4410-120</t>
  </si>
  <si>
    <t>100-4410-130</t>
  </si>
  <si>
    <t>100-4410-210</t>
  </si>
  <si>
    <t>100-4410-230</t>
  </si>
  <si>
    <t>100-4410-240</t>
  </si>
  <si>
    <t>100-4410-250</t>
  </si>
  <si>
    <t>100-4410-251</t>
  </si>
  <si>
    <t>100-4410-260</t>
  </si>
  <si>
    <t>100-4410-270</t>
  </si>
  <si>
    <t>100-4410-280</t>
  </si>
  <si>
    <t>100-4410-310</t>
  </si>
  <si>
    <t>100-4410-311</t>
  </si>
  <si>
    <t>100-4410-330</t>
  </si>
  <si>
    <t>100-4410-480</t>
  </si>
  <si>
    <t>UNIFORM &amp; SAFETY SUPPLIES</t>
  </si>
  <si>
    <t>100-4410-510</t>
  </si>
  <si>
    <t>Total PW Admin</t>
  </si>
  <si>
    <t>Population Growth Adjustment 14.48%</t>
  </si>
  <si>
    <t>200-4410-110</t>
  </si>
  <si>
    <t>200-4410-115</t>
  </si>
  <si>
    <t>200-4410-120</t>
  </si>
  <si>
    <t>200-4410-130</t>
  </si>
  <si>
    <t>200-4410-210</t>
  </si>
  <si>
    <t>200-4410-230</t>
  </si>
  <si>
    <t>200-4410-240</t>
  </si>
  <si>
    <t>200-4410-250</t>
  </si>
  <si>
    <t>200-4410-251</t>
  </si>
  <si>
    <t>200-4410-260</t>
  </si>
  <si>
    <t>200-4410-270</t>
  </si>
  <si>
    <t>200-4410-280</t>
  </si>
  <si>
    <t>200-4410-310</t>
  </si>
  <si>
    <t>200-4410-311</t>
  </si>
  <si>
    <t>200-4410-330</t>
  </si>
  <si>
    <t>200-4410-480</t>
  </si>
  <si>
    <t>200-4410-510</t>
  </si>
  <si>
    <t>200-4410-620</t>
  </si>
  <si>
    <t>200-4410-730</t>
  </si>
  <si>
    <t>200-4410-740</t>
  </si>
  <si>
    <t>400-4410-730</t>
  </si>
  <si>
    <t>400-4410-740</t>
  </si>
  <si>
    <t>100 &amp; 200</t>
  </si>
  <si>
    <t>Total PW Admin - Capital Projects</t>
  </si>
  <si>
    <t>Total PW Admin Expenses and Capital Projects</t>
  </si>
  <si>
    <t>100-4475-110</t>
  </si>
  <si>
    <t>100-4475-115</t>
  </si>
  <si>
    <t>100-4475-120</t>
  </si>
  <si>
    <t>100-4475-125</t>
  </si>
  <si>
    <t>100-4475-130</t>
  </si>
  <si>
    <t>100-4475-210</t>
  </si>
  <si>
    <t>100-4475-230</t>
  </si>
  <si>
    <t>100-4475-240</t>
  </si>
  <si>
    <t>100-4475-250</t>
  </si>
  <si>
    <t>100-4475-251</t>
  </si>
  <si>
    <t>100-4475-280</t>
  </si>
  <si>
    <t>100-4475-310</t>
  </si>
  <si>
    <t>100-4475-311</t>
  </si>
  <si>
    <t>100-4475-320</t>
  </si>
  <si>
    <t>PROF &amp; TECH - ENGINEER REVIEWS</t>
  </si>
  <si>
    <t>100-4475-322</t>
  </si>
  <si>
    <t>PROF &amp; TECH - SURVEY REVIEWS</t>
  </si>
  <si>
    <t>100-4475-326</t>
  </si>
  <si>
    <t>PROF &amp; TECH - SECTION CORNERS</t>
  </si>
  <si>
    <t>100-4475-328</t>
  </si>
  <si>
    <t>PROF &amp; TECH - CCCOG OVERSIGHT</t>
  </si>
  <si>
    <t>100-4475-330</t>
  </si>
  <si>
    <t>100-4475-482</t>
  </si>
  <si>
    <t>SPECIAL PROJECTS</t>
  </si>
  <si>
    <t>100-4475-510</t>
  </si>
  <si>
    <t>100-4475-740</t>
  </si>
  <si>
    <t>100-4475-999</t>
  </si>
  <si>
    <t>GENERAL - ENGINEERING 50%</t>
  </si>
  <si>
    <t>Total PW Engineering</t>
  </si>
  <si>
    <t>200-4475-110</t>
  </si>
  <si>
    <t>200-4475-115</t>
  </si>
  <si>
    <t>200-4475-120</t>
  </si>
  <si>
    <t>200-4475-130</t>
  </si>
  <si>
    <t>200-4475-210</t>
  </si>
  <si>
    <t>200-4475-230</t>
  </si>
  <si>
    <t>200-4475-240</t>
  </si>
  <si>
    <t>200-4475-250</t>
  </si>
  <si>
    <t>200-4475-251</t>
  </si>
  <si>
    <t>200-4475-280</t>
  </si>
  <si>
    <t>200-4475-310</t>
  </si>
  <si>
    <t>200-4475-311</t>
  </si>
  <si>
    <t>200-4475-320</t>
  </si>
  <si>
    <t>200-4475-322</t>
  </si>
  <si>
    <t>200-4475-324</t>
  </si>
  <si>
    <t>PROF &amp; TECH - FIELD SURVEYS</t>
  </si>
  <si>
    <t>200-4475-326</t>
  </si>
  <si>
    <t>200-4475-328</t>
  </si>
  <si>
    <t>200-4475-330</t>
  </si>
  <si>
    <t>200-4475-482</t>
  </si>
  <si>
    <t>200-4475-510</t>
  </si>
  <si>
    <t>200-4475-740</t>
  </si>
  <si>
    <t>200-4475-999</t>
  </si>
  <si>
    <t>420-4475-730</t>
  </si>
  <si>
    <t>420-4475-750</t>
  </si>
  <si>
    <t xml:space="preserve">INFRASTRUCTURE </t>
  </si>
  <si>
    <t>400-4475-730</t>
  </si>
  <si>
    <t>400-4475-740</t>
  </si>
  <si>
    <t>PUBLIC WORKS ENGINEERING</t>
  </si>
  <si>
    <t>Total PW Engineering - Capital Projects</t>
  </si>
  <si>
    <t>Total PW Engineering Expenses and Capital Projects</t>
  </si>
  <si>
    <t>200-33-44990</t>
  </si>
  <si>
    <t>STATE AWARDS - OTHER</t>
  </si>
  <si>
    <t>420-33-44990</t>
  </si>
  <si>
    <t>200-34-13100</t>
  </si>
  <si>
    <t>SUBDIVISION ENGINEERING REVIEW</t>
  </si>
  <si>
    <t>200-32-15000</t>
  </si>
  <si>
    <t>PUBLIC LAND CORNER PRES. FUND</t>
  </si>
  <si>
    <t>200-32-17000</t>
  </si>
  <si>
    <t>ENCROACHMENT PERMIT FEE</t>
  </si>
  <si>
    <t>200-32-18000</t>
  </si>
  <si>
    <t>LAND DISTURBANCE PERMIT FEE</t>
  </si>
  <si>
    <t>200-38-10268</t>
  </si>
  <si>
    <t>TRANSFER IN - CCCOG FUND</t>
  </si>
  <si>
    <t>400-38-10268</t>
  </si>
  <si>
    <t>TRANSFER IN - CCCOG</t>
  </si>
  <si>
    <t>420-38-10268</t>
  </si>
  <si>
    <t>PUBLIC WORKS - ROADS</t>
  </si>
  <si>
    <t>2026 
 Tentative 
 Budget</t>
  </si>
  <si>
    <t>Public Works Road</t>
  </si>
  <si>
    <t>100-4415-110</t>
  </si>
  <si>
    <t>100-4415-115</t>
  </si>
  <si>
    <t>100-4415-125</t>
  </si>
  <si>
    <t>100-4415-130</t>
  </si>
  <si>
    <t>100-4415-140</t>
  </si>
  <si>
    <t>100-4415-142</t>
  </si>
  <si>
    <t>100-4415-210</t>
  </si>
  <si>
    <t>100-4415-230</t>
  </si>
  <si>
    <t>100-4415-240</t>
  </si>
  <si>
    <t>100-4415-250</t>
  </si>
  <si>
    <t>100-4415-251</t>
  </si>
  <si>
    <t>100-4415-254</t>
  </si>
  <si>
    <t>100-4415-270</t>
  </si>
  <si>
    <t>100-4415-280</t>
  </si>
  <si>
    <t>100-4415-290</t>
  </si>
  <si>
    <t>100-4415-310</t>
  </si>
  <si>
    <t>100-4415-311</t>
  </si>
  <si>
    <t>100-4415-330</t>
  </si>
  <si>
    <t>100-4415-410</t>
  </si>
  <si>
    <t>ROAD MAINTENANCE</t>
  </si>
  <si>
    <t>100-4415-412</t>
  </si>
  <si>
    <t>CHIP &amp; SEAL ROADS - COUNTY</t>
  </si>
  <si>
    <t>100-4415-414</t>
  </si>
  <si>
    <t>CHIP &amp; SEAL ROADS - MUNICIPAL</t>
  </si>
  <si>
    <t>100-4415-416</t>
  </si>
  <si>
    <t>ROAD SALT</t>
  </si>
  <si>
    <t>100-4415-418</t>
  </si>
  <si>
    <t>ASPHALT &amp; CONCRETE</t>
  </si>
  <si>
    <t>100-4415-420</t>
  </si>
  <si>
    <t>ROAD PAINTING</t>
  </si>
  <si>
    <t>100-4415-422</t>
  </si>
  <si>
    <t>PIPE, DRAINAGE &amp; BOXES</t>
  </si>
  <si>
    <t>100-4415-480</t>
  </si>
  <si>
    <t>ROAD SIGNING</t>
  </si>
  <si>
    <t>100-4415-486</t>
  </si>
  <si>
    <t>100-4415-510</t>
  </si>
  <si>
    <t>100-4415-620</t>
  </si>
  <si>
    <t>100-4415-710</t>
  </si>
  <si>
    <t>LAND PURCHASE</t>
  </si>
  <si>
    <t>100-4415-730</t>
  </si>
  <si>
    <t>100-4415-740</t>
  </si>
  <si>
    <t>100-4415-750</t>
  </si>
  <si>
    <t>ROAD IMPROVEMENTS</t>
  </si>
  <si>
    <t>Total PW Road</t>
  </si>
  <si>
    <t>200-4415-110</t>
  </si>
  <si>
    <t>200-4415-115</t>
  </si>
  <si>
    <t>200-4415-120</t>
  </si>
  <si>
    <t>200-4415-125</t>
  </si>
  <si>
    <t>200-4415-130</t>
  </si>
  <si>
    <t>200-4415-140</t>
  </si>
  <si>
    <t>200-4415-210</t>
  </si>
  <si>
    <t>200-4415-230</t>
  </si>
  <si>
    <t>200-4415-240</t>
  </si>
  <si>
    <t>200-4415-250</t>
  </si>
  <si>
    <t>200-4415-251</t>
  </si>
  <si>
    <t>200-4415-254</t>
  </si>
  <si>
    <t>200-4415-270</t>
  </si>
  <si>
    <t>200-4415-280</t>
  </si>
  <si>
    <t>200-4415-290</t>
  </si>
  <si>
    <t>200-4415-310</t>
  </si>
  <si>
    <t>200-4415-311</t>
  </si>
  <si>
    <t>200-4415-410</t>
  </si>
  <si>
    <t>200-4415-412</t>
  </si>
  <si>
    <t>200-4415-414</t>
  </si>
  <si>
    <t>200-4415-416</t>
  </si>
  <si>
    <t>200-4415-418</t>
  </si>
  <si>
    <t>200-4415-420</t>
  </si>
  <si>
    <t>200-4415-422</t>
  </si>
  <si>
    <t>200-4415-480</t>
  </si>
  <si>
    <t>200-4415-510</t>
  </si>
  <si>
    <t>200-4415-620</t>
  </si>
  <si>
    <t>200-4415-730</t>
  </si>
  <si>
    <t>200-4415-740</t>
  </si>
  <si>
    <t>200-4415-750</t>
  </si>
  <si>
    <t>200-4415-760</t>
  </si>
  <si>
    <t>NEW ROAD CONSTRUCTION - CAP</t>
  </si>
  <si>
    <t>400-4415-710</t>
  </si>
  <si>
    <t>LAND/EASEMENT PURCHASE</t>
  </si>
  <si>
    <t>400-4415-720</t>
  </si>
  <si>
    <t>400-4415-740</t>
  </si>
  <si>
    <t>400-4415-750</t>
  </si>
  <si>
    <t>INFRASTRUCTURE - ARPA</t>
  </si>
  <si>
    <t>400-4415-751</t>
  </si>
  <si>
    <t>INFRASTRUCTURE</t>
  </si>
  <si>
    <t>Total PW Road - Capital Projects</t>
  </si>
  <si>
    <t>Total PW Road Expenses and Capital Projects</t>
  </si>
  <si>
    <t>100-31-30100</t>
  </si>
  <si>
    <t>SALES TAX-CNTY HWY &amp; PUB TRANS</t>
  </si>
  <si>
    <t>200-31-30100</t>
  </si>
  <si>
    <t>SALES TAX - TRANSPORTATION</t>
  </si>
  <si>
    <t>100-33-44200</t>
  </si>
  <si>
    <t>STATE AWARDS - CLASS B ROADS</t>
  </si>
  <si>
    <t>200-33-44200</t>
  </si>
  <si>
    <t>100-34-32100</t>
  </si>
  <si>
    <t>ROAD CONTRACTS - MUNICIPAL</t>
  </si>
  <si>
    <t>200-34-32100</t>
  </si>
  <si>
    <t>100-34-32300</t>
  </si>
  <si>
    <t>ROAD CONTRACTS - OTHER</t>
  </si>
  <si>
    <t>200-34-32300</t>
  </si>
  <si>
    <t>100-36-90100</t>
  </si>
  <si>
    <t>SUNDRY REVENUE - PUBLIC WORKS</t>
  </si>
  <si>
    <t>200-36-90100</t>
  </si>
  <si>
    <t>100-36-50100</t>
  </si>
  <si>
    <t>SALE OF ASSETS - ROAD</t>
  </si>
  <si>
    <t>200-36-51100</t>
  </si>
  <si>
    <t>SALE OF CAPITAL ASSETS - ROAD</t>
  </si>
  <si>
    <t>100-38-20000</t>
  </si>
  <si>
    <t>CONTRIBUTIONS - MISC PUBLIC</t>
  </si>
  <si>
    <t>200-38-20000</t>
  </si>
  <si>
    <t>200-38-10720</t>
  </si>
  <si>
    <t>TRANSFER IN - RSSD</t>
  </si>
  <si>
    <t>100-38-10720</t>
  </si>
  <si>
    <t>400-36-50100</t>
  </si>
  <si>
    <t>200-31-41000</t>
  </si>
  <si>
    <t>FRANCHISE TAX</t>
  </si>
  <si>
    <t>200-36-11000</t>
  </si>
  <si>
    <t>INTEREST - CLASS B ROADS</t>
  </si>
  <si>
    <t>100-31-32000</t>
  </si>
  <si>
    <t>SALES TAX - PUBLIC SAFETY</t>
  </si>
  <si>
    <t>Public Works Vegetation</t>
  </si>
  <si>
    <t>200-4450-110</t>
  </si>
  <si>
    <t>200-4450-115</t>
  </si>
  <si>
    <t>200-4450-120</t>
  </si>
  <si>
    <t>200-4450-125</t>
  </si>
  <si>
    <t>200-4450-130</t>
  </si>
  <si>
    <t>200-4450-140</t>
  </si>
  <si>
    <t>200-4450-230</t>
  </si>
  <si>
    <t>200-4450-240</t>
  </si>
  <si>
    <t>200-4450-250</t>
  </si>
  <si>
    <t>200-4450-251</t>
  </si>
  <si>
    <t>200-4450-254</t>
  </si>
  <si>
    <t>200-4450-280</t>
  </si>
  <si>
    <t>200-4450-291</t>
  </si>
  <si>
    <t>CHEMICAL SPRAY</t>
  </si>
  <si>
    <t>200-4450-295</t>
  </si>
  <si>
    <t>CHEMICAL SPRAY - CONTRACTS</t>
  </si>
  <si>
    <t>200-4450-311</t>
  </si>
  <si>
    <t>200-4450-480</t>
  </si>
  <si>
    <t>200-4450-510</t>
  </si>
  <si>
    <t>200-4450-620</t>
  </si>
  <si>
    <t>200-4450-740</t>
  </si>
  <si>
    <t>Total PW Vegetation</t>
  </si>
  <si>
    <t>100-4450-110</t>
  </si>
  <si>
    <t>100-4450-115</t>
  </si>
  <si>
    <t>100-4450-125</t>
  </si>
  <si>
    <t>100-4450-130</t>
  </si>
  <si>
    <t>100-4450-140</t>
  </si>
  <si>
    <t>100-4450-142</t>
  </si>
  <si>
    <t>100-4450-210</t>
  </si>
  <si>
    <t>100-4450-230</t>
  </si>
  <si>
    <t>100-4450-240</t>
  </si>
  <si>
    <t>100-4450-250</t>
  </si>
  <si>
    <t>100-4450-251</t>
  </si>
  <si>
    <t>100-4450-254</t>
  </si>
  <si>
    <t>100-4450-280</t>
  </si>
  <si>
    <t>100-4450-290</t>
  </si>
  <si>
    <t>100-4450-291</t>
  </si>
  <si>
    <t>100-4450-295</t>
  </si>
  <si>
    <t>100-4450-310</t>
  </si>
  <si>
    <t>100-4450-311</t>
  </si>
  <si>
    <t>100-4450-330</t>
  </si>
  <si>
    <t>100-4450-480</t>
  </si>
  <si>
    <t>100-4450-510</t>
  </si>
  <si>
    <t>100-4450-610</t>
  </si>
  <si>
    <t>REVEGETATION</t>
  </si>
  <si>
    <t>100-4450-620</t>
  </si>
  <si>
    <t>100-4450-740</t>
  </si>
  <si>
    <t>400-4450-740</t>
  </si>
  <si>
    <t>Total PW Vegetation - Capital Projects</t>
  </si>
  <si>
    <t>PUBLIC WORKS VEGETATION</t>
  </si>
  <si>
    <t>Total PW Vegetation Expenses and Capital Projects</t>
  </si>
  <si>
    <t>100-33-12900</t>
  </si>
  <si>
    <t>FEDERAL GRANTS - VEGETATION</t>
  </si>
  <si>
    <t>200-33-12900</t>
  </si>
  <si>
    <t>200-33-44255</t>
  </si>
  <si>
    <t>STATE - FORESTRY FIRE ST LANDS</t>
  </si>
  <si>
    <t>100-33-44255</t>
  </si>
  <si>
    <t>100-33-44900</t>
  </si>
  <si>
    <t>STATE AWARDS - VEGETATION</t>
  </si>
  <si>
    <t>200-33-44900</t>
  </si>
  <si>
    <t>100-34-35100</t>
  </si>
  <si>
    <t>VEGETATION CONTR - MUNICIPAL</t>
  </si>
  <si>
    <t>200-34-35100</t>
  </si>
  <si>
    <t>200-34-35200</t>
  </si>
  <si>
    <t>VEGETATION CONTRACTS - CANAL</t>
  </si>
  <si>
    <t>100-34-35200</t>
  </si>
  <si>
    <t>200-34-35300</t>
  </si>
  <si>
    <t>VEGETATION CONTR - LAND OWNERS</t>
  </si>
  <si>
    <t>PUBLIC WORKS ROADS</t>
  </si>
  <si>
    <t>100-4136-110</t>
  </si>
  <si>
    <t>100-4136-115</t>
  </si>
  <si>
    <t>100-4136-125</t>
  </si>
  <si>
    <t>100-4136-130</t>
  </si>
  <si>
    <t>100-4136-210</t>
  </si>
  <si>
    <t>100-4136-215</t>
  </si>
  <si>
    <t>SOFTWARE SUBSCRIP &amp; LICENSES</t>
  </si>
  <si>
    <t>100-4136-230</t>
  </si>
  <si>
    <t>100-4136-240</t>
  </si>
  <si>
    <t>100-4136-250</t>
  </si>
  <si>
    <t>100-4136-251</t>
  </si>
  <si>
    <t>100-4136-280</t>
  </si>
  <si>
    <t>100-4136-310</t>
  </si>
  <si>
    <t>100-4136-311</t>
  </si>
  <si>
    <t>100-4136-330</t>
  </si>
  <si>
    <t>100-4136-510</t>
  </si>
  <si>
    <t>100-4136-620</t>
  </si>
  <si>
    <t>100-4136-621</t>
  </si>
  <si>
    <t>TV TRANSLATOR</t>
  </si>
  <si>
    <t>100-4136-999</t>
  </si>
  <si>
    <t>TAX ADMIN - IT 30%</t>
  </si>
  <si>
    <t>Total IT:</t>
  </si>
  <si>
    <t>400-4136-720</t>
  </si>
  <si>
    <t>400-4136-740</t>
  </si>
  <si>
    <t>400-4136-749</t>
  </si>
  <si>
    <t>CAPITALIZED EQUIPMENT - GRANTS</t>
  </si>
  <si>
    <t>Total IT - Capital Projects:</t>
  </si>
  <si>
    <t>Total IT Expenses and Capital</t>
  </si>
  <si>
    <t>IT - TAX ADMIN FUND</t>
  </si>
  <si>
    <t>150-4136-110</t>
  </si>
  <si>
    <t>150-4136-130</t>
  </si>
  <si>
    <t>150-4136-510</t>
  </si>
  <si>
    <t>150-34-12000</t>
  </si>
  <si>
    <t>100-4160-110</t>
  </si>
  <si>
    <t>100-4160-115</t>
  </si>
  <si>
    <t>100-4160-120</t>
  </si>
  <si>
    <t>100-4160-125</t>
  </si>
  <si>
    <t>100-4160-130</t>
  </si>
  <si>
    <t>100-4160-240</t>
  </si>
  <si>
    <t>100-4160-251</t>
  </si>
  <si>
    <t>100-4160-260</t>
  </si>
  <si>
    <t>100-4160-270</t>
  </si>
  <si>
    <t>100-4160-280</t>
  </si>
  <si>
    <t>100-4160-310</t>
  </si>
  <si>
    <t>100-4160-330</t>
  </si>
  <si>
    <t>100-4160-510</t>
  </si>
  <si>
    <t>100-4160-620</t>
  </si>
  <si>
    <t>100-4160-999</t>
  </si>
  <si>
    <t>TAX ADMIN - BLDG &amp; GROUNDS 31%</t>
  </si>
  <si>
    <t>Total BUILDING &amp; GROUNDS:</t>
  </si>
  <si>
    <t>100-4160-720</t>
  </si>
  <si>
    <t>100-4160-730</t>
  </si>
  <si>
    <t>400-4160-740</t>
  </si>
  <si>
    <t>Total BUILDING &amp; GROUNDS - Capital Projects:</t>
  </si>
  <si>
    <t>19% Inflation</t>
  </si>
  <si>
    <t>2019 + Inflation</t>
  </si>
  <si>
    <t>Depreciation</t>
  </si>
  <si>
    <t>Growth</t>
  </si>
  <si>
    <t>Hvac in on rotation</t>
  </si>
  <si>
    <t>20 life span has been reached on both buildings</t>
  </si>
  <si>
    <t>3 buildings added - CJC, Post Office, Election</t>
  </si>
  <si>
    <t>26.7 Inflation</t>
  </si>
  <si>
    <t>2019 + 26.7% Inflation</t>
  </si>
  <si>
    <t>FAIRGROUNDS</t>
  </si>
  <si>
    <t>100-4511-110</t>
  </si>
  <si>
    <t>100-4511-115</t>
  </si>
  <si>
    <t>100-4511-120</t>
  </si>
  <si>
    <t>100-4511-125</t>
  </si>
  <si>
    <t>100-4511-130</t>
  </si>
  <si>
    <t>100-4511-142</t>
  </si>
  <si>
    <t>100-4511-210</t>
  </si>
  <si>
    <t>100-4511-221</t>
  </si>
  <si>
    <t>ADVERTISING</t>
  </si>
  <si>
    <t>100-4511-230</t>
  </si>
  <si>
    <t>100-4511-240</t>
  </si>
  <si>
    <t>100-4511-250</t>
  </si>
  <si>
    <t>100-4511-251</t>
  </si>
  <si>
    <t>EQUIPMENT - LIGHTS</t>
  </si>
  <si>
    <t>100-4511-252</t>
  </si>
  <si>
    <t>EQUIPMENT - CHAIRS</t>
  </si>
  <si>
    <t>100-4511-253</t>
  </si>
  <si>
    <t>EQUIPMENT - LES</t>
  </si>
  <si>
    <t>100-4511-260</t>
  </si>
  <si>
    <t>100-4511-261</t>
  </si>
  <si>
    <t>STALL BEDDING</t>
  </si>
  <si>
    <t>100-4511-262</t>
  </si>
  <si>
    <t>SPECIAL AUDIO/VIDEO NEEDS</t>
  </si>
  <si>
    <t>100-4511-270</t>
  </si>
  <si>
    <t>100-4511-271</t>
  </si>
  <si>
    <t>UTILITIES - EVENT CENTER</t>
  </si>
  <si>
    <t>100-4511-272</t>
  </si>
  <si>
    <t>ENVIRONMENTAL COLLECTION FEES</t>
  </si>
  <si>
    <t>100-4511-280</t>
  </si>
  <si>
    <t>100-4511-290</t>
  </si>
  <si>
    <t>100-4511-310</t>
  </si>
  <si>
    <t>100-4511-311</t>
  </si>
  <si>
    <t>100-4511-312</t>
  </si>
  <si>
    <t>EVENT STAFFING EXPENSE</t>
  </si>
  <si>
    <t>100-4511-313</t>
  </si>
  <si>
    <t>EVENT SECURITY EXPENSE</t>
  </si>
  <si>
    <t>100-4511-330</t>
  </si>
  <si>
    <t>100-4511-482</t>
  </si>
  <si>
    <t>SPECIAL EVENTS</t>
  </si>
  <si>
    <t>100-4511-486</t>
  </si>
  <si>
    <t>100-4511-510</t>
  </si>
  <si>
    <t>100-4511-620</t>
  </si>
  <si>
    <t>Total FAIRGROUNDS:</t>
  </si>
  <si>
    <t>100-4511-720</t>
  </si>
  <si>
    <t>100-4511-730</t>
  </si>
  <si>
    <t>100-4511-740</t>
  </si>
  <si>
    <t>Total FAIRGROUNDS - Capital Projects:</t>
  </si>
  <si>
    <t>100-34-75000</t>
  </si>
  <si>
    <t>FAIRGROUND - RIDING PASS</t>
  </si>
  <si>
    <t>100-34-75100</t>
  </si>
  <si>
    <t>FAIRGROUND - CACHE ARENA</t>
  </si>
  <si>
    <t>100-34-75200</t>
  </si>
  <si>
    <t>FAIRGROUND - OUTDOOR ARENA</t>
  </si>
  <si>
    <t>100-34-75250</t>
  </si>
  <si>
    <t>FAIRGROUND - ROPING ARENA</t>
  </si>
  <si>
    <t>100-34-75300</t>
  </si>
  <si>
    <t>FAIRGROUND - BUILDING RENTAL</t>
  </si>
  <si>
    <t>100-34-75400</t>
  </si>
  <si>
    <t>FAIRGROUND - STALL RENTAL</t>
  </si>
  <si>
    <t>100-34-75600</t>
  </si>
  <si>
    <t>FAIRGROUND - CAMPING FEES</t>
  </si>
  <si>
    <t>100-34-75800</t>
  </si>
  <si>
    <t>FAIRGROUND - EVENTS CENTER</t>
  </si>
  <si>
    <t>FAIR</t>
  </si>
  <si>
    <t>100-4620-110</t>
  </si>
  <si>
    <t>100-4620-115</t>
  </si>
  <si>
    <t>100-4620-120</t>
  </si>
  <si>
    <t>100-4620-125</t>
  </si>
  <si>
    <t>100-4620-130</t>
  </si>
  <si>
    <t>100-4620-200</t>
  </si>
  <si>
    <t>STATE FAIR</t>
  </si>
  <si>
    <t>100-4620-210</t>
  </si>
  <si>
    <t>100-4620-221</t>
  </si>
  <si>
    <t>100-4620-230</t>
  </si>
  <si>
    <t>100-4620-240</t>
  </si>
  <si>
    <t>100-4620-250</t>
  </si>
  <si>
    <t>100-4620-251</t>
  </si>
  <si>
    <t>100-4620-271</t>
  </si>
  <si>
    <t>Environmental Collection Servi</t>
  </si>
  <si>
    <t>100-4620-290</t>
  </si>
  <si>
    <t>100-4620-310</t>
  </si>
  <si>
    <t>100-4620-311</t>
  </si>
  <si>
    <t>100-4620-330</t>
  </si>
  <si>
    <t>100-4620-480</t>
  </si>
  <si>
    <t>ENTERTAINMENT</t>
  </si>
  <si>
    <t>100-4620-481</t>
  </si>
  <si>
    <t>Fair - Security &amp; Judges</t>
  </si>
  <si>
    <t>100-4620-482</t>
  </si>
  <si>
    <t>PRIZE MONEY &amp; TROPHY</t>
  </si>
  <si>
    <t>100-4620-486</t>
  </si>
  <si>
    <t>100-4620-510</t>
  </si>
  <si>
    <t>100-4620-610</t>
  </si>
  <si>
    <t>MISCELLANEOUS SUPPLIES</t>
  </si>
  <si>
    <t>100-4620-620</t>
  </si>
  <si>
    <t>100-4620-621</t>
  </si>
  <si>
    <t>MISC SERVICES - CARNIVAL CONTR</t>
  </si>
  <si>
    <t>100-4620-622</t>
  </si>
  <si>
    <t>FAIR MANAGEMENT SERVICES</t>
  </si>
  <si>
    <t>Total FAIR:</t>
  </si>
  <si>
    <t>100-36-70000</t>
  </si>
  <si>
    <t>COUNTY FAIR FEES</t>
  </si>
  <si>
    <t>RODEO</t>
  </si>
  <si>
    <t>100-4621-115</t>
  </si>
  <si>
    <t>100-4621-125</t>
  </si>
  <si>
    <t>100-4621-130</t>
  </si>
  <si>
    <t>100-4621-210</t>
  </si>
  <si>
    <t>100-4621-221</t>
  </si>
  <si>
    <t>100-4621-230</t>
  </si>
  <si>
    <t>100-4621-240</t>
  </si>
  <si>
    <t>100-4621-250</t>
  </si>
  <si>
    <t>100-4621-251</t>
  </si>
  <si>
    <t>100-4621-290</t>
  </si>
  <si>
    <t>100-4621-310</t>
  </si>
  <si>
    <t>100-4621-480</t>
  </si>
  <si>
    <t>RODEO - SECURITY &amp; JUDGES</t>
  </si>
  <si>
    <t>100-4621-481</t>
  </si>
  <si>
    <t>RODEO QUEEN CONTEST EXPENSE</t>
  </si>
  <si>
    <t>100-4621-482</t>
  </si>
  <si>
    <t>PRIZE MONEY &amp; TROPHIES</t>
  </si>
  <si>
    <t>100-4621-486</t>
  </si>
  <si>
    <t>100-4621-510</t>
  </si>
  <si>
    <t>100-4621-620</t>
  </si>
  <si>
    <t>100-4621-621</t>
  </si>
  <si>
    <t>CONTRACTS</t>
  </si>
  <si>
    <t>100-4621-622</t>
  </si>
  <si>
    <t>RODEO MANAGEMENT SERVICES</t>
  </si>
  <si>
    <t>100-4621-650</t>
  </si>
  <si>
    <t>SPECIAL RODEO EVENTS</t>
  </si>
  <si>
    <t>Total RODEO:</t>
  </si>
  <si>
    <t>100-36-72000</t>
  </si>
  <si>
    <t>DONATIONS TO COUNTY RODEO</t>
  </si>
  <si>
    <t>100-36-73000</t>
  </si>
  <si>
    <t>RODEO TICKET SALES</t>
  </si>
  <si>
    <t>100-36-73100</t>
  </si>
  <si>
    <t>RODEO FEES</t>
  </si>
  <si>
    <t>277-4460-110</t>
  </si>
  <si>
    <t>277-4460-115</t>
  </si>
  <si>
    <t>277-4460-120</t>
  </si>
  <si>
    <t>277-4460-130</t>
  </si>
  <si>
    <t>277-4460-210</t>
  </si>
  <si>
    <t>277-4460-220</t>
  </si>
  <si>
    <t>277-4460-230</t>
  </si>
  <si>
    <t>277-4460-240</t>
  </si>
  <si>
    <t>277-4460-250</t>
  </si>
  <si>
    <t>277-4460-251</t>
  </si>
  <si>
    <t>277-4460-260</t>
  </si>
  <si>
    <t>277-4460-261</t>
  </si>
  <si>
    <t>SNOW REMOVAL</t>
  </si>
  <si>
    <t>277-4460-262</t>
  </si>
  <si>
    <t>VEGETATION CONTROL - CHEMICAL</t>
  </si>
  <si>
    <t>277-4460-263</t>
  </si>
  <si>
    <t>VEGETATION CONTROL - MOWING</t>
  </si>
  <si>
    <t>277-4460-270</t>
  </si>
  <si>
    <t>277-4460-280</t>
  </si>
  <si>
    <t>277-4460-290</t>
  </si>
  <si>
    <t>277-4460-291</t>
  </si>
  <si>
    <t>UNION PACIFIC PROPERTY LEASE</t>
  </si>
  <si>
    <t>277-4460-310</t>
  </si>
  <si>
    <t>277-4460-311</t>
  </si>
  <si>
    <t>277-4460-330</t>
  </si>
  <si>
    <t>277-4460-510</t>
  </si>
  <si>
    <t>277-4460-521</t>
  </si>
  <si>
    <t>COLLECTION FEES</t>
  </si>
  <si>
    <t>277-4460-620</t>
  </si>
  <si>
    <t>277-4460-621</t>
  </si>
  <si>
    <t>MISC BOARD SERVICES/TRAVEL</t>
  </si>
  <si>
    <t>277-4460-625</t>
  </si>
  <si>
    <t>LOGAN FIRE - STANDBY FEES</t>
  </si>
  <si>
    <t>277-4460-730</t>
  </si>
  <si>
    <t>277-4460-739</t>
  </si>
  <si>
    <t>GRANT PROJECTS</t>
  </si>
  <si>
    <t>277-4460-740</t>
  </si>
  <si>
    <t>277-33-15000</t>
  </si>
  <si>
    <t>FED GRANT - SCASDP</t>
  </si>
  <si>
    <t>277-33-15400</t>
  </si>
  <si>
    <t>FED GRANT - FAA SIGN REPLACE</t>
  </si>
  <si>
    <t>277-33-44402</t>
  </si>
  <si>
    <t>STATE GRANT</t>
  </si>
  <si>
    <t>277-33-44700</t>
  </si>
  <si>
    <t>USU - LOCAL GRANT</t>
  </si>
  <si>
    <t>277-33-70105</t>
  </si>
  <si>
    <t>277-36-10000</t>
  </si>
  <si>
    <t>INTEREST</t>
  </si>
  <si>
    <t>277-36-15000</t>
  </si>
  <si>
    <t>GAS TAX REFUND</t>
  </si>
  <si>
    <t>277-36-16000</t>
  </si>
  <si>
    <t>LANDING FEES</t>
  </si>
  <si>
    <t>277-36-18000</t>
  </si>
  <si>
    <t>277-36-19000</t>
  </si>
  <si>
    <t>FIRE DEPARTMENT STANDBY FEES</t>
  </si>
  <si>
    <t>277-36-90000</t>
  </si>
  <si>
    <t>SUNDRY REVENUE</t>
  </si>
  <si>
    <t>277-37-80000</t>
  </si>
  <si>
    <t>277-38-20000</t>
  </si>
  <si>
    <t>CONTRIBUTION - CACHE COUNTY</t>
  </si>
  <si>
    <t>277-38-90000</t>
  </si>
  <si>
    <t>APPROPRIATED FUND BALANCE</t>
  </si>
  <si>
    <t>LIBRARY</t>
  </si>
  <si>
    <t>100-4581-110</t>
  </si>
  <si>
    <t>100-4581-120</t>
  </si>
  <si>
    <t>100-4581-130</t>
  </si>
  <si>
    <t>100-4581-210</t>
  </si>
  <si>
    <t>100-4581-230</t>
  </si>
  <si>
    <t>100-4581-240</t>
  </si>
  <si>
    <t>100-4581-250</t>
  </si>
  <si>
    <t>100-4581-251</t>
  </si>
  <si>
    <t>100-4581-252</t>
  </si>
  <si>
    <t>PROGRAMS</t>
  </si>
  <si>
    <t>100-4581-270</t>
  </si>
  <si>
    <t>100-4581-280</t>
  </si>
  <si>
    <t>100-4581-330</t>
  </si>
  <si>
    <t>100-4581-480</t>
  </si>
  <si>
    <t>PROGRAM COSTS</t>
  </si>
  <si>
    <t>100-4581-485</t>
  </si>
  <si>
    <t>CIRCULATING MATERIALS</t>
  </si>
  <si>
    <t>100-4581-510</t>
  </si>
  <si>
    <t>Total LIBRARY:</t>
  </si>
  <si>
    <t>100-34-80000</t>
  </si>
  <si>
    <t>LIBRARY FEES</t>
  </si>
  <si>
    <t>100-33-74100</t>
  </si>
  <si>
    <t>GRANTS - OTHER LOCAL LIBRARY</t>
  </si>
  <si>
    <t>Total Program Revenues:</t>
  </si>
  <si>
    <t>230-4780-110</t>
  </si>
  <si>
    <t>230-4780-115</t>
  </si>
  <si>
    <t>230-4780-120</t>
  </si>
  <si>
    <t>230-4780-125</t>
  </si>
  <si>
    <t>230-4780-130</t>
  </si>
  <si>
    <t>230-4780-142</t>
  </si>
  <si>
    <t>230-4780-210</t>
  </si>
  <si>
    <t>230-4780-230</t>
  </si>
  <si>
    <t>230-4780-240</t>
  </si>
  <si>
    <t>230-4780-241</t>
  </si>
  <si>
    <t>POSTAGE</t>
  </si>
  <si>
    <t>230-4780-250</t>
  </si>
  <si>
    <t>230-4780-251</t>
  </si>
  <si>
    <t>230-4780-280</t>
  </si>
  <si>
    <t>230-4780-310</t>
  </si>
  <si>
    <t>GENERAL SERVICES OF THE COUNTY</t>
  </si>
  <si>
    <t>230-4780-330</t>
  </si>
  <si>
    <t>230-4780-480</t>
  </si>
  <si>
    <t>BROCHURES, MAPS &amp; PRINTING</t>
  </si>
  <si>
    <t>230-4780-481</t>
  </si>
  <si>
    <t>GRANT EXPENSES</t>
  </si>
  <si>
    <t>230-4780-485</t>
  </si>
  <si>
    <t>RESEARCH/SURVEY</t>
  </si>
  <si>
    <t>230-4780-490</t>
  </si>
  <si>
    <t>ADVERTISING &amp; PROMOTIONS</t>
  </si>
  <si>
    <t>230-4780-495</t>
  </si>
  <si>
    <t>NORTHERN UTAH FILM COMMISSION</t>
  </si>
  <si>
    <t>230-4780-510</t>
  </si>
  <si>
    <t>230-4780-610</t>
  </si>
  <si>
    <t>MISC SUPPLY-AWARD, RECOG/VOLUN</t>
  </si>
  <si>
    <t>230-4780-620</t>
  </si>
  <si>
    <t>MISC CONTRACT SERVICES</t>
  </si>
  <si>
    <t>230-4780-621</t>
  </si>
  <si>
    <t>MISC SERVICES -BOARD EXPENSE</t>
  </si>
  <si>
    <t>230-4780-622</t>
  </si>
  <si>
    <t>230-4780-640</t>
  </si>
  <si>
    <t>EVENT SPONSORSHIP</t>
  </si>
  <si>
    <t>230-4780-650</t>
  </si>
  <si>
    <t>EVENT DEVELOPMENT</t>
  </si>
  <si>
    <t>230-4780-660</t>
  </si>
  <si>
    <t>LOCAL MATCHING PROGRAM</t>
  </si>
  <si>
    <t>230-4780-670</t>
  </si>
  <si>
    <t>ITEMS FOR RESALE</t>
  </si>
  <si>
    <t>230-4780-920</t>
  </si>
  <si>
    <t>CONTRIBUTIONS TO OTHER UNITS</t>
  </si>
  <si>
    <t>230-4800-990</t>
  </si>
  <si>
    <t>ADDITION TO FUND BALANCE</t>
  </si>
  <si>
    <t>230-4810-100</t>
  </si>
  <si>
    <t>TRANSFER OUT - GENERAL FUND</t>
  </si>
  <si>
    <t>230-4810-310</t>
  </si>
  <si>
    <t>TRANSFER OUT - DEBT SERVICE</t>
  </si>
  <si>
    <t>230-4810-400</t>
  </si>
  <si>
    <t>TRANSFER OUT - CAPITAL PROJECT</t>
  </si>
  <si>
    <t>400-4780-730</t>
  </si>
  <si>
    <t>230-31-51000</t>
  </si>
  <si>
    <t>TRANSIENT ROOM TAX - CACHE</t>
  </si>
  <si>
    <t>230-33-15600</t>
  </si>
  <si>
    <t>FEDERAL GRANT - CARES ACT</t>
  </si>
  <si>
    <t>230-33-44100</t>
  </si>
  <si>
    <t>STATE GRANTS</t>
  </si>
  <si>
    <t>230-33-50000</t>
  </si>
  <si>
    <t>230-34-94000</t>
  </si>
  <si>
    <t>230-36-90000</t>
  </si>
  <si>
    <t>SUNDRY INCOME</t>
  </si>
  <si>
    <t>230-38-70000</t>
  </si>
  <si>
    <t>230-38-90000</t>
  </si>
  <si>
    <t>240-4970-110</t>
  </si>
  <si>
    <t>240-4970-115</t>
  </si>
  <si>
    <t>240-4970-120</t>
  </si>
  <si>
    <t>240-4970-130</t>
  </si>
  <si>
    <t>240-4970-210</t>
  </si>
  <si>
    <t>240-4970-230</t>
  </si>
  <si>
    <t>240-4970-240</t>
  </si>
  <si>
    <t>240-4970-250</t>
  </si>
  <si>
    <t>TRANSPORTATION</t>
  </si>
  <si>
    <t>240-4970-251</t>
  </si>
  <si>
    <t>240-4970-255</t>
  </si>
  <si>
    <t>HDM SUPPLIES &amp; MAINTENANCE</t>
  </si>
  <si>
    <t>240-4970-256</t>
  </si>
  <si>
    <t>KITCHEN SUPPLIES</t>
  </si>
  <si>
    <t>240-4970-260</t>
  </si>
  <si>
    <t>BUILDINGS &amp; GROUNDS MAINT</t>
  </si>
  <si>
    <t>240-4970-270</t>
  </si>
  <si>
    <t>240-4970-280</t>
  </si>
  <si>
    <t>240-4970-381</t>
  </si>
  <si>
    <t>240-4970-382</t>
  </si>
  <si>
    <t>MEALS - NICHOLAS</t>
  </si>
  <si>
    <t>240-4970-383</t>
  </si>
  <si>
    <t>US FOODSERVICE</t>
  </si>
  <si>
    <t>240-4970-510</t>
  </si>
  <si>
    <t>400-4970-740</t>
  </si>
  <si>
    <t>240-33-15101</t>
  </si>
  <si>
    <t>CMM-CONGREGATE MEALS III C-1</t>
  </si>
  <si>
    <t>240-33-15103</t>
  </si>
  <si>
    <t>CMM-USDA CASH-IN-LIEU  C-1</t>
  </si>
  <si>
    <t>240-33-15105</t>
  </si>
  <si>
    <t>CMM-STATE NUTRITION  C-1</t>
  </si>
  <si>
    <t>240-33-15201</t>
  </si>
  <si>
    <t>HDM-HOME DELIVERED III C-2</t>
  </si>
  <si>
    <t>240-33-15203</t>
  </si>
  <si>
    <t>HDM-USDA CASH-IN-LIEU  C-2</t>
  </si>
  <si>
    <t>240-33-15205</t>
  </si>
  <si>
    <t>HDM-STATE NUTRITION  C-2</t>
  </si>
  <si>
    <t>240-33-15207</t>
  </si>
  <si>
    <t>HDM-STATE HOME DELIVERED  C-2</t>
  </si>
  <si>
    <t>240-38-10100</t>
  </si>
  <si>
    <t>TRANSFER IN - GENERAL FUND</t>
  </si>
  <si>
    <t>240-38-10795</t>
  </si>
  <si>
    <t>TRANSFER FROM CCCF</t>
  </si>
  <si>
    <t>240-38-40000</t>
  </si>
  <si>
    <t>CONTRIB-CONGREGATE DONATIONS</t>
  </si>
  <si>
    <t>240-38-43000</t>
  </si>
  <si>
    <t>CONTRIBUTIONS-MOW DONATIONS</t>
  </si>
  <si>
    <t>240-38-60000</t>
  </si>
  <si>
    <t>SPECIFIC PROJECT- DONATIONS</t>
  </si>
  <si>
    <t>240-38-71900</t>
  </si>
  <si>
    <t>CONTRIB SPEC PROJ-UNDESIGNATED</t>
  </si>
  <si>
    <t>240-4971-110</t>
  </si>
  <si>
    <t>240-4971-115</t>
  </si>
  <si>
    <t>240-4971-120</t>
  </si>
  <si>
    <t>240-4971-130</t>
  </si>
  <si>
    <t>240-4971-210</t>
  </si>
  <si>
    <t>240-4971-230</t>
  </si>
  <si>
    <t>240-4971-240</t>
  </si>
  <si>
    <t>240-4971-250</t>
  </si>
  <si>
    <t>240-4971-251</t>
  </si>
  <si>
    <t>240-4971-260</t>
  </si>
  <si>
    <t>BUILDING &amp; GROUNDS MAINT</t>
  </si>
  <si>
    <t>240-4971-270</t>
  </si>
  <si>
    <t>240-4971-280</t>
  </si>
  <si>
    <t>240-4971-310</t>
  </si>
  <si>
    <t>240-4971-311</t>
  </si>
  <si>
    <t>240-4971-480</t>
  </si>
  <si>
    <t>240-4971-510</t>
  </si>
  <si>
    <t>240-4971-620</t>
  </si>
  <si>
    <t>240-4971-680</t>
  </si>
  <si>
    <t>CENTER - ACTIVITIES EXPENSE</t>
  </si>
  <si>
    <t>240-4971-740</t>
  </si>
  <si>
    <t>240-33-15209</t>
  </si>
  <si>
    <t>ACCESS MANDATED-TITLE IIIB</t>
  </si>
  <si>
    <t>240-33-15407</t>
  </si>
  <si>
    <t>HEALTH INSURANCE COUNSELING</t>
  </si>
  <si>
    <t>240-33-15409</t>
  </si>
  <si>
    <t>TITLE III D -PHP</t>
  </si>
  <si>
    <t>240-33-15420</t>
  </si>
  <si>
    <t>MIPPA</t>
  </si>
  <si>
    <t>FEDERAL GRANTS - MISCELLANEOUS</t>
  </si>
  <si>
    <t>240-33-44100</t>
  </si>
  <si>
    <t>240-34-52000</t>
  </si>
  <si>
    <t>ACCESS/TRANSPORTATION</t>
  </si>
  <si>
    <t>240-34-53000</t>
  </si>
  <si>
    <t>CRAFT REVENUES</t>
  </si>
  <si>
    <t>240-36-51000</t>
  </si>
  <si>
    <t>SALE OF CAPITAL ASSETS</t>
  </si>
  <si>
    <t>240-36-90000</t>
  </si>
  <si>
    <t>240-4974-110</t>
  </si>
  <si>
    <t>240-4974-115</t>
  </si>
  <si>
    <t>240-4974-130</t>
  </si>
  <si>
    <t>240-4974-230</t>
  </si>
  <si>
    <t>240-4974-240</t>
  </si>
  <si>
    <t>240-4974-250</t>
  </si>
  <si>
    <t>240-4974-260</t>
  </si>
  <si>
    <t>240-4974-270</t>
  </si>
  <si>
    <t>240-4974-280</t>
  </si>
  <si>
    <t>240-4974-510</t>
  </si>
  <si>
    <t>240-33-15301</t>
  </si>
  <si>
    <t>ACCESS MANDATED-STATE SERVICE</t>
  </si>
  <si>
    <t>240-33-15303</t>
  </si>
  <si>
    <t>ACCESS MANDATED-ST TRANSPORT</t>
  </si>
  <si>
    <t>2025 Budget</t>
  </si>
  <si>
    <t>2026 Requested</t>
  </si>
  <si>
    <t>2026 Tentative</t>
  </si>
  <si>
    <t>2026 Change</t>
  </si>
  <si>
    <t>100-31-10000</t>
  </si>
  <si>
    <t>CURRENT PROPERTY TAXES</t>
  </si>
  <si>
    <t>100-31-15000</t>
  </si>
  <si>
    <t>PROPERTY TAX - RDA AGREEMENTS</t>
  </si>
  <si>
    <t>100-31-20000</t>
  </si>
  <si>
    <t>PRIOR YEARS TAX</t>
  </si>
  <si>
    <t>100-31-30000</t>
  </si>
  <si>
    <t>SALES AND USE TAX</t>
  </si>
  <si>
    <t>100-31-30200</t>
  </si>
  <si>
    <t>SALES TAX - DUE TO OTHER GOV</t>
  </si>
  <si>
    <t>100-31-70000</t>
  </si>
  <si>
    <t>FEE-IN-LIEU OF PROPERTY TAXES</t>
  </si>
  <si>
    <t>100-31-90000</t>
  </si>
  <si>
    <t>PENALTIES AND INTEREST</t>
  </si>
  <si>
    <t>100-32-25000</t>
  </si>
  <si>
    <t>ANIMAL LICENSES</t>
  </si>
  <si>
    <t>100-33-11200</t>
  </si>
  <si>
    <t>MINERAL REV SHARING 25% MONIES</t>
  </si>
  <si>
    <t>100-33-12100</t>
  </si>
  <si>
    <t>FEDERAL AWARDS - PILT</t>
  </si>
  <si>
    <t>FED GRANTS - HAVA</t>
  </si>
  <si>
    <t>100-33-13000</t>
  </si>
  <si>
    <t>100-33-15700</t>
  </si>
  <si>
    <t>FED GRANT - CORONAVIRUS RELIEF</t>
  </si>
  <si>
    <t>100-33-44000</t>
  </si>
  <si>
    <t>100-33-44100</t>
  </si>
  <si>
    <t>STATE AWARDS - PILT</t>
  </si>
  <si>
    <t>100-33-44105</t>
  </si>
  <si>
    <t>STATE GRANTS-UT PUBLIC SAFETY</t>
  </si>
  <si>
    <t>100-33-44300</t>
  </si>
  <si>
    <t>STATE GRANT - RURAL COUNTY</t>
  </si>
  <si>
    <t>GIS Fees - CPDO</t>
  </si>
  <si>
    <t>100-34-22500</t>
  </si>
  <si>
    <t>FIRES 100% REIMBURSABLE COSTS</t>
  </si>
  <si>
    <t>100-34-35300</t>
  </si>
  <si>
    <t>VEGEATATION CONTR - LAND OWNER</t>
  </si>
  <si>
    <t>ADMIN FEES</t>
  </si>
  <si>
    <t>COURT FINES: PUBLIC DEFENDER F</t>
  </si>
  <si>
    <t>100-36-10000</t>
  </si>
  <si>
    <t>100-36-10850</t>
  </si>
  <si>
    <t>INTEREST - ZIONS WEALTH ADV</t>
  </si>
  <si>
    <t>100-36-10855</t>
  </si>
  <si>
    <t>INVESTMENT GAIN/(LOSS) - ZWA</t>
  </si>
  <si>
    <t>100-36-10870</t>
  </si>
  <si>
    <t>INTEREST - DEBT SECURITY INV.</t>
  </si>
  <si>
    <t>100-36-10875</t>
  </si>
  <si>
    <t>INVESTMENT GAIN/(LOSS) - DSI</t>
  </si>
  <si>
    <t>100-36-10880</t>
  </si>
  <si>
    <t>INTEREST - DEBT SEC INV R.J.</t>
  </si>
  <si>
    <t>100-36-10885</t>
  </si>
  <si>
    <t>INVESTMENT GAIN/(LOSS) - R.J.</t>
  </si>
  <si>
    <t>100-36-20000</t>
  </si>
  <si>
    <t>RENTS &amp; CONCESSIONS</t>
  </si>
  <si>
    <t>100-36-50000</t>
  </si>
  <si>
    <t>SALE OF ASSETS</t>
  </si>
  <si>
    <t>100-36-51000</t>
  </si>
  <si>
    <t>RODEO FEES-COWBOY CHANNEL</t>
  </si>
  <si>
    <t>100-36-80000</t>
  </si>
  <si>
    <t>SETTLEMENTS</t>
  </si>
  <si>
    <t>100-36-90000</t>
  </si>
  <si>
    <t>100-36-95000</t>
  </si>
  <si>
    <t>DEBT PROCEEDS</t>
  </si>
  <si>
    <t>100-38-10200</t>
  </si>
  <si>
    <t>TRANSFER IN - MUNI SERV FUND</t>
  </si>
  <si>
    <t>100-38-10220</t>
  </si>
  <si>
    <t>TRANSFER IN - CDRA FUND</t>
  </si>
  <si>
    <t>100-38-10230</t>
  </si>
  <si>
    <t>TRANSFER IN - VISITOR'S BUREAU</t>
  </si>
  <si>
    <t>100-38-10260</t>
  </si>
  <si>
    <t>TRANSFER IN - RESTAURANT TAX</t>
  </si>
  <si>
    <t>100-38-10265</t>
  </si>
  <si>
    <t>TRANSFER IN - RAPZ TAX</t>
  </si>
  <si>
    <t>100-38-10268</t>
  </si>
  <si>
    <t>100-38-10480</t>
  </si>
  <si>
    <t>TRANSFER IN - OPEN SPACE</t>
  </si>
  <si>
    <t>100-38-10485</t>
  </si>
  <si>
    <t>TRANSFER IN - ARPA FUND</t>
  </si>
  <si>
    <t>100-38-10795</t>
  </si>
  <si>
    <t>TRANSFER IN - CCCF</t>
  </si>
  <si>
    <t>100-38-74000</t>
  </si>
  <si>
    <t>CONTRIB - MISC</t>
  </si>
  <si>
    <t>100-38-90000</t>
  </si>
  <si>
    <t>100-38-93200</t>
  </si>
  <si>
    <t>APPR FUND BALANCE - TRAILS</t>
  </si>
  <si>
    <t>100-4136-749</t>
  </si>
  <si>
    <t>100-4142-270</t>
  </si>
  <si>
    <t>100-4150-320</t>
  </si>
  <si>
    <t>USU EXTENSION CONTRACT</t>
  </si>
  <si>
    <t>100-4150-324</t>
  </si>
  <si>
    <t>BEE INSPECTION</t>
  </si>
  <si>
    <t>100-4150-325</t>
  </si>
  <si>
    <t>SOIL CONSERVATION</t>
  </si>
  <si>
    <t>100-4150-326</t>
  </si>
  <si>
    <t>CACHE WATER DISTRICT</t>
  </si>
  <si>
    <t>100-4150-510</t>
  </si>
  <si>
    <t>100-4150-550</t>
  </si>
  <si>
    <t>UAC MEMBERSHIPS - A&amp;C 10%</t>
  </si>
  <si>
    <t>100-4150-552</t>
  </si>
  <si>
    <t>NACO MEMBERSHIPS - A&amp;C 10%</t>
  </si>
  <si>
    <t>100-4150-580</t>
  </si>
  <si>
    <t>UNEMPLOYMENT COMP - A&amp;C 10%</t>
  </si>
  <si>
    <t>100-4150-620</t>
  </si>
  <si>
    <t>100-4150-625</t>
  </si>
  <si>
    <t>MISC INDIGENT EXPENSES</t>
  </si>
  <si>
    <t>100-4150-999</t>
  </si>
  <si>
    <t>TAX ADMIN - NONDEPARTMNTAL 10%</t>
  </si>
  <si>
    <t>100-4160-740</t>
  </si>
  <si>
    <t>100-4170-241</t>
  </si>
  <si>
    <t>100-4193-250</t>
  </si>
  <si>
    <t>100-4193-280</t>
  </si>
  <si>
    <t>100-4193-320</t>
  </si>
  <si>
    <t>CONTRACT SERVICES</t>
  </si>
  <si>
    <t>100-4193-490</t>
  </si>
  <si>
    <t>SPECIAL GRANT PROJECTS</t>
  </si>
  <si>
    <t>100-4193-620</t>
  </si>
  <si>
    <t>100-4205-250</t>
  </si>
  <si>
    <t>100-4215-720</t>
  </si>
  <si>
    <t>100-4215-740</t>
  </si>
  <si>
    <t>100-4310-482</t>
  </si>
  <si>
    <t>SUBSTANCE ABUSE PREVENT/TREAT</t>
  </si>
  <si>
    <t>100-4610-320</t>
  </si>
  <si>
    <t>100-4800-920</t>
  </si>
  <si>
    <t>100-4800-921</t>
  </si>
  <si>
    <t>CONTRIB TO OTHER GOVERNMENTS</t>
  </si>
  <si>
    <t>100-4800-925</t>
  </si>
  <si>
    <t>CONTRIBUTION - AIRPORT</t>
  </si>
  <si>
    <t>100-4800-950</t>
  </si>
  <si>
    <t>CONTRIBUTIONS - RDA AGREEMENTS</t>
  </si>
  <si>
    <t>100-4810-150</t>
  </si>
  <si>
    <t>TRANSFER OUT - TAX ADMIN FUND</t>
  </si>
  <si>
    <t>100-4810-200</t>
  </si>
  <si>
    <t>TRANSFER OUT - MUNICIPAL SERV</t>
  </si>
  <si>
    <t>100-4810-240</t>
  </si>
  <si>
    <t>TRANSFER OUT - SENIOR CENTER</t>
  </si>
  <si>
    <t>100-4810-250</t>
  </si>
  <si>
    <t>TRANSFER OUT TO MHF</t>
  </si>
  <si>
    <t>100-4810-290</t>
  </si>
  <si>
    <t>TRANSFER OUT - CJC</t>
  </si>
  <si>
    <t>100-4810-310</t>
  </si>
  <si>
    <t>100-4810-400</t>
  </si>
  <si>
    <t>100-4810-480</t>
  </si>
  <si>
    <t>TRANSFER OUT - OPEN SPACE BOND</t>
  </si>
  <si>
    <t>100-4810-485</t>
  </si>
  <si>
    <t>TRANSFER OUT - ARPA FUND</t>
  </si>
  <si>
    <t>100-4810-795</t>
  </si>
  <si>
    <t>TRANSFER OUT - CCCF</t>
  </si>
  <si>
    <t>100-4960-130</t>
  </si>
  <si>
    <t>100-4960-280</t>
  </si>
  <si>
    <t>100-4960-320</t>
  </si>
  <si>
    <t>100-4960-325</t>
  </si>
  <si>
    <t>100-4960-326</t>
  </si>
  <si>
    <t>100-4960-600</t>
  </si>
  <si>
    <t>MISCELLANEOUS EXPENSE</t>
  </si>
  <si>
    <t>100-4960-800</t>
  </si>
  <si>
    <t>100-4965-620</t>
  </si>
  <si>
    <t>150-31-21000</t>
  </si>
  <si>
    <t>PRIOR YR TAXES -ASSESS &amp; COLL</t>
  </si>
  <si>
    <t>150-31-60000</t>
  </si>
  <si>
    <t>MULTI-CO ASSESS &amp; COLL</t>
  </si>
  <si>
    <t>150-31-62000</t>
  </si>
  <si>
    <t>MULTI-COUNTY A&amp;C - REDEMPTION</t>
  </si>
  <si>
    <t>150-31-65000</t>
  </si>
  <si>
    <t>COUNTY ASSESS &amp; COLL</t>
  </si>
  <si>
    <t>150-31-71000</t>
  </si>
  <si>
    <t>FEE-IN-LIEU - MULTICOUNTY A&amp;C</t>
  </si>
  <si>
    <t>150-31-72000</t>
  </si>
  <si>
    <t>FEE-IN-LIEU - COUNTY A&amp;C</t>
  </si>
  <si>
    <t>150-31-90000</t>
  </si>
  <si>
    <t>150-34-18000</t>
  </si>
  <si>
    <t>ONLINE ACCESS - PROPERTY TAXES</t>
  </si>
  <si>
    <t>150-36-10000</t>
  </si>
  <si>
    <t>150-36-90000</t>
  </si>
  <si>
    <t>150-38-10100</t>
  </si>
  <si>
    <t>150-38-90000</t>
  </si>
  <si>
    <t>150-4099-912</t>
  </si>
  <si>
    <t>150-4099-931</t>
  </si>
  <si>
    <t>150-4099-932</t>
  </si>
  <si>
    <t>150-4099-934</t>
  </si>
  <si>
    <t>150-4099-935</t>
  </si>
  <si>
    <t>150-4099-936</t>
  </si>
  <si>
    <t>150-4099-941</t>
  </si>
  <si>
    <t>150-4099-944</t>
  </si>
  <si>
    <t>150-4099-945</t>
  </si>
  <si>
    <t>150-4099-950</t>
  </si>
  <si>
    <t>150-4099-960</t>
  </si>
  <si>
    <t>150-4146-740</t>
  </si>
  <si>
    <t>150-4800-910</t>
  </si>
  <si>
    <t>CONTRIB TO STWDE CAMA FEE</t>
  </si>
  <si>
    <t>150-4810-400</t>
  </si>
  <si>
    <t>150-4960-326</t>
  </si>
  <si>
    <t>SECTION CORNERS</t>
  </si>
  <si>
    <t>150-4960-600</t>
  </si>
  <si>
    <t>SUNDRY EXPENSE</t>
  </si>
  <si>
    <t>200-31-30000</t>
  </si>
  <si>
    <t>200-31-30200</t>
  </si>
  <si>
    <t>200-33-12100</t>
  </si>
  <si>
    <t>200-33-44100</t>
  </si>
  <si>
    <t>200-33-44510</t>
  </si>
  <si>
    <t>STATE - PHRAGMITES</t>
  </si>
  <si>
    <t>200-33-44910</t>
  </si>
  <si>
    <t>STATE AWARDS - TRAILS</t>
  </si>
  <si>
    <t>200-34-47100</t>
  </si>
  <si>
    <t>SOLID WASTE FEES</t>
  </si>
  <si>
    <t>200-34-47200</t>
  </si>
  <si>
    <t>GREEN WASTE FEES</t>
  </si>
  <si>
    <t>200-34-47300</t>
  </si>
  <si>
    <t>911 FEES</t>
  </si>
  <si>
    <t>200-34-47400</t>
  </si>
  <si>
    <t>SEWER FEES</t>
  </si>
  <si>
    <t>200-34-47600</t>
  </si>
  <si>
    <t>MISC UTILITY FEES</t>
  </si>
  <si>
    <t>200-34-47800</t>
  </si>
  <si>
    <t>UTILITY PENALTY FEES</t>
  </si>
  <si>
    <t>200-34-47900</t>
  </si>
  <si>
    <t>CONTRA UTILITY REV-LOGAN CITY</t>
  </si>
  <si>
    <t>200-34-56000</t>
  </si>
  <si>
    <t>ANIMAL CTRL FEES - PRED MATCH</t>
  </si>
  <si>
    <t>200-36-51990</t>
  </si>
  <si>
    <t>200-36-80000</t>
  </si>
  <si>
    <t>GARBAGE/VEGETATION - PAST DUE</t>
  </si>
  <si>
    <t>200-36-95000</t>
  </si>
  <si>
    <t>200-38-10100</t>
  </si>
  <si>
    <t>200-38-10260</t>
  </si>
  <si>
    <t>200-38-10265</t>
  </si>
  <si>
    <t>TRANSFER IN - RAPZ TAX FUND</t>
  </si>
  <si>
    <t>200-38-92000</t>
  </si>
  <si>
    <t>APPROP FUND BALANCE - MSF</t>
  </si>
  <si>
    <t>200-4180-625</t>
  </si>
  <si>
    <t>CACHE PLANNING COMMISSION</t>
  </si>
  <si>
    <t>200-4241-740</t>
  </si>
  <si>
    <t>200-4253-480</t>
  </si>
  <si>
    <t>PREDATOR CONTROL EXPENSE</t>
  </si>
  <si>
    <t>200-4423-200</t>
  </si>
  <si>
    <t>WASTE COLLECTION COSTS</t>
  </si>
  <si>
    <t>200-4450-290</t>
  </si>
  <si>
    <t>200-4800-920</t>
  </si>
  <si>
    <t>200-4800-921</t>
  </si>
  <si>
    <t>CONTRIBUTION TO OTHER GOV</t>
  </si>
  <si>
    <t>200-4810-100</t>
  </si>
  <si>
    <t>200-4810-310</t>
  </si>
  <si>
    <t>200-4810-400</t>
  </si>
  <si>
    <t>200-4810-420</t>
  </si>
  <si>
    <t>TRANSFER OUT - MSF CAPITAL</t>
  </si>
  <si>
    <t>200-4960-600</t>
  </si>
  <si>
    <t>210-31-11000</t>
  </si>
  <si>
    <t>CURRENT PROPERTY TAXES-HEALTH</t>
  </si>
  <si>
    <t>210-31-15000</t>
  </si>
  <si>
    <t>210-31-20000</t>
  </si>
  <si>
    <t>210-31-70000</t>
  </si>
  <si>
    <t>210-31-90000</t>
  </si>
  <si>
    <t>210-34-40000</t>
  </si>
  <si>
    <t>AIR POLLUTION CONTROL FEE</t>
  </si>
  <si>
    <t>210-38-90000</t>
  </si>
  <si>
    <t>210-4310-480</t>
  </si>
  <si>
    <t>BEAR RIVER HEALTH DEPARTMENT</t>
  </si>
  <si>
    <t>210-4310-482</t>
  </si>
  <si>
    <t>SUBSTANCE ABUSE PREVENTION</t>
  </si>
  <si>
    <t>210-4310-485</t>
  </si>
  <si>
    <t>JRI MATCH</t>
  </si>
  <si>
    <t>210-4310-620</t>
  </si>
  <si>
    <t>210-4800-950</t>
  </si>
  <si>
    <t>210-4810-250</t>
  </si>
  <si>
    <t>220-31-10000</t>
  </si>
  <si>
    <t>PROPERTY TAXES - CDRA</t>
  </si>
  <si>
    <t>220-38-80000</t>
  </si>
  <si>
    <t>CONTRIBUTION - TAXING ENTITIES</t>
  </si>
  <si>
    <t>220-4193-480</t>
  </si>
  <si>
    <t>CDRA PROJECTS</t>
  </si>
  <si>
    <t>220-4810-100</t>
  </si>
  <si>
    <t>STATE OF UTAH-MATCHING FUNDS</t>
  </si>
  <si>
    <t>ITEMS SOLD -TAXABLE SALES</t>
  </si>
  <si>
    <t>CONTRIB PRIVATE SOURCES(AD PTR</t>
  </si>
  <si>
    <t>240-33-41000</t>
  </si>
  <si>
    <t>STATE GRANTS XX-SSBG</t>
  </si>
  <si>
    <t>240-38-90000</t>
  </si>
  <si>
    <t>240-4971-730</t>
  </si>
  <si>
    <t>250-33-41000</t>
  </si>
  <si>
    <t>SOCIAL SERVICES REIMB.</t>
  </si>
  <si>
    <t>250-38-10100</t>
  </si>
  <si>
    <t>250-38-10210</t>
  </si>
  <si>
    <t>TRANSFER IN - HEALTH FUND</t>
  </si>
  <si>
    <t>250-38-30000</t>
  </si>
  <si>
    <t>CONTRIB -BOX ELDER COUNTY</t>
  </si>
  <si>
    <t>250-38-40000</t>
  </si>
  <si>
    <t>CONTRIB -RICH COUNTY</t>
  </si>
  <si>
    <t>250-4310-620</t>
  </si>
  <si>
    <t>MISC SERVICES-BRMH SERVICES</t>
  </si>
  <si>
    <t>260-31-31000</t>
  </si>
  <si>
    <t>1% RESTAURANT TAX</t>
  </si>
  <si>
    <t>260-38-90000</t>
  </si>
  <si>
    <t>260-4782-930</t>
  </si>
  <si>
    <t>TOURISM PROMOTION</t>
  </si>
  <si>
    <t>260-4784-920</t>
  </si>
  <si>
    <t>CULTURAL FACILITIES</t>
  </si>
  <si>
    <t>260-4784-925</t>
  </si>
  <si>
    <t>RECREATION FACILITIES</t>
  </si>
  <si>
    <t>260-4810-100</t>
  </si>
  <si>
    <t>260-4810-200</t>
  </si>
  <si>
    <t>TRANSFER OUT - MUNI SERV FUND</t>
  </si>
  <si>
    <t>260-4810-400</t>
  </si>
  <si>
    <t>265-31-30000</t>
  </si>
  <si>
    <t>RAPZ TAX</t>
  </si>
  <si>
    <t>265-38-90000</t>
  </si>
  <si>
    <t>265-4786-920</t>
  </si>
  <si>
    <t>265-4786-925</t>
  </si>
  <si>
    <t>265-4786-926</t>
  </si>
  <si>
    <t>RECREATION - POPULATION AWARDS</t>
  </si>
  <si>
    <t>265-4788-920</t>
  </si>
  <si>
    <t>CULTURAL ORGANIZATIONS</t>
  </si>
  <si>
    <t>265-4788-940</t>
  </si>
  <si>
    <t>ZOO ORGANIZATIONS</t>
  </si>
  <si>
    <t>265-4810-100</t>
  </si>
  <si>
    <t>265-4810-200</t>
  </si>
  <si>
    <t>265-4810-400</t>
  </si>
  <si>
    <t>266-31-30100</t>
  </si>
  <si>
    <t>SALES TAX - TRANSPORTATION 25%</t>
  </si>
  <si>
    <t>266-38-90000</t>
  </si>
  <si>
    <t>266-4266-760</t>
  </si>
  <si>
    <t>268-31-30000</t>
  </si>
  <si>
    <t>0.25% ROAD TAX</t>
  </si>
  <si>
    <t>268-36-10000</t>
  </si>
  <si>
    <t>268-38-90000</t>
  </si>
  <si>
    <t>268-4420-760</t>
  </si>
  <si>
    <t>NEW ROAD CONSTRUCTION</t>
  </si>
  <si>
    <t>268-4810-100</t>
  </si>
  <si>
    <t>268-4810-200</t>
  </si>
  <si>
    <t>268-4810-400</t>
  </si>
  <si>
    <t>268-4810-420</t>
  </si>
  <si>
    <t>TRANSFER OUT -MSF CAPITAL PROJ</t>
  </si>
  <si>
    <t>LOGAN CITY-SHARED NET EXP</t>
  </si>
  <si>
    <t>FUEL FLOW -STORAGE FEES</t>
  </si>
  <si>
    <t>AIRPORT FEES-LAND LEASE INCOME</t>
  </si>
  <si>
    <t>277-4800-477</t>
  </si>
  <si>
    <t>TRANSFER OUT - AIRPORT CAPITAL</t>
  </si>
  <si>
    <t>290-38-10100</t>
  </si>
  <si>
    <t>290-38-10795</t>
  </si>
  <si>
    <t>TRANSFER IN - CCCF FUND</t>
  </si>
  <si>
    <t>290-38-90000</t>
  </si>
  <si>
    <t>310-36-10000</t>
  </si>
  <si>
    <t>INTEREST INCOME</t>
  </si>
  <si>
    <t>310-38-10100</t>
  </si>
  <si>
    <t>310-38-10200</t>
  </si>
  <si>
    <t>TRANSFER IN - MUNICIPAL SERV</t>
  </si>
  <si>
    <t>310-38-10230</t>
  </si>
  <si>
    <t>TRANSFER IN - VISITORS BUREAU</t>
  </si>
  <si>
    <t>310-4710-810</t>
  </si>
  <si>
    <t>PRINCIPAL - PATROL VEHICLES</t>
  </si>
  <si>
    <t>310-4710-820</t>
  </si>
  <si>
    <t>INTEREST - PATROL VEHICLES</t>
  </si>
  <si>
    <t>310-4723-810</t>
  </si>
  <si>
    <t>BOND PRINCIPAL PAYMENT</t>
  </si>
  <si>
    <t>310-4723-820</t>
  </si>
  <si>
    <t>BOND INTEREST PAYMENT</t>
  </si>
  <si>
    <t>310-4723-830</t>
  </si>
  <si>
    <t>OTHER CHARGES</t>
  </si>
  <si>
    <t>310-4724-810</t>
  </si>
  <si>
    <t>PRINCIPAL - FIRE-EMS VEHICLES</t>
  </si>
  <si>
    <t>310-4724-820</t>
  </si>
  <si>
    <t>INTEREST - FIRE-EMS VEHICLES</t>
  </si>
  <si>
    <t>310-4726-810</t>
  </si>
  <si>
    <t>310-4726-820</t>
  </si>
  <si>
    <t>310-4726-830</t>
  </si>
  <si>
    <t>400-33-44000</t>
  </si>
  <si>
    <t>400-36-50000</t>
  </si>
  <si>
    <t>400-36-51000</t>
  </si>
  <si>
    <t>400-36-51200</t>
  </si>
  <si>
    <t>SALE OF CAPITAL ASSETS - PW</t>
  </si>
  <si>
    <t>400-38-10100</t>
  </si>
  <si>
    <t>400-38-10150</t>
  </si>
  <si>
    <t>TRANSFER IN - TAX ADMIN FUND</t>
  </si>
  <si>
    <t>400-38-10200</t>
  </si>
  <si>
    <t>TRANSFER IN - MUNICIPAL SERVIC</t>
  </si>
  <si>
    <t>400-38-10230</t>
  </si>
  <si>
    <t>400-38-10260</t>
  </si>
  <si>
    <t>400-38-10265</t>
  </si>
  <si>
    <t>400-38-10485</t>
  </si>
  <si>
    <t>400-38-10795</t>
  </si>
  <si>
    <t>400-38-90000</t>
  </si>
  <si>
    <t>400-4160-730</t>
  </si>
  <si>
    <t>400-4170-740</t>
  </si>
  <si>
    <t>400-4216-740</t>
  </si>
  <si>
    <t>400-4230-740</t>
  </si>
  <si>
    <t>400-4511-720</t>
  </si>
  <si>
    <t>400-4511-730</t>
  </si>
  <si>
    <t>400-4511-740</t>
  </si>
  <si>
    <t>400-4971-740</t>
  </si>
  <si>
    <t>420-36-50100</t>
  </si>
  <si>
    <t>SALE OF ASSETS - PUBLIC WORKS</t>
  </si>
  <si>
    <t>420-38-10200</t>
  </si>
  <si>
    <t>420-4410-730</t>
  </si>
  <si>
    <t>420-4410-740</t>
  </si>
  <si>
    <t>420-4415-740</t>
  </si>
  <si>
    <t>420-4415-751</t>
  </si>
  <si>
    <t>477-33-15000</t>
  </si>
  <si>
    <t>477-33-44402</t>
  </si>
  <si>
    <t>477-38-10277</t>
  </si>
  <si>
    <t>TRANSFER IN - AIRPORT</t>
  </si>
  <si>
    <t>477-4460-730</t>
  </si>
  <si>
    <t>477-4460-740</t>
  </si>
  <si>
    <t>480-31-10000</t>
  </si>
  <si>
    <t>CURRENT PROPERTY TAX</t>
  </si>
  <si>
    <t>480-31-71000</t>
  </si>
  <si>
    <t>480-33-43000</t>
  </si>
  <si>
    <t>MISC LOCAL GRANTS</t>
  </si>
  <si>
    <t>480-33-44000</t>
  </si>
  <si>
    <t>480-36-10000</t>
  </si>
  <si>
    <t>480-36-95000</t>
  </si>
  <si>
    <t>BOND PROCEEDS</t>
  </si>
  <si>
    <t>480-38-10100</t>
  </si>
  <si>
    <t>480-38-10795</t>
  </si>
  <si>
    <t>480-38-90000</t>
  </si>
  <si>
    <t>480-4152-710</t>
  </si>
  <si>
    <t>LAND ACQUISITION</t>
  </si>
  <si>
    <t>480-4810-100</t>
  </si>
  <si>
    <t>485-33-15700</t>
  </si>
  <si>
    <t>485-38-10100</t>
  </si>
  <si>
    <t>485-4126-310</t>
  </si>
  <si>
    <t>485-4132-311</t>
  </si>
  <si>
    <t>485-4134-310</t>
  </si>
  <si>
    <t>485-4136-740</t>
  </si>
  <si>
    <t>485-4144-310</t>
  </si>
  <si>
    <t>485-4160-740</t>
  </si>
  <si>
    <t>485-4170-740</t>
  </si>
  <si>
    <t>485-4175-311</t>
  </si>
  <si>
    <t>485-4265-740</t>
  </si>
  <si>
    <t>485-4511-311</t>
  </si>
  <si>
    <t>485-4511-730</t>
  </si>
  <si>
    <t>485-4780-730</t>
  </si>
  <si>
    <t>485-4810-100</t>
  </si>
  <si>
    <t>485-4810-400</t>
  </si>
  <si>
    <t>485-4965-620</t>
  </si>
  <si>
    <t>485-4971-311</t>
  </si>
  <si>
    <t>720-33-11000</t>
  </si>
  <si>
    <t>MINERAL LEASE FUNDS</t>
  </si>
  <si>
    <t>720-33-12000</t>
  </si>
  <si>
    <t>SECURE RURAL SCHOOLS DIST</t>
  </si>
  <si>
    <t>720-36-10000</t>
  </si>
  <si>
    <t>720-4810-100</t>
  </si>
  <si>
    <t>720-4810-200</t>
  </si>
  <si>
    <t>TRANSFER OUT - CLASS B ROAD</t>
  </si>
  <si>
    <t>795-36-10000</t>
  </si>
  <si>
    <t>795-38-10100</t>
  </si>
  <si>
    <t>795-38-71000</t>
  </si>
  <si>
    <t>MISCELLANEOUS</t>
  </si>
  <si>
    <t>795-38-72100</t>
  </si>
  <si>
    <t>CONTRIBUTIONS - GENERAL</t>
  </si>
  <si>
    <t>795-38-72105</t>
  </si>
  <si>
    <t>CONTRIBUTIONS - S &amp; R</t>
  </si>
  <si>
    <t>795-38-72120</t>
  </si>
  <si>
    <t>CONTRIBUTIONS - FIRE</t>
  </si>
  <si>
    <t>795-38-72205</t>
  </si>
  <si>
    <t>CONTRIBUTIONS - TRAILS</t>
  </si>
  <si>
    <t>795-38-72240</t>
  </si>
  <si>
    <t>CONTRIBUTIONS - SENIOR CENTER</t>
  </si>
  <si>
    <t>795-38-72480</t>
  </si>
  <si>
    <t>CONTRIBUTIONS - OPEN SPACE</t>
  </si>
  <si>
    <t>795-38-90000</t>
  </si>
  <si>
    <t>795-4810-100</t>
  </si>
  <si>
    <t>795-4810-240</t>
  </si>
  <si>
    <t>795-4810-290</t>
  </si>
  <si>
    <t>TRANSFER OUT - CJC FUND</t>
  </si>
  <si>
    <t>795-4810-400</t>
  </si>
  <si>
    <t>795-4810-480</t>
  </si>
  <si>
    <t>TRANSFER OUT - OPEN SPACE</t>
  </si>
  <si>
    <t>795-4960-600</t>
  </si>
  <si>
    <t>CLERK (1)</t>
  </si>
  <si>
    <t>CLERK (20) - ELECTIONS</t>
  </si>
  <si>
    <t>Clerk (1)</t>
  </si>
  <si>
    <t>Clerk (2) Elections</t>
  </si>
  <si>
    <t>Trails Management</t>
  </si>
  <si>
    <t>Auditor (1) &amp; (2)</t>
  </si>
  <si>
    <t>SHERIFF - EMERGENCY MANAGEMENT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</si>
</sst>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_);_(* \(#,##0\);_(* &quot;-&quot;??_);_(@_)"/>
    <numFmt numFmtId="165" formatCode="#,##0.0"/>
    <numFmt numFmtId="166" formatCode="&quot;$&quot;#,##0.00"/>
  </numFmts>
  <fonts count="45" x14ac:knownFonts="1">
    <font>
      <sz val="10"/>
      <color rgb="FF000000"/>
      <name val="Arial"/>
      <scheme val="minor"/>
    </font>
    <font>
      <b/>
      <sz val="16"/>
      <color rgb="FF000000"/>
      <name val="Arial"/>
    </font>
    <font>
      <b/>
      <sz val="11"/>
      <color rgb="FF000000"/>
      <name val="Calibri"/>
    </font>
    <font>
      <sz val="10"/>
      <color rgb="FF000000"/>
      <name val="Arial"/>
    </font>
    <font>
      <b/>
      <sz val="10"/>
      <color theme="1"/>
      <name val="Arial"/>
    </font>
    <font>
      <sz val="10"/>
      <color theme="1"/>
      <name val="Arial"/>
    </font>
    <font>
      <b/>
      <sz val="10"/>
      <color rgb="FF000000"/>
      <name val="Arial"/>
    </font>
    <font>
      <b/>
      <sz val="11"/>
      <color theme="1"/>
      <name val="Arial"/>
    </font>
    <font>
      <sz val="11"/>
      <color rgb="FF000000"/>
      <name val="Calibri"/>
    </font>
    <font>
      <b/>
      <sz val="11"/>
      <color theme="1"/>
      <name val="Calibri"/>
    </font>
    <font>
      <sz val="11"/>
      <color theme="1"/>
      <name val="Calibri"/>
    </font>
    <font>
      <b/>
      <sz val="10"/>
      <color rgb="FFFF0000"/>
      <name val="Arial"/>
    </font>
    <font>
      <sz val="10"/>
      <name val="Arial"/>
    </font>
    <font>
      <b/>
      <sz val="7"/>
      <color theme="1"/>
      <name val="Arial"/>
    </font>
    <font>
      <b/>
      <sz val="10"/>
      <color rgb="FF000000"/>
      <name val="Calibri"/>
    </font>
    <font>
      <sz val="8"/>
      <color theme="1"/>
      <name val="Arial"/>
    </font>
    <font>
      <b/>
      <sz val="10"/>
      <color theme="1"/>
      <name val="Calibri"/>
    </font>
    <font>
      <b/>
      <sz val="11"/>
      <color rgb="FFFF0000"/>
      <name val="Calibri"/>
    </font>
    <font>
      <b/>
      <sz val="16"/>
      <color rgb="FF000000"/>
      <name val="Calibri"/>
    </font>
    <font>
      <sz val="10"/>
      <color theme="1"/>
      <name val="Calibri"/>
    </font>
    <font>
      <b/>
      <sz val="16"/>
      <color theme="1"/>
      <name val="Arial"/>
    </font>
    <font>
      <sz val="10"/>
      <color rgb="FF000000"/>
      <name val="Calibri"/>
    </font>
    <font>
      <b/>
      <sz val="8"/>
      <color theme="1"/>
      <name val="Arial"/>
    </font>
    <font>
      <b/>
      <sz val="8"/>
      <color theme="1"/>
      <name val="Calibri"/>
    </font>
    <font>
      <sz val="8"/>
      <color theme="1"/>
      <name val="Calibri"/>
    </font>
    <font>
      <b/>
      <sz val="18"/>
      <color rgb="FF000000"/>
      <name val="Calibri"/>
    </font>
    <font>
      <b/>
      <sz val="20"/>
      <color rgb="FF000000"/>
      <name val="Calibri"/>
    </font>
    <font>
      <sz val="10"/>
      <color theme="1"/>
      <name val="Arial"/>
      <scheme val="minor"/>
    </font>
    <font>
      <b/>
      <sz val="9"/>
      <color theme="1"/>
      <name val="Calibri"/>
    </font>
    <font>
      <sz val="9"/>
      <color theme="1"/>
      <name val="Calibri"/>
    </font>
    <font>
      <sz val="9"/>
      <color theme="1"/>
      <name val="Arial"/>
    </font>
    <font>
      <b/>
      <sz val="9"/>
      <color theme="1"/>
      <name val="Arial"/>
    </font>
    <font>
      <b/>
      <sz val="16"/>
      <color theme="1"/>
      <name val="Calibri"/>
    </font>
    <font>
      <sz val="10"/>
      <color theme="1"/>
      <name val="Arial"/>
    </font>
    <font>
      <b/>
      <sz val="10"/>
      <color theme="1"/>
      <name val="Arial"/>
    </font>
    <font>
      <sz val="7"/>
      <color theme="1"/>
      <name val="Arial"/>
    </font>
    <font>
      <b/>
      <sz val="18"/>
      <color theme="1"/>
      <name val="Arial"/>
    </font>
    <font>
      <b/>
      <sz val="7"/>
      <color rgb="FF000000"/>
      <name val="Arial"/>
    </font>
    <font>
      <sz val="15"/>
      <color theme="1"/>
      <name val="Arial"/>
    </font>
    <font>
      <b/>
      <sz val="15"/>
      <color rgb="FF000000"/>
      <name val="Calibri"/>
    </font>
    <font>
      <sz val="15"/>
      <color rgb="FF000000"/>
      <name val="Calibri"/>
    </font>
    <font>
      <b/>
      <sz val="15"/>
      <color theme="1"/>
      <name val="Arial"/>
    </font>
    <font>
      <b/>
      <sz val="10"/>
      <color theme="1"/>
      <name val="Arial"/>
      <family val="2"/>
    </font>
    <font>
      <b/>
      <sz val="18"/>
      <color rgb="FF000000"/>
      <name val="Calibri"/>
      <family val="2"/>
    </font>
    <font>
      <sz val="18"/>
      <color rgb="FF000000"/>
      <name val="Arial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D0E0E3"/>
        <bgColor rgb="FFD0E0E3"/>
      </patternFill>
    </fill>
    <fill>
      <patternFill patternType="solid">
        <fgColor rgb="FF808080"/>
        <bgColor rgb="FF808080"/>
      </patternFill>
    </fill>
    <fill>
      <patternFill patternType="solid">
        <fgColor rgb="FF000000"/>
        <bgColor rgb="FF000000"/>
      </patternFill>
    </fill>
    <fill>
      <patternFill patternType="solid">
        <fgColor rgb="FFFFF2CC"/>
        <bgColor rgb="FFFFF2CC"/>
      </patternFill>
    </fill>
    <fill>
      <patternFill patternType="solid">
        <fgColor rgb="FFEA9999"/>
        <bgColor rgb="FFEA9999"/>
      </patternFill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  <fill>
      <patternFill patternType="solid">
        <fgColor theme="1"/>
        <bgColor theme="1"/>
      </patternFill>
    </fill>
    <fill>
      <patternFill patternType="solid">
        <fgColor rgb="FFCFE2F3"/>
        <bgColor rgb="FFCFE2F3"/>
      </patternFill>
    </fill>
    <fill>
      <patternFill patternType="solid">
        <fgColor rgb="FFD9D2E9"/>
        <bgColor rgb="FFD9D2E9"/>
      </patternFill>
    </fill>
    <fill>
      <patternFill patternType="solid">
        <fgColor indexed="2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75">
    <xf numFmtId="0" fontId="0" fillId="0" borderId="0" xfId="0" applyFont="1" applyAlignment="1"/>
    <xf numFmtId="0" fontId="1" fillId="0" borderId="1" xfId="0" applyFont="1" applyBorder="1" applyAlignment="1">
      <alignment vertical="center"/>
    </xf>
    <xf numFmtId="3" fontId="1" fillId="0" borderId="1" xfId="0" applyNumberFormat="1" applyFont="1" applyBorder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/>
    <xf numFmtId="0" fontId="5" fillId="0" borderId="1" xfId="0" applyFont="1" applyBorder="1"/>
    <xf numFmtId="3" fontId="5" fillId="0" borderId="1" xfId="0" applyNumberFormat="1" applyFont="1" applyBorder="1"/>
    <xf numFmtId="3" fontId="3" fillId="0" borderId="1" xfId="0" applyNumberFormat="1" applyFont="1" applyBorder="1"/>
    <xf numFmtId="0" fontId="4" fillId="3" borderId="1" xfId="0" applyFont="1" applyFill="1" applyBorder="1"/>
    <xf numFmtId="3" fontId="4" fillId="3" borderId="1" xfId="0" applyNumberFormat="1" applyFont="1" applyFill="1" applyBorder="1"/>
    <xf numFmtId="0" fontId="4" fillId="0" borderId="1" xfId="0" applyFont="1" applyBorder="1"/>
    <xf numFmtId="3" fontId="4" fillId="0" borderId="1" xfId="0" applyNumberFormat="1" applyFont="1" applyBorder="1"/>
    <xf numFmtId="0" fontId="6" fillId="0" borderId="1" xfId="0" applyFont="1" applyBorder="1"/>
    <xf numFmtId="3" fontId="6" fillId="0" borderId="1" xfId="0" applyNumberFormat="1" applyFont="1" applyBorder="1"/>
    <xf numFmtId="0" fontId="5" fillId="4" borderId="1" xfId="0" applyFont="1" applyFill="1" applyBorder="1"/>
    <xf numFmtId="3" fontId="5" fillId="5" borderId="1" xfId="0" applyNumberFormat="1" applyFont="1" applyFill="1" applyBorder="1"/>
    <xf numFmtId="3" fontId="7" fillId="5" borderId="1" xfId="0" applyNumberFormat="1" applyFont="1" applyFill="1" applyBorder="1"/>
    <xf numFmtId="0" fontId="5" fillId="5" borderId="1" xfId="0" applyFont="1" applyFill="1" applyBorder="1"/>
    <xf numFmtId="0" fontId="4" fillId="0" borderId="0" xfId="0" applyFont="1" applyAlignment="1">
      <alignment horizontal="center" vertical="center" wrapText="1"/>
    </xf>
    <xf numFmtId="3" fontId="8" fillId="0" borderId="0" xfId="0" applyNumberFormat="1" applyFont="1" applyAlignment="1">
      <alignment horizontal="right"/>
    </xf>
    <xf numFmtId="0" fontId="2" fillId="4" borderId="1" xfId="0" applyFont="1" applyFill="1" applyBorder="1" applyAlignment="1">
      <alignment horizontal="center" vertical="center" wrapText="1"/>
    </xf>
    <xf numFmtId="3" fontId="2" fillId="5" borderId="1" xfId="0" applyNumberFormat="1" applyFont="1" applyFill="1" applyBorder="1" applyAlignment="1">
      <alignment horizontal="center" vertical="center" wrapText="1"/>
    </xf>
    <xf numFmtId="3" fontId="9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3" fontId="4" fillId="5" borderId="1" xfId="0" applyNumberFormat="1" applyFont="1" applyFill="1" applyBorder="1" applyAlignment="1">
      <alignment horizontal="center" vertical="center" wrapText="1"/>
    </xf>
    <xf numFmtId="3" fontId="4" fillId="5" borderId="1" xfId="0" quotePrefix="1" applyNumberFormat="1" applyFont="1" applyFill="1" applyBorder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1" xfId="0" applyFont="1" applyBorder="1"/>
    <xf numFmtId="3" fontId="5" fillId="4" borderId="1" xfId="0" applyNumberFormat="1" applyFont="1" applyFill="1" applyBorder="1"/>
    <xf numFmtId="3" fontId="10" fillId="5" borderId="1" xfId="0" applyNumberFormat="1" applyFont="1" applyFill="1" applyBorder="1" applyAlignment="1">
      <alignment horizontal="right"/>
    </xf>
    <xf numFmtId="10" fontId="5" fillId="5" borderId="1" xfId="0" applyNumberFormat="1" applyFont="1" applyFill="1" applyBorder="1" applyAlignment="1">
      <alignment horizontal="center"/>
    </xf>
    <xf numFmtId="3" fontId="5" fillId="5" borderId="1" xfId="0" applyNumberFormat="1" applyFont="1" applyFill="1" applyBorder="1" applyAlignment="1">
      <alignment horizontal="right"/>
    </xf>
    <xf numFmtId="3" fontId="10" fillId="0" borderId="1" xfId="0" applyNumberFormat="1" applyFont="1" applyBorder="1" applyAlignment="1">
      <alignment horizontal="right"/>
    </xf>
    <xf numFmtId="3" fontId="5" fillId="0" borderId="1" xfId="0" applyNumberFormat="1" applyFont="1" applyBorder="1" applyAlignment="1">
      <alignment horizontal="right"/>
    </xf>
    <xf numFmtId="164" fontId="3" fillId="0" borderId="0" xfId="0" applyNumberFormat="1" applyFont="1"/>
    <xf numFmtId="3" fontId="10" fillId="6" borderId="1" xfId="0" applyNumberFormat="1" applyFont="1" applyFill="1" applyBorder="1" applyAlignment="1">
      <alignment horizontal="right"/>
    </xf>
    <xf numFmtId="10" fontId="11" fillId="7" borderId="1" xfId="0" applyNumberFormat="1" applyFont="1" applyFill="1" applyBorder="1" applyAlignment="1">
      <alignment horizontal="center"/>
    </xf>
    <xf numFmtId="3" fontId="2" fillId="4" borderId="1" xfId="0" applyNumberFormat="1" applyFont="1" applyFill="1" applyBorder="1" applyAlignment="1">
      <alignment horizontal="right"/>
    </xf>
    <xf numFmtId="3" fontId="2" fillId="5" borderId="1" xfId="0" applyNumberFormat="1" applyFont="1" applyFill="1" applyBorder="1" applyAlignment="1">
      <alignment horizontal="right"/>
    </xf>
    <xf numFmtId="10" fontId="4" fillId="5" borderId="1" xfId="0" applyNumberFormat="1" applyFont="1" applyFill="1" applyBorder="1" applyAlignment="1">
      <alignment horizontal="center"/>
    </xf>
    <xf numFmtId="3" fontId="2" fillId="0" borderId="1" xfId="0" applyNumberFormat="1" applyFont="1" applyBorder="1" applyAlignment="1">
      <alignment horizontal="right"/>
    </xf>
    <xf numFmtId="4" fontId="4" fillId="0" borderId="0" xfId="0" applyNumberFormat="1" applyFont="1"/>
    <xf numFmtId="4" fontId="5" fillId="0" borderId="1" xfId="0" applyNumberFormat="1" applyFont="1" applyBorder="1"/>
    <xf numFmtId="4" fontId="5" fillId="4" borderId="1" xfId="0" applyNumberFormat="1" applyFont="1" applyFill="1" applyBorder="1"/>
    <xf numFmtId="4" fontId="2" fillId="0" borderId="1" xfId="0" applyNumberFormat="1" applyFont="1" applyBorder="1"/>
    <xf numFmtId="4" fontId="4" fillId="0" borderId="1" xfId="0" applyNumberFormat="1" applyFont="1" applyBorder="1"/>
    <xf numFmtId="3" fontId="4" fillId="4" borderId="1" xfId="0" applyNumberFormat="1" applyFont="1" applyFill="1" applyBorder="1"/>
    <xf numFmtId="3" fontId="4" fillId="5" borderId="1" xfId="0" applyNumberFormat="1" applyFont="1" applyFill="1" applyBorder="1"/>
    <xf numFmtId="0" fontId="5" fillId="0" borderId="0" xfId="0" applyFont="1"/>
    <xf numFmtId="4" fontId="5" fillId="0" borderId="0" xfId="0" applyNumberFormat="1" applyFont="1"/>
    <xf numFmtId="4" fontId="5" fillId="4" borderId="4" xfId="0" applyNumberFormat="1" applyFont="1" applyFill="1" applyBorder="1"/>
    <xf numFmtId="3" fontId="5" fillId="0" borderId="0" xfId="0" applyNumberFormat="1" applyFont="1"/>
    <xf numFmtId="3" fontId="5" fillId="0" borderId="0" xfId="0" applyNumberFormat="1" applyFont="1" applyAlignment="1">
      <alignment horizontal="center"/>
    </xf>
    <xf numFmtId="0" fontId="5" fillId="0" borderId="0" xfId="0" applyFont="1" applyAlignment="1">
      <alignment wrapText="1"/>
    </xf>
    <xf numFmtId="0" fontId="13" fillId="0" borderId="0" xfId="0" applyFont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3" fontId="13" fillId="0" borderId="0" xfId="0" applyNumberFormat="1" applyFont="1" applyAlignment="1">
      <alignment horizontal="center" vertical="center" wrapText="1"/>
    </xf>
    <xf numFmtId="0" fontId="5" fillId="4" borderId="4" xfId="0" applyFont="1" applyFill="1" applyBorder="1"/>
    <xf numFmtId="3" fontId="13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3" fontId="5" fillId="0" borderId="1" xfId="0" applyNumberFormat="1" applyFont="1" applyBorder="1" applyAlignment="1">
      <alignment horizontal="center"/>
    </xf>
    <xf numFmtId="0" fontId="8" fillId="4" borderId="4" xfId="0" applyFont="1" applyFill="1" applyBorder="1"/>
    <xf numFmtId="3" fontId="8" fillId="0" borderId="0" xfId="0" applyNumberFormat="1" applyFont="1"/>
    <xf numFmtId="0" fontId="8" fillId="0" borderId="0" xfId="0" applyFont="1"/>
    <xf numFmtId="3" fontId="8" fillId="4" borderId="4" xfId="0" applyNumberFormat="1" applyFont="1" applyFill="1" applyBorder="1" applyAlignment="1">
      <alignment horizontal="right"/>
    </xf>
    <xf numFmtId="3" fontId="4" fillId="0" borderId="1" xfId="0" applyNumberFormat="1" applyFont="1" applyBorder="1" applyAlignment="1">
      <alignment horizontal="center" vertical="center" wrapText="1"/>
    </xf>
    <xf numFmtId="0" fontId="4" fillId="0" borderId="0" xfId="0" applyFont="1"/>
    <xf numFmtId="3" fontId="14" fillId="2" borderId="1" xfId="0" applyNumberFormat="1" applyFont="1" applyFill="1" applyBorder="1" applyAlignment="1">
      <alignment horizontal="center" vertical="center" wrapText="1"/>
    </xf>
    <xf numFmtId="3" fontId="8" fillId="4" borderId="4" xfId="0" applyNumberFormat="1" applyFont="1" applyFill="1" applyBorder="1"/>
    <xf numFmtId="3" fontId="4" fillId="0" borderId="5" xfId="0" applyNumberFormat="1" applyFont="1" applyBorder="1" applyAlignment="1">
      <alignment horizontal="center"/>
    </xf>
    <xf numFmtId="3" fontId="5" fillId="0" borderId="0" xfId="0" applyNumberFormat="1" applyFont="1" applyAlignment="1">
      <alignment horizontal="right"/>
    </xf>
    <xf numFmtId="4" fontId="2" fillId="0" borderId="5" xfId="0" applyNumberFormat="1" applyFont="1" applyBorder="1"/>
    <xf numFmtId="4" fontId="4" fillId="0" borderId="5" xfId="0" applyNumberFormat="1" applyFont="1" applyBorder="1"/>
    <xf numFmtId="4" fontId="4" fillId="4" borderId="6" xfId="0" applyNumberFormat="1" applyFont="1" applyFill="1" applyBorder="1"/>
    <xf numFmtId="3" fontId="4" fillId="0" borderId="5" xfId="0" applyNumberFormat="1" applyFont="1" applyBorder="1"/>
    <xf numFmtId="3" fontId="4" fillId="0" borderId="0" xfId="0" applyNumberFormat="1" applyFont="1"/>
    <xf numFmtId="0" fontId="5" fillId="4" borderId="4" xfId="0" applyFont="1" applyFill="1" applyBorder="1" applyAlignment="1">
      <alignment horizontal="right"/>
    </xf>
    <xf numFmtId="0" fontId="5" fillId="0" borderId="0" xfId="0" applyFont="1" applyAlignment="1">
      <alignment horizontal="right"/>
    </xf>
    <xf numFmtId="3" fontId="5" fillId="7" borderId="4" xfId="0" applyNumberFormat="1" applyFont="1" applyFill="1" applyBorder="1"/>
    <xf numFmtId="3" fontId="4" fillId="7" borderId="4" xfId="0" applyNumberFormat="1" applyFont="1" applyFill="1" applyBorder="1" applyAlignment="1">
      <alignment horizontal="center" vertical="center" wrapText="1"/>
    </xf>
    <xf numFmtId="0" fontId="5" fillId="7" borderId="4" xfId="0" applyFont="1" applyFill="1" applyBorder="1"/>
    <xf numFmtId="0" fontId="2" fillId="7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3" fontId="2" fillId="7" borderId="4" xfId="0" applyNumberFormat="1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Alignment="1">
      <alignment horizontal="center"/>
    </xf>
    <xf numFmtId="3" fontId="15" fillId="0" borderId="0" xfId="0" applyNumberFormat="1" applyFont="1"/>
    <xf numFmtId="4" fontId="2" fillId="0" borderId="0" xfId="0" applyNumberFormat="1" applyFont="1"/>
    <xf numFmtId="4" fontId="4" fillId="4" borderId="4" xfId="0" applyNumberFormat="1" applyFont="1" applyFill="1" applyBorder="1"/>
    <xf numFmtId="0" fontId="15" fillId="0" borderId="0" xfId="0" applyFont="1"/>
    <xf numFmtId="0" fontId="15" fillId="4" borderId="4" xfId="0" applyFont="1" applyFill="1" applyBorder="1"/>
    <xf numFmtId="0" fontId="13" fillId="0" borderId="0" xfId="0" applyFont="1" applyAlignment="1">
      <alignment horizontal="center" vertical="center"/>
    </xf>
    <xf numFmtId="0" fontId="13" fillId="4" borderId="4" xfId="0" applyFont="1" applyFill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0" fontId="5" fillId="5" borderId="4" xfId="0" applyFont="1" applyFill="1" applyBorder="1"/>
    <xf numFmtId="0" fontId="7" fillId="5" borderId="4" xfId="0" applyFont="1" applyFill="1" applyBorder="1"/>
    <xf numFmtId="0" fontId="2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4" fillId="5" borderId="1" xfId="0" quotePrefix="1" applyFont="1" applyFill="1" applyBorder="1" applyAlignment="1">
      <alignment horizontal="center" vertical="center" wrapText="1"/>
    </xf>
    <xf numFmtId="0" fontId="2" fillId="0" borderId="1" xfId="0" applyFont="1" applyBorder="1"/>
    <xf numFmtId="0" fontId="8" fillId="0" borderId="1" xfId="0" applyFont="1" applyBorder="1"/>
    <xf numFmtId="0" fontId="8" fillId="4" borderId="1" xfId="0" applyFont="1" applyFill="1" applyBorder="1"/>
    <xf numFmtId="0" fontId="8" fillId="5" borderId="1" xfId="0" applyFont="1" applyFill="1" applyBorder="1"/>
    <xf numFmtId="10" fontId="5" fillId="0" borderId="0" xfId="0" applyNumberFormat="1" applyFont="1"/>
    <xf numFmtId="4" fontId="5" fillId="5" borderId="1" xfId="0" applyNumberFormat="1" applyFont="1" applyFill="1" applyBorder="1" applyAlignment="1">
      <alignment horizontal="right"/>
    </xf>
    <xf numFmtId="3" fontId="10" fillId="0" borderId="1" xfId="0" applyNumberFormat="1" applyFont="1" applyBorder="1" applyAlignment="1">
      <alignment horizontal="right"/>
    </xf>
    <xf numFmtId="4" fontId="5" fillId="5" borderId="1" xfId="0" applyNumberFormat="1" applyFont="1" applyFill="1" applyBorder="1"/>
    <xf numFmtId="3" fontId="9" fillId="0" borderId="1" xfId="0" applyNumberFormat="1" applyFont="1" applyBorder="1"/>
    <xf numFmtId="3" fontId="9" fillId="5" borderId="1" xfId="0" applyNumberFormat="1" applyFont="1" applyFill="1" applyBorder="1"/>
    <xf numFmtId="0" fontId="5" fillId="0" borderId="1" xfId="0" applyFont="1" applyBorder="1" applyAlignment="1">
      <alignment horizontal="right"/>
    </xf>
    <xf numFmtId="4" fontId="4" fillId="5" borderId="1" xfId="0" applyNumberFormat="1" applyFont="1" applyFill="1" applyBorder="1"/>
    <xf numFmtId="0" fontId="1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3" fontId="7" fillId="0" borderId="0" xfId="0" applyNumberFormat="1" applyFont="1"/>
    <xf numFmtId="3" fontId="4" fillId="5" borderId="1" xfId="0" applyNumberFormat="1" applyFont="1" applyFill="1" applyBorder="1" applyAlignment="1">
      <alignment horizontal="center" wrapText="1"/>
    </xf>
    <xf numFmtId="3" fontId="16" fillId="2" borderId="1" xfId="0" applyNumberFormat="1" applyFont="1" applyFill="1" applyBorder="1" applyAlignment="1">
      <alignment horizontal="center" vertical="center" wrapText="1"/>
    </xf>
    <xf numFmtId="3" fontId="5" fillId="5" borderId="1" xfId="0" applyNumberFormat="1" applyFont="1" applyFill="1" applyBorder="1" applyAlignment="1">
      <alignment horizontal="center"/>
    </xf>
    <xf numFmtId="3" fontId="10" fillId="7" borderId="1" xfId="0" applyNumberFormat="1" applyFont="1" applyFill="1" applyBorder="1" applyAlignment="1">
      <alignment horizontal="right"/>
    </xf>
    <xf numFmtId="3" fontId="11" fillId="7" borderId="1" xfId="0" applyNumberFormat="1" applyFont="1" applyFill="1" applyBorder="1" applyAlignment="1">
      <alignment horizontal="center"/>
    </xf>
    <xf numFmtId="3" fontId="4" fillId="5" borderId="1" xfId="0" applyNumberFormat="1" applyFont="1" applyFill="1" applyBorder="1" applyAlignment="1">
      <alignment horizontal="center"/>
    </xf>
    <xf numFmtId="3" fontId="4" fillId="0" borderId="1" xfId="0" applyNumberFormat="1" applyFont="1" applyBorder="1" applyAlignment="1">
      <alignment horizontal="right"/>
    </xf>
    <xf numFmtId="3" fontId="4" fillId="7" borderId="1" xfId="0" applyNumberFormat="1" applyFont="1" applyFill="1" applyBorder="1"/>
    <xf numFmtId="3" fontId="5" fillId="0" borderId="0" xfId="0" applyNumberFormat="1" applyFont="1" applyAlignment="1">
      <alignment wrapText="1"/>
    </xf>
    <xf numFmtId="3" fontId="13" fillId="0" borderId="7" xfId="0" applyNumberFormat="1" applyFont="1" applyBorder="1" applyAlignment="1">
      <alignment horizontal="center" vertical="center" wrapText="1"/>
    </xf>
    <xf numFmtId="3" fontId="5" fillId="0" borderId="7" xfId="0" applyNumberFormat="1" applyFont="1" applyBorder="1"/>
    <xf numFmtId="3" fontId="7" fillId="0" borderId="1" xfId="0" applyNumberFormat="1" applyFont="1" applyBorder="1"/>
    <xf numFmtId="3" fontId="9" fillId="5" borderId="1" xfId="0" quotePrefix="1" applyNumberFormat="1" applyFont="1" applyFill="1" applyBorder="1" applyAlignment="1">
      <alignment horizontal="center" vertical="center" wrapText="1"/>
    </xf>
    <xf numFmtId="3" fontId="2" fillId="4" borderId="1" xfId="0" applyNumberFormat="1" applyFont="1" applyFill="1" applyBorder="1" applyAlignment="1">
      <alignment horizontal="center" vertical="center" wrapText="1"/>
    </xf>
    <xf numFmtId="10" fontId="10" fillId="5" borderId="1" xfId="0" applyNumberFormat="1" applyFont="1" applyFill="1" applyBorder="1" applyAlignment="1">
      <alignment horizontal="center"/>
    </xf>
    <xf numFmtId="4" fontId="10" fillId="0" borderId="1" xfId="0" applyNumberFormat="1" applyFont="1" applyBorder="1" applyAlignment="1">
      <alignment horizontal="right"/>
    </xf>
    <xf numFmtId="4" fontId="10" fillId="0" borderId="1" xfId="0" applyNumberFormat="1" applyFont="1" applyBorder="1" applyAlignment="1">
      <alignment horizontal="right"/>
    </xf>
    <xf numFmtId="10" fontId="17" fillId="7" borderId="1" xfId="0" applyNumberFormat="1" applyFont="1" applyFill="1" applyBorder="1" applyAlignment="1">
      <alignment horizontal="center"/>
    </xf>
    <xf numFmtId="4" fontId="9" fillId="0" borderId="1" xfId="0" applyNumberFormat="1" applyFont="1" applyBorder="1"/>
    <xf numFmtId="3" fontId="9" fillId="4" borderId="1" xfId="0" applyNumberFormat="1" applyFont="1" applyFill="1" applyBorder="1"/>
    <xf numFmtId="10" fontId="9" fillId="5" borderId="1" xfId="0" applyNumberFormat="1" applyFont="1" applyFill="1" applyBorder="1" applyAlignment="1">
      <alignment horizontal="center"/>
    </xf>
    <xf numFmtId="0" fontId="10" fillId="0" borderId="0" xfId="0" applyFont="1"/>
    <xf numFmtId="0" fontId="10" fillId="4" borderId="1" xfId="0" applyFont="1" applyFill="1" applyBorder="1"/>
    <xf numFmtId="3" fontId="10" fillId="5" borderId="1" xfId="0" applyNumberFormat="1" applyFont="1" applyFill="1" applyBorder="1"/>
    <xf numFmtId="0" fontId="10" fillId="5" borderId="1" xfId="0" applyFont="1" applyFill="1" applyBorder="1"/>
    <xf numFmtId="3" fontId="8" fillId="5" borderId="1" xfId="0" applyNumberFormat="1" applyFont="1" applyFill="1" applyBorder="1" applyAlignment="1">
      <alignment horizontal="right"/>
    </xf>
    <xf numFmtId="10" fontId="4" fillId="0" borderId="0" xfId="0" applyNumberFormat="1" applyFont="1" applyAlignment="1">
      <alignment horizontal="center"/>
    </xf>
    <xf numFmtId="0" fontId="9" fillId="0" borderId="1" xfId="0" applyFont="1" applyBorder="1"/>
    <xf numFmtId="0" fontId="10" fillId="0" borderId="1" xfId="0" applyFont="1" applyBorder="1" applyAlignment="1">
      <alignment horizontal="right"/>
    </xf>
    <xf numFmtId="0" fontId="10" fillId="5" borderId="1" xfId="0" applyFont="1" applyFill="1" applyBorder="1" applyAlignment="1">
      <alignment horizontal="right"/>
    </xf>
    <xf numFmtId="3" fontId="5" fillId="5" borderId="4" xfId="0" applyNumberFormat="1" applyFont="1" applyFill="1" applyBorder="1"/>
    <xf numFmtId="3" fontId="13" fillId="5" borderId="4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3" fontId="13" fillId="0" borderId="7" xfId="0" applyNumberFormat="1" applyFont="1" applyBorder="1" applyAlignment="1">
      <alignment horizontal="center" vertical="center"/>
    </xf>
    <xf numFmtId="3" fontId="13" fillId="0" borderId="3" xfId="0" applyNumberFormat="1" applyFont="1" applyBorder="1" applyAlignment="1">
      <alignment horizontal="center" vertical="center"/>
    </xf>
    <xf numFmtId="0" fontId="5" fillId="0" borderId="2" xfId="0" applyFont="1" applyBorder="1"/>
    <xf numFmtId="3" fontId="5" fillId="0" borderId="3" xfId="0" applyNumberFormat="1" applyFont="1" applyBorder="1"/>
    <xf numFmtId="3" fontId="7" fillId="5" borderId="4" xfId="0" applyNumberFormat="1" applyFont="1" applyFill="1" applyBorder="1"/>
    <xf numFmtId="0" fontId="18" fillId="0" borderId="0" xfId="0" applyFont="1" applyAlignment="1">
      <alignment vertical="center"/>
    </xf>
    <xf numFmtId="0" fontId="2" fillId="0" borderId="0" xfId="0" applyFont="1"/>
    <xf numFmtId="3" fontId="8" fillId="5" borderId="4" xfId="0" applyNumberFormat="1" applyFont="1" applyFill="1" applyBorder="1"/>
    <xf numFmtId="3" fontId="10" fillId="5" borderId="4" xfId="0" applyNumberFormat="1" applyFont="1" applyFill="1" applyBorder="1"/>
    <xf numFmtId="10" fontId="10" fillId="5" borderId="4" xfId="0" applyNumberFormat="1" applyFont="1" applyFill="1" applyBorder="1" applyAlignment="1">
      <alignment horizontal="center"/>
    </xf>
    <xf numFmtId="3" fontId="8" fillId="5" borderId="4" xfId="0" applyNumberFormat="1" applyFont="1" applyFill="1" applyBorder="1" applyAlignment="1">
      <alignment horizontal="right"/>
    </xf>
    <xf numFmtId="3" fontId="10" fillId="5" borderId="4" xfId="0" applyNumberFormat="1" applyFont="1" applyFill="1" applyBorder="1" applyAlignment="1">
      <alignment horizontal="right"/>
    </xf>
    <xf numFmtId="3" fontId="10" fillId="0" borderId="0" xfId="0" applyNumberFormat="1" applyFont="1"/>
    <xf numFmtId="3" fontId="8" fillId="6" borderId="4" xfId="0" applyNumberFormat="1" applyFont="1" applyFill="1" applyBorder="1" applyAlignment="1">
      <alignment horizontal="right"/>
    </xf>
    <xf numFmtId="0" fontId="8" fillId="4" borderId="4" xfId="0" applyFont="1" applyFill="1" applyBorder="1" applyAlignment="1">
      <alignment horizontal="right"/>
    </xf>
    <xf numFmtId="4" fontId="8" fillId="0" borderId="0" xfId="0" applyNumberFormat="1" applyFont="1"/>
    <xf numFmtId="4" fontId="8" fillId="4" borderId="4" xfId="0" applyNumberFormat="1" applyFont="1" applyFill="1" applyBorder="1" applyAlignment="1">
      <alignment horizontal="right"/>
    </xf>
    <xf numFmtId="3" fontId="9" fillId="5" borderId="4" xfId="0" applyNumberFormat="1" applyFont="1" applyFill="1" applyBorder="1"/>
    <xf numFmtId="4" fontId="9" fillId="0" borderId="5" xfId="0" applyNumberFormat="1" applyFont="1" applyBorder="1"/>
    <xf numFmtId="4" fontId="9" fillId="4" borderId="6" xfId="0" applyNumberFormat="1" applyFont="1" applyFill="1" applyBorder="1"/>
    <xf numFmtId="3" fontId="9" fillId="5" borderId="6" xfId="0" applyNumberFormat="1" applyFont="1" applyFill="1" applyBorder="1"/>
    <xf numFmtId="10" fontId="9" fillId="5" borderId="6" xfId="0" applyNumberFormat="1" applyFont="1" applyFill="1" applyBorder="1" applyAlignment="1">
      <alignment horizontal="center"/>
    </xf>
    <xf numFmtId="3" fontId="9" fillId="0" borderId="5" xfId="0" applyNumberFormat="1" applyFont="1" applyBorder="1"/>
    <xf numFmtId="3" fontId="13" fillId="0" borderId="1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8" fillId="0" borderId="0" xfId="0" applyFont="1" applyAlignment="1">
      <alignment wrapText="1"/>
    </xf>
    <xf numFmtId="3" fontId="10" fillId="0" borderId="1" xfId="0" applyNumberFormat="1" applyFont="1" applyBorder="1"/>
    <xf numFmtId="3" fontId="4" fillId="4" borderId="1" xfId="0" applyNumberFormat="1" applyFont="1" applyFill="1" applyBorder="1" applyAlignment="1">
      <alignment horizontal="right"/>
    </xf>
    <xf numFmtId="3" fontId="4" fillId="5" borderId="1" xfId="0" applyNumberFormat="1" applyFont="1" applyFill="1" applyBorder="1" applyAlignment="1">
      <alignment horizontal="right"/>
    </xf>
    <xf numFmtId="3" fontId="19" fillId="0" borderId="1" xfId="0" applyNumberFormat="1" applyFont="1" applyBorder="1"/>
    <xf numFmtId="3" fontId="5" fillId="4" borderId="4" xfId="0" applyNumberFormat="1" applyFont="1" applyFill="1" applyBorder="1"/>
    <xf numFmtId="3" fontId="13" fillId="4" borderId="4" xfId="0" applyNumberFormat="1" applyFont="1" applyFill="1" applyBorder="1" applyAlignment="1">
      <alignment horizontal="center" vertical="center"/>
    </xf>
    <xf numFmtId="3" fontId="2" fillId="4" borderId="4" xfId="0" applyNumberFormat="1" applyFont="1" applyFill="1" applyBorder="1" applyAlignment="1">
      <alignment horizontal="center" vertical="center" wrapText="1"/>
    </xf>
    <xf numFmtId="3" fontId="7" fillId="4" borderId="4" xfId="0" applyNumberFormat="1" applyFont="1" applyFill="1" applyBorder="1"/>
    <xf numFmtId="3" fontId="7" fillId="7" borderId="4" xfId="0" applyNumberFormat="1" applyFont="1" applyFill="1" applyBorder="1"/>
    <xf numFmtId="3" fontId="10" fillId="0" borderId="0" xfId="0" applyNumberFormat="1" applyFont="1" applyAlignment="1">
      <alignment horizontal="right"/>
    </xf>
    <xf numFmtId="3" fontId="11" fillId="7" borderId="4" xfId="0" applyNumberFormat="1" applyFont="1" applyFill="1" applyBorder="1" applyAlignment="1">
      <alignment horizontal="center"/>
    </xf>
    <xf numFmtId="3" fontId="10" fillId="6" borderId="4" xfId="0" applyNumberFormat="1" applyFont="1" applyFill="1" applyBorder="1" applyAlignment="1">
      <alignment horizontal="right"/>
    </xf>
    <xf numFmtId="3" fontId="4" fillId="4" borderId="6" xfId="0" applyNumberFormat="1" applyFont="1" applyFill="1" applyBorder="1"/>
    <xf numFmtId="3" fontId="4" fillId="5" borderId="6" xfId="0" applyNumberFormat="1" applyFont="1" applyFill="1" applyBorder="1"/>
    <xf numFmtId="3" fontId="4" fillId="0" borderId="5" xfId="0" applyNumberFormat="1" applyFont="1" applyBorder="1" applyAlignment="1">
      <alignment horizontal="right"/>
    </xf>
    <xf numFmtId="3" fontId="5" fillId="0" borderId="5" xfId="0" applyNumberFormat="1" applyFont="1" applyBorder="1"/>
    <xf numFmtId="3" fontId="4" fillId="4" borderId="6" xfId="0" applyNumberFormat="1" applyFont="1" applyFill="1" applyBorder="1" applyAlignment="1">
      <alignment horizontal="right"/>
    </xf>
    <xf numFmtId="3" fontId="4" fillId="5" borderId="6" xfId="0" applyNumberFormat="1" applyFont="1" applyFill="1" applyBorder="1" applyAlignment="1">
      <alignment horizontal="right"/>
    </xf>
    <xf numFmtId="3" fontId="5" fillId="0" borderId="5" xfId="0" applyNumberFormat="1" applyFont="1" applyBorder="1" applyAlignment="1">
      <alignment horizontal="center"/>
    </xf>
    <xf numFmtId="3" fontId="2" fillId="4" borderId="4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3" fontId="19" fillId="0" borderId="0" xfId="0" applyNumberFormat="1" applyFont="1"/>
    <xf numFmtId="3" fontId="5" fillId="5" borderId="4" xfId="0" applyNumberFormat="1" applyFont="1" applyFill="1" applyBorder="1" applyAlignment="1">
      <alignment horizontal="right"/>
    </xf>
    <xf numFmtId="3" fontId="13" fillId="0" borderId="2" xfId="0" applyNumberFormat="1" applyFont="1" applyBorder="1" applyAlignment="1">
      <alignment horizontal="center" vertical="center"/>
    </xf>
    <xf numFmtId="3" fontId="5" fillId="0" borderId="2" xfId="0" applyNumberFormat="1" applyFont="1" applyBorder="1"/>
    <xf numFmtId="3" fontId="5" fillId="7" borderId="1" xfId="0" applyNumberFormat="1" applyFont="1" applyFill="1" applyBorder="1" applyAlignment="1">
      <alignment horizontal="right"/>
    </xf>
    <xf numFmtId="3" fontId="2" fillId="0" borderId="1" xfId="0" applyNumberFormat="1" applyFont="1" applyBorder="1"/>
    <xf numFmtId="10" fontId="5" fillId="0" borderId="1" xfId="0" applyNumberFormat="1" applyFont="1" applyBorder="1"/>
    <xf numFmtId="3" fontId="13" fillId="4" borderId="4" xfId="0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vertical="center"/>
    </xf>
    <xf numFmtId="0" fontId="3" fillId="0" borderId="3" xfId="0" applyFont="1" applyBorder="1"/>
    <xf numFmtId="0" fontId="3" fillId="0" borderId="0" xfId="0" applyFont="1"/>
    <xf numFmtId="0" fontId="5" fillId="5" borderId="1" xfId="0" applyFont="1" applyFill="1" applyBorder="1" applyAlignment="1">
      <alignment horizontal="center"/>
    </xf>
    <xf numFmtId="0" fontId="7" fillId="5" borderId="1" xfId="0" applyFont="1" applyFill="1" applyBorder="1"/>
    <xf numFmtId="0" fontId="4" fillId="0" borderId="0" xfId="0" applyFont="1" applyAlignment="1">
      <alignment horizontal="center" wrapText="1"/>
    </xf>
    <xf numFmtId="10" fontId="5" fillId="0" borderId="1" xfId="0" applyNumberFormat="1" applyFont="1" applyBorder="1" applyAlignment="1">
      <alignment horizontal="center"/>
    </xf>
    <xf numFmtId="10" fontId="4" fillId="0" borderId="1" xfId="0" applyNumberFormat="1" applyFont="1" applyBorder="1" applyAlignment="1">
      <alignment horizontal="center"/>
    </xf>
    <xf numFmtId="3" fontId="5" fillId="7" borderId="1" xfId="0" applyNumberFormat="1" applyFont="1" applyFill="1" applyBorder="1"/>
    <xf numFmtId="3" fontId="3" fillId="4" borderId="1" xfId="0" applyNumberFormat="1" applyFont="1" applyFill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3" fontId="6" fillId="4" borderId="1" xfId="0" applyNumberFormat="1" applyFont="1" applyFill="1" applyBorder="1" applyAlignment="1">
      <alignment horizontal="right"/>
    </xf>
    <xf numFmtId="3" fontId="6" fillId="0" borderId="1" xfId="0" applyNumberFormat="1" applyFont="1" applyBorder="1" applyAlignment="1">
      <alignment horizontal="right"/>
    </xf>
    <xf numFmtId="3" fontId="6" fillId="5" borderId="1" xfId="0" applyNumberFormat="1" applyFont="1" applyFill="1" applyBorder="1" applyAlignment="1">
      <alignment horizontal="right"/>
    </xf>
    <xf numFmtId="4" fontId="6" fillId="0" borderId="1" xfId="0" applyNumberFormat="1" applyFont="1" applyBorder="1" applyAlignment="1">
      <alignment horizontal="right"/>
    </xf>
    <xf numFmtId="3" fontId="2" fillId="7" borderId="1" xfId="0" applyNumberFormat="1" applyFont="1" applyFill="1" applyBorder="1" applyAlignment="1">
      <alignment horizontal="right"/>
    </xf>
    <xf numFmtId="3" fontId="19" fillId="7" borderId="1" xfId="0" applyNumberFormat="1" applyFont="1" applyFill="1" applyBorder="1"/>
    <xf numFmtId="10" fontId="5" fillId="7" borderId="1" xfId="0" applyNumberFormat="1" applyFont="1" applyFill="1" applyBorder="1" applyAlignment="1">
      <alignment horizontal="center"/>
    </xf>
    <xf numFmtId="3" fontId="5" fillId="6" borderId="1" xfId="0" applyNumberFormat="1" applyFont="1" applyFill="1" applyBorder="1" applyAlignment="1">
      <alignment horizontal="right"/>
    </xf>
    <xf numFmtId="0" fontId="5" fillId="7" borderId="1" xfId="0" applyFont="1" applyFill="1" applyBorder="1" applyAlignment="1">
      <alignment horizontal="right"/>
    </xf>
    <xf numFmtId="10" fontId="4" fillId="0" borderId="1" xfId="0" applyNumberFormat="1" applyFont="1" applyBorder="1"/>
    <xf numFmtId="3" fontId="4" fillId="7" borderId="1" xfId="0" applyNumberFormat="1" applyFont="1" applyFill="1" applyBorder="1" applyAlignment="1">
      <alignment horizontal="right"/>
    </xf>
    <xf numFmtId="3" fontId="4" fillId="8" borderId="9" xfId="0" applyNumberFormat="1" applyFont="1" applyFill="1" applyBorder="1" applyAlignment="1">
      <alignment horizontal="center" vertical="center"/>
    </xf>
    <xf numFmtId="0" fontId="4" fillId="0" borderId="1" xfId="0" quotePrefix="1" applyFont="1" applyBorder="1" applyAlignment="1">
      <alignment horizont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quotePrefix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3" fontId="8" fillId="7" borderId="4" xfId="0" applyNumberFormat="1" applyFont="1" applyFill="1" applyBorder="1" applyAlignment="1">
      <alignment horizontal="right"/>
    </xf>
    <xf numFmtId="10" fontId="5" fillId="0" borderId="0" xfId="0" applyNumberFormat="1" applyFont="1" applyAlignment="1">
      <alignment horizontal="center"/>
    </xf>
    <xf numFmtId="0" fontId="5" fillId="0" borderId="1" xfId="0" quotePrefix="1" applyFont="1" applyBorder="1"/>
    <xf numFmtId="10" fontId="5" fillId="0" borderId="0" xfId="0" applyNumberFormat="1" applyFont="1" applyAlignment="1">
      <alignment horizontal="right"/>
    </xf>
    <xf numFmtId="3" fontId="2" fillId="0" borderId="5" xfId="0" applyNumberFormat="1" applyFont="1" applyBorder="1"/>
    <xf numFmtId="10" fontId="4" fillId="0" borderId="5" xfId="0" applyNumberFormat="1" applyFont="1" applyBorder="1" applyAlignment="1">
      <alignment horizontal="center"/>
    </xf>
    <xf numFmtId="0" fontId="4" fillId="0" borderId="5" xfId="0" applyFont="1" applyBorder="1"/>
    <xf numFmtId="3" fontId="21" fillId="7" borderId="4" xfId="0" applyNumberFormat="1" applyFont="1" applyFill="1" applyBorder="1"/>
    <xf numFmtId="10" fontId="5" fillId="7" borderId="4" xfId="0" applyNumberFormat="1" applyFont="1" applyFill="1" applyBorder="1" applyAlignment="1">
      <alignment horizontal="center"/>
    </xf>
    <xf numFmtId="3" fontId="21" fillId="0" borderId="0" xfId="0" applyNumberFormat="1" applyFont="1"/>
    <xf numFmtId="10" fontId="4" fillId="0" borderId="5" xfId="0" applyNumberFormat="1" applyFont="1" applyBorder="1"/>
    <xf numFmtId="3" fontId="4" fillId="4" borderId="4" xfId="0" applyNumberFormat="1" applyFont="1" applyFill="1" applyBorder="1" applyAlignment="1">
      <alignment horizontal="right"/>
    </xf>
    <xf numFmtId="3" fontId="4" fillId="7" borderId="6" xfId="0" applyNumberFormat="1" applyFont="1" applyFill="1" applyBorder="1" applyAlignment="1">
      <alignment horizontal="right"/>
    </xf>
    <xf numFmtId="10" fontId="11" fillId="7" borderId="6" xfId="0" applyNumberFormat="1" applyFont="1" applyFill="1" applyBorder="1" applyAlignment="1">
      <alignment horizontal="center"/>
    </xf>
    <xf numFmtId="4" fontId="4" fillId="0" borderId="5" xfId="0" applyNumberFormat="1" applyFont="1" applyBorder="1" applyAlignment="1">
      <alignment horizontal="right"/>
    </xf>
    <xf numFmtId="3" fontId="13" fillId="0" borderId="2" xfId="0" applyNumberFormat="1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3" fontId="13" fillId="4" borderId="10" xfId="0" applyNumberFormat="1" applyFont="1" applyFill="1" applyBorder="1" applyAlignment="1">
      <alignment horizontal="center" vertical="center" wrapText="1"/>
    </xf>
    <xf numFmtId="3" fontId="13" fillId="0" borderId="3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3" fontId="5" fillId="0" borderId="11" xfId="0" applyNumberFormat="1" applyFont="1" applyBorder="1"/>
    <xf numFmtId="3" fontId="5" fillId="0" borderId="12" xfId="0" applyNumberFormat="1" applyFont="1" applyBorder="1"/>
    <xf numFmtId="3" fontId="5" fillId="4" borderId="13" xfId="0" applyNumberFormat="1" applyFont="1" applyFill="1" applyBorder="1"/>
    <xf numFmtId="3" fontId="22" fillId="0" borderId="1" xfId="0" applyNumberFormat="1" applyFont="1" applyBorder="1" applyAlignment="1">
      <alignment horizontal="center" vertical="center"/>
    </xf>
    <xf numFmtId="3" fontId="3" fillId="5" borderId="1" xfId="0" applyNumberFormat="1" applyFont="1" applyFill="1" applyBorder="1" applyAlignment="1">
      <alignment horizontal="right"/>
    </xf>
    <xf numFmtId="4" fontId="3" fillId="4" borderId="1" xfId="0" applyNumberFormat="1" applyFont="1" applyFill="1" applyBorder="1" applyAlignment="1">
      <alignment horizontal="right"/>
    </xf>
    <xf numFmtId="0" fontId="3" fillId="4" borderId="1" xfId="0" applyFont="1" applyFill="1" applyBorder="1" applyAlignment="1">
      <alignment horizontal="right"/>
    </xf>
    <xf numFmtId="0" fontId="4" fillId="4" borderId="1" xfId="0" applyFont="1" applyFill="1" applyBorder="1"/>
    <xf numFmtId="0" fontId="4" fillId="4" borderId="1" xfId="0" applyFont="1" applyFill="1" applyBorder="1" applyAlignment="1">
      <alignment horizontal="center" vertical="center"/>
    </xf>
    <xf numFmtId="3" fontId="4" fillId="8" borderId="1" xfId="0" applyNumberFormat="1" applyFont="1" applyFill="1" applyBorder="1" applyAlignment="1">
      <alignment horizontal="center" vertical="center"/>
    </xf>
    <xf numFmtId="3" fontId="4" fillId="0" borderId="1" xfId="0" quotePrefix="1" applyNumberFormat="1" applyFont="1" applyBorder="1" applyAlignment="1">
      <alignment horizontal="center" vertical="center" wrapText="1"/>
    </xf>
    <xf numFmtId="3" fontId="8" fillId="4" borderId="1" xfId="0" applyNumberFormat="1" applyFont="1" applyFill="1" applyBorder="1"/>
    <xf numFmtId="3" fontId="8" fillId="0" borderId="1" xfId="0" applyNumberFormat="1" applyFont="1" applyBorder="1"/>
    <xf numFmtId="3" fontId="8" fillId="5" borderId="1" xfId="0" applyNumberFormat="1" applyFont="1" applyFill="1" applyBorder="1"/>
    <xf numFmtId="0" fontId="5" fillId="7" borderId="1" xfId="0" applyFont="1" applyFill="1" applyBorder="1"/>
    <xf numFmtId="4" fontId="5" fillId="0" borderId="1" xfId="0" applyNumberFormat="1" applyFont="1" applyBorder="1" applyAlignment="1">
      <alignment horizontal="right"/>
    </xf>
    <xf numFmtId="0" fontId="13" fillId="0" borderId="1" xfId="0" applyFont="1" applyBorder="1" applyAlignment="1">
      <alignment horizontal="center" vertical="center"/>
    </xf>
    <xf numFmtId="3" fontId="8" fillId="4" borderId="1" xfId="0" applyNumberFormat="1" applyFont="1" applyFill="1" applyBorder="1" applyAlignment="1">
      <alignment horizontal="right"/>
    </xf>
    <xf numFmtId="0" fontId="8" fillId="4" borderId="1" xfId="0" applyFont="1" applyFill="1" applyBorder="1" applyAlignment="1">
      <alignment horizontal="right"/>
    </xf>
    <xf numFmtId="3" fontId="8" fillId="6" borderId="1" xfId="0" applyNumberFormat="1" applyFont="1" applyFill="1" applyBorder="1" applyAlignment="1">
      <alignment horizontal="right"/>
    </xf>
    <xf numFmtId="10" fontId="11" fillId="5" borderId="1" xfId="0" applyNumberFormat="1" applyFont="1" applyFill="1" applyBorder="1" applyAlignment="1">
      <alignment horizontal="center"/>
    </xf>
    <xf numFmtId="3" fontId="5" fillId="7" borderId="4" xfId="0" applyNumberFormat="1" applyFont="1" applyFill="1" applyBorder="1" applyAlignment="1">
      <alignment horizontal="right"/>
    </xf>
    <xf numFmtId="3" fontId="8" fillId="7" borderId="4" xfId="0" applyNumberFormat="1" applyFont="1" applyFill="1" applyBorder="1"/>
    <xf numFmtId="0" fontId="8" fillId="7" borderId="4" xfId="0" applyFont="1" applyFill="1" applyBorder="1"/>
    <xf numFmtId="3" fontId="23" fillId="0" borderId="1" xfId="0" applyNumberFormat="1" applyFont="1" applyBorder="1" applyAlignment="1">
      <alignment horizontal="center" vertical="center" wrapText="1"/>
    </xf>
    <xf numFmtId="3" fontId="24" fillId="0" borderId="1" xfId="0" applyNumberFormat="1" applyFont="1" applyBorder="1" applyAlignment="1">
      <alignment horizontal="center"/>
    </xf>
    <xf numFmtId="3" fontId="24" fillId="0" borderId="1" xfId="0" applyNumberFormat="1" applyFont="1" applyBorder="1"/>
    <xf numFmtId="3" fontId="8" fillId="9" borderId="1" xfId="0" applyNumberFormat="1" applyFont="1" applyFill="1" applyBorder="1" applyAlignment="1">
      <alignment horizontal="right"/>
    </xf>
    <xf numFmtId="3" fontId="8" fillId="7" borderId="1" xfId="0" applyNumberFormat="1" applyFont="1" applyFill="1" applyBorder="1" applyAlignment="1">
      <alignment horizontal="right"/>
    </xf>
    <xf numFmtId="3" fontId="4" fillId="9" borderId="1" xfId="0" applyNumberFormat="1" applyFont="1" applyFill="1" applyBorder="1"/>
    <xf numFmtId="0" fontId="4" fillId="5" borderId="1" xfId="0" applyFont="1" applyFill="1" applyBorder="1"/>
    <xf numFmtId="0" fontId="5" fillId="9" borderId="1" xfId="0" applyFont="1" applyFill="1" applyBorder="1"/>
    <xf numFmtId="3" fontId="5" fillId="9" borderId="1" xfId="0" applyNumberFormat="1" applyFont="1" applyFill="1" applyBorder="1"/>
    <xf numFmtId="3" fontId="4" fillId="9" borderId="1" xfId="0" applyNumberFormat="1" applyFont="1" applyFill="1" applyBorder="1" applyAlignment="1">
      <alignment horizontal="right"/>
    </xf>
    <xf numFmtId="0" fontId="5" fillId="9" borderId="4" xfId="0" applyFont="1" applyFill="1" applyBorder="1"/>
    <xf numFmtId="0" fontId="13" fillId="9" borderId="10" xfId="0" applyFont="1" applyFill="1" applyBorder="1" applyAlignment="1">
      <alignment horizontal="center" vertical="center" wrapText="1"/>
    </xf>
    <xf numFmtId="0" fontId="5" fillId="9" borderId="13" xfId="0" applyFont="1" applyFill="1" applyBorder="1"/>
    <xf numFmtId="3" fontId="5" fillId="0" borderId="11" xfId="0" applyNumberFormat="1" applyFont="1" applyBorder="1" applyAlignment="1">
      <alignment horizontal="center"/>
    </xf>
    <xf numFmtId="3" fontId="5" fillId="0" borderId="14" xfId="0" applyNumberFormat="1" applyFont="1" applyBorder="1" applyAlignment="1">
      <alignment horizontal="center"/>
    </xf>
    <xf numFmtId="0" fontId="2" fillId="9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 wrapText="1"/>
    </xf>
    <xf numFmtId="3" fontId="8" fillId="9" borderId="4" xfId="0" applyNumberFormat="1" applyFont="1" applyFill="1" applyBorder="1" applyAlignment="1">
      <alignment horizontal="right"/>
    </xf>
    <xf numFmtId="10" fontId="5" fillId="5" borderId="4" xfId="0" applyNumberFormat="1" applyFont="1" applyFill="1" applyBorder="1" applyAlignment="1">
      <alignment horizontal="center"/>
    </xf>
    <xf numFmtId="4" fontId="8" fillId="9" borderId="4" xfId="0" applyNumberFormat="1" applyFont="1" applyFill="1" applyBorder="1" applyAlignment="1">
      <alignment horizontal="right"/>
    </xf>
    <xf numFmtId="4" fontId="8" fillId="5" borderId="4" xfId="0" applyNumberFormat="1" applyFont="1" applyFill="1" applyBorder="1" applyAlignment="1">
      <alignment horizontal="right"/>
    </xf>
    <xf numFmtId="3" fontId="4" fillId="9" borderId="6" xfId="0" applyNumberFormat="1" applyFont="1" applyFill="1" applyBorder="1"/>
    <xf numFmtId="10" fontId="4" fillId="5" borderId="6" xfId="0" applyNumberFormat="1" applyFont="1" applyFill="1" applyBorder="1" applyAlignment="1">
      <alignment horizontal="center"/>
    </xf>
    <xf numFmtId="0" fontId="4" fillId="5" borderId="6" xfId="0" applyFont="1" applyFill="1" applyBorder="1"/>
    <xf numFmtId="4" fontId="8" fillId="0" borderId="0" xfId="0" applyNumberFormat="1" applyFont="1" applyAlignment="1">
      <alignment horizontal="right"/>
    </xf>
    <xf numFmtId="0" fontId="8" fillId="0" borderId="0" xfId="0" applyFont="1" applyAlignment="1">
      <alignment horizontal="right"/>
    </xf>
    <xf numFmtId="0" fontId="8" fillId="5" borderId="4" xfId="0" applyFont="1" applyFill="1" applyBorder="1" applyAlignment="1">
      <alignment horizontal="right"/>
    </xf>
    <xf numFmtId="0" fontId="5" fillId="0" borderId="5" xfId="0" applyFont="1" applyBorder="1"/>
    <xf numFmtId="0" fontId="4" fillId="9" borderId="6" xfId="0" applyFont="1" applyFill="1" applyBorder="1"/>
    <xf numFmtId="3" fontId="5" fillId="9" borderId="4" xfId="0" applyNumberFormat="1" applyFont="1" applyFill="1" applyBorder="1"/>
    <xf numFmtId="3" fontId="5" fillId="6" borderId="4" xfId="0" applyNumberFormat="1" applyFont="1" applyFill="1" applyBorder="1"/>
    <xf numFmtId="3" fontId="4" fillId="9" borderId="4" xfId="0" applyNumberFormat="1" applyFont="1" applyFill="1" applyBorder="1" applyAlignment="1">
      <alignment horizontal="right"/>
    </xf>
    <xf numFmtId="10" fontId="11" fillId="5" borderId="6" xfId="0" applyNumberFormat="1" applyFont="1" applyFill="1" applyBorder="1" applyAlignment="1">
      <alignment horizontal="center"/>
    </xf>
    <xf numFmtId="0" fontId="8" fillId="9" borderId="4" xfId="0" applyFont="1" applyFill="1" applyBorder="1"/>
    <xf numFmtId="0" fontId="8" fillId="5" borderId="4" xfId="0" applyFont="1" applyFill="1" applyBorder="1"/>
    <xf numFmtId="0" fontId="8" fillId="7" borderId="1" xfId="0" applyFont="1" applyFill="1" applyBorder="1"/>
    <xf numFmtId="4" fontId="8" fillId="0" borderId="1" xfId="0" applyNumberFormat="1" applyFont="1" applyBorder="1"/>
    <xf numFmtId="3" fontId="8" fillId="7" borderId="1" xfId="0" applyNumberFormat="1" applyFont="1" applyFill="1" applyBorder="1"/>
    <xf numFmtId="4" fontId="8" fillId="9" borderId="1" xfId="0" applyNumberFormat="1" applyFont="1" applyFill="1" applyBorder="1" applyAlignment="1">
      <alignment horizontal="right"/>
    </xf>
    <xf numFmtId="4" fontId="8" fillId="5" borderId="1" xfId="0" applyNumberFormat="1" applyFont="1" applyFill="1" applyBorder="1" applyAlignment="1">
      <alignment horizontal="right"/>
    </xf>
    <xf numFmtId="4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0" fontId="8" fillId="5" borderId="1" xfId="0" applyFont="1" applyFill="1" applyBorder="1" applyAlignment="1">
      <alignment horizontal="right"/>
    </xf>
    <xf numFmtId="0" fontId="4" fillId="9" borderId="1" xfId="0" applyFont="1" applyFill="1" applyBorder="1"/>
    <xf numFmtId="3" fontId="5" fillId="6" borderId="1" xfId="0" applyNumberFormat="1" applyFont="1" applyFill="1" applyBorder="1"/>
    <xf numFmtId="0" fontId="8" fillId="9" borderId="1" xfId="0" applyFont="1" applyFill="1" applyBorder="1" applyAlignment="1">
      <alignment horizontal="right"/>
    </xf>
    <xf numFmtId="0" fontId="8" fillId="9" borderId="1" xfId="0" applyFont="1" applyFill="1" applyBorder="1"/>
    <xf numFmtId="4" fontId="4" fillId="9" borderId="1" xfId="0" applyNumberFormat="1" applyFont="1" applyFill="1" applyBorder="1"/>
    <xf numFmtId="0" fontId="27" fillId="0" borderId="0" xfId="0" applyFont="1"/>
    <xf numFmtId="10" fontId="2" fillId="2" borderId="1" xfId="0" applyNumberFormat="1" applyFont="1" applyFill="1" applyBorder="1" applyAlignment="1">
      <alignment horizontal="center" vertical="center" wrapText="1"/>
    </xf>
    <xf numFmtId="10" fontId="8" fillId="0" borderId="1" xfId="0" applyNumberFormat="1" applyFont="1" applyBorder="1"/>
    <xf numFmtId="10" fontId="8" fillId="0" borderId="1" xfId="0" applyNumberFormat="1" applyFont="1" applyBorder="1" applyAlignment="1">
      <alignment horizontal="right"/>
    </xf>
    <xf numFmtId="4" fontId="8" fillId="4" borderId="1" xfId="0" applyNumberFormat="1" applyFont="1" applyFill="1" applyBorder="1" applyAlignment="1">
      <alignment horizontal="right"/>
    </xf>
    <xf numFmtId="4" fontId="4" fillId="4" borderId="1" xfId="0" applyNumberFormat="1" applyFont="1" applyFill="1" applyBorder="1"/>
    <xf numFmtId="3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4" fontId="10" fillId="0" borderId="1" xfId="0" applyNumberFormat="1" applyFont="1" applyBorder="1"/>
    <xf numFmtId="10" fontId="10" fillId="5" borderId="1" xfId="0" applyNumberFormat="1" applyFont="1" applyFill="1" applyBorder="1"/>
    <xf numFmtId="3" fontId="10" fillId="4" borderId="1" xfId="0" applyNumberFormat="1" applyFont="1" applyFill="1" applyBorder="1"/>
    <xf numFmtId="10" fontId="5" fillId="5" borderId="4" xfId="0" applyNumberFormat="1" applyFont="1" applyFill="1" applyBorder="1"/>
    <xf numFmtId="10" fontId="13" fillId="5" borderId="4" xfId="0" applyNumberFormat="1" applyFont="1" applyFill="1" applyBorder="1" applyAlignment="1">
      <alignment horizontal="center" vertical="center"/>
    </xf>
    <xf numFmtId="0" fontId="10" fillId="4" borderId="4" xfId="0" applyFont="1" applyFill="1" applyBorder="1"/>
    <xf numFmtId="0" fontId="10" fillId="5" borderId="4" xfId="0" applyFont="1" applyFill="1" applyBorder="1"/>
    <xf numFmtId="3" fontId="10" fillId="4" borderId="4" xfId="0" applyNumberFormat="1" applyFont="1" applyFill="1" applyBorder="1"/>
    <xf numFmtId="0" fontId="1" fillId="0" borderId="0" xfId="0" applyFont="1" applyAlignment="1">
      <alignment vertical="center"/>
    </xf>
    <xf numFmtId="3" fontId="10" fillId="4" borderId="1" xfId="0" applyNumberFormat="1" applyFont="1" applyFill="1" applyBorder="1" applyAlignment="1">
      <alignment horizontal="right"/>
    </xf>
    <xf numFmtId="3" fontId="28" fillId="0" borderId="1" xfId="0" applyNumberFormat="1" applyFont="1" applyBorder="1" applyAlignment="1">
      <alignment horizontal="center" vertical="center"/>
    </xf>
    <xf numFmtId="3" fontId="28" fillId="0" borderId="1" xfId="0" applyNumberFormat="1" applyFont="1" applyBorder="1" applyAlignment="1">
      <alignment horizontal="center" vertical="center" wrapText="1"/>
    </xf>
    <xf numFmtId="3" fontId="29" fillId="0" borderId="1" xfId="0" applyNumberFormat="1" applyFont="1" applyBorder="1" applyAlignment="1">
      <alignment horizontal="center"/>
    </xf>
    <xf numFmtId="3" fontId="29" fillId="0" borderId="1" xfId="0" applyNumberFormat="1" applyFont="1" applyBorder="1"/>
    <xf numFmtId="166" fontId="5" fillId="0" borderId="0" xfId="0" applyNumberFormat="1" applyFont="1"/>
    <xf numFmtId="0" fontId="9" fillId="0" borderId="0" xfId="0" applyFont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3" fontId="9" fillId="4" borderId="4" xfId="0" applyNumberFormat="1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4" borderId="4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4" borderId="4" xfId="0" applyFont="1" applyFill="1" applyBorder="1" applyAlignment="1">
      <alignment horizontal="center" vertical="center" wrapText="1"/>
    </xf>
    <xf numFmtId="3" fontId="15" fillId="0" borderId="0" xfId="0" applyNumberFormat="1" applyFont="1" applyAlignment="1">
      <alignment horizontal="center" vertical="center" wrapText="1"/>
    </xf>
    <xf numFmtId="3" fontId="29" fillId="0" borderId="1" xfId="0" applyNumberFormat="1" applyFont="1" applyBorder="1" applyAlignment="1">
      <alignment horizontal="center" vertical="center"/>
    </xf>
    <xf numFmtId="0" fontId="15" fillId="0" borderId="0" xfId="0" applyFont="1" applyAlignment="1">
      <alignment wrapText="1"/>
    </xf>
    <xf numFmtId="0" fontId="5" fillId="4" borderId="4" xfId="0" applyFont="1" applyFill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top" wrapText="1"/>
    </xf>
    <xf numFmtId="3" fontId="28" fillId="0" borderId="1" xfId="0" applyNumberFormat="1" applyFont="1" applyBorder="1"/>
    <xf numFmtId="0" fontId="30" fillId="0" borderId="0" xfId="0" applyFont="1"/>
    <xf numFmtId="0" fontId="31" fillId="0" borderId="0" xfId="0" applyFont="1" applyAlignment="1">
      <alignment horizontal="center" vertical="center"/>
    </xf>
    <xf numFmtId="0" fontId="31" fillId="4" borderId="4" xfId="0" applyFont="1" applyFill="1" applyBorder="1" applyAlignment="1">
      <alignment horizontal="center" vertical="center"/>
    </xf>
    <xf numFmtId="3" fontId="31" fillId="5" borderId="4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center"/>
    </xf>
    <xf numFmtId="3" fontId="9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/>
    <xf numFmtId="3" fontId="5" fillId="0" borderId="1" xfId="0" applyNumberFormat="1" applyFont="1" applyBorder="1" applyAlignment="1">
      <alignment horizontal="right"/>
    </xf>
    <xf numFmtId="3" fontId="8" fillId="7" borderId="1" xfId="0" applyNumberFormat="1" applyFont="1" applyFill="1" applyBorder="1" applyAlignment="1">
      <alignment horizontal="right"/>
    </xf>
    <xf numFmtId="0" fontId="33" fillId="0" borderId="0" xfId="0" applyFont="1" applyAlignment="1"/>
    <xf numFmtId="4" fontId="33" fillId="0" borderId="0" xfId="0" applyNumberFormat="1" applyFont="1" applyAlignment="1"/>
    <xf numFmtId="0" fontId="2" fillId="10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right"/>
    </xf>
    <xf numFmtId="3" fontId="8" fillId="9" borderId="1" xfId="0" applyNumberFormat="1" applyFont="1" applyFill="1" applyBorder="1"/>
    <xf numFmtId="165" fontId="5" fillId="5" borderId="1" xfId="0" applyNumberFormat="1" applyFont="1" applyFill="1" applyBorder="1"/>
    <xf numFmtId="0" fontId="3" fillId="0" borderId="0" xfId="0" applyFont="1" applyAlignment="1">
      <alignment vertical="center"/>
    </xf>
    <xf numFmtId="3" fontId="8" fillId="6" borderId="1" xfId="0" applyNumberFormat="1" applyFont="1" applyFill="1" applyBorder="1"/>
    <xf numFmtId="3" fontId="34" fillId="0" borderId="5" xfId="0" applyNumberFormat="1" applyFont="1" applyBorder="1" applyAlignment="1">
      <alignment horizontal="right"/>
    </xf>
    <xf numFmtId="0" fontId="35" fillId="9" borderId="1" xfId="0" applyFont="1" applyFill="1" applyBorder="1"/>
    <xf numFmtId="3" fontId="35" fillId="0" borderId="1" xfId="0" applyNumberFormat="1" applyFont="1" applyBorder="1"/>
    <xf numFmtId="0" fontId="35" fillId="0" borderId="1" xfId="0" applyFont="1" applyBorder="1"/>
    <xf numFmtId="4" fontId="4" fillId="7" borderId="1" xfId="0" applyNumberFormat="1" applyFont="1" applyFill="1" applyBorder="1"/>
    <xf numFmtId="3" fontId="34" fillId="0" borderId="5" xfId="0" applyNumberFormat="1" applyFont="1" applyBorder="1" applyAlignment="1">
      <alignment horizontal="right"/>
    </xf>
    <xf numFmtId="3" fontId="30" fillId="0" borderId="1" xfId="0" applyNumberFormat="1" applyFont="1" applyBorder="1" applyAlignment="1">
      <alignment horizontal="center"/>
    </xf>
    <xf numFmtId="3" fontId="2" fillId="10" borderId="1" xfId="0" applyNumberFormat="1" applyFont="1" applyFill="1" applyBorder="1" applyAlignment="1">
      <alignment horizontal="center" vertical="center" wrapText="1"/>
    </xf>
    <xf numFmtId="0" fontId="20" fillId="0" borderId="1" xfId="0" applyFont="1" applyBorder="1"/>
    <xf numFmtId="0" fontId="15" fillId="0" borderId="1" xfId="0" applyFont="1" applyBorder="1"/>
    <xf numFmtId="0" fontId="15" fillId="9" borderId="1" xfId="0" applyFont="1" applyFill="1" applyBorder="1"/>
    <xf numFmtId="3" fontId="15" fillId="0" borderId="1" xfId="0" applyNumberFormat="1" applyFont="1" applyBorder="1"/>
    <xf numFmtId="0" fontId="2" fillId="2" borderId="1" xfId="0" applyFont="1" applyFill="1" applyBorder="1" applyAlignment="1">
      <alignment horizontal="center" vertical="center"/>
    </xf>
    <xf numFmtId="3" fontId="8" fillId="9" borderId="4" xfId="0" applyNumberFormat="1" applyFont="1" applyFill="1" applyBorder="1"/>
    <xf numFmtId="4" fontId="4" fillId="9" borderId="6" xfId="0" applyNumberFormat="1" applyFont="1" applyFill="1" applyBorder="1"/>
    <xf numFmtId="0" fontId="5" fillId="11" borderId="4" xfId="0" applyFont="1" applyFill="1" applyBorder="1"/>
    <xf numFmtId="3" fontId="8" fillId="11" borderId="4" xfId="0" applyNumberFormat="1" applyFont="1" applyFill="1" applyBorder="1" applyAlignment="1">
      <alignment horizontal="right"/>
    </xf>
    <xf numFmtId="10" fontId="5" fillId="11" borderId="4" xfId="0" applyNumberFormat="1" applyFont="1" applyFill="1" applyBorder="1" applyAlignment="1">
      <alignment horizontal="center"/>
    </xf>
    <xf numFmtId="3" fontId="5" fillId="11" borderId="4" xfId="0" applyNumberFormat="1" applyFont="1" applyFill="1" applyBorder="1"/>
    <xf numFmtId="0" fontId="5" fillId="9" borderId="4" xfId="0" applyFont="1" applyFill="1" applyBorder="1" applyAlignment="1">
      <alignment horizontal="right"/>
    </xf>
    <xf numFmtId="4" fontId="5" fillId="5" borderId="4" xfId="0" applyNumberFormat="1" applyFont="1" applyFill="1" applyBorder="1"/>
    <xf numFmtId="3" fontId="8" fillId="6" borderId="4" xfId="0" applyNumberFormat="1" applyFont="1" applyFill="1" applyBorder="1"/>
    <xf numFmtId="0" fontId="15" fillId="9" borderId="4" xfId="0" applyFont="1" applyFill="1" applyBorder="1"/>
    <xf numFmtId="0" fontId="5" fillId="7" borderId="4" xfId="0" applyFont="1" applyFill="1" applyBorder="1" applyAlignment="1">
      <alignment horizontal="right"/>
    </xf>
    <xf numFmtId="0" fontId="20" fillId="0" borderId="0" xfId="0" applyFont="1"/>
    <xf numFmtId="0" fontId="13" fillId="9" borderId="1" xfId="0" applyFont="1" applyFill="1" applyBorder="1" applyAlignment="1">
      <alignment horizontal="center" vertical="center" wrapText="1"/>
    </xf>
    <xf numFmtId="0" fontId="5" fillId="11" borderId="1" xfId="0" applyFont="1" applyFill="1" applyBorder="1"/>
    <xf numFmtId="3" fontId="8" fillId="11" borderId="1" xfId="0" applyNumberFormat="1" applyFont="1" applyFill="1" applyBorder="1" applyAlignment="1">
      <alignment horizontal="right"/>
    </xf>
    <xf numFmtId="10" fontId="5" fillId="11" borderId="1" xfId="0" applyNumberFormat="1" applyFont="1" applyFill="1" applyBorder="1" applyAlignment="1">
      <alignment horizontal="center"/>
    </xf>
    <xf numFmtId="3" fontId="5" fillId="11" borderId="1" xfId="0" applyNumberFormat="1" applyFont="1" applyFill="1" applyBorder="1"/>
    <xf numFmtId="0" fontId="36" fillId="0" borderId="1" xfId="0" applyFont="1" applyBorder="1"/>
    <xf numFmtId="3" fontId="9" fillId="10" borderId="1" xfId="0" applyNumberFormat="1" applyFont="1" applyFill="1" applyBorder="1" applyAlignment="1">
      <alignment horizontal="center" vertical="center" wrapText="1"/>
    </xf>
    <xf numFmtId="3" fontId="37" fillId="0" borderId="0" xfId="0" applyNumberFormat="1" applyFont="1" applyAlignment="1">
      <alignment horizontal="center"/>
    </xf>
    <xf numFmtId="3" fontId="37" fillId="0" borderId="1" xfId="0" applyNumberFormat="1" applyFont="1" applyBorder="1" applyAlignment="1">
      <alignment horizontal="center"/>
    </xf>
    <xf numFmtId="3" fontId="3" fillId="0" borderId="0" xfId="0" applyNumberFormat="1" applyFont="1"/>
    <xf numFmtId="3" fontId="3" fillId="0" borderId="0" xfId="0" applyNumberFormat="1" applyFont="1" applyAlignment="1">
      <alignment horizontal="right"/>
    </xf>
    <xf numFmtId="3" fontId="3" fillId="0" borderId="1" xfId="0" applyNumberFormat="1" applyFont="1" applyBorder="1" applyAlignment="1">
      <alignment horizontal="center"/>
    </xf>
    <xf numFmtId="0" fontId="38" fillId="4" borderId="4" xfId="0" applyFont="1" applyFill="1" applyBorder="1"/>
    <xf numFmtId="3" fontId="10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 vertical="center" wrapText="1"/>
    </xf>
    <xf numFmtId="0" fontId="39" fillId="4" borderId="1" xfId="0" applyFont="1" applyFill="1" applyBorder="1" applyAlignment="1">
      <alignment horizontal="center" vertical="center" wrapText="1"/>
    </xf>
    <xf numFmtId="0" fontId="40" fillId="4" borderId="4" xfId="0" applyFont="1" applyFill="1" applyBorder="1"/>
    <xf numFmtId="3" fontId="40" fillId="4" borderId="4" xfId="0" applyNumberFormat="1" applyFont="1" applyFill="1" applyBorder="1" applyAlignment="1">
      <alignment horizontal="right"/>
    </xf>
    <xf numFmtId="3" fontId="41" fillId="4" borderId="6" xfId="0" applyNumberFormat="1" applyFont="1" applyFill="1" applyBorder="1"/>
    <xf numFmtId="3" fontId="2" fillId="0" borderId="5" xfId="0" applyNumberFormat="1" applyFont="1" applyBorder="1" applyAlignment="1">
      <alignment horizontal="right"/>
    </xf>
    <xf numFmtId="0" fontId="39" fillId="4" borderId="4" xfId="0" applyFont="1" applyFill="1" applyBorder="1" applyAlignment="1">
      <alignment horizontal="center" vertical="center" wrapText="1"/>
    </xf>
    <xf numFmtId="3" fontId="39" fillId="4" borderId="4" xfId="0" applyNumberFormat="1" applyFont="1" applyFill="1" applyBorder="1" applyAlignment="1">
      <alignment horizontal="right"/>
    </xf>
    <xf numFmtId="0" fontId="13" fillId="9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/>
    </xf>
    <xf numFmtId="0" fontId="25" fillId="0" borderId="1" xfId="0" applyFont="1" applyBorder="1"/>
    <xf numFmtId="3" fontId="10" fillId="6" borderId="1" xfId="0" applyNumberFormat="1" applyFont="1" applyFill="1" applyBorder="1"/>
    <xf numFmtId="0" fontId="9" fillId="5" borderId="1" xfId="0" applyFont="1" applyFill="1" applyBorder="1" applyAlignment="1">
      <alignment horizontal="center" wrapText="1"/>
    </xf>
    <xf numFmtId="3" fontId="13" fillId="7" borderId="4" xfId="0" applyNumberFormat="1" applyFont="1" applyFill="1" applyBorder="1" applyAlignment="1">
      <alignment horizontal="center" vertical="center"/>
    </xf>
    <xf numFmtId="3" fontId="13" fillId="7" borderId="4" xfId="0" applyNumberFormat="1" applyFont="1" applyFill="1" applyBorder="1" applyAlignment="1">
      <alignment horizontal="center" vertical="center" wrapText="1"/>
    </xf>
    <xf numFmtId="3" fontId="23" fillId="0" borderId="1" xfId="0" applyNumberFormat="1" applyFont="1" applyBorder="1" applyAlignment="1">
      <alignment horizontal="center" vertical="center"/>
    </xf>
    <xf numFmtId="3" fontId="24" fillId="0" borderId="0" xfId="0" applyNumberFormat="1" applyFont="1"/>
    <xf numFmtId="0" fontId="3" fillId="0" borderId="1" xfId="0" applyFont="1" applyFill="1" applyBorder="1"/>
    <xf numFmtId="3" fontId="3" fillId="0" borderId="1" xfId="0" applyNumberFormat="1" applyFont="1" applyFill="1" applyBorder="1"/>
    <xf numFmtId="3" fontId="4" fillId="12" borderId="1" xfId="0" applyNumberFormat="1" applyFont="1" applyFill="1" applyBorder="1"/>
    <xf numFmtId="0" fontId="4" fillId="12" borderId="1" xfId="0" applyFont="1" applyFill="1" applyBorder="1"/>
    <xf numFmtId="3" fontId="4" fillId="0" borderId="1" xfId="0" applyNumberFormat="1" applyFont="1" applyFill="1" applyBorder="1"/>
    <xf numFmtId="0" fontId="5" fillId="0" borderId="1" xfId="0" applyFont="1" applyFill="1" applyBorder="1"/>
    <xf numFmtId="3" fontId="6" fillId="0" borderId="1" xfId="0" applyNumberFormat="1" applyFont="1" applyFill="1" applyBorder="1"/>
    <xf numFmtId="0" fontId="4" fillId="0" borderId="1" xfId="0" applyFont="1" applyFill="1" applyBorder="1"/>
    <xf numFmtId="0" fontId="1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/>
    <xf numFmtId="0" fontId="0" fillId="0" borderId="0" xfId="0" applyFont="1" applyFill="1" applyAlignment="1"/>
    <xf numFmtId="0" fontId="10" fillId="0" borderId="18" xfId="0" applyFont="1" applyBorder="1"/>
    <xf numFmtId="0" fontId="10" fillId="4" borderId="18" xfId="0" applyFont="1" applyFill="1" applyBorder="1"/>
    <xf numFmtId="3" fontId="10" fillId="5" borderId="18" xfId="0" applyNumberFormat="1" applyFont="1" applyFill="1" applyBorder="1"/>
    <xf numFmtId="3" fontId="9" fillId="5" borderId="18" xfId="0" applyNumberFormat="1" applyFont="1" applyFill="1" applyBorder="1"/>
    <xf numFmtId="0" fontId="10" fillId="5" borderId="18" xfId="0" applyFont="1" applyFill="1" applyBorder="1"/>
    <xf numFmtId="3" fontId="10" fillId="4" borderId="18" xfId="0" applyNumberFormat="1" applyFont="1" applyFill="1" applyBorder="1"/>
    <xf numFmtId="3" fontId="10" fillId="0" borderId="18" xfId="0" applyNumberFormat="1" applyFont="1" applyBorder="1"/>
    <xf numFmtId="3" fontId="5" fillId="0" borderId="18" xfId="0" applyNumberFormat="1" applyFont="1" applyBorder="1"/>
    <xf numFmtId="0" fontId="32" fillId="0" borderId="18" xfId="0" applyFont="1" applyBorder="1" applyAlignment="1">
      <alignment vertical="center"/>
    </xf>
    <xf numFmtId="3" fontId="10" fillId="4" borderId="18" xfId="0" applyNumberFormat="1" applyFont="1" applyFill="1" applyBorder="1" applyAlignment="1">
      <alignment horizontal="right"/>
    </xf>
    <xf numFmtId="3" fontId="10" fillId="5" borderId="18" xfId="0" applyNumberFormat="1" applyFont="1" applyFill="1" applyBorder="1" applyAlignment="1">
      <alignment horizontal="right"/>
    </xf>
    <xf numFmtId="3" fontId="10" fillId="0" borderId="18" xfId="0" applyNumberFormat="1" applyFont="1" applyBorder="1" applyAlignment="1">
      <alignment horizontal="right"/>
    </xf>
    <xf numFmtId="0" fontId="9" fillId="2" borderId="18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3" fontId="9" fillId="5" borderId="18" xfId="0" applyNumberFormat="1" applyFont="1" applyFill="1" applyBorder="1" applyAlignment="1">
      <alignment horizontal="center" vertical="center"/>
    </xf>
    <xf numFmtId="3" fontId="9" fillId="5" borderId="18" xfId="0" applyNumberFormat="1" applyFont="1" applyFill="1" applyBorder="1" applyAlignment="1">
      <alignment horizontal="center" wrapText="1"/>
    </xf>
    <xf numFmtId="0" fontId="9" fillId="5" borderId="18" xfId="0" applyFont="1" applyFill="1" applyBorder="1" applyAlignment="1">
      <alignment horizontal="center" vertical="center" wrapText="1"/>
    </xf>
    <xf numFmtId="3" fontId="9" fillId="5" borderId="18" xfId="0" applyNumberFormat="1" applyFont="1" applyFill="1" applyBorder="1" applyAlignment="1">
      <alignment horizontal="center" vertical="center" wrapText="1"/>
    </xf>
    <xf numFmtId="3" fontId="9" fillId="5" borderId="18" xfId="0" quotePrefix="1" applyNumberFormat="1" applyFont="1" applyFill="1" applyBorder="1" applyAlignment="1">
      <alignment horizontal="center" vertical="center" wrapText="1"/>
    </xf>
    <xf numFmtId="3" fontId="9" fillId="4" borderId="18" xfId="0" applyNumberFormat="1" applyFont="1" applyFill="1" applyBorder="1" applyAlignment="1">
      <alignment horizontal="center" vertical="center"/>
    </xf>
    <xf numFmtId="3" fontId="9" fillId="2" borderId="18" xfId="0" applyNumberFormat="1" applyFont="1" applyFill="1" applyBorder="1" applyAlignment="1">
      <alignment horizontal="center" vertical="center" wrapText="1"/>
    </xf>
    <xf numFmtId="3" fontId="5" fillId="4" borderId="18" xfId="0" applyNumberFormat="1" applyFont="1" applyFill="1" applyBorder="1"/>
    <xf numFmtId="10" fontId="10" fillId="5" borderId="18" xfId="0" applyNumberFormat="1" applyFont="1" applyFill="1" applyBorder="1" applyAlignment="1">
      <alignment horizontal="center"/>
    </xf>
    <xf numFmtId="3" fontId="5" fillId="5" borderId="18" xfId="0" applyNumberFormat="1" applyFont="1" applyFill="1" applyBorder="1"/>
    <xf numFmtId="4" fontId="10" fillId="0" borderId="18" xfId="0" applyNumberFormat="1" applyFont="1" applyBorder="1" applyAlignment="1">
      <alignment horizontal="right"/>
    </xf>
    <xf numFmtId="10" fontId="17" fillId="7" borderId="18" xfId="0" applyNumberFormat="1" applyFont="1" applyFill="1" applyBorder="1" applyAlignment="1">
      <alignment horizontal="center"/>
    </xf>
    <xf numFmtId="0" fontId="10" fillId="0" borderId="18" xfId="0" applyFont="1" applyBorder="1" applyAlignment="1">
      <alignment horizontal="right"/>
    </xf>
    <xf numFmtId="166" fontId="10" fillId="0" borderId="18" xfId="0" applyNumberFormat="1" applyFont="1" applyBorder="1" applyAlignment="1">
      <alignment horizontal="right"/>
    </xf>
    <xf numFmtId="3" fontId="10" fillId="6" borderId="18" xfId="0" applyNumberFormat="1" applyFont="1" applyFill="1" applyBorder="1" applyAlignment="1">
      <alignment horizontal="right"/>
    </xf>
    <xf numFmtId="0" fontId="9" fillId="0" borderId="18" xfId="0" applyFont="1" applyBorder="1"/>
    <xf numFmtId="3" fontId="9" fillId="4" borderId="18" xfId="0" applyNumberFormat="1" applyFont="1" applyFill="1" applyBorder="1" applyAlignment="1">
      <alignment horizontal="right"/>
    </xf>
    <xf numFmtId="3" fontId="9" fillId="5" borderId="18" xfId="0" applyNumberFormat="1" applyFont="1" applyFill="1" applyBorder="1" applyAlignment="1">
      <alignment horizontal="right"/>
    </xf>
    <xf numFmtId="10" fontId="9" fillId="5" borderId="18" xfId="0" applyNumberFormat="1" applyFont="1" applyFill="1" applyBorder="1" applyAlignment="1">
      <alignment horizontal="center"/>
    </xf>
    <xf numFmtId="3" fontId="9" fillId="0" borderId="18" xfId="0" applyNumberFormat="1" applyFont="1" applyBorder="1" applyAlignment="1">
      <alignment horizontal="right"/>
    </xf>
    <xf numFmtId="3" fontId="9" fillId="4" borderId="18" xfId="0" applyNumberFormat="1" applyFont="1" applyFill="1" applyBorder="1"/>
    <xf numFmtId="3" fontId="9" fillId="0" borderId="18" xfId="0" applyNumberFormat="1" applyFont="1" applyBorder="1"/>
    <xf numFmtId="0" fontId="42" fillId="13" borderId="1" xfId="0" applyFont="1" applyFill="1" applyBorder="1"/>
    <xf numFmtId="3" fontId="42" fillId="13" borderId="1" xfId="0" applyNumberFormat="1" applyFont="1" applyFill="1" applyBorder="1"/>
    <xf numFmtId="0" fontId="4" fillId="14" borderId="1" xfId="0" applyFont="1" applyFill="1" applyBorder="1"/>
    <xf numFmtId="3" fontId="4" fillId="14" borderId="1" xfId="0" applyNumberFormat="1" applyFont="1" applyFill="1" applyBorder="1"/>
    <xf numFmtId="0" fontId="42" fillId="0" borderId="1" xfId="0" applyFont="1" applyFill="1" applyBorder="1"/>
    <xf numFmtId="0" fontId="4" fillId="2" borderId="18" xfId="0" applyFont="1" applyFill="1" applyBorder="1" applyAlignment="1">
      <alignment horizontal="center"/>
    </xf>
    <xf numFmtId="0" fontId="4" fillId="2" borderId="18" xfId="0" applyFont="1" applyFill="1" applyBorder="1"/>
    <xf numFmtId="0" fontId="0" fillId="0" borderId="18" xfId="0" applyFont="1" applyBorder="1" applyAlignment="1"/>
    <xf numFmtId="0" fontId="5" fillId="0" borderId="18" xfId="0" applyFont="1" applyBorder="1" applyAlignment="1">
      <alignment horizontal="center"/>
    </xf>
    <xf numFmtId="0" fontId="5" fillId="0" borderId="18" xfId="0" applyFont="1" applyBorder="1"/>
    <xf numFmtId="4" fontId="5" fillId="0" borderId="18" xfId="0" applyNumberFormat="1" applyFont="1" applyBorder="1"/>
    <xf numFmtId="0" fontId="0" fillId="0" borderId="18" xfId="0" applyFont="1" applyBorder="1" applyAlignment="1">
      <alignment horizontal="center"/>
    </xf>
    <xf numFmtId="0" fontId="1" fillId="0" borderId="18" xfId="0" applyFont="1" applyBorder="1" applyAlignment="1">
      <alignment vertical="center"/>
    </xf>
    <xf numFmtId="0" fontId="3" fillId="0" borderId="18" xfId="0" applyFont="1" applyBorder="1"/>
    <xf numFmtId="0" fontId="5" fillId="4" borderId="18" xfId="0" applyFont="1" applyFill="1" applyBorder="1"/>
    <xf numFmtId="0" fontId="5" fillId="5" borderId="18" xfId="0" applyFont="1" applyFill="1" applyBorder="1"/>
    <xf numFmtId="0" fontId="2" fillId="2" borderId="18" xfId="0" applyFont="1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 wrapText="1"/>
    </xf>
    <xf numFmtId="3" fontId="2" fillId="5" borderId="18" xfId="0" applyNumberFormat="1" applyFont="1" applyFill="1" applyBorder="1" applyAlignment="1">
      <alignment horizontal="center" vertical="center" wrapText="1"/>
    </xf>
    <xf numFmtId="3" fontId="2" fillId="4" borderId="18" xfId="0" applyNumberFormat="1" applyFont="1" applyFill="1" applyBorder="1" applyAlignment="1">
      <alignment horizontal="center" vertical="center" wrapText="1"/>
    </xf>
    <xf numFmtId="0" fontId="8" fillId="0" borderId="18" xfId="0" applyFont="1" applyBorder="1"/>
    <xf numFmtId="3" fontId="8" fillId="9" borderId="18" xfId="0" applyNumberFormat="1" applyFont="1" applyFill="1" applyBorder="1" applyAlignment="1">
      <alignment horizontal="right"/>
    </xf>
    <xf numFmtId="3" fontId="8" fillId="5" borderId="18" xfId="0" applyNumberFormat="1" applyFont="1" applyFill="1" applyBorder="1" applyAlignment="1">
      <alignment horizontal="right"/>
    </xf>
    <xf numFmtId="10" fontId="5" fillId="5" borderId="18" xfId="0" applyNumberFormat="1" applyFont="1" applyFill="1" applyBorder="1" applyAlignment="1">
      <alignment horizontal="center"/>
    </xf>
    <xf numFmtId="3" fontId="8" fillId="0" borderId="18" xfId="0" applyNumberFormat="1" applyFont="1" applyBorder="1" applyAlignment="1">
      <alignment horizontal="right"/>
    </xf>
    <xf numFmtId="3" fontId="8" fillId="7" borderId="18" xfId="0" applyNumberFormat="1" applyFont="1" applyFill="1" applyBorder="1" applyAlignment="1">
      <alignment horizontal="right"/>
    </xf>
    <xf numFmtId="3" fontId="8" fillId="6" borderId="18" xfId="0" applyNumberFormat="1" applyFont="1" applyFill="1" applyBorder="1" applyAlignment="1">
      <alignment horizontal="right"/>
    </xf>
    <xf numFmtId="4" fontId="2" fillId="0" borderId="18" xfId="0" applyNumberFormat="1" applyFont="1" applyBorder="1"/>
    <xf numFmtId="4" fontId="4" fillId="0" borderId="18" xfId="0" applyNumberFormat="1" applyFont="1" applyBorder="1"/>
    <xf numFmtId="3" fontId="4" fillId="9" borderId="18" xfId="0" applyNumberFormat="1" applyFont="1" applyFill="1" applyBorder="1"/>
    <xf numFmtId="3" fontId="4" fillId="5" borderId="18" xfId="0" applyNumberFormat="1" applyFont="1" applyFill="1" applyBorder="1"/>
    <xf numFmtId="10" fontId="4" fillId="5" borderId="18" xfId="0" applyNumberFormat="1" applyFont="1" applyFill="1" applyBorder="1" applyAlignment="1">
      <alignment horizontal="center"/>
    </xf>
    <xf numFmtId="0" fontId="4" fillId="5" borderId="18" xfId="0" applyFont="1" applyFill="1" applyBorder="1"/>
    <xf numFmtId="3" fontId="4" fillId="0" borderId="18" xfId="0" applyNumberFormat="1" applyFont="1" applyBorder="1"/>
    <xf numFmtId="0" fontId="5" fillId="9" borderId="18" xfId="0" applyFont="1" applyFill="1" applyBorder="1"/>
    <xf numFmtId="0" fontId="5" fillId="7" borderId="18" xfId="0" applyFont="1" applyFill="1" applyBorder="1"/>
    <xf numFmtId="0" fontId="4" fillId="0" borderId="18" xfId="0" applyFont="1" applyBorder="1"/>
    <xf numFmtId="3" fontId="5" fillId="9" borderId="18" xfId="0" applyNumberFormat="1" applyFont="1" applyFill="1" applyBorder="1"/>
    <xf numFmtId="3" fontId="5" fillId="7" borderId="18" xfId="0" applyNumberFormat="1" applyFont="1" applyFill="1" applyBorder="1"/>
    <xf numFmtId="3" fontId="4" fillId="9" borderId="18" xfId="0" applyNumberFormat="1" applyFont="1" applyFill="1" applyBorder="1" applyAlignment="1">
      <alignment horizontal="right"/>
    </xf>
    <xf numFmtId="3" fontId="4" fillId="5" borderId="18" xfId="0" applyNumberFormat="1" applyFont="1" applyFill="1" applyBorder="1" applyAlignment="1">
      <alignment horizontal="right"/>
    </xf>
    <xf numFmtId="10" fontId="11" fillId="5" borderId="18" xfId="0" applyNumberFormat="1" applyFont="1" applyFill="1" applyBorder="1" applyAlignment="1">
      <alignment horizontal="center"/>
    </xf>
    <xf numFmtId="3" fontId="4" fillId="7" borderId="18" xfId="0" applyNumberFormat="1" applyFont="1" applyFill="1" applyBorder="1" applyAlignment="1">
      <alignment horizontal="right"/>
    </xf>
    <xf numFmtId="0" fontId="2" fillId="9" borderId="18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4" fillId="5" borderId="18" xfId="0" applyFont="1" applyFill="1" applyBorder="1" applyAlignment="1">
      <alignment horizontal="center" vertical="center" wrapText="1"/>
    </xf>
    <xf numFmtId="0" fontId="4" fillId="5" borderId="18" xfId="0" quotePrefix="1" applyFont="1" applyFill="1" applyBorder="1" applyAlignment="1">
      <alignment horizontal="center" vertical="center" wrapText="1"/>
    </xf>
    <xf numFmtId="0" fontId="14" fillId="2" borderId="18" xfId="0" applyFont="1" applyFill="1" applyBorder="1" applyAlignment="1">
      <alignment horizontal="center" vertical="center" wrapText="1"/>
    </xf>
    <xf numFmtId="3" fontId="8" fillId="0" borderId="18" xfId="0" applyNumberFormat="1" applyFont="1" applyBorder="1"/>
    <xf numFmtId="3" fontId="8" fillId="5" borderId="18" xfId="0" applyNumberFormat="1" applyFont="1" applyFill="1" applyBorder="1"/>
    <xf numFmtId="0" fontId="43" fillId="0" borderId="18" xfId="0" applyFont="1" applyBorder="1" applyAlignment="1">
      <alignment horizontal="left" vertical="center"/>
    </xf>
    <xf numFmtId="0" fontId="44" fillId="0" borderId="18" xfId="0" applyFont="1" applyBorder="1" applyAlignment="1">
      <alignment horizontal="left" vertical="center"/>
    </xf>
    <xf numFmtId="0" fontId="0" fillId="0" borderId="18" xfId="0" applyFont="1" applyBorder="1" applyAlignment="1">
      <alignment horizontal="left" vertical="center"/>
    </xf>
    <xf numFmtId="0" fontId="0" fillId="0" borderId="0" xfId="0"/>
    <xf numFmtId="0" fontId="43" fillId="0" borderId="18" xfId="0" applyFont="1" applyBorder="1"/>
    <xf numFmtId="0" fontId="8" fillId="9" borderId="18" xfId="0" applyFont="1" applyFill="1" applyBorder="1"/>
    <xf numFmtId="0" fontId="8" fillId="5" borderId="18" xfId="0" applyFont="1" applyFill="1" applyBorder="1"/>
    <xf numFmtId="0" fontId="9" fillId="5" borderId="18" xfId="0" applyFont="1" applyFill="1" applyBorder="1" applyAlignment="1">
      <alignment horizontal="center" wrapText="1"/>
    </xf>
    <xf numFmtId="0" fontId="8" fillId="9" borderId="18" xfId="0" applyFont="1" applyFill="1" applyBorder="1" applyAlignment="1">
      <alignment horizontal="right"/>
    </xf>
    <xf numFmtId="0" fontId="8" fillId="5" borderId="18" xfId="0" applyFont="1" applyFill="1" applyBorder="1" applyAlignment="1">
      <alignment horizontal="right"/>
    </xf>
    <xf numFmtId="4" fontId="4" fillId="9" borderId="18" xfId="0" applyNumberFormat="1" applyFont="1" applyFill="1" applyBorder="1"/>
    <xf numFmtId="4" fontId="4" fillId="5" borderId="18" xfId="0" applyNumberFormat="1" applyFont="1" applyFill="1" applyBorder="1"/>
    <xf numFmtId="0" fontId="0" fillId="0" borderId="18" xfId="0" applyBorder="1"/>
    <xf numFmtId="4" fontId="5" fillId="5" borderId="18" xfId="0" applyNumberFormat="1" applyFont="1" applyFill="1" applyBorder="1"/>
    <xf numFmtId="3" fontId="10" fillId="6" borderId="18" xfId="0" applyNumberFormat="1" applyFont="1" applyFill="1" applyBorder="1"/>
    <xf numFmtId="4" fontId="2" fillId="0" borderId="2" xfId="0" applyNumberFormat="1" applyFont="1" applyBorder="1"/>
    <xf numFmtId="0" fontId="12" fillId="0" borderId="3" xfId="0" applyFont="1" applyBorder="1"/>
    <xf numFmtId="3" fontId="2" fillId="0" borderId="2" xfId="0" applyNumberFormat="1" applyFont="1" applyBorder="1"/>
    <xf numFmtId="3" fontId="4" fillId="8" borderId="2" xfId="0" applyNumberFormat="1" applyFont="1" applyFill="1" applyBorder="1" applyAlignment="1">
      <alignment horizontal="center" vertical="center"/>
    </xf>
    <xf numFmtId="0" fontId="12" fillId="0" borderId="8" xfId="0" applyFont="1" applyBorder="1"/>
    <xf numFmtId="3" fontId="6" fillId="0" borderId="2" xfId="0" applyNumberFormat="1" applyFont="1" applyBorder="1"/>
    <xf numFmtId="0" fontId="6" fillId="0" borderId="2" xfId="0" applyFont="1" applyBorder="1"/>
    <xf numFmtId="0" fontId="4" fillId="8" borderId="2" xfId="0" applyFont="1" applyFill="1" applyBorder="1" applyAlignment="1">
      <alignment horizontal="center" vertical="center"/>
    </xf>
    <xf numFmtId="0" fontId="2" fillId="0" borderId="0" xfId="0" applyFont="1"/>
    <xf numFmtId="0" fontId="0" fillId="0" borderId="0" xfId="0" applyFont="1" applyAlignment="1"/>
    <xf numFmtId="0" fontId="25" fillId="0" borderId="2" xfId="0" applyFont="1" applyBorder="1"/>
    <xf numFmtId="0" fontId="12" fillId="0" borderId="7" xfId="0" applyFont="1" applyBorder="1"/>
    <xf numFmtId="0" fontId="26" fillId="0" borderId="2" xfId="0" applyFont="1" applyBorder="1"/>
    <xf numFmtId="0" fontId="25" fillId="0" borderId="0" xfId="0" applyFont="1"/>
    <xf numFmtId="0" fontId="4" fillId="8" borderId="15" xfId="0" applyFont="1" applyFill="1" applyBorder="1" applyAlignment="1">
      <alignment horizontal="center" vertical="center"/>
    </xf>
    <xf numFmtId="0" fontId="12" fillId="0" borderId="16" xfId="0" applyFont="1" applyBorder="1"/>
    <xf numFmtId="0" fontId="12" fillId="0" borderId="11" xfId="0" applyFont="1" applyBorder="1"/>
    <xf numFmtId="0" fontId="12" fillId="0" borderId="17" xfId="0" applyFont="1" applyBorder="1"/>
  </cellXfs>
  <cellStyles count="1">
    <cellStyle name="Normal" xfId="0" builtinId="0"/>
  </cellStyles>
  <dxfs count="31"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  <dxf>
      <font>
        <b/>
        <color rgb="FFFF0000"/>
      </font>
      <fill>
        <patternFill patternType="solid">
          <fgColor rgb="FFFFFFFF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49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Expenditure</c:v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Council!$M$29:$S$29</c:f>
              <c:strCache>
                <c:ptCount val="7"/>
                <c:pt idx="0">
                  <c:v>2023 Actual</c:v>
                </c:pt>
                <c:pt idx="1">
                  <c:v>2024 Actual</c:v>
                </c:pt>
                <c:pt idx="2">
                  <c:v>Approved
  2025
 Budget</c:v>
                </c:pt>
                <c:pt idx="3">
                  <c:v>2025 YTD Actual</c:v>
                </c:pt>
                <c:pt idx="4">
                  <c:v>Projected 2025 </c:v>
                </c:pt>
                <c:pt idx="5">
                  <c:v>2026
 Requested
 Budget</c:v>
                </c:pt>
                <c:pt idx="6">
                  <c:v>2026 
Tentative 
Budget</c:v>
                </c:pt>
              </c:strCache>
            </c:strRef>
          </c:cat>
          <c:val>
            <c:numRef>
              <c:f>Council!$M$30:$S$30</c:f>
              <c:numCache>
                <c:formatCode>#,##0</c:formatCode>
                <c:ptCount val="7"/>
                <c:pt idx="0">
                  <c:v>412987</c:v>
                </c:pt>
                <c:pt idx="1">
                  <c:v>347179.33999999997</c:v>
                </c:pt>
                <c:pt idx="2">
                  <c:v>380368</c:v>
                </c:pt>
                <c:pt idx="3">
                  <c:v>284362.97000000003</c:v>
                </c:pt>
                <c:pt idx="4">
                  <c:v>353035.72710000002</c:v>
                </c:pt>
                <c:pt idx="5">
                  <c:v>545193</c:v>
                </c:pt>
                <c:pt idx="6">
                  <c:v>545589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145-4B80-B737-AEDB00FF4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9540694"/>
        <c:axId val="617604446"/>
      </c:barChart>
      <c:catAx>
        <c:axId val="73954069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Period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17604446"/>
        <c:crosses val="autoZero"/>
        <c:auto val="1"/>
        <c:lblAlgn val="ctr"/>
        <c:lblOffset val="100"/>
        <c:noMultiLvlLbl val="1"/>
      </c:catAx>
      <c:valAx>
        <c:axId val="61760444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Expenditure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73954069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Expenditure</c:v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'Auditor (2)'!$M$112:$S$112</c:f>
              <c:strCache>
                <c:ptCount val="7"/>
                <c:pt idx="0">
                  <c:v>2023 Actual</c:v>
                </c:pt>
                <c:pt idx="1">
                  <c:v>2024 Actual</c:v>
                </c:pt>
                <c:pt idx="2">
                  <c:v>Approved
  2025
 Budget</c:v>
                </c:pt>
                <c:pt idx="3">
                  <c:v>2025 YTD Actual</c:v>
                </c:pt>
                <c:pt idx="4">
                  <c:v>Projected 2025 </c:v>
                </c:pt>
                <c:pt idx="5">
                  <c:v>2026
 Requested
 Budget</c:v>
                </c:pt>
                <c:pt idx="6">
                  <c:v>2026 
Tentative 
Budget</c:v>
                </c:pt>
              </c:strCache>
            </c:strRef>
          </c:cat>
          <c:val>
            <c:numRef>
              <c:f>'Auditor (2)'!$M$113:$S$113</c:f>
              <c:numCache>
                <c:formatCode>#,##0</c:formatCode>
                <c:ptCount val="7"/>
                <c:pt idx="0">
                  <c:v>34295</c:v>
                </c:pt>
                <c:pt idx="1">
                  <c:v>35812.190000000031</c:v>
                </c:pt>
                <c:pt idx="2">
                  <c:v>77175</c:v>
                </c:pt>
                <c:pt idx="3">
                  <c:v>73382.23000000004</c:v>
                </c:pt>
                <c:pt idx="4">
                  <c:v>69181.067386666662</c:v>
                </c:pt>
                <c:pt idx="5">
                  <c:v>58419</c:v>
                </c:pt>
                <c:pt idx="6">
                  <c:v>63179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C3C-44D2-953D-9ECF5611E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4654155"/>
        <c:axId val="1908434898"/>
      </c:barChart>
      <c:catAx>
        <c:axId val="15346541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Period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08434898"/>
        <c:crosses val="autoZero"/>
        <c:auto val="1"/>
        <c:lblAlgn val="ctr"/>
        <c:lblOffset val="100"/>
        <c:noMultiLvlLbl val="1"/>
      </c:catAx>
      <c:valAx>
        <c:axId val="190843489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Expenditure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34654155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'Clerk (2)'!$L$36:$R$36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'Clerk (2)'!$L$37:$R$37</c:f>
              <c:numCache>
                <c:formatCode>#,##0</c:formatCode>
                <c:ptCount val="7"/>
                <c:pt idx="0">
                  <c:v>128701.65</c:v>
                </c:pt>
                <c:pt idx="1">
                  <c:v>271284.84999999998</c:v>
                </c:pt>
                <c:pt idx="2">
                  <c:v>319090</c:v>
                </c:pt>
                <c:pt idx="3">
                  <c:v>241837.45999999996</c:v>
                </c:pt>
                <c:pt idx="4">
                  <c:v>324198.86366666667</c:v>
                </c:pt>
                <c:pt idx="5">
                  <c:v>392225</c:v>
                </c:pt>
                <c:pt idx="6">
                  <c:v>262725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DC2-44D4-872B-6552064F1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011229"/>
        <c:axId val="907559974"/>
      </c:barChart>
      <c:catAx>
        <c:axId val="98301122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07559974"/>
        <c:crosses val="autoZero"/>
        <c:auto val="1"/>
        <c:lblAlgn val="ctr"/>
        <c:lblOffset val="100"/>
        <c:noMultiLvlLbl val="1"/>
      </c:catAx>
      <c:valAx>
        <c:axId val="90755997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83011229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014F-47D4-9695-F6F822983054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014F-47D4-9695-F6F822983054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014F-47D4-9695-F6F822983054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014F-47D4-9695-F6F822983054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014F-47D4-9695-F6F822983054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014F-47D4-9695-F6F822983054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014F-47D4-9695-F6F822983054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014F-47D4-9695-F6F822983054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014F-47D4-9695-F6F822983054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014F-47D4-9695-F6F822983054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014F-47D4-9695-F6F822983054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014F-47D4-9695-F6F822983054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014F-47D4-9695-F6F822983054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014F-47D4-9695-F6F822983054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014F-47D4-9695-F6F822983054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014F-47D4-9695-F6F822983054}"/>
              </c:ext>
            </c:extLst>
          </c:dPt>
          <c:cat>
            <c:strRef>
              <c:f>'Clerk (2)'!$B$3:$B$18</c:f>
              <c:strCache>
                <c:ptCount val="16"/>
                <c:pt idx="0">
                  <c:v>FULL TIME EMPLOYEES</c:v>
                </c:pt>
                <c:pt idx="1">
                  <c:v>OVERTIME</c:v>
                </c:pt>
                <c:pt idx="2">
                  <c:v>PART TIME EMPLOYEES</c:v>
                </c:pt>
                <c:pt idx="3">
                  <c:v>SEASONAL EMPLOYEES</c:v>
                </c:pt>
                <c:pt idx="4">
                  <c:v>EMPLOYEE BENEFITS</c:v>
                </c:pt>
                <c:pt idx="5">
                  <c:v>SUBSCRIPTIONS &amp; MEMBERSHIPS</c:v>
                </c:pt>
                <c:pt idx="6">
                  <c:v>TRAVEL</c:v>
                </c:pt>
                <c:pt idx="7">
                  <c:v>OFFICE SUPPLIES</c:v>
                </c:pt>
                <c:pt idx="8">
                  <c:v>EQUIPMENT SUPPLIES &amp; MAINT</c:v>
                </c:pt>
                <c:pt idx="9">
                  <c:v>NON CAPITALIZED EQUIPMENT</c:v>
                </c:pt>
                <c:pt idx="10">
                  <c:v>COMMUNICATIONS</c:v>
                </c:pt>
                <c:pt idx="11">
                  <c:v>FUEL</c:v>
                </c:pt>
                <c:pt idx="12">
                  <c:v>SOFTWARE PACKAGES</c:v>
                </c:pt>
                <c:pt idx="13">
                  <c:v>SPECIAL DEPT SUPPLIES</c:v>
                </c:pt>
                <c:pt idx="14">
                  <c:v>INSURANCE</c:v>
                </c:pt>
                <c:pt idx="15">
                  <c:v>MISCELLANEOUS SERVICES</c:v>
                </c:pt>
              </c:strCache>
            </c:strRef>
          </c:cat>
          <c:val>
            <c:numRef>
              <c:f>'Clerk (2)'!$R$3:$R$18</c:f>
              <c:numCache>
                <c:formatCode>#,##0</c:formatCode>
                <c:ptCount val="16"/>
                <c:pt idx="0">
                  <c:v>187900</c:v>
                </c:pt>
                <c:pt idx="1">
                  <c:v>5000</c:v>
                </c:pt>
                <c:pt idx="2">
                  <c:v>53100</c:v>
                </c:pt>
                <c:pt idx="3">
                  <c:v>0</c:v>
                </c:pt>
                <c:pt idx="4">
                  <c:v>85300</c:v>
                </c:pt>
                <c:pt idx="5">
                  <c:v>4225</c:v>
                </c:pt>
                <c:pt idx="6">
                  <c:v>4500</c:v>
                </c:pt>
                <c:pt idx="7">
                  <c:v>5000</c:v>
                </c:pt>
                <c:pt idx="8">
                  <c:v>3000</c:v>
                </c:pt>
                <c:pt idx="9">
                  <c:v>1000</c:v>
                </c:pt>
                <c:pt idx="10">
                  <c:v>1200</c:v>
                </c:pt>
                <c:pt idx="11">
                  <c:v>0</c:v>
                </c:pt>
                <c:pt idx="12">
                  <c:v>16000</c:v>
                </c:pt>
                <c:pt idx="13">
                  <c:v>0</c:v>
                </c:pt>
                <c:pt idx="14">
                  <c:v>1500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14F-47D4-9695-F6F822983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'Clerk (2)'!$L$122:$R$122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'Clerk (2)'!$L$123:$R$123</c:f>
              <c:numCache>
                <c:formatCode>#,##0</c:formatCode>
                <c:ptCount val="7"/>
                <c:pt idx="0">
                  <c:v>270565.05000000005</c:v>
                </c:pt>
                <c:pt idx="1">
                  <c:v>810353.64999999979</c:v>
                </c:pt>
                <c:pt idx="2">
                  <c:v>578930</c:v>
                </c:pt>
                <c:pt idx="3">
                  <c:v>376935.93000000005</c:v>
                </c:pt>
                <c:pt idx="4">
                  <c:v>470453.44233333331</c:v>
                </c:pt>
                <c:pt idx="5">
                  <c:v>970800</c:v>
                </c:pt>
                <c:pt idx="6">
                  <c:v>937300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4A9-4997-B97D-E8620569F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2798579"/>
        <c:axId val="1344957235"/>
      </c:barChart>
      <c:catAx>
        <c:axId val="10027985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44957235"/>
        <c:crosses val="autoZero"/>
        <c:auto val="1"/>
        <c:lblAlgn val="ctr"/>
        <c:lblOffset val="100"/>
        <c:noMultiLvlLbl val="1"/>
      </c:catAx>
      <c:valAx>
        <c:axId val="134495723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02798579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C7FB-477A-866E-9E2E402EB6F3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C7FB-477A-866E-9E2E402EB6F3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C7FB-477A-866E-9E2E402EB6F3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C7FB-477A-866E-9E2E402EB6F3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C7FB-477A-866E-9E2E402EB6F3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C7FB-477A-866E-9E2E402EB6F3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C7FB-477A-866E-9E2E402EB6F3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C7FB-477A-866E-9E2E402EB6F3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C7FB-477A-866E-9E2E402EB6F3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C7FB-477A-866E-9E2E402EB6F3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C7FB-477A-866E-9E2E402EB6F3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C7FB-477A-866E-9E2E402EB6F3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C7FB-477A-866E-9E2E402EB6F3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C7FB-477A-866E-9E2E402EB6F3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C7FB-477A-866E-9E2E402EB6F3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C7FB-477A-866E-9E2E402EB6F3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C7FB-477A-866E-9E2E402EB6F3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C7FB-477A-866E-9E2E402EB6F3}"/>
              </c:ext>
            </c:extLst>
          </c:dPt>
          <c:cat>
            <c:strRef>
              <c:f>'Clerk (2)'!$B$87:$B$104</c:f>
              <c:strCache>
                <c:ptCount val="18"/>
                <c:pt idx="0">
                  <c:v>FULL TIME EMPLOYEES</c:v>
                </c:pt>
                <c:pt idx="1">
                  <c:v>OVERTIME</c:v>
                </c:pt>
                <c:pt idx="2">
                  <c:v>PART TIME EMPLOYEES</c:v>
                </c:pt>
                <c:pt idx="3">
                  <c:v>SEASONAL EMPLOYEES</c:v>
                </c:pt>
                <c:pt idx="4">
                  <c:v>EMPLOYEE BENEFITS</c:v>
                </c:pt>
                <c:pt idx="5">
                  <c:v>MATERIAL SUPPLIES &amp; SERVICES</c:v>
                </c:pt>
                <c:pt idx="6">
                  <c:v>SUBSCRIPTIONS &amp; MEMBERSHIPS</c:v>
                </c:pt>
                <c:pt idx="7">
                  <c:v>TRAVEL</c:v>
                </c:pt>
                <c:pt idx="8">
                  <c:v>OFFICE SUPPLIES</c:v>
                </c:pt>
                <c:pt idx="9">
                  <c:v>EQUIPMENT SUPPLIES &amp; MAINT</c:v>
                </c:pt>
                <c:pt idx="10">
                  <c:v>NON CAPITALIZED EQUIPMENT</c:v>
                </c:pt>
                <c:pt idx="11">
                  <c:v>UTILITIES</c:v>
                </c:pt>
                <c:pt idx="12">
                  <c:v>COMMUNICATIONS</c:v>
                </c:pt>
                <c:pt idx="13">
                  <c:v>FUEL</c:v>
                </c:pt>
                <c:pt idx="14">
                  <c:v>SOFTWARE PACKAGES</c:v>
                </c:pt>
                <c:pt idx="15">
                  <c:v>MUNICIPAL ELECTION SERVICES</c:v>
                </c:pt>
                <c:pt idx="16">
                  <c:v>INSURANCE</c:v>
                </c:pt>
                <c:pt idx="17">
                  <c:v>MISCELLANEOUS SERVICES</c:v>
                </c:pt>
              </c:strCache>
            </c:strRef>
          </c:cat>
          <c:val>
            <c:numRef>
              <c:f>'Clerk (2)'!$R$87:$R$104</c:f>
              <c:numCache>
                <c:formatCode>#,##0</c:formatCode>
                <c:ptCount val="18"/>
                <c:pt idx="0">
                  <c:v>172600</c:v>
                </c:pt>
                <c:pt idx="1">
                  <c:v>10000</c:v>
                </c:pt>
                <c:pt idx="2">
                  <c:v>38000</c:v>
                </c:pt>
                <c:pt idx="3">
                  <c:v>80000</c:v>
                </c:pt>
                <c:pt idx="4">
                  <c:v>100500</c:v>
                </c:pt>
                <c:pt idx="5">
                  <c:v>501000</c:v>
                </c:pt>
                <c:pt idx="6">
                  <c:v>8000</c:v>
                </c:pt>
                <c:pt idx="7">
                  <c:v>6000</c:v>
                </c:pt>
                <c:pt idx="8">
                  <c:v>0</c:v>
                </c:pt>
                <c:pt idx="9">
                  <c:v>1500</c:v>
                </c:pt>
                <c:pt idx="10">
                  <c:v>2000</c:v>
                </c:pt>
                <c:pt idx="11">
                  <c:v>5000</c:v>
                </c:pt>
                <c:pt idx="12">
                  <c:v>5000</c:v>
                </c:pt>
                <c:pt idx="13">
                  <c:v>2500</c:v>
                </c:pt>
                <c:pt idx="14">
                  <c:v>2000</c:v>
                </c:pt>
                <c:pt idx="15">
                  <c:v>0</c:v>
                </c:pt>
                <c:pt idx="16">
                  <c:v>2700</c:v>
                </c:pt>
                <c:pt idx="17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C7FB-477A-866E-9E2E402EB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Recorder!$M$31:$S$31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Recorder!$M$32:$S$32</c:f>
              <c:numCache>
                <c:formatCode>#,##0</c:formatCode>
                <c:ptCount val="7"/>
                <c:pt idx="0">
                  <c:v>804909</c:v>
                </c:pt>
                <c:pt idx="1">
                  <c:v>784904.51000000013</c:v>
                </c:pt>
                <c:pt idx="2">
                  <c:v>947897.5</c:v>
                </c:pt>
                <c:pt idx="3">
                  <c:v>571931.36</c:v>
                </c:pt>
                <c:pt idx="4">
                  <c:v>775586.18966666667</c:v>
                </c:pt>
                <c:pt idx="5">
                  <c:v>485625</c:v>
                </c:pt>
                <c:pt idx="6">
                  <c:v>766900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2BE-4EAC-9135-78F567535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247954"/>
        <c:axId val="1580501730"/>
      </c:barChart>
      <c:catAx>
        <c:axId val="103624795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80501730"/>
        <c:crosses val="autoZero"/>
        <c:auto val="1"/>
        <c:lblAlgn val="ctr"/>
        <c:lblOffset val="100"/>
        <c:noMultiLvlLbl val="1"/>
      </c:catAx>
      <c:valAx>
        <c:axId val="158050173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3624795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9E1F-41FD-8217-285B56CA2533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9E1F-41FD-8217-285B56CA2533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9E1F-41FD-8217-285B56CA2533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9E1F-41FD-8217-285B56CA2533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9E1F-41FD-8217-285B56CA2533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9E1F-41FD-8217-285B56CA2533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9E1F-41FD-8217-285B56CA2533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9E1F-41FD-8217-285B56CA2533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9E1F-41FD-8217-285B56CA2533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9E1F-41FD-8217-285B56CA2533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9E1F-41FD-8217-285B56CA2533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9E1F-41FD-8217-285B56CA2533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9E1F-41FD-8217-285B56CA2533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9E1F-41FD-8217-285B56CA2533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9E1F-41FD-8217-285B56CA2533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9E1F-41FD-8217-285B56CA2533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9E1F-41FD-8217-285B56CA2533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22-9E1F-41FD-8217-285B56CA2533}"/>
              </c:ext>
            </c:extLst>
          </c:dPt>
          <c:cat>
            <c:strRef>
              <c:f>Recorder!$B$3:$B$20</c:f>
              <c:strCache>
                <c:ptCount val="17"/>
                <c:pt idx="0">
                  <c:v>FULL TIME EMPLOYEES</c:v>
                </c:pt>
                <c:pt idx="1">
                  <c:v>OVERTIME</c:v>
                </c:pt>
                <c:pt idx="2">
                  <c:v>PART TIME EMPLOYEES</c:v>
                </c:pt>
                <c:pt idx="3">
                  <c:v>SEASONAL EMPLOYEES</c:v>
                </c:pt>
                <c:pt idx="4">
                  <c:v>EMPLOYEE BENEFITS</c:v>
                </c:pt>
                <c:pt idx="5">
                  <c:v>SUBSCRIPTIONS &amp; MEMBERSHIPS</c:v>
                </c:pt>
                <c:pt idx="6">
                  <c:v>TRAVEL</c:v>
                </c:pt>
                <c:pt idx="7">
                  <c:v>OFFICE SUPPLIES</c:v>
                </c:pt>
                <c:pt idx="8">
                  <c:v>EQUIPMENT SUPPLIES &amp; MAINT</c:v>
                </c:pt>
                <c:pt idx="9">
                  <c:v>NON CAPITALIZED EQUIPMENT</c:v>
                </c:pt>
                <c:pt idx="10">
                  <c:v>COMMUNICATIONS</c:v>
                </c:pt>
                <c:pt idx="11">
                  <c:v>PROFESSIONAL &amp; TECHNICAL</c:v>
                </c:pt>
                <c:pt idx="12">
                  <c:v>SOFTWARE PACKAGES</c:v>
                </c:pt>
                <c:pt idx="13">
                  <c:v>EDUCATION &amp; TRAINING</c:v>
                </c:pt>
                <c:pt idx="14">
                  <c:v>INSURANCE</c:v>
                </c:pt>
                <c:pt idx="15">
                  <c:v>MISCELLANEOUS SERVICES</c:v>
                </c:pt>
                <c:pt idx="16">
                  <c:v>TAX ADMIN - RECORDER 50%</c:v>
                </c:pt>
              </c:strCache>
            </c:strRef>
          </c:cat>
          <c:val>
            <c:numRef>
              <c:f>Recorder!$S$3:$S$20</c:f>
              <c:numCache>
                <c:formatCode>#,##0</c:formatCode>
                <c:ptCount val="18"/>
                <c:pt idx="0">
                  <c:v>433500</c:v>
                </c:pt>
                <c:pt idx="1">
                  <c:v>500</c:v>
                </c:pt>
                <c:pt idx="2">
                  <c:v>76100</c:v>
                </c:pt>
                <c:pt idx="3">
                  <c:v>0</c:v>
                </c:pt>
                <c:pt idx="4">
                  <c:v>198400</c:v>
                </c:pt>
                <c:pt idx="5">
                  <c:v>3900</c:v>
                </c:pt>
                <c:pt idx="6">
                  <c:v>5500</c:v>
                </c:pt>
                <c:pt idx="7">
                  <c:v>2500</c:v>
                </c:pt>
                <c:pt idx="8">
                  <c:v>6600</c:v>
                </c:pt>
                <c:pt idx="9">
                  <c:v>0</c:v>
                </c:pt>
                <c:pt idx="10">
                  <c:v>2000</c:v>
                </c:pt>
                <c:pt idx="11">
                  <c:v>12500</c:v>
                </c:pt>
                <c:pt idx="12">
                  <c:v>17000</c:v>
                </c:pt>
                <c:pt idx="13">
                  <c:v>2400</c:v>
                </c:pt>
                <c:pt idx="14">
                  <c:v>6000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1F-41FD-8217-285B56CA2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>
        <c:manualLayout>
          <c:xMode val="edge"/>
          <c:yMode val="edge"/>
          <c:x val="2.6757188498402557E-2"/>
          <c:y val="4.4029850746268653E-2"/>
        </c:manualLayout>
      </c:layout>
      <c:overlay val="0"/>
    </c:title>
    <c:autoTitleDeleted val="0"/>
    <c:plotArea>
      <c:layout/>
      <c:doughnutChart>
        <c:varyColors val="1"/>
        <c:ser>
          <c:idx val="0"/>
          <c:order val="0"/>
          <c:tx>
            <c:strRef>
              <c:f>Attorney!$R$4</c:f>
              <c:strCache>
                <c:ptCount val="1"/>
              </c:strCache>
            </c:strRef>
          </c:tx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25DA-4D58-A10F-F0C476352FE5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25DA-4D58-A10F-F0C476352FE5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25DA-4D58-A10F-F0C476352FE5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25DA-4D58-A10F-F0C476352FE5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25DA-4D58-A10F-F0C476352FE5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25DA-4D58-A10F-F0C476352FE5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25DA-4D58-A10F-F0C476352FE5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25DA-4D58-A10F-F0C476352FE5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25DA-4D58-A10F-F0C476352FE5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25DA-4D58-A10F-F0C476352FE5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25DA-4D58-A10F-F0C476352FE5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25DA-4D58-A10F-F0C476352FE5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25DA-4D58-A10F-F0C476352FE5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25DA-4D58-A10F-F0C476352FE5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25DA-4D58-A10F-F0C476352FE5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25DA-4D58-A10F-F0C476352FE5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25DA-4D58-A10F-F0C476352FE5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25DA-4D58-A10F-F0C476352FE5}"/>
              </c:ext>
            </c:extLst>
          </c:dPt>
          <c:dPt>
            <c:idx val="18"/>
            <c:bubble3D val="0"/>
            <c:spPr>
              <a:solidFill>
                <a:srgbClr val="ECF3FE"/>
              </a:solidFill>
            </c:spPr>
            <c:extLst>
              <c:ext xmlns:c16="http://schemas.microsoft.com/office/drawing/2014/chart" uri="{C3380CC4-5D6E-409C-BE32-E72D297353CC}">
                <c16:uniqueId val="{00000025-25DA-4D58-A10F-F0C476352FE5}"/>
              </c:ext>
            </c:extLst>
          </c:dPt>
          <c:dPt>
            <c:idx val="19"/>
            <c:bubble3D val="0"/>
            <c:spPr>
              <a:solidFill>
                <a:srgbClr val="FDECEB"/>
              </a:solidFill>
            </c:spPr>
            <c:extLst>
              <c:ext xmlns:c16="http://schemas.microsoft.com/office/drawing/2014/chart" uri="{C3380CC4-5D6E-409C-BE32-E72D297353CC}">
                <c16:uniqueId val="{00000027-25DA-4D58-A10F-F0C476352FE5}"/>
              </c:ext>
            </c:extLst>
          </c:dPt>
          <c:dPt>
            <c:idx val="20"/>
            <c:bubble3D val="0"/>
            <c:spPr>
              <a:solidFill>
                <a:srgbClr val="FFF8E6"/>
              </a:solidFill>
            </c:spPr>
            <c:extLst>
              <c:ext xmlns:c16="http://schemas.microsoft.com/office/drawing/2014/chart" uri="{C3380CC4-5D6E-409C-BE32-E72D297353CC}">
                <c16:uniqueId val="{00000029-25DA-4D58-A10F-F0C476352FE5}"/>
              </c:ext>
            </c:extLst>
          </c:dPt>
          <c:cat>
            <c:strRef>
              <c:f>Attorney!$B$5:$B$25</c:f>
              <c:strCache>
                <c:ptCount val="21"/>
                <c:pt idx="0">
                  <c:v>Title</c:v>
                </c:pt>
                <c:pt idx="1">
                  <c:v>FULL TIME EMPLOYEES</c:v>
                </c:pt>
                <c:pt idx="2">
                  <c:v>OVERTIME</c:v>
                </c:pt>
                <c:pt idx="3">
                  <c:v>PART TIME EMPLOYEES</c:v>
                </c:pt>
                <c:pt idx="4">
                  <c:v>EMPLOYEE BENEFITS</c:v>
                </c:pt>
                <c:pt idx="5">
                  <c:v>LAW LIBRARY- MATERIALS &amp; SUPP</c:v>
                </c:pt>
                <c:pt idx="6">
                  <c:v>SUBSCRIPTIONS &amp; MEMBERSHIPS</c:v>
                </c:pt>
                <c:pt idx="7">
                  <c:v>TRAVEL</c:v>
                </c:pt>
                <c:pt idx="8">
                  <c:v>OFFICE SUPPLIES</c:v>
                </c:pt>
                <c:pt idx="9">
                  <c:v>EQUIPMENT SUPPLIES &amp; MAINT</c:v>
                </c:pt>
                <c:pt idx="10">
                  <c:v>NON CAPITALIZED EQUIPMENT</c:v>
                </c:pt>
                <c:pt idx="11">
                  <c:v>COMMUNICATIONS</c:v>
                </c:pt>
                <c:pt idx="12">
                  <c:v>PROFESSIONAL &amp; TECHNICAL</c:v>
                </c:pt>
                <c:pt idx="13">
                  <c:v>SOFTWARE PACKAGES</c:v>
                </c:pt>
                <c:pt idx="14">
                  <c:v>WITNESS AND TRIAL COSTS</c:v>
                </c:pt>
                <c:pt idx="15">
                  <c:v>EDUCATION &amp; TRAINING</c:v>
                </c:pt>
                <c:pt idx="16">
                  <c:v>SPECIAL DEPTARTMENT SUPPLIES</c:v>
                </c:pt>
                <c:pt idx="17">
                  <c:v>SPEC DEPT SUPPLIES - TRAFFIC</c:v>
                </c:pt>
                <c:pt idx="18">
                  <c:v>INSURANCE</c:v>
                </c:pt>
                <c:pt idx="19">
                  <c:v>MISCELLANEOUS SERVICES</c:v>
                </c:pt>
                <c:pt idx="20">
                  <c:v>TAX ADMIN - ATTORNEY 9%</c:v>
                </c:pt>
              </c:strCache>
            </c:strRef>
          </c:cat>
          <c:val>
            <c:numRef>
              <c:f>Attorney!$R$5:$R$25</c:f>
              <c:numCache>
                <c:formatCode>#,##0</c:formatCode>
                <c:ptCount val="21"/>
                <c:pt idx="0">
                  <c:v>0</c:v>
                </c:pt>
                <c:pt idx="1">
                  <c:v>2414300</c:v>
                </c:pt>
                <c:pt idx="2">
                  <c:v>15000</c:v>
                </c:pt>
                <c:pt idx="3">
                  <c:v>13000</c:v>
                </c:pt>
                <c:pt idx="4">
                  <c:v>1040200</c:v>
                </c:pt>
                <c:pt idx="5">
                  <c:v>19500</c:v>
                </c:pt>
                <c:pt idx="6">
                  <c:v>13100</c:v>
                </c:pt>
                <c:pt idx="7">
                  <c:v>23000</c:v>
                </c:pt>
                <c:pt idx="8">
                  <c:v>14200</c:v>
                </c:pt>
                <c:pt idx="9">
                  <c:v>12800</c:v>
                </c:pt>
                <c:pt idx="10">
                  <c:v>12000</c:v>
                </c:pt>
                <c:pt idx="11">
                  <c:v>23940</c:v>
                </c:pt>
                <c:pt idx="12">
                  <c:v>50000</c:v>
                </c:pt>
                <c:pt idx="13">
                  <c:v>115000</c:v>
                </c:pt>
                <c:pt idx="14">
                  <c:v>16000</c:v>
                </c:pt>
                <c:pt idx="15">
                  <c:v>27000</c:v>
                </c:pt>
                <c:pt idx="16">
                  <c:v>0</c:v>
                </c:pt>
                <c:pt idx="17">
                  <c:v>0</c:v>
                </c:pt>
                <c:pt idx="18">
                  <c:v>15000</c:v>
                </c:pt>
                <c:pt idx="19">
                  <c:v>0</c:v>
                </c:pt>
                <c:pt idx="20">
                  <c:v>-344164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5DA-4D58-A10F-F0C476352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Expenditure</c:v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Attorney!$M$106:$S$106</c:f>
              <c:strCache>
                <c:ptCount val="7"/>
                <c:pt idx="0">
                  <c:v>2023 Actual</c:v>
                </c:pt>
                <c:pt idx="1">
                  <c:v>2024 Actual</c:v>
                </c:pt>
                <c:pt idx="2">
                  <c:v>Approved
  2025
 Budget</c:v>
                </c:pt>
                <c:pt idx="3">
                  <c:v>2025 YTD Actual</c:v>
                </c:pt>
                <c:pt idx="4">
                  <c:v>Projected 2025 </c:v>
                </c:pt>
                <c:pt idx="5">
                  <c:v>2026
 Requested
 Budget</c:v>
                </c:pt>
                <c:pt idx="6">
                  <c:v>2026 
Tentative 
Budget</c:v>
                </c:pt>
              </c:strCache>
            </c:strRef>
          </c:cat>
          <c:val>
            <c:numRef>
              <c:f>Attorney!$M$107:$S$107</c:f>
              <c:numCache>
                <c:formatCode>#,##0</c:formatCode>
                <c:ptCount val="7"/>
                <c:pt idx="0">
                  <c:v>1783504</c:v>
                </c:pt>
                <c:pt idx="1">
                  <c:v>3341155.04</c:v>
                </c:pt>
                <c:pt idx="2">
                  <c:v>3238344</c:v>
                </c:pt>
                <c:pt idx="3">
                  <c:v>2414640.29</c:v>
                </c:pt>
                <c:pt idx="4">
                  <c:v>3626329.1083333334</c:v>
                </c:pt>
                <c:pt idx="5">
                  <c:v>3488623</c:v>
                </c:pt>
                <c:pt idx="6">
                  <c:v>3168576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295-4EE2-AF4D-4BA067389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9457657"/>
        <c:axId val="2056370672"/>
      </c:barChart>
      <c:catAx>
        <c:axId val="55945765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Period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56370672"/>
        <c:crosses val="autoZero"/>
        <c:auto val="1"/>
        <c:lblAlgn val="ctr"/>
        <c:lblOffset val="100"/>
        <c:noMultiLvlLbl val="1"/>
      </c:catAx>
      <c:valAx>
        <c:axId val="205637067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Expenditure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559457657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Expenditures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Expenditure Comparison</c:v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'Victim Services'!$M$101:$S$101</c:f>
              <c:strCache>
                <c:ptCount val="7"/>
                <c:pt idx="0">
                  <c:v>2023 Actual</c:v>
                </c:pt>
                <c:pt idx="1">
                  <c:v>2024 Actual</c:v>
                </c:pt>
                <c:pt idx="2">
                  <c:v>Approved
  2025
 Budget</c:v>
                </c:pt>
                <c:pt idx="3">
                  <c:v>2025 YTD Actual</c:v>
                </c:pt>
                <c:pt idx="4">
                  <c:v>Projected 2025 </c:v>
                </c:pt>
                <c:pt idx="5">
                  <c:v>2026
 Requested
 Budget</c:v>
                </c:pt>
                <c:pt idx="6">
                  <c:v>2026 
Tentative 
Budget</c:v>
                </c:pt>
              </c:strCache>
            </c:strRef>
          </c:cat>
          <c:val>
            <c:numRef>
              <c:f>'Victim Services'!$M$102:$S$102</c:f>
              <c:numCache>
                <c:formatCode>#,##0</c:formatCode>
                <c:ptCount val="7"/>
                <c:pt idx="0">
                  <c:v>1467501</c:v>
                </c:pt>
                <c:pt idx="1">
                  <c:v>1124031.2999999998</c:v>
                </c:pt>
                <c:pt idx="2">
                  <c:v>512914</c:v>
                </c:pt>
                <c:pt idx="3">
                  <c:v>364707.26</c:v>
                </c:pt>
                <c:pt idx="4">
                  <c:v>452082.58799999987</c:v>
                </c:pt>
                <c:pt idx="5">
                  <c:v>601820</c:v>
                </c:pt>
                <c:pt idx="6">
                  <c:v>599820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253-4A03-A0CF-37AEC7735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3475119"/>
        <c:axId val="1647281570"/>
      </c:barChart>
      <c:catAx>
        <c:axId val="20934751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Period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47281570"/>
        <c:crosses val="autoZero"/>
        <c:auto val="1"/>
        <c:lblAlgn val="ctr"/>
        <c:lblOffset val="100"/>
        <c:noMultiLvlLbl val="1"/>
      </c:catAx>
      <c:valAx>
        <c:axId val="164728157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Expenditure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93475119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BF11-4F5D-9EA2-70CC773FAD8A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BF11-4F5D-9EA2-70CC773FAD8A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BF11-4F5D-9EA2-70CC773FAD8A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BF11-4F5D-9EA2-70CC773FAD8A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BF11-4F5D-9EA2-70CC773FAD8A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BF11-4F5D-9EA2-70CC773FAD8A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BF11-4F5D-9EA2-70CC773FAD8A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BF11-4F5D-9EA2-70CC773FAD8A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BF11-4F5D-9EA2-70CC773FAD8A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BF11-4F5D-9EA2-70CC773FAD8A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BF11-4F5D-9EA2-70CC773FAD8A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BF11-4F5D-9EA2-70CC773FAD8A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BF11-4F5D-9EA2-70CC773FAD8A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BF11-4F5D-9EA2-70CC773FAD8A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BF11-4F5D-9EA2-70CC773FAD8A}"/>
              </c:ext>
            </c:extLst>
          </c:dPt>
          <c:cat>
            <c:strRef>
              <c:f>Council!$B$6:$B$20</c:f>
              <c:strCache>
                <c:ptCount val="15"/>
                <c:pt idx="0">
                  <c:v>FULL TIME EMPLOYEES</c:v>
                </c:pt>
                <c:pt idx="1">
                  <c:v>OVERTIME</c:v>
                </c:pt>
                <c:pt idx="2">
                  <c:v>EMPLOYEE BENEFITS</c:v>
                </c:pt>
                <c:pt idx="3">
                  <c:v>SUBSCRIPTIONS &amp; MEMBERSHIPS</c:v>
                </c:pt>
                <c:pt idx="4">
                  <c:v>TRAVEL</c:v>
                </c:pt>
                <c:pt idx="5">
                  <c:v>NACO TRAVEL</c:v>
                </c:pt>
                <c:pt idx="6">
                  <c:v>OFFICE SUPPLIES</c:v>
                </c:pt>
                <c:pt idx="7">
                  <c:v>EQUIPMENT SUPPLIES &amp; MAINT</c:v>
                </c:pt>
                <c:pt idx="8">
                  <c:v>COMMUNICATIONS</c:v>
                </c:pt>
                <c:pt idx="9">
                  <c:v>PROFESSIONAL &amp; TECHNICAL</c:v>
                </c:pt>
                <c:pt idx="10">
                  <c:v>SOFTWARE PACKAGES</c:v>
                </c:pt>
                <c:pt idx="11">
                  <c:v>EDUCATION &amp; TRAINING</c:v>
                </c:pt>
                <c:pt idx="12">
                  <c:v>INSURANCE</c:v>
                </c:pt>
                <c:pt idx="13">
                  <c:v>MISCELLANEOUS SERVICES</c:v>
                </c:pt>
                <c:pt idx="14">
                  <c:v>TAX ADMIN - COUNCIL 10%</c:v>
                </c:pt>
              </c:strCache>
            </c:strRef>
          </c:cat>
          <c:val>
            <c:numRef>
              <c:f>Council!$R$6:$R$20</c:f>
              <c:numCache>
                <c:formatCode>#,##0</c:formatCode>
                <c:ptCount val="15"/>
                <c:pt idx="0">
                  <c:v>402800</c:v>
                </c:pt>
                <c:pt idx="1">
                  <c:v>2000</c:v>
                </c:pt>
                <c:pt idx="2">
                  <c:v>69800</c:v>
                </c:pt>
                <c:pt idx="3">
                  <c:v>24200</c:v>
                </c:pt>
                <c:pt idx="4">
                  <c:v>19570</c:v>
                </c:pt>
                <c:pt idx="5">
                  <c:v>0</c:v>
                </c:pt>
                <c:pt idx="6">
                  <c:v>2500</c:v>
                </c:pt>
                <c:pt idx="7">
                  <c:v>500</c:v>
                </c:pt>
                <c:pt idx="8">
                  <c:v>3540</c:v>
                </c:pt>
                <c:pt idx="9">
                  <c:v>67800</c:v>
                </c:pt>
                <c:pt idx="10">
                  <c:v>1000</c:v>
                </c:pt>
                <c:pt idx="11">
                  <c:v>7600</c:v>
                </c:pt>
                <c:pt idx="12">
                  <c:v>2400</c:v>
                </c:pt>
                <c:pt idx="13">
                  <c:v>2500</c:v>
                </c:pt>
                <c:pt idx="14">
                  <c:v>-60621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F11-4F5D-9EA2-70CC773FA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6E9E-4E21-AD8B-488719FC5A47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6E9E-4E21-AD8B-488719FC5A47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6E9E-4E21-AD8B-488719FC5A47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6E9E-4E21-AD8B-488719FC5A47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6E9E-4E21-AD8B-488719FC5A47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6E9E-4E21-AD8B-488719FC5A47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6E9E-4E21-AD8B-488719FC5A47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6E9E-4E21-AD8B-488719FC5A47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6E9E-4E21-AD8B-488719FC5A47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6E9E-4E21-AD8B-488719FC5A47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6E9E-4E21-AD8B-488719FC5A47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6E9E-4E21-AD8B-488719FC5A47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6E9E-4E21-AD8B-488719FC5A47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6E9E-4E21-AD8B-488719FC5A47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6E9E-4E21-AD8B-488719FC5A47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6E9E-4E21-AD8B-488719FC5A47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6E9E-4E21-AD8B-488719FC5A47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6E9E-4E21-AD8B-488719FC5A47}"/>
              </c:ext>
            </c:extLst>
          </c:dPt>
          <c:dPt>
            <c:idx val="18"/>
            <c:bubble3D val="0"/>
            <c:spPr>
              <a:solidFill>
                <a:srgbClr val="ECF3FE"/>
              </a:solidFill>
            </c:spPr>
            <c:extLst>
              <c:ext xmlns:c16="http://schemas.microsoft.com/office/drawing/2014/chart" uri="{C3380CC4-5D6E-409C-BE32-E72D297353CC}">
                <c16:uniqueId val="{00000025-6E9E-4E21-AD8B-488719FC5A47}"/>
              </c:ext>
            </c:extLst>
          </c:dPt>
          <c:dPt>
            <c:idx val="19"/>
            <c:bubble3D val="0"/>
            <c:spPr>
              <a:solidFill>
                <a:srgbClr val="FDECEB"/>
              </a:solidFill>
            </c:spPr>
            <c:extLst>
              <c:ext xmlns:c16="http://schemas.microsoft.com/office/drawing/2014/chart" uri="{C3380CC4-5D6E-409C-BE32-E72D297353CC}">
                <c16:uniqueId val="{00000027-6E9E-4E21-AD8B-488719FC5A47}"/>
              </c:ext>
            </c:extLst>
          </c:dPt>
          <c:cat>
            <c:strRef>
              <c:f>'Victim Services'!$B$6:$B$25</c:f>
              <c:strCache>
                <c:ptCount val="20"/>
                <c:pt idx="0">
                  <c:v>FULL TIME EMPLOYEES</c:v>
                </c:pt>
                <c:pt idx="1">
                  <c:v>OVERTIME</c:v>
                </c:pt>
                <c:pt idx="2">
                  <c:v>PART TIME EMPLOYEES</c:v>
                </c:pt>
                <c:pt idx="3">
                  <c:v>SEASONAL EMPLOYEES</c:v>
                </c:pt>
                <c:pt idx="4">
                  <c:v>EMPLOYEE BENEFITS</c:v>
                </c:pt>
                <c:pt idx="5">
                  <c:v>PAGER PAY</c:v>
                </c:pt>
                <c:pt idx="6">
                  <c:v>TRAVEL</c:v>
                </c:pt>
                <c:pt idx="7">
                  <c:v>OFFICE SUPPLIES</c:v>
                </c:pt>
                <c:pt idx="8">
                  <c:v>EQUIPMENT SUPPLIES &amp; MAINT</c:v>
                </c:pt>
                <c:pt idx="9">
                  <c:v>NON CAPITALIZED EQUIPMENT</c:v>
                </c:pt>
                <c:pt idx="10">
                  <c:v>UTILITIES</c:v>
                </c:pt>
                <c:pt idx="11">
                  <c:v>COMMUNICATIONS</c:v>
                </c:pt>
                <c:pt idx="12">
                  <c:v>FUEL</c:v>
                </c:pt>
                <c:pt idx="13">
                  <c:v>PROFESSIONAL &amp; TECHNICAL</c:v>
                </c:pt>
                <c:pt idx="14">
                  <c:v>EDUCATION &amp; TRAINING</c:v>
                </c:pt>
                <c:pt idx="15">
                  <c:v>SPEC DEPT-EMERG ASSISTANCE</c:v>
                </c:pt>
                <c:pt idx="16">
                  <c:v>MENTAL HEALTH FIRST RESPONDERS</c:v>
                </c:pt>
                <c:pt idx="17">
                  <c:v>SPECIAL GRANT EXPENSE</c:v>
                </c:pt>
                <c:pt idx="18">
                  <c:v>UNIFORMS</c:v>
                </c:pt>
                <c:pt idx="19">
                  <c:v>INSURANCE</c:v>
                </c:pt>
              </c:strCache>
            </c:strRef>
          </c:cat>
          <c:val>
            <c:numRef>
              <c:f>'Victim Services'!$R$6:$R$25</c:f>
              <c:numCache>
                <c:formatCode>#,##0</c:formatCode>
                <c:ptCount val="20"/>
                <c:pt idx="0">
                  <c:v>492200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256700</c:v>
                </c:pt>
                <c:pt idx="5">
                  <c:v>33000</c:v>
                </c:pt>
                <c:pt idx="6">
                  <c:v>5000</c:v>
                </c:pt>
                <c:pt idx="7">
                  <c:v>6300</c:v>
                </c:pt>
                <c:pt idx="8">
                  <c:v>5000</c:v>
                </c:pt>
                <c:pt idx="9">
                  <c:v>15000</c:v>
                </c:pt>
                <c:pt idx="10">
                  <c:v>0</c:v>
                </c:pt>
                <c:pt idx="11">
                  <c:v>7940</c:v>
                </c:pt>
                <c:pt idx="12">
                  <c:v>4000</c:v>
                </c:pt>
                <c:pt idx="13">
                  <c:v>0</c:v>
                </c:pt>
                <c:pt idx="14">
                  <c:v>5000</c:v>
                </c:pt>
                <c:pt idx="15">
                  <c:v>3000</c:v>
                </c:pt>
                <c:pt idx="16">
                  <c:v>0</c:v>
                </c:pt>
                <c:pt idx="17">
                  <c:v>0</c:v>
                </c:pt>
                <c:pt idx="18">
                  <c:v>500</c:v>
                </c:pt>
                <c:pt idx="19">
                  <c:v>6180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6E9E-4E21-AD8B-488719FC5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783B-4C90-BC9F-33974C587A17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783B-4C90-BC9F-33974C587A17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783B-4C90-BC9F-33974C587A17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783B-4C90-BC9F-33974C587A17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783B-4C90-BC9F-33974C587A17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783B-4C90-BC9F-33974C587A17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783B-4C90-BC9F-33974C587A17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783B-4C90-BC9F-33974C587A17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783B-4C90-BC9F-33974C587A17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783B-4C90-BC9F-33974C587A17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783B-4C90-BC9F-33974C587A17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783B-4C90-BC9F-33974C587A17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783B-4C90-BC9F-33974C587A17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783B-4C90-BC9F-33974C587A17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783B-4C90-BC9F-33974C587A17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783B-4C90-BC9F-33974C587A17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783B-4C90-BC9F-33974C587A17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783B-4C90-BC9F-33974C587A17}"/>
              </c:ext>
            </c:extLst>
          </c:dPt>
          <c:dPt>
            <c:idx val="18"/>
            <c:bubble3D val="0"/>
            <c:spPr>
              <a:solidFill>
                <a:srgbClr val="ECF3FE"/>
              </a:solidFill>
            </c:spPr>
            <c:extLst>
              <c:ext xmlns:c16="http://schemas.microsoft.com/office/drawing/2014/chart" uri="{C3380CC4-5D6E-409C-BE32-E72D297353CC}">
                <c16:uniqueId val="{00000025-783B-4C90-BC9F-33974C587A17}"/>
              </c:ext>
            </c:extLst>
          </c:dPt>
          <c:cat>
            <c:strRef>
              <c:f>'Public Defender'!$B$6:$B$24</c:f>
              <c:strCache>
                <c:ptCount val="19"/>
                <c:pt idx="0">
                  <c:v>FULL TIME EMPLOYEES</c:v>
                </c:pt>
                <c:pt idx="1">
                  <c:v>OVERTIME</c:v>
                </c:pt>
                <c:pt idx="2">
                  <c:v>SEASONAL EMPLOYEES</c:v>
                </c:pt>
                <c:pt idx="3">
                  <c:v>EMPLOYEE BENEFITS</c:v>
                </c:pt>
                <c:pt idx="4">
                  <c:v>INDIGENT CAPITAL DEFENSE FUND</c:v>
                </c:pt>
                <c:pt idx="5">
                  <c:v>SUBSCRIPTIONS &amp; MEMBERSHIPS</c:v>
                </c:pt>
                <c:pt idx="6">
                  <c:v>TRAVEL</c:v>
                </c:pt>
                <c:pt idx="7">
                  <c:v>OFFICE SUPPLIES</c:v>
                </c:pt>
                <c:pt idx="8">
                  <c:v>NON CAPITALIZED EQUIPMENT</c:v>
                </c:pt>
                <c:pt idx="9">
                  <c:v>BUILDINGS AND GROUNDS</c:v>
                </c:pt>
                <c:pt idx="10">
                  <c:v>COMMUNICATIONS</c:v>
                </c:pt>
                <c:pt idx="11">
                  <c:v>FUEL</c:v>
                </c:pt>
                <c:pt idx="12">
                  <c:v>RENT</c:v>
                </c:pt>
                <c:pt idx="13">
                  <c:v>PROFESSIONAL &amp; TECHNICAL</c:v>
                </c:pt>
                <c:pt idx="14">
                  <c:v>SOFTWARE PACKAGES</c:v>
                </c:pt>
                <c:pt idx="15">
                  <c:v>EDUCATION &amp; TRAINING</c:v>
                </c:pt>
                <c:pt idx="16">
                  <c:v>SOCIAL WORKER EXPENSE</c:v>
                </c:pt>
                <c:pt idx="17">
                  <c:v>INSURANCE</c:v>
                </c:pt>
                <c:pt idx="18">
                  <c:v>MISCELLANEOUS SERVICES</c:v>
                </c:pt>
              </c:strCache>
            </c:strRef>
          </c:cat>
          <c:val>
            <c:numRef>
              <c:f>'Public Defender'!$R$6:$R$24</c:f>
              <c:numCache>
                <c:formatCode>#,##0</c:formatCode>
                <c:ptCount val="19"/>
                <c:pt idx="0">
                  <c:v>229800</c:v>
                </c:pt>
                <c:pt idx="1">
                  <c:v>1000</c:v>
                </c:pt>
                <c:pt idx="2">
                  <c:v>0</c:v>
                </c:pt>
                <c:pt idx="3">
                  <c:v>102200</c:v>
                </c:pt>
                <c:pt idx="4">
                  <c:v>70143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1500</c:v>
                </c:pt>
                <c:pt idx="9">
                  <c:v>0</c:v>
                </c:pt>
                <c:pt idx="10">
                  <c:v>1700</c:v>
                </c:pt>
                <c:pt idx="11">
                  <c:v>500</c:v>
                </c:pt>
                <c:pt idx="12">
                  <c:v>21648</c:v>
                </c:pt>
                <c:pt idx="13">
                  <c:v>1008999.96</c:v>
                </c:pt>
                <c:pt idx="14">
                  <c:v>14000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783B-4C90-BC9F-33974C587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Expenditure</c:v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'Public Defender'!$M$35:$S$35</c:f>
              <c:strCache>
                <c:ptCount val="7"/>
                <c:pt idx="0">
                  <c:v>2023 Actual</c:v>
                </c:pt>
                <c:pt idx="1">
                  <c:v>2024 Actual</c:v>
                </c:pt>
                <c:pt idx="2">
                  <c:v>Approved
  2025
 Budget</c:v>
                </c:pt>
                <c:pt idx="3">
                  <c:v>2025 YTD Actual</c:v>
                </c:pt>
                <c:pt idx="4">
                  <c:v>Projected 2025 </c:v>
                </c:pt>
                <c:pt idx="5">
                  <c:v>2026
 Requested
 Budget</c:v>
                </c:pt>
                <c:pt idx="6">
                  <c:v>2026 
Tentative 
Budget</c:v>
                </c:pt>
              </c:strCache>
            </c:strRef>
          </c:cat>
          <c:val>
            <c:numRef>
              <c:f>'Public Defender'!$M$36:$S$36</c:f>
              <c:numCache>
                <c:formatCode>#,##0</c:formatCode>
                <c:ptCount val="7"/>
                <c:pt idx="0">
                  <c:v>1165311</c:v>
                </c:pt>
                <c:pt idx="1">
                  <c:v>1629571.58</c:v>
                </c:pt>
                <c:pt idx="2">
                  <c:v>1729201</c:v>
                </c:pt>
                <c:pt idx="3">
                  <c:v>1289847.54</c:v>
                </c:pt>
                <c:pt idx="4">
                  <c:v>1708548.3590000002</c:v>
                </c:pt>
                <c:pt idx="5">
                  <c:v>1776721</c:v>
                </c:pt>
                <c:pt idx="6">
                  <c:v>1452490.96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587-48BD-8CB5-50AE39874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196791"/>
        <c:axId val="1578680553"/>
      </c:barChart>
      <c:catAx>
        <c:axId val="39319679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Period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78680553"/>
        <c:crosses val="autoZero"/>
        <c:auto val="1"/>
        <c:lblAlgn val="ctr"/>
        <c:lblOffset val="100"/>
        <c:noMultiLvlLbl val="1"/>
      </c:catAx>
      <c:valAx>
        <c:axId val="157868055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Expenditure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93196791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'Sheriff Patrol'!$L$94:$R$94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'Sheriff Patrol'!$L$95:$R$95</c:f>
              <c:numCache>
                <c:formatCode>#,##0</c:formatCode>
                <c:ptCount val="7"/>
                <c:pt idx="0">
                  <c:v>301998</c:v>
                </c:pt>
                <c:pt idx="1">
                  <c:v>160527.69000000003</c:v>
                </c:pt>
                <c:pt idx="2">
                  <c:v>228494</c:v>
                </c:pt>
                <c:pt idx="3">
                  <c:v>118060.76000000001</c:v>
                </c:pt>
                <c:pt idx="4">
                  <c:v>193224.28399999999</c:v>
                </c:pt>
                <c:pt idx="5">
                  <c:v>233300</c:v>
                </c:pt>
                <c:pt idx="6">
                  <c:v>233300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2ED-4ACF-B226-ED41BA394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0287043"/>
        <c:axId val="280940241"/>
      </c:barChart>
      <c:catAx>
        <c:axId val="13302870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80940241"/>
        <c:crosses val="autoZero"/>
        <c:auto val="1"/>
        <c:lblAlgn val="ctr"/>
        <c:lblOffset val="100"/>
        <c:noMultiLvlLbl val="1"/>
      </c:catAx>
      <c:valAx>
        <c:axId val="28094024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30287043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2FA1-4940-AAEE-AEF4CDFDC42A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2FA1-4940-AAEE-AEF4CDFDC42A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2FA1-4940-AAEE-AEF4CDFDC42A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2FA1-4940-AAEE-AEF4CDFDC42A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2FA1-4940-AAEE-AEF4CDFDC42A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2FA1-4940-AAEE-AEF4CDFDC42A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2FA1-4940-AAEE-AEF4CDFDC42A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2FA1-4940-AAEE-AEF4CDFDC42A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2FA1-4940-AAEE-AEF4CDFDC42A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2FA1-4940-AAEE-AEF4CDFDC42A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2FA1-4940-AAEE-AEF4CDFDC42A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2FA1-4940-AAEE-AEF4CDFDC42A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2FA1-4940-AAEE-AEF4CDFDC42A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2FA1-4940-AAEE-AEF4CDFDC42A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2FA1-4940-AAEE-AEF4CDFDC42A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2FA1-4940-AAEE-AEF4CDFDC42A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2FA1-4940-AAEE-AEF4CDFDC42A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2FA1-4940-AAEE-AEF4CDFDC42A}"/>
              </c:ext>
            </c:extLst>
          </c:dPt>
          <c:dPt>
            <c:idx val="18"/>
            <c:bubble3D val="0"/>
            <c:spPr>
              <a:solidFill>
                <a:srgbClr val="ECF3FE"/>
              </a:solidFill>
            </c:spPr>
            <c:extLst>
              <c:ext xmlns:c16="http://schemas.microsoft.com/office/drawing/2014/chart" uri="{C3380CC4-5D6E-409C-BE32-E72D297353CC}">
                <c16:uniqueId val="{00000025-2FA1-4940-AAEE-AEF4CDFDC42A}"/>
              </c:ext>
            </c:extLst>
          </c:dPt>
          <c:cat>
            <c:strRef>
              <c:f>'Sheriff Patrol'!$B$67:$B$85</c:f>
              <c:strCache>
                <c:ptCount val="19"/>
                <c:pt idx="0">
                  <c:v>FULL TIME EMPLOYEES</c:v>
                </c:pt>
                <c:pt idx="1">
                  <c:v>OVERTIME</c:v>
                </c:pt>
                <c:pt idx="2">
                  <c:v>PART TIME EMPLOYEES</c:v>
                </c:pt>
                <c:pt idx="3">
                  <c:v>EMPLOYEE BENEFITS</c:v>
                </c:pt>
                <c:pt idx="4">
                  <c:v>SUBSCRIPTIONS &amp; MEMBERSHIPS</c:v>
                </c:pt>
                <c:pt idx="5">
                  <c:v>TRAVEL</c:v>
                </c:pt>
                <c:pt idx="6">
                  <c:v>OFFICE SUPPLIES</c:v>
                </c:pt>
                <c:pt idx="7">
                  <c:v>EQUIPMENT SUPPLIES &amp; MAINT</c:v>
                </c:pt>
                <c:pt idx="8">
                  <c:v>NON CAPITALIZED EQUIPMENT</c:v>
                </c:pt>
                <c:pt idx="9">
                  <c:v>GRANT SUPPLIES &amp; NON CAP EQUIP</c:v>
                </c:pt>
                <c:pt idx="10">
                  <c:v>COMMUNICATIONS</c:v>
                </c:pt>
                <c:pt idx="11">
                  <c:v>FUEL</c:v>
                </c:pt>
                <c:pt idx="12">
                  <c:v>SOFTWARE PACKAGES</c:v>
                </c:pt>
                <c:pt idx="13">
                  <c:v>EDUCATION &amp; TRAINING</c:v>
                </c:pt>
                <c:pt idx="14">
                  <c:v>SPECIAL DEPT SUPPLIES</c:v>
                </c:pt>
                <c:pt idx="15">
                  <c:v>SPECIAL GRANT EXPENSE</c:v>
                </c:pt>
                <c:pt idx="16">
                  <c:v>UNIFORMS AND SUPPLIES</c:v>
                </c:pt>
                <c:pt idx="17">
                  <c:v>INSURANCE</c:v>
                </c:pt>
                <c:pt idx="18">
                  <c:v>EMERGENCY OPERATIONS</c:v>
                </c:pt>
              </c:strCache>
            </c:strRef>
          </c:cat>
          <c:val>
            <c:numRef>
              <c:f>'Sheriff Patrol'!$R$67:$R$85</c:f>
              <c:numCache>
                <c:formatCode>#,##0</c:formatCode>
                <c:ptCount val="19"/>
                <c:pt idx="0">
                  <c:v>85200</c:v>
                </c:pt>
                <c:pt idx="1">
                  <c:v>4000</c:v>
                </c:pt>
                <c:pt idx="2">
                  <c:v>26000</c:v>
                </c:pt>
                <c:pt idx="3">
                  <c:v>50300</c:v>
                </c:pt>
                <c:pt idx="4">
                  <c:v>1000</c:v>
                </c:pt>
                <c:pt idx="5">
                  <c:v>3500</c:v>
                </c:pt>
                <c:pt idx="6">
                  <c:v>1500</c:v>
                </c:pt>
                <c:pt idx="7">
                  <c:v>3500</c:v>
                </c:pt>
                <c:pt idx="8">
                  <c:v>29000</c:v>
                </c:pt>
                <c:pt idx="9">
                  <c:v>0</c:v>
                </c:pt>
                <c:pt idx="10">
                  <c:v>13000</c:v>
                </c:pt>
                <c:pt idx="11">
                  <c:v>0</c:v>
                </c:pt>
                <c:pt idx="12">
                  <c:v>2500</c:v>
                </c:pt>
                <c:pt idx="13">
                  <c:v>2800</c:v>
                </c:pt>
                <c:pt idx="14">
                  <c:v>1000</c:v>
                </c:pt>
                <c:pt idx="15">
                  <c:v>0</c:v>
                </c:pt>
                <c:pt idx="16">
                  <c:v>1000</c:v>
                </c:pt>
                <c:pt idx="17">
                  <c:v>1000</c:v>
                </c:pt>
                <c:pt idx="18">
                  <c:v>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2FA1-4940-AAEE-AEF4CDFDC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'Sheriff Patrol'!$L$94:$R$94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'Sheriff Patrol'!$L$95:$R$95</c:f>
              <c:numCache>
                <c:formatCode>#,##0</c:formatCode>
                <c:ptCount val="7"/>
                <c:pt idx="0">
                  <c:v>301998</c:v>
                </c:pt>
                <c:pt idx="1">
                  <c:v>160527.69000000003</c:v>
                </c:pt>
                <c:pt idx="2">
                  <c:v>228494</c:v>
                </c:pt>
                <c:pt idx="3">
                  <c:v>118060.76000000001</c:v>
                </c:pt>
                <c:pt idx="4">
                  <c:v>193224.28399999999</c:v>
                </c:pt>
                <c:pt idx="5">
                  <c:v>233300</c:v>
                </c:pt>
                <c:pt idx="6">
                  <c:v>233300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0B6-4E9C-8B68-8EB8CF239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7605298"/>
        <c:axId val="1003342104"/>
      </c:barChart>
      <c:catAx>
        <c:axId val="187760529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03342104"/>
        <c:crosses val="autoZero"/>
        <c:auto val="1"/>
        <c:lblAlgn val="ctr"/>
        <c:lblOffset val="100"/>
        <c:noMultiLvlLbl val="1"/>
      </c:catAx>
      <c:valAx>
        <c:axId val="100334210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7760529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3A96-4188-9C23-6834D67E2EEB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3A96-4188-9C23-6834D67E2EEB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3A96-4188-9C23-6834D67E2EEB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3A96-4188-9C23-6834D67E2EEB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3A96-4188-9C23-6834D67E2EEB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3A96-4188-9C23-6834D67E2EEB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3A96-4188-9C23-6834D67E2EEB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3A96-4188-9C23-6834D67E2EEB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3A96-4188-9C23-6834D67E2EEB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3A96-4188-9C23-6834D67E2EEB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3A96-4188-9C23-6834D67E2EEB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3A96-4188-9C23-6834D67E2EEB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3A96-4188-9C23-6834D67E2EEB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3A96-4188-9C23-6834D67E2EEB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3A96-4188-9C23-6834D67E2EEB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3A96-4188-9C23-6834D67E2EEB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3A96-4188-9C23-6834D67E2EEB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3A96-4188-9C23-6834D67E2EEB}"/>
              </c:ext>
            </c:extLst>
          </c:dPt>
          <c:dPt>
            <c:idx val="18"/>
            <c:bubble3D val="0"/>
            <c:spPr>
              <a:solidFill>
                <a:srgbClr val="ECF3FE"/>
              </a:solidFill>
            </c:spPr>
            <c:extLst>
              <c:ext xmlns:c16="http://schemas.microsoft.com/office/drawing/2014/chart" uri="{C3380CC4-5D6E-409C-BE32-E72D297353CC}">
                <c16:uniqueId val="{00000025-3A96-4188-9C23-6834D67E2EEB}"/>
              </c:ext>
            </c:extLst>
          </c:dPt>
          <c:cat>
            <c:strRef>
              <c:f>'Sheriff Patrol'!$B$67:$B$85</c:f>
              <c:strCache>
                <c:ptCount val="19"/>
                <c:pt idx="0">
                  <c:v>FULL TIME EMPLOYEES</c:v>
                </c:pt>
                <c:pt idx="1">
                  <c:v>OVERTIME</c:v>
                </c:pt>
                <c:pt idx="2">
                  <c:v>PART TIME EMPLOYEES</c:v>
                </c:pt>
                <c:pt idx="3">
                  <c:v>EMPLOYEE BENEFITS</c:v>
                </c:pt>
                <c:pt idx="4">
                  <c:v>SUBSCRIPTIONS &amp; MEMBERSHIPS</c:v>
                </c:pt>
                <c:pt idx="5">
                  <c:v>TRAVEL</c:v>
                </c:pt>
                <c:pt idx="6">
                  <c:v>OFFICE SUPPLIES</c:v>
                </c:pt>
                <c:pt idx="7">
                  <c:v>EQUIPMENT SUPPLIES &amp; MAINT</c:v>
                </c:pt>
                <c:pt idx="8">
                  <c:v>NON CAPITALIZED EQUIPMENT</c:v>
                </c:pt>
                <c:pt idx="9">
                  <c:v>GRANT SUPPLIES &amp; NON CAP EQUIP</c:v>
                </c:pt>
                <c:pt idx="10">
                  <c:v>COMMUNICATIONS</c:v>
                </c:pt>
                <c:pt idx="11">
                  <c:v>FUEL</c:v>
                </c:pt>
                <c:pt idx="12">
                  <c:v>SOFTWARE PACKAGES</c:v>
                </c:pt>
                <c:pt idx="13">
                  <c:v>EDUCATION &amp; TRAINING</c:v>
                </c:pt>
                <c:pt idx="14">
                  <c:v>SPECIAL DEPT SUPPLIES</c:v>
                </c:pt>
                <c:pt idx="15">
                  <c:v>SPECIAL GRANT EXPENSE</c:v>
                </c:pt>
                <c:pt idx="16">
                  <c:v>UNIFORMS AND SUPPLIES</c:v>
                </c:pt>
                <c:pt idx="17">
                  <c:v>INSURANCE</c:v>
                </c:pt>
                <c:pt idx="18">
                  <c:v>EMERGENCY OPERATIONS</c:v>
                </c:pt>
              </c:strCache>
            </c:strRef>
          </c:cat>
          <c:val>
            <c:numRef>
              <c:f>'Sheriff Patrol'!$R$67:$R$85</c:f>
              <c:numCache>
                <c:formatCode>#,##0</c:formatCode>
                <c:ptCount val="19"/>
                <c:pt idx="0">
                  <c:v>85200</c:v>
                </c:pt>
                <c:pt idx="1">
                  <c:v>4000</c:v>
                </c:pt>
                <c:pt idx="2">
                  <c:v>26000</c:v>
                </c:pt>
                <c:pt idx="3">
                  <c:v>50300</c:v>
                </c:pt>
                <c:pt idx="4">
                  <c:v>1000</c:v>
                </c:pt>
                <c:pt idx="5">
                  <c:v>3500</c:v>
                </c:pt>
                <c:pt idx="6">
                  <c:v>1500</c:v>
                </c:pt>
                <c:pt idx="7">
                  <c:v>3500</c:v>
                </c:pt>
                <c:pt idx="8">
                  <c:v>29000</c:v>
                </c:pt>
                <c:pt idx="9">
                  <c:v>0</c:v>
                </c:pt>
                <c:pt idx="10">
                  <c:v>13000</c:v>
                </c:pt>
                <c:pt idx="11">
                  <c:v>0</c:v>
                </c:pt>
                <c:pt idx="12">
                  <c:v>2500</c:v>
                </c:pt>
                <c:pt idx="13">
                  <c:v>2800</c:v>
                </c:pt>
                <c:pt idx="14">
                  <c:v>1000</c:v>
                </c:pt>
                <c:pt idx="15">
                  <c:v>0</c:v>
                </c:pt>
                <c:pt idx="16">
                  <c:v>1000</c:v>
                </c:pt>
                <c:pt idx="17">
                  <c:v>1000</c:v>
                </c:pt>
                <c:pt idx="18">
                  <c:v>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3A96-4188-9C23-6834D67E2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'Sheriff Patrol'!$L$94:$R$94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'Sheriff Patrol'!$L$95:$R$95</c:f>
              <c:numCache>
                <c:formatCode>#,##0</c:formatCode>
                <c:ptCount val="7"/>
                <c:pt idx="0">
                  <c:v>301998</c:v>
                </c:pt>
                <c:pt idx="1">
                  <c:v>160527.69000000003</c:v>
                </c:pt>
                <c:pt idx="2">
                  <c:v>228494</c:v>
                </c:pt>
                <c:pt idx="3">
                  <c:v>118060.76000000001</c:v>
                </c:pt>
                <c:pt idx="4">
                  <c:v>193224.28399999999</c:v>
                </c:pt>
                <c:pt idx="5">
                  <c:v>233300</c:v>
                </c:pt>
                <c:pt idx="6">
                  <c:v>233300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FE6-4006-99E4-D619BC307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1270915"/>
        <c:axId val="1933332817"/>
      </c:barChart>
      <c:catAx>
        <c:axId val="15112709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33332817"/>
        <c:crosses val="autoZero"/>
        <c:auto val="1"/>
        <c:lblAlgn val="ctr"/>
        <c:lblOffset val="100"/>
        <c:noMultiLvlLbl val="1"/>
      </c:catAx>
      <c:valAx>
        <c:axId val="193333281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11270915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A124-4103-91F5-DE7F4B6BC05C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A124-4103-91F5-DE7F4B6BC05C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A124-4103-91F5-DE7F4B6BC05C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A124-4103-91F5-DE7F4B6BC05C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A124-4103-91F5-DE7F4B6BC05C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A124-4103-91F5-DE7F4B6BC05C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A124-4103-91F5-DE7F4B6BC05C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A124-4103-91F5-DE7F4B6BC05C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A124-4103-91F5-DE7F4B6BC05C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A124-4103-91F5-DE7F4B6BC05C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A124-4103-91F5-DE7F4B6BC05C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A124-4103-91F5-DE7F4B6BC05C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A124-4103-91F5-DE7F4B6BC05C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A124-4103-91F5-DE7F4B6BC05C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A124-4103-91F5-DE7F4B6BC05C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A124-4103-91F5-DE7F4B6BC05C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A124-4103-91F5-DE7F4B6BC05C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A124-4103-91F5-DE7F4B6BC05C}"/>
              </c:ext>
            </c:extLst>
          </c:dPt>
          <c:dPt>
            <c:idx val="18"/>
            <c:bubble3D val="0"/>
            <c:spPr>
              <a:solidFill>
                <a:srgbClr val="ECF3FE"/>
              </a:solidFill>
            </c:spPr>
            <c:extLst>
              <c:ext xmlns:c16="http://schemas.microsoft.com/office/drawing/2014/chart" uri="{C3380CC4-5D6E-409C-BE32-E72D297353CC}">
                <c16:uniqueId val="{00000025-A124-4103-91F5-DE7F4B6BC05C}"/>
              </c:ext>
            </c:extLst>
          </c:dPt>
          <c:cat>
            <c:strRef>
              <c:f>'Sheriff Patrol'!$B$67:$B$85</c:f>
              <c:strCache>
                <c:ptCount val="19"/>
                <c:pt idx="0">
                  <c:v>FULL TIME EMPLOYEES</c:v>
                </c:pt>
                <c:pt idx="1">
                  <c:v>OVERTIME</c:v>
                </c:pt>
                <c:pt idx="2">
                  <c:v>PART TIME EMPLOYEES</c:v>
                </c:pt>
                <c:pt idx="3">
                  <c:v>EMPLOYEE BENEFITS</c:v>
                </c:pt>
                <c:pt idx="4">
                  <c:v>SUBSCRIPTIONS &amp; MEMBERSHIPS</c:v>
                </c:pt>
                <c:pt idx="5">
                  <c:v>TRAVEL</c:v>
                </c:pt>
                <c:pt idx="6">
                  <c:v>OFFICE SUPPLIES</c:v>
                </c:pt>
                <c:pt idx="7">
                  <c:v>EQUIPMENT SUPPLIES &amp; MAINT</c:v>
                </c:pt>
                <c:pt idx="8">
                  <c:v>NON CAPITALIZED EQUIPMENT</c:v>
                </c:pt>
                <c:pt idx="9">
                  <c:v>GRANT SUPPLIES &amp; NON CAP EQUIP</c:v>
                </c:pt>
                <c:pt idx="10">
                  <c:v>COMMUNICATIONS</c:v>
                </c:pt>
                <c:pt idx="11">
                  <c:v>FUEL</c:v>
                </c:pt>
                <c:pt idx="12">
                  <c:v>SOFTWARE PACKAGES</c:v>
                </c:pt>
                <c:pt idx="13">
                  <c:v>EDUCATION &amp; TRAINING</c:v>
                </c:pt>
                <c:pt idx="14">
                  <c:v>SPECIAL DEPT SUPPLIES</c:v>
                </c:pt>
                <c:pt idx="15">
                  <c:v>SPECIAL GRANT EXPENSE</c:v>
                </c:pt>
                <c:pt idx="16">
                  <c:v>UNIFORMS AND SUPPLIES</c:v>
                </c:pt>
                <c:pt idx="17">
                  <c:v>INSURANCE</c:v>
                </c:pt>
                <c:pt idx="18">
                  <c:v>EMERGENCY OPERATIONS</c:v>
                </c:pt>
              </c:strCache>
            </c:strRef>
          </c:cat>
          <c:val>
            <c:numRef>
              <c:f>'Sheriff Patrol'!$R$67:$R$85</c:f>
              <c:numCache>
                <c:formatCode>#,##0</c:formatCode>
                <c:ptCount val="19"/>
                <c:pt idx="0">
                  <c:v>85200</c:v>
                </c:pt>
                <c:pt idx="1">
                  <c:v>4000</c:v>
                </c:pt>
                <c:pt idx="2">
                  <c:v>26000</c:v>
                </c:pt>
                <c:pt idx="3">
                  <c:v>50300</c:v>
                </c:pt>
                <c:pt idx="4">
                  <c:v>1000</c:v>
                </c:pt>
                <c:pt idx="5">
                  <c:v>3500</c:v>
                </c:pt>
                <c:pt idx="6">
                  <c:v>1500</c:v>
                </c:pt>
                <c:pt idx="7">
                  <c:v>3500</c:v>
                </c:pt>
                <c:pt idx="8">
                  <c:v>29000</c:v>
                </c:pt>
                <c:pt idx="9">
                  <c:v>0</c:v>
                </c:pt>
                <c:pt idx="10">
                  <c:v>13000</c:v>
                </c:pt>
                <c:pt idx="11">
                  <c:v>0</c:v>
                </c:pt>
                <c:pt idx="12">
                  <c:v>2500</c:v>
                </c:pt>
                <c:pt idx="13">
                  <c:v>2800</c:v>
                </c:pt>
                <c:pt idx="14">
                  <c:v>1000</c:v>
                </c:pt>
                <c:pt idx="15">
                  <c:v>0</c:v>
                </c:pt>
                <c:pt idx="16">
                  <c:v>1000</c:v>
                </c:pt>
                <c:pt idx="17">
                  <c:v>1000</c:v>
                </c:pt>
                <c:pt idx="18">
                  <c:v>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A124-4103-91F5-DE7F4B6BC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'Sheriff Patrol'!$L$94:$R$94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'Sheriff Patrol'!$L$95:$R$95</c:f>
              <c:numCache>
                <c:formatCode>#,##0</c:formatCode>
                <c:ptCount val="7"/>
                <c:pt idx="0">
                  <c:v>301998</c:v>
                </c:pt>
                <c:pt idx="1">
                  <c:v>160527.69000000003</c:v>
                </c:pt>
                <c:pt idx="2">
                  <c:v>228494</c:v>
                </c:pt>
                <c:pt idx="3">
                  <c:v>118060.76000000001</c:v>
                </c:pt>
                <c:pt idx="4">
                  <c:v>193224.28399999999</c:v>
                </c:pt>
                <c:pt idx="5">
                  <c:v>233300</c:v>
                </c:pt>
                <c:pt idx="6">
                  <c:v>233300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1CF-4D0F-8809-B2D67F64B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988979"/>
        <c:axId val="547122007"/>
      </c:barChart>
      <c:catAx>
        <c:axId val="13959889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547122007"/>
        <c:crosses val="autoZero"/>
        <c:auto val="1"/>
        <c:lblAlgn val="ctr"/>
        <c:lblOffset val="100"/>
        <c:noMultiLvlLbl val="1"/>
      </c:catAx>
      <c:valAx>
        <c:axId val="54712200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95988979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A38A-4327-B4F9-781785477125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A38A-4327-B4F9-781785477125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A38A-4327-B4F9-781785477125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A38A-4327-B4F9-781785477125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A38A-4327-B4F9-781785477125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A38A-4327-B4F9-781785477125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A38A-4327-B4F9-781785477125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A38A-4327-B4F9-781785477125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A38A-4327-B4F9-781785477125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A38A-4327-B4F9-781785477125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A38A-4327-B4F9-781785477125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A38A-4327-B4F9-781785477125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A38A-4327-B4F9-781785477125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A38A-4327-B4F9-781785477125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A38A-4327-B4F9-781785477125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A38A-4327-B4F9-781785477125}"/>
              </c:ext>
            </c:extLst>
          </c:dPt>
          <c:cat>
            <c:strRef>
              <c:f>Executive!$B$7:$B$22</c:f>
              <c:strCache>
                <c:ptCount val="16"/>
                <c:pt idx="0">
                  <c:v>FULL TIME EMPLOYEES</c:v>
                </c:pt>
                <c:pt idx="1">
                  <c:v>OVERTIME</c:v>
                </c:pt>
                <c:pt idx="2">
                  <c:v>SEASONAL EMPLOYEES</c:v>
                </c:pt>
                <c:pt idx="3">
                  <c:v>EMPLOYEE BENEFITS</c:v>
                </c:pt>
                <c:pt idx="4">
                  <c:v>SUBSCRIPTIONS &amp; MEMBERSHIPS</c:v>
                </c:pt>
                <c:pt idx="5">
                  <c:v>TRAVEL</c:v>
                </c:pt>
                <c:pt idx="6">
                  <c:v>OFFICE SUPPLIES</c:v>
                </c:pt>
                <c:pt idx="7">
                  <c:v>EQUIPMENT SUPPLIES &amp; MAINT</c:v>
                </c:pt>
                <c:pt idx="8">
                  <c:v>NON CAPITALIZED EQUIPMENT</c:v>
                </c:pt>
                <c:pt idx="9">
                  <c:v>COMMUNICATIONS</c:v>
                </c:pt>
                <c:pt idx="10">
                  <c:v>PROFESSIONAL &amp; TECHNICAL</c:v>
                </c:pt>
                <c:pt idx="11">
                  <c:v>EDUCATION &amp; TRAINING</c:v>
                </c:pt>
                <c:pt idx="12">
                  <c:v>INSURANCE</c:v>
                </c:pt>
                <c:pt idx="13">
                  <c:v>MISCELLANEOUS SERVICES</c:v>
                </c:pt>
                <c:pt idx="14">
                  <c:v>CITY MANAGERS ASSOCIATION</c:v>
                </c:pt>
                <c:pt idx="15">
                  <c:v>TAX ADMIN - EXECUTIVE 15%</c:v>
                </c:pt>
              </c:strCache>
            </c:strRef>
          </c:cat>
          <c:val>
            <c:numRef>
              <c:f>Executive!$R$7:$R$22</c:f>
              <c:numCache>
                <c:formatCode>#,##0</c:formatCode>
                <c:ptCount val="16"/>
                <c:pt idx="0">
                  <c:v>273900</c:v>
                </c:pt>
                <c:pt idx="1">
                  <c:v>0</c:v>
                </c:pt>
                <c:pt idx="2">
                  <c:v>0</c:v>
                </c:pt>
                <c:pt idx="3">
                  <c:v>73000</c:v>
                </c:pt>
                <c:pt idx="4">
                  <c:v>4350</c:v>
                </c:pt>
                <c:pt idx="5">
                  <c:v>4000</c:v>
                </c:pt>
                <c:pt idx="6">
                  <c:v>2400</c:v>
                </c:pt>
                <c:pt idx="7">
                  <c:v>3000</c:v>
                </c:pt>
                <c:pt idx="8">
                  <c:v>800</c:v>
                </c:pt>
                <c:pt idx="9">
                  <c:v>3750</c:v>
                </c:pt>
                <c:pt idx="10">
                  <c:v>5000</c:v>
                </c:pt>
                <c:pt idx="11">
                  <c:v>2100</c:v>
                </c:pt>
                <c:pt idx="12">
                  <c:v>4600</c:v>
                </c:pt>
                <c:pt idx="13">
                  <c:v>1000</c:v>
                </c:pt>
                <c:pt idx="14">
                  <c:v>3200</c:v>
                </c:pt>
                <c:pt idx="15">
                  <c:v>-57165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38A-4327-B4F9-781785477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CFC0-496B-B8C6-5F5C2729B70E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CFC0-496B-B8C6-5F5C2729B70E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CFC0-496B-B8C6-5F5C2729B70E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CFC0-496B-B8C6-5F5C2729B70E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CFC0-496B-B8C6-5F5C2729B70E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CFC0-496B-B8C6-5F5C2729B70E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CFC0-496B-B8C6-5F5C2729B70E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CFC0-496B-B8C6-5F5C2729B70E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CFC0-496B-B8C6-5F5C2729B70E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CFC0-496B-B8C6-5F5C2729B70E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CFC0-496B-B8C6-5F5C2729B70E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CFC0-496B-B8C6-5F5C2729B70E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CFC0-496B-B8C6-5F5C2729B70E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CFC0-496B-B8C6-5F5C2729B70E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CFC0-496B-B8C6-5F5C2729B70E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CFC0-496B-B8C6-5F5C2729B70E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CFC0-496B-B8C6-5F5C2729B70E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CFC0-496B-B8C6-5F5C2729B70E}"/>
              </c:ext>
            </c:extLst>
          </c:dPt>
          <c:dPt>
            <c:idx val="18"/>
            <c:bubble3D val="0"/>
            <c:spPr>
              <a:solidFill>
                <a:srgbClr val="ECF3FE"/>
              </a:solidFill>
            </c:spPr>
            <c:extLst>
              <c:ext xmlns:c16="http://schemas.microsoft.com/office/drawing/2014/chart" uri="{C3380CC4-5D6E-409C-BE32-E72D297353CC}">
                <c16:uniqueId val="{00000025-CFC0-496B-B8C6-5F5C2729B70E}"/>
              </c:ext>
            </c:extLst>
          </c:dPt>
          <c:cat>
            <c:strRef>
              <c:f>'Sheriff Patrol'!$B$67:$B$85</c:f>
              <c:strCache>
                <c:ptCount val="19"/>
                <c:pt idx="0">
                  <c:v>FULL TIME EMPLOYEES</c:v>
                </c:pt>
                <c:pt idx="1">
                  <c:v>OVERTIME</c:v>
                </c:pt>
                <c:pt idx="2">
                  <c:v>PART TIME EMPLOYEES</c:v>
                </c:pt>
                <c:pt idx="3">
                  <c:v>EMPLOYEE BENEFITS</c:v>
                </c:pt>
                <c:pt idx="4">
                  <c:v>SUBSCRIPTIONS &amp; MEMBERSHIPS</c:v>
                </c:pt>
                <c:pt idx="5">
                  <c:v>TRAVEL</c:v>
                </c:pt>
                <c:pt idx="6">
                  <c:v>OFFICE SUPPLIES</c:v>
                </c:pt>
                <c:pt idx="7">
                  <c:v>EQUIPMENT SUPPLIES &amp; MAINT</c:v>
                </c:pt>
                <c:pt idx="8">
                  <c:v>NON CAPITALIZED EQUIPMENT</c:v>
                </c:pt>
                <c:pt idx="9">
                  <c:v>GRANT SUPPLIES &amp; NON CAP EQUIP</c:v>
                </c:pt>
                <c:pt idx="10">
                  <c:v>COMMUNICATIONS</c:v>
                </c:pt>
                <c:pt idx="11">
                  <c:v>FUEL</c:v>
                </c:pt>
                <c:pt idx="12">
                  <c:v>SOFTWARE PACKAGES</c:v>
                </c:pt>
                <c:pt idx="13">
                  <c:v>EDUCATION &amp; TRAINING</c:v>
                </c:pt>
                <c:pt idx="14">
                  <c:v>SPECIAL DEPT SUPPLIES</c:v>
                </c:pt>
                <c:pt idx="15">
                  <c:v>SPECIAL GRANT EXPENSE</c:v>
                </c:pt>
                <c:pt idx="16">
                  <c:v>UNIFORMS AND SUPPLIES</c:v>
                </c:pt>
                <c:pt idx="17">
                  <c:v>INSURANCE</c:v>
                </c:pt>
                <c:pt idx="18">
                  <c:v>EMERGENCY OPERATIONS</c:v>
                </c:pt>
              </c:strCache>
            </c:strRef>
          </c:cat>
          <c:val>
            <c:numRef>
              <c:f>'Sheriff Patrol'!$R$67:$R$85</c:f>
              <c:numCache>
                <c:formatCode>#,##0</c:formatCode>
                <c:ptCount val="19"/>
                <c:pt idx="0">
                  <c:v>85200</c:v>
                </c:pt>
                <c:pt idx="1">
                  <c:v>4000</c:v>
                </c:pt>
                <c:pt idx="2">
                  <c:v>26000</c:v>
                </c:pt>
                <c:pt idx="3">
                  <c:v>50300</c:v>
                </c:pt>
                <c:pt idx="4">
                  <c:v>1000</c:v>
                </c:pt>
                <c:pt idx="5">
                  <c:v>3500</c:v>
                </c:pt>
                <c:pt idx="6">
                  <c:v>1500</c:v>
                </c:pt>
                <c:pt idx="7">
                  <c:v>3500</c:v>
                </c:pt>
                <c:pt idx="8">
                  <c:v>29000</c:v>
                </c:pt>
                <c:pt idx="9">
                  <c:v>0</c:v>
                </c:pt>
                <c:pt idx="10">
                  <c:v>13000</c:v>
                </c:pt>
                <c:pt idx="11">
                  <c:v>0</c:v>
                </c:pt>
                <c:pt idx="12">
                  <c:v>2500</c:v>
                </c:pt>
                <c:pt idx="13">
                  <c:v>2800</c:v>
                </c:pt>
                <c:pt idx="14">
                  <c:v>1000</c:v>
                </c:pt>
                <c:pt idx="15">
                  <c:v>0</c:v>
                </c:pt>
                <c:pt idx="16">
                  <c:v>1000</c:v>
                </c:pt>
                <c:pt idx="17">
                  <c:v>1000</c:v>
                </c:pt>
                <c:pt idx="18">
                  <c:v>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CFC0-496B-B8C6-5F5C2729B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'Sheriff Patrol'!$L$27:$S$27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'Sheriff Patrol'!$L$28:$S$28</c:f>
              <c:numCache>
                <c:formatCode>#,##0</c:formatCode>
                <c:ptCount val="8"/>
                <c:pt idx="0">
                  <c:v>65</c:v>
                </c:pt>
                <c:pt idx="1">
                  <c:v>3264075.4999999991</c:v>
                </c:pt>
                <c:pt idx="2">
                  <c:v>3614347</c:v>
                </c:pt>
                <c:pt idx="3">
                  <c:v>2446947.58</c:v>
                </c:pt>
                <c:pt idx="4">
                  <c:v>3364832.6566666663</c:v>
                </c:pt>
                <c:pt idx="5">
                  <c:v>3583100</c:v>
                </c:pt>
                <c:pt idx="6">
                  <c:v>3583100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20F-4906-B1C5-3C385A0D7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8377606"/>
        <c:axId val="2120257100"/>
      </c:barChart>
      <c:catAx>
        <c:axId val="78837760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20257100"/>
        <c:crosses val="autoZero"/>
        <c:auto val="1"/>
        <c:lblAlgn val="ctr"/>
        <c:lblOffset val="100"/>
        <c:noMultiLvlLbl val="1"/>
      </c:catAx>
      <c:valAx>
        <c:axId val="212025710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78837760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D3BA-4735-BF20-BA1E49CBEE31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D3BA-4735-BF20-BA1E49CBEE31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D3BA-4735-BF20-BA1E49CBEE31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D3BA-4735-BF20-BA1E49CBEE31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D3BA-4735-BF20-BA1E49CBEE31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D3BA-4735-BF20-BA1E49CBEE31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D3BA-4735-BF20-BA1E49CBEE31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D3BA-4735-BF20-BA1E49CBEE31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D3BA-4735-BF20-BA1E49CBEE31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D3BA-4735-BF20-BA1E49CBEE31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D3BA-4735-BF20-BA1E49CBEE31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D3BA-4735-BF20-BA1E49CBEE31}"/>
              </c:ext>
            </c:extLst>
          </c:dPt>
          <c:cat>
            <c:strRef>
              <c:f>'Sheriff Patrol'!$B$3:$B$15</c:f>
              <c:strCache>
                <c:ptCount val="12"/>
                <c:pt idx="0">
                  <c:v>FULL TIME EMPLOYEES</c:v>
                </c:pt>
                <c:pt idx="1">
                  <c:v>OVERTIME</c:v>
                </c:pt>
                <c:pt idx="2">
                  <c:v>PART TIME EMPLOYEES</c:v>
                </c:pt>
                <c:pt idx="3">
                  <c:v>EMPLOYEE BENEFITS</c:v>
                </c:pt>
                <c:pt idx="4">
                  <c:v>PAGER PAY</c:v>
                </c:pt>
                <c:pt idx="5">
                  <c:v>SUBSCRIPTIONS &amp; MEMBERSHIPS</c:v>
                </c:pt>
                <c:pt idx="6">
                  <c:v>TRAVEL</c:v>
                </c:pt>
                <c:pt idx="7">
                  <c:v>OFFICE SUPPLIES</c:v>
                </c:pt>
                <c:pt idx="8">
                  <c:v>NON CAPITALIZED EQUIPMENT</c:v>
                </c:pt>
                <c:pt idx="9">
                  <c:v>EDUCATION &amp; TRAINING</c:v>
                </c:pt>
                <c:pt idx="10">
                  <c:v>SPECIAL DEPT SUPPLIES</c:v>
                </c:pt>
                <c:pt idx="11">
                  <c:v>UNIFORMS</c:v>
                </c:pt>
              </c:strCache>
            </c:strRef>
          </c:cat>
          <c:val>
            <c:numRef>
              <c:f>'Sheriff Patrol'!$R$3:$R$14</c:f>
              <c:numCache>
                <c:formatCode>#,##0</c:formatCode>
                <c:ptCount val="12"/>
                <c:pt idx="0">
                  <c:v>2860000</c:v>
                </c:pt>
                <c:pt idx="1">
                  <c:v>145000</c:v>
                </c:pt>
                <c:pt idx="2">
                  <c:v>31700</c:v>
                </c:pt>
                <c:pt idx="3">
                  <c:v>1880000</c:v>
                </c:pt>
                <c:pt idx="4">
                  <c:v>15900</c:v>
                </c:pt>
                <c:pt idx="5">
                  <c:v>1800</c:v>
                </c:pt>
                <c:pt idx="6">
                  <c:v>20000</c:v>
                </c:pt>
                <c:pt idx="7">
                  <c:v>2000</c:v>
                </c:pt>
                <c:pt idx="8">
                  <c:v>29500</c:v>
                </c:pt>
                <c:pt idx="9">
                  <c:v>25000</c:v>
                </c:pt>
                <c:pt idx="10">
                  <c:v>35000</c:v>
                </c:pt>
                <c:pt idx="11">
                  <c:v>16500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3BA-4735-BF20-BA1E49CBE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'Sheriff Patrol'!$L$94:$R$94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'Sheriff Patrol'!$L$95:$R$95</c:f>
              <c:numCache>
                <c:formatCode>#,##0</c:formatCode>
                <c:ptCount val="7"/>
                <c:pt idx="0">
                  <c:v>301998</c:v>
                </c:pt>
                <c:pt idx="1">
                  <c:v>160527.69000000003</c:v>
                </c:pt>
                <c:pt idx="2">
                  <c:v>228494</c:v>
                </c:pt>
                <c:pt idx="3">
                  <c:v>118060.76000000001</c:v>
                </c:pt>
                <c:pt idx="4">
                  <c:v>193224.28399999999</c:v>
                </c:pt>
                <c:pt idx="5">
                  <c:v>233300</c:v>
                </c:pt>
                <c:pt idx="6">
                  <c:v>233300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96E-44C9-BD33-FD4B9C5D3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3036829"/>
        <c:axId val="1610409156"/>
      </c:barChart>
      <c:catAx>
        <c:axId val="105303682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10409156"/>
        <c:crosses val="autoZero"/>
        <c:auto val="1"/>
        <c:lblAlgn val="ctr"/>
        <c:lblOffset val="100"/>
        <c:noMultiLvlLbl val="1"/>
      </c:catAx>
      <c:valAx>
        <c:axId val="161040915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53036829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DBAF-4BAC-B467-969720258D80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DBAF-4BAC-B467-969720258D80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DBAF-4BAC-B467-969720258D80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DBAF-4BAC-B467-969720258D80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DBAF-4BAC-B467-969720258D80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DBAF-4BAC-B467-969720258D80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DBAF-4BAC-B467-969720258D80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DBAF-4BAC-B467-969720258D80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DBAF-4BAC-B467-969720258D80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DBAF-4BAC-B467-969720258D80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DBAF-4BAC-B467-969720258D80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DBAF-4BAC-B467-969720258D80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DBAF-4BAC-B467-969720258D80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DBAF-4BAC-B467-969720258D80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DBAF-4BAC-B467-969720258D80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DBAF-4BAC-B467-969720258D80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DBAF-4BAC-B467-969720258D80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DBAF-4BAC-B467-969720258D80}"/>
              </c:ext>
            </c:extLst>
          </c:dPt>
          <c:dPt>
            <c:idx val="18"/>
            <c:bubble3D val="0"/>
            <c:spPr>
              <a:solidFill>
                <a:srgbClr val="ECF3FE"/>
              </a:solidFill>
            </c:spPr>
            <c:extLst>
              <c:ext xmlns:c16="http://schemas.microsoft.com/office/drawing/2014/chart" uri="{C3380CC4-5D6E-409C-BE32-E72D297353CC}">
                <c16:uniqueId val="{00000025-DBAF-4BAC-B467-969720258D80}"/>
              </c:ext>
            </c:extLst>
          </c:dPt>
          <c:cat>
            <c:strRef>
              <c:f>'Sheriff Patrol'!$B$67:$B$85</c:f>
              <c:strCache>
                <c:ptCount val="19"/>
                <c:pt idx="0">
                  <c:v>FULL TIME EMPLOYEES</c:v>
                </c:pt>
                <c:pt idx="1">
                  <c:v>OVERTIME</c:v>
                </c:pt>
                <c:pt idx="2">
                  <c:v>PART TIME EMPLOYEES</c:v>
                </c:pt>
                <c:pt idx="3">
                  <c:v>EMPLOYEE BENEFITS</c:v>
                </c:pt>
                <c:pt idx="4">
                  <c:v>SUBSCRIPTIONS &amp; MEMBERSHIPS</c:v>
                </c:pt>
                <c:pt idx="5">
                  <c:v>TRAVEL</c:v>
                </c:pt>
                <c:pt idx="6">
                  <c:v>OFFICE SUPPLIES</c:v>
                </c:pt>
                <c:pt idx="7">
                  <c:v>EQUIPMENT SUPPLIES &amp; MAINT</c:v>
                </c:pt>
                <c:pt idx="8">
                  <c:v>NON CAPITALIZED EQUIPMENT</c:v>
                </c:pt>
                <c:pt idx="9">
                  <c:v>GRANT SUPPLIES &amp; NON CAP EQUIP</c:v>
                </c:pt>
                <c:pt idx="10">
                  <c:v>COMMUNICATIONS</c:v>
                </c:pt>
                <c:pt idx="11">
                  <c:v>FUEL</c:v>
                </c:pt>
                <c:pt idx="12">
                  <c:v>SOFTWARE PACKAGES</c:v>
                </c:pt>
                <c:pt idx="13">
                  <c:v>EDUCATION &amp; TRAINING</c:v>
                </c:pt>
                <c:pt idx="14">
                  <c:v>SPECIAL DEPT SUPPLIES</c:v>
                </c:pt>
                <c:pt idx="15">
                  <c:v>SPECIAL GRANT EXPENSE</c:v>
                </c:pt>
                <c:pt idx="16">
                  <c:v>UNIFORMS AND SUPPLIES</c:v>
                </c:pt>
                <c:pt idx="17">
                  <c:v>INSURANCE</c:v>
                </c:pt>
                <c:pt idx="18">
                  <c:v>EMERGENCY OPERATIONS</c:v>
                </c:pt>
              </c:strCache>
            </c:strRef>
          </c:cat>
          <c:val>
            <c:numRef>
              <c:f>'Sheriff Patrol'!$R$67:$R$85</c:f>
              <c:numCache>
                <c:formatCode>#,##0</c:formatCode>
                <c:ptCount val="19"/>
                <c:pt idx="0">
                  <c:v>85200</c:v>
                </c:pt>
                <c:pt idx="1">
                  <c:v>4000</c:v>
                </c:pt>
                <c:pt idx="2">
                  <c:v>26000</c:v>
                </c:pt>
                <c:pt idx="3">
                  <c:v>50300</c:v>
                </c:pt>
                <c:pt idx="4">
                  <c:v>1000</c:v>
                </c:pt>
                <c:pt idx="5">
                  <c:v>3500</c:v>
                </c:pt>
                <c:pt idx="6">
                  <c:v>1500</c:v>
                </c:pt>
                <c:pt idx="7">
                  <c:v>3500</c:v>
                </c:pt>
                <c:pt idx="8">
                  <c:v>29000</c:v>
                </c:pt>
                <c:pt idx="9">
                  <c:v>0</c:v>
                </c:pt>
                <c:pt idx="10">
                  <c:v>13000</c:v>
                </c:pt>
                <c:pt idx="11">
                  <c:v>0</c:v>
                </c:pt>
                <c:pt idx="12">
                  <c:v>2500</c:v>
                </c:pt>
                <c:pt idx="13">
                  <c:v>2800</c:v>
                </c:pt>
                <c:pt idx="14">
                  <c:v>1000</c:v>
                </c:pt>
                <c:pt idx="15">
                  <c:v>0</c:v>
                </c:pt>
                <c:pt idx="16">
                  <c:v>1000</c:v>
                </c:pt>
                <c:pt idx="17">
                  <c:v>1000</c:v>
                </c:pt>
                <c:pt idx="18">
                  <c:v>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DBAF-4BAC-B467-969720258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'Sheriff Patrol'!$L$94:$R$94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'Sheriff Patrol'!$L$95:$R$95</c:f>
              <c:numCache>
                <c:formatCode>#,##0</c:formatCode>
                <c:ptCount val="7"/>
                <c:pt idx="0">
                  <c:v>301998</c:v>
                </c:pt>
                <c:pt idx="1">
                  <c:v>160527.69000000003</c:v>
                </c:pt>
                <c:pt idx="2">
                  <c:v>228494</c:v>
                </c:pt>
                <c:pt idx="3">
                  <c:v>118060.76000000001</c:v>
                </c:pt>
                <c:pt idx="4">
                  <c:v>193224.28399999999</c:v>
                </c:pt>
                <c:pt idx="5">
                  <c:v>233300</c:v>
                </c:pt>
                <c:pt idx="6">
                  <c:v>233300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322-4E22-99FA-53912CB8A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1154136"/>
        <c:axId val="845363330"/>
      </c:barChart>
      <c:catAx>
        <c:axId val="1151154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845363330"/>
        <c:crosses val="autoZero"/>
        <c:auto val="1"/>
        <c:lblAlgn val="ctr"/>
        <c:lblOffset val="100"/>
        <c:noMultiLvlLbl val="1"/>
      </c:catAx>
      <c:valAx>
        <c:axId val="84536333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5115413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D2B0-46FF-BDE5-D6A9825716D3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D2B0-46FF-BDE5-D6A9825716D3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D2B0-46FF-BDE5-D6A9825716D3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D2B0-46FF-BDE5-D6A9825716D3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D2B0-46FF-BDE5-D6A9825716D3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D2B0-46FF-BDE5-D6A9825716D3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D2B0-46FF-BDE5-D6A9825716D3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D2B0-46FF-BDE5-D6A9825716D3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D2B0-46FF-BDE5-D6A9825716D3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D2B0-46FF-BDE5-D6A9825716D3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D2B0-46FF-BDE5-D6A9825716D3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D2B0-46FF-BDE5-D6A9825716D3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D2B0-46FF-BDE5-D6A9825716D3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D2B0-46FF-BDE5-D6A9825716D3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D2B0-46FF-BDE5-D6A9825716D3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D2B0-46FF-BDE5-D6A9825716D3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D2B0-46FF-BDE5-D6A9825716D3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D2B0-46FF-BDE5-D6A9825716D3}"/>
              </c:ext>
            </c:extLst>
          </c:dPt>
          <c:dPt>
            <c:idx val="18"/>
            <c:bubble3D val="0"/>
            <c:spPr>
              <a:solidFill>
                <a:srgbClr val="ECF3FE"/>
              </a:solidFill>
            </c:spPr>
            <c:extLst>
              <c:ext xmlns:c16="http://schemas.microsoft.com/office/drawing/2014/chart" uri="{C3380CC4-5D6E-409C-BE32-E72D297353CC}">
                <c16:uniqueId val="{00000025-D2B0-46FF-BDE5-D6A9825716D3}"/>
              </c:ext>
            </c:extLst>
          </c:dPt>
          <c:cat>
            <c:strRef>
              <c:f>'Sheriff Patrol'!$B$67:$B$85</c:f>
              <c:strCache>
                <c:ptCount val="19"/>
                <c:pt idx="0">
                  <c:v>FULL TIME EMPLOYEES</c:v>
                </c:pt>
                <c:pt idx="1">
                  <c:v>OVERTIME</c:v>
                </c:pt>
                <c:pt idx="2">
                  <c:v>PART TIME EMPLOYEES</c:v>
                </c:pt>
                <c:pt idx="3">
                  <c:v>EMPLOYEE BENEFITS</c:v>
                </c:pt>
                <c:pt idx="4">
                  <c:v>SUBSCRIPTIONS &amp; MEMBERSHIPS</c:v>
                </c:pt>
                <c:pt idx="5">
                  <c:v>TRAVEL</c:v>
                </c:pt>
                <c:pt idx="6">
                  <c:v>OFFICE SUPPLIES</c:v>
                </c:pt>
                <c:pt idx="7">
                  <c:v>EQUIPMENT SUPPLIES &amp; MAINT</c:v>
                </c:pt>
                <c:pt idx="8">
                  <c:v>NON CAPITALIZED EQUIPMENT</c:v>
                </c:pt>
                <c:pt idx="9">
                  <c:v>GRANT SUPPLIES &amp; NON CAP EQUIP</c:v>
                </c:pt>
                <c:pt idx="10">
                  <c:v>COMMUNICATIONS</c:v>
                </c:pt>
                <c:pt idx="11">
                  <c:v>FUEL</c:v>
                </c:pt>
                <c:pt idx="12">
                  <c:v>SOFTWARE PACKAGES</c:v>
                </c:pt>
                <c:pt idx="13">
                  <c:v>EDUCATION &amp; TRAINING</c:v>
                </c:pt>
                <c:pt idx="14">
                  <c:v>SPECIAL DEPT SUPPLIES</c:v>
                </c:pt>
                <c:pt idx="15">
                  <c:v>SPECIAL GRANT EXPENSE</c:v>
                </c:pt>
                <c:pt idx="16">
                  <c:v>UNIFORMS AND SUPPLIES</c:v>
                </c:pt>
                <c:pt idx="17">
                  <c:v>INSURANCE</c:v>
                </c:pt>
                <c:pt idx="18">
                  <c:v>EMERGENCY OPERATIONS</c:v>
                </c:pt>
              </c:strCache>
            </c:strRef>
          </c:cat>
          <c:val>
            <c:numRef>
              <c:f>'Sheriff Patrol'!$R$67:$R$85</c:f>
              <c:numCache>
                <c:formatCode>#,##0</c:formatCode>
                <c:ptCount val="19"/>
                <c:pt idx="0">
                  <c:v>85200</c:v>
                </c:pt>
                <c:pt idx="1">
                  <c:v>4000</c:v>
                </c:pt>
                <c:pt idx="2">
                  <c:v>26000</c:v>
                </c:pt>
                <c:pt idx="3">
                  <c:v>50300</c:v>
                </c:pt>
                <c:pt idx="4">
                  <c:v>1000</c:v>
                </c:pt>
                <c:pt idx="5">
                  <c:v>3500</c:v>
                </c:pt>
                <c:pt idx="6">
                  <c:v>1500</c:v>
                </c:pt>
                <c:pt idx="7">
                  <c:v>3500</c:v>
                </c:pt>
                <c:pt idx="8">
                  <c:v>29000</c:v>
                </c:pt>
                <c:pt idx="9">
                  <c:v>0</c:v>
                </c:pt>
                <c:pt idx="10">
                  <c:v>13000</c:v>
                </c:pt>
                <c:pt idx="11">
                  <c:v>0</c:v>
                </c:pt>
                <c:pt idx="12">
                  <c:v>2500</c:v>
                </c:pt>
                <c:pt idx="13">
                  <c:v>2800</c:v>
                </c:pt>
                <c:pt idx="14">
                  <c:v>1000</c:v>
                </c:pt>
                <c:pt idx="15">
                  <c:v>0</c:v>
                </c:pt>
                <c:pt idx="16">
                  <c:v>1000</c:v>
                </c:pt>
                <c:pt idx="17">
                  <c:v>1000</c:v>
                </c:pt>
                <c:pt idx="18">
                  <c:v>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D2B0-46FF-BDE5-D6A982571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'Sheriff Patrol'!$L$94:$R$94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'Sheriff Patrol'!$L$95:$R$95</c:f>
              <c:numCache>
                <c:formatCode>#,##0</c:formatCode>
                <c:ptCount val="7"/>
                <c:pt idx="0">
                  <c:v>301998</c:v>
                </c:pt>
                <c:pt idx="1">
                  <c:v>160527.69000000003</c:v>
                </c:pt>
                <c:pt idx="2">
                  <c:v>228494</c:v>
                </c:pt>
                <c:pt idx="3">
                  <c:v>118060.76000000001</c:v>
                </c:pt>
                <c:pt idx="4">
                  <c:v>193224.28399999999</c:v>
                </c:pt>
                <c:pt idx="5">
                  <c:v>233300</c:v>
                </c:pt>
                <c:pt idx="6">
                  <c:v>233300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8FB-4D90-B6E7-E1BD49F29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2063037"/>
        <c:axId val="1569847170"/>
      </c:barChart>
      <c:catAx>
        <c:axId val="83206303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69847170"/>
        <c:crosses val="autoZero"/>
        <c:auto val="1"/>
        <c:lblAlgn val="ctr"/>
        <c:lblOffset val="100"/>
        <c:noMultiLvlLbl val="1"/>
      </c:catAx>
      <c:valAx>
        <c:axId val="156984717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832063037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34ED-443D-80B1-4A60D00D7730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34ED-443D-80B1-4A60D00D7730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34ED-443D-80B1-4A60D00D7730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34ED-443D-80B1-4A60D00D7730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34ED-443D-80B1-4A60D00D7730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34ED-443D-80B1-4A60D00D7730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34ED-443D-80B1-4A60D00D7730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34ED-443D-80B1-4A60D00D7730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34ED-443D-80B1-4A60D00D7730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34ED-443D-80B1-4A60D00D7730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34ED-443D-80B1-4A60D00D7730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34ED-443D-80B1-4A60D00D7730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34ED-443D-80B1-4A60D00D7730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34ED-443D-80B1-4A60D00D7730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34ED-443D-80B1-4A60D00D7730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34ED-443D-80B1-4A60D00D7730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34ED-443D-80B1-4A60D00D7730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34ED-443D-80B1-4A60D00D7730}"/>
              </c:ext>
            </c:extLst>
          </c:dPt>
          <c:dPt>
            <c:idx val="18"/>
            <c:bubble3D val="0"/>
            <c:spPr>
              <a:solidFill>
                <a:srgbClr val="ECF3FE"/>
              </a:solidFill>
            </c:spPr>
            <c:extLst>
              <c:ext xmlns:c16="http://schemas.microsoft.com/office/drawing/2014/chart" uri="{C3380CC4-5D6E-409C-BE32-E72D297353CC}">
                <c16:uniqueId val="{00000025-34ED-443D-80B1-4A60D00D7730}"/>
              </c:ext>
            </c:extLst>
          </c:dPt>
          <c:cat>
            <c:strRef>
              <c:f>'Sheriff Patrol'!$B$67:$B$85</c:f>
              <c:strCache>
                <c:ptCount val="19"/>
                <c:pt idx="0">
                  <c:v>FULL TIME EMPLOYEES</c:v>
                </c:pt>
                <c:pt idx="1">
                  <c:v>OVERTIME</c:v>
                </c:pt>
                <c:pt idx="2">
                  <c:v>PART TIME EMPLOYEES</c:v>
                </c:pt>
                <c:pt idx="3">
                  <c:v>EMPLOYEE BENEFITS</c:v>
                </c:pt>
                <c:pt idx="4">
                  <c:v>SUBSCRIPTIONS &amp; MEMBERSHIPS</c:v>
                </c:pt>
                <c:pt idx="5">
                  <c:v>TRAVEL</c:v>
                </c:pt>
                <c:pt idx="6">
                  <c:v>OFFICE SUPPLIES</c:v>
                </c:pt>
                <c:pt idx="7">
                  <c:v>EQUIPMENT SUPPLIES &amp; MAINT</c:v>
                </c:pt>
                <c:pt idx="8">
                  <c:v>NON CAPITALIZED EQUIPMENT</c:v>
                </c:pt>
                <c:pt idx="9">
                  <c:v>GRANT SUPPLIES &amp; NON CAP EQUIP</c:v>
                </c:pt>
                <c:pt idx="10">
                  <c:v>COMMUNICATIONS</c:v>
                </c:pt>
                <c:pt idx="11">
                  <c:v>FUEL</c:v>
                </c:pt>
                <c:pt idx="12">
                  <c:v>SOFTWARE PACKAGES</c:v>
                </c:pt>
                <c:pt idx="13">
                  <c:v>EDUCATION &amp; TRAINING</c:v>
                </c:pt>
                <c:pt idx="14">
                  <c:v>SPECIAL DEPT SUPPLIES</c:v>
                </c:pt>
                <c:pt idx="15">
                  <c:v>SPECIAL GRANT EXPENSE</c:v>
                </c:pt>
                <c:pt idx="16">
                  <c:v>UNIFORMS AND SUPPLIES</c:v>
                </c:pt>
                <c:pt idx="17">
                  <c:v>INSURANCE</c:v>
                </c:pt>
                <c:pt idx="18">
                  <c:v>EMERGENCY OPERATIONS</c:v>
                </c:pt>
              </c:strCache>
            </c:strRef>
          </c:cat>
          <c:val>
            <c:numRef>
              <c:f>'Sheriff Patrol'!$R$67:$R$85</c:f>
              <c:numCache>
                <c:formatCode>#,##0</c:formatCode>
                <c:ptCount val="19"/>
                <c:pt idx="0">
                  <c:v>85200</c:v>
                </c:pt>
                <c:pt idx="1">
                  <c:v>4000</c:v>
                </c:pt>
                <c:pt idx="2">
                  <c:v>26000</c:v>
                </c:pt>
                <c:pt idx="3">
                  <c:v>50300</c:v>
                </c:pt>
                <c:pt idx="4">
                  <c:v>1000</c:v>
                </c:pt>
                <c:pt idx="5">
                  <c:v>3500</c:v>
                </c:pt>
                <c:pt idx="6">
                  <c:v>1500</c:v>
                </c:pt>
                <c:pt idx="7">
                  <c:v>3500</c:v>
                </c:pt>
                <c:pt idx="8">
                  <c:v>29000</c:v>
                </c:pt>
                <c:pt idx="9">
                  <c:v>0</c:v>
                </c:pt>
                <c:pt idx="10">
                  <c:v>13000</c:v>
                </c:pt>
                <c:pt idx="11">
                  <c:v>0</c:v>
                </c:pt>
                <c:pt idx="12">
                  <c:v>2500</c:v>
                </c:pt>
                <c:pt idx="13">
                  <c:v>2800</c:v>
                </c:pt>
                <c:pt idx="14">
                  <c:v>1000</c:v>
                </c:pt>
                <c:pt idx="15">
                  <c:v>0</c:v>
                </c:pt>
                <c:pt idx="16">
                  <c:v>1000</c:v>
                </c:pt>
                <c:pt idx="17">
                  <c:v>1000</c:v>
                </c:pt>
                <c:pt idx="18">
                  <c:v>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34ED-443D-80B1-4A60D00D7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'Sheriff Patrol'!$L$94:$R$94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'Sheriff Patrol'!$L$95:$R$95</c:f>
              <c:numCache>
                <c:formatCode>#,##0</c:formatCode>
                <c:ptCount val="7"/>
                <c:pt idx="0">
                  <c:v>301998</c:v>
                </c:pt>
                <c:pt idx="1">
                  <c:v>160527.69000000003</c:v>
                </c:pt>
                <c:pt idx="2">
                  <c:v>228494</c:v>
                </c:pt>
                <c:pt idx="3">
                  <c:v>118060.76000000001</c:v>
                </c:pt>
                <c:pt idx="4">
                  <c:v>193224.28399999999</c:v>
                </c:pt>
                <c:pt idx="5">
                  <c:v>233300</c:v>
                </c:pt>
                <c:pt idx="6">
                  <c:v>233300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877-4F3C-86D6-DC7098F41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449062"/>
        <c:axId val="1970904920"/>
      </c:barChart>
      <c:catAx>
        <c:axId val="162044906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70904920"/>
        <c:crosses val="autoZero"/>
        <c:auto val="1"/>
        <c:lblAlgn val="ctr"/>
        <c:lblOffset val="100"/>
        <c:noMultiLvlLbl val="1"/>
      </c:catAx>
      <c:valAx>
        <c:axId val="197090492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2044906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Executive!$B$33</c:f>
              <c:strCache>
                <c:ptCount val="1"/>
              </c:strCache>
            </c:strRef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Executive!$C$32:$S$32</c:f>
              <c:strCache>
                <c:ptCount val="8"/>
                <c:pt idx="0">
                  <c:v>Period</c:v>
                </c:pt>
                <c:pt idx="1">
                  <c:v>2023 Actual</c:v>
                </c:pt>
                <c:pt idx="2">
                  <c:v>2024 Actual</c:v>
                </c:pt>
                <c:pt idx="3">
                  <c:v>Approved
  2025
 Budget</c:v>
                </c:pt>
                <c:pt idx="4">
                  <c:v>2025 YTD Actual</c:v>
                </c:pt>
                <c:pt idx="5">
                  <c:v>Projected 2025 </c:v>
                </c:pt>
                <c:pt idx="6">
                  <c:v>2026
 Requested
 Budget</c:v>
                </c:pt>
                <c:pt idx="7">
                  <c:v>2026 
Tentative 
Budget</c:v>
                </c:pt>
              </c:strCache>
            </c:strRef>
          </c:cat>
          <c:val>
            <c:numRef>
              <c:f>Executive!$C$33:$S$33</c:f>
              <c:numCache>
                <c:formatCode>#,##0</c:formatCode>
                <c:ptCount val="8"/>
                <c:pt idx="0" formatCode="General">
                  <c:v>0</c:v>
                </c:pt>
                <c:pt idx="1">
                  <c:v>483538</c:v>
                </c:pt>
                <c:pt idx="2">
                  <c:v>504023.45999999985</c:v>
                </c:pt>
                <c:pt idx="3">
                  <c:v>547297</c:v>
                </c:pt>
                <c:pt idx="4">
                  <c:v>444566.96</c:v>
                </c:pt>
                <c:pt idx="5">
                  <c:v>576175.22366666666</c:v>
                </c:pt>
                <c:pt idx="6">
                  <c:v>627895</c:v>
                </c:pt>
                <c:pt idx="7">
                  <c:v>323935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C3A-45D2-AC57-A796D5C15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76148"/>
        <c:axId val="1790568684"/>
      </c:barChart>
      <c:catAx>
        <c:axId val="55761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Period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90568684"/>
        <c:crosses val="autoZero"/>
        <c:auto val="1"/>
        <c:lblAlgn val="ctr"/>
        <c:lblOffset val="100"/>
        <c:noMultiLvlLbl val="1"/>
      </c:catAx>
      <c:valAx>
        <c:axId val="179056868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Expenditure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557614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1CC2-478E-9C7F-AAE682404A09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1CC2-478E-9C7F-AAE682404A09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1CC2-478E-9C7F-AAE682404A09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1CC2-478E-9C7F-AAE682404A09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1CC2-478E-9C7F-AAE682404A09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1CC2-478E-9C7F-AAE682404A09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1CC2-478E-9C7F-AAE682404A09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1CC2-478E-9C7F-AAE682404A09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1CC2-478E-9C7F-AAE682404A09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1CC2-478E-9C7F-AAE682404A09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1CC2-478E-9C7F-AAE682404A09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1CC2-478E-9C7F-AAE682404A09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1CC2-478E-9C7F-AAE682404A09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1CC2-478E-9C7F-AAE682404A09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1CC2-478E-9C7F-AAE682404A09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1CC2-478E-9C7F-AAE682404A09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1CC2-478E-9C7F-AAE682404A09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1CC2-478E-9C7F-AAE682404A09}"/>
              </c:ext>
            </c:extLst>
          </c:dPt>
          <c:dPt>
            <c:idx val="18"/>
            <c:bubble3D val="0"/>
            <c:spPr>
              <a:solidFill>
                <a:srgbClr val="ECF3FE"/>
              </a:solidFill>
            </c:spPr>
            <c:extLst>
              <c:ext xmlns:c16="http://schemas.microsoft.com/office/drawing/2014/chart" uri="{C3380CC4-5D6E-409C-BE32-E72D297353CC}">
                <c16:uniqueId val="{00000025-1CC2-478E-9C7F-AAE682404A09}"/>
              </c:ext>
            </c:extLst>
          </c:dPt>
          <c:cat>
            <c:strRef>
              <c:f>'Sheriff Patrol'!$B$67:$B$85</c:f>
              <c:strCache>
                <c:ptCount val="19"/>
                <c:pt idx="0">
                  <c:v>FULL TIME EMPLOYEES</c:v>
                </c:pt>
                <c:pt idx="1">
                  <c:v>OVERTIME</c:v>
                </c:pt>
                <c:pt idx="2">
                  <c:v>PART TIME EMPLOYEES</c:v>
                </c:pt>
                <c:pt idx="3">
                  <c:v>EMPLOYEE BENEFITS</c:v>
                </c:pt>
                <c:pt idx="4">
                  <c:v>SUBSCRIPTIONS &amp; MEMBERSHIPS</c:v>
                </c:pt>
                <c:pt idx="5">
                  <c:v>TRAVEL</c:v>
                </c:pt>
                <c:pt idx="6">
                  <c:v>OFFICE SUPPLIES</c:v>
                </c:pt>
                <c:pt idx="7">
                  <c:v>EQUIPMENT SUPPLIES &amp; MAINT</c:v>
                </c:pt>
                <c:pt idx="8">
                  <c:v>NON CAPITALIZED EQUIPMENT</c:v>
                </c:pt>
                <c:pt idx="9">
                  <c:v>GRANT SUPPLIES &amp; NON CAP EQUIP</c:v>
                </c:pt>
                <c:pt idx="10">
                  <c:v>COMMUNICATIONS</c:v>
                </c:pt>
                <c:pt idx="11">
                  <c:v>FUEL</c:v>
                </c:pt>
                <c:pt idx="12">
                  <c:v>SOFTWARE PACKAGES</c:v>
                </c:pt>
                <c:pt idx="13">
                  <c:v>EDUCATION &amp; TRAINING</c:v>
                </c:pt>
                <c:pt idx="14">
                  <c:v>SPECIAL DEPT SUPPLIES</c:v>
                </c:pt>
                <c:pt idx="15">
                  <c:v>SPECIAL GRANT EXPENSE</c:v>
                </c:pt>
                <c:pt idx="16">
                  <c:v>UNIFORMS AND SUPPLIES</c:v>
                </c:pt>
                <c:pt idx="17">
                  <c:v>INSURANCE</c:v>
                </c:pt>
                <c:pt idx="18">
                  <c:v>EMERGENCY OPERATIONS</c:v>
                </c:pt>
              </c:strCache>
            </c:strRef>
          </c:cat>
          <c:val>
            <c:numRef>
              <c:f>'Sheriff Patrol'!$R$67:$R$85</c:f>
              <c:numCache>
                <c:formatCode>#,##0</c:formatCode>
                <c:ptCount val="19"/>
                <c:pt idx="0">
                  <c:v>85200</c:v>
                </c:pt>
                <c:pt idx="1">
                  <c:v>4000</c:v>
                </c:pt>
                <c:pt idx="2">
                  <c:v>26000</c:v>
                </c:pt>
                <c:pt idx="3">
                  <c:v>50300</c:v>
                </c:pt>
                <c:pt idx="4">
                  <c:v>1000</c:v>
                </c:pt>
                <c:pt idx="5">
                  <c:v>3500</c:v>
                </c:pt>
                <c:pt idx="6">
                  <c:v>1500</c:v>
                </c:pt>
                <c:pt idx="7">
                  <c:v>3500</c:v>
                </c:pt>
                <c:pt idx="8">
                  <c:v>29000</c:v>
                </c:pt>
                <c:pt idx="9">
                  <c:v>0</c:v>
                </c:pt>
                <c:pt idx="10">
                  <c:v>13000</c:v>
                </c:pt>
                <c:pt idx="11">
                  <c:v>0</c:v>
                </c:pt>
                <c:pt idx="12">
                  <c:v>2500</c:v>
                </c:pt>
                <c:pt idx="13">
                  <c:v>2800</c:v>
                </c:pt>
                <c:pt idx="14">
                  <c:v>1000</c:v>
                </c:pt>
                <c:pt idx="15">
                  <c:v>0</c:v>
                </c:pt>
                <c:pt idx="16">
                  <c:v>1000</c:v>
                </c:pt>
                <c:pt idx="17">
                  <c:v>1000</c:v>
                </c:pt>
                <c:pt idx="18">
                  <c:v>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1CC2-478E-9C7F-AAE682404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'Sheriff Patrol'!$L$94:$R$94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'Sheriff Patrol'!$L$95:$R$95</c:f>
              <c:numCache>
                <c:formatCode>#,##0</c:formatCode>
                <c:ptCount val="7"/>
                <c:pt idx="0">
                  <c:v>301998</c:v>
                </c:pt>
                <c:pt idx="1">
                  <c:v>160527.69000000003</c:v>
                </c:pt>
                <c:pt idx="2">
                  <c:v>228494</c:v>
                </c:pt>
                <c:pt idx="3">
                  <c:v>118060.76000000001</c:v>
                </c:pt>
                <c:pt idx="4">
                  <c:v>193224.28399999999</c:v>
                </c:pt>
                <c:pt idx="5">
                  <c:v>233300</c:v>
                </c:pt>
                <c:pt idx="6">
                  <c:v>233300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BB1-4A16-BF3A-9F5F7431A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265717"/>
        <c:axId val="1073302651"/>
      </c:barChart>
      <c:catAx>
        <c:axId val="9526571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73302651"/>
        <c:crosses val="autoZero"/>
        <c:auto val="1"/>
        <c:lblAlgn val="ctr"/>
        <c:lblOffset val="100"/>
        <c:noMultiLvlLbl val="1"/>
      </c:catAx>
      <c:valAx>
        <c:axId val="107330265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5265717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E9A7-4E94-B32B-EDEBE49DD8A7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E9A7-4E94-B32B-EDEBE49DD8A7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E9A7-4E94-B32B-EDEBE49DD8A7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E9A7-4E94-B32B-EDEBE49DD8A7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E9A7-4E94-B32B-EDEBE49DD8A7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E9A7-4E94-B32B-EDEBE49DD8A7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E9A7-4E94-B32B-EDEBE49DD8A7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E9A7-4E94-B32B-EDEBE49DD8A7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E9A7-4E94-B32B-EDEBE49DD8A7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E9A7-4E94-B32B-EDEBE49DD8A7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E9A7-4E94-B32B-EDEBE49DD8A7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E9A7-4E94-B32B-EDEBE49DD8A7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E9A7-4E94-B32B-EDEBE49DD8A7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E9A7-4E94-B32B-EDEBE49DD8A7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E9A7-4E94-B32B-EDEBE49DD8A7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E9A7-4E94-B32B-EDEBE49DD8A7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E9A7-4E94-B32B-EDEBE49DD8A7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E9A7-4E94-B32B-EDEBE49DD8A7}"/>
              </c:ext>
            </c:extLst>
          </c:dPt>
          <c:dPt>
            <c:idx val="18"/>
            <c:bubble3D val="0"/>
            <c:spPr>
              <a:solidFill>
                <a:srgbClr val="ECF3FE"/>
              </a:solidFill>
            </c:spPr>
            <c:extLst>
              <c:ext xmlns:c16="http://schemas.microsoft.com/office/drawing/2014/chart" uri="{C3380CC4-5D6E-409C-BE32-E72D297353CC}">
                <c16:uniqueId val="{00000025-E9A7-4E94-B32B-EDEBE49DD8A7}"/>
              </c:ext>
            </c:extLst>
          </c:dPt>
          <c:cat>
            <c:strRef>
              <c:f>'Sheriff Patrol'!$B$67:$B$85</c:f>
              <c:strCache>
                <c:ptCount val="19"/>
                <c:pt idx="0">
                  <c:v>FULL TIME EMPLOYEES</c:v>
                </c:pt>
                <c:pt idx="1">
                  <c:v>OVERTIME</c:v>
                </c:pt>
                <c:pt idx="2">
                  <c:v>PART TIME EMPLOYEES</c:v>
                </c:pt>
                <c:pt idx="3">
                  <c:v>EMPLOYEE BENEFITS</c:v>
                </c:pt>
                <c:pt idx="4">
                  <c:v>SUBSCRIPTIONS &amp; MEMBERSHIPS</c:v>
                </c:pt>
                <c:pt idx="5">
                  <c:v>TRAVEL</c:v>
                </c:pt>
                <c:pt idx="6">
                  <c:v>OFFICE SUPPLIES</c:v>
                </c:pt>
                <c:pt idx="7">
                  <c:v>EQUIPMENT SUPPLIES &amp; MAINT</c:v>
                </c:pt>
                <c:pt idx="8">
                  <c:v>NON CAPITALIZED EQUIPMENT</c:v>
                </c:pt>
                <c:pt idx="9">
                  <c:v>GRANT SUPPLIES &amp; NON CAP EQUIP</c:v>
                </c:pt>
                <c:pt idx="10">
                  <c:v>COMMUNICATIONS</c:v>
                </c:pt>
                <c:pt idx="11">
                  <c:v>FUEL</c:v>
                </c:pt>
                <c:pt idx="12">
                  <c:v>SOFTWARE PACKAGES</c:v>
                </c:pt>
                <c:pt idx="13">
                  <c:v>EDUCATION &amp; TRAINING</c:v>
                </c:pt>
                <c:pt idx="14">
                  <c:v>SPECIAL DEPT SUPPLIES</c:v>
                </c:pt>
                <c:pt idx="15">
                  <c:v>SPECIAL GRANT EXPENSE</c:v>
                </c:pt>
                <c:pt idx="16">
                  <c:v>UNIFORMS AND SUPPLIES</c:v>
                </c:pt>
                <c:pt idx="17">
                  <c:v>INSURANCE</c:v>
                </c:pt>
                <c:pt idx="18">
                  <c:v>EMERGENCY OPERATIONS</c:v>
                </c:pt>
              </c:strCache>
            </c:strRef>
          </c:cat>
          <c:val>
            <c:numRef>
              <c:f>'Sheriff Patrol'!$R$67:$R$85</c:f>
              <c:numCache>
                <c:formatCode>#,##0</c:formatCode>
                <c:ptCount val="19"/>
                <c:pt idx="0">
                  <c:v>85200</c:v>
                </c:pt>
                <c:pt idx="1">
                  <c:v>4000</c:v>
                </c:pt>
                <c:pt idx="2">
                  <c:v>26000</c:v>
                </c:pt>
                <c:pt idx="3">
                  <c:v>50300</c:v>
                </c:pt>
                <c:pt idx="4">
                  <c:v>1000</c:v>
                </c:pt>
                <c:pt idx="5">
                  <c:v>3500</c:v>
                </c:pt>
                <c:pt idx="6">
                  <c:v>1500</c:v>
                </c:pt>
                <c:pt idx="7">
                  <c:v>3500</c:v>
                </c:pt>
                <c:pt idx="8">
                  <c:v>29000</c:v>
                </c:pt>
                <c:pt idx="9">
                  <c:v>0</c:v>
                </c:pt>
                <c:pt idx="10">
                  <c:v>13000</c:v>
                </c:pt>
                <c:pt idx="11">
                  <c:v>0</c:v>
                </c:pt>
                <c:pt idx="12">
                  <c:v>2500</c:v>
                </c:pt>
                <c:pt idx="13">
                  <c:v>2800</c:v>
                </c:pt>
                <c:pt idx="14">
                  <c:v>1000</c:v>
                </c:pt>
                <c:pt idx="15">
                  <c:v>0</c:v>
                </c:pt>
                <c:pt idx="16">
                  <c:v>1000</c:v>
                </c:pt>
                <c:pt idx="17">
                  <c:v>1000</c:v>
                </c:pt>
                <c:pt idx="18">
                  <c:v>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E9A7-4E94-B32B-EDEBE49DD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DCA9-4F8A-89E1-0558AA35FC0D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DCA9-4F8A-89E1-0558AA35FC0D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DCA9-4F8A-89E1-0558AA35FC0D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DCA9-4F8A-89E1-0558AA35FC0D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DCA9-4F8A-89E1-0558AA35FC0D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DCA9-4F8A-89E1-0558AA35FC0D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DCA9-4F8A-89E1-0558AA35FC0D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DCA9-4F8A-89E1-0558AA35FC0D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DCA9-4F8A-89E1-0558AA35FC0D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DCA9-4F8A-89E1-0558AA35FC0D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DCA9-4F8A-89E1-0558AA35FC0D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DCA9-4F8A-89E1-0558AA35FC0D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DCA9-4F8A-89E1-0558AA35FC0D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DCA9-4F8A-89E1-0558AA35FC0D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DCA9-4F8A-89E1-0558AA35FC0D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DCA9-4F8A-89E1-0558AA35FC0D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DCA9-4F8A-89E1-0558AA35FC0D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DCA9-4F8A-89E1-0558AA35FC0D}"/>
              </c:ext>
            </c:extLst>
          </c:dPt>
          <c:dPt>
            <c:idx val="18"/>
            <c:bubble3D val="0"/>
            <c:spPr>
              <a:solidFill>
                <a:srgbClr val="ECF3FE"/>
              </a:solidFill>
            </c:spPr>
            <c:extLst>
              <c:ext xmlns:c16="http://schemas.microsoft.com/office/drawing/2014/chart" uri="{C3380CC4-5D6E-409C-BE32-E72D297353CC}">
                <c16:uniqueId val="{00000025-DCA9-4F8A-89E1-0558AA35FC0D}"/>
              </c:ext>
            </c:extLst>
          </c:dPt>
          <c:dPt>
            <c:idx val="19"/>
            <c:bubble3D val="0"/>
            <c:spPr>
              <a:solidFill>
                <a:srgbClr val="FDECEB"/>
              </a:solidFill>
            </c:spPr>
            <c:extLst>
              <c:ext xmlns:c16="http://schemas.microsoft.com/office/drawing/2014/chart" uri="{C3380CC4-5D6E-409C-BE32-E72D297353CC}">
                <c16:uniqueId val="{00000027-DCA9-4F8A-89E1-0558AA35FC0D}"/>
              </c:ext>
            </c:extLst>
          </c:dPt>
          <c:dPt>
            <c:idx val="20"/>
            <c:bubble3D val="0"/>
            <c:spPr>
              <a:solidFill>
                <a:srgbClr val="FFF8E6"/>
              </a:solidFill>
            </c:spPr>
            <c:extLst>
              <c:ext xmlns:c16="http://schemas.microsoft.com/office/drawing/2014/chart" uri="{C3380CC4-5D6E-409C-BE32-E72D297353CC}">
                <c16:uniqueId val="{00000029-DCA9-4F8A-89E1-0558AA35FC0D}"/>
              </c:ext>
            </c:extLst>
          </c:dPt>
          <c:dPt>
            <c:idx val="21"/>
            <c:bubble3D val="0"/>
            <c:spPr>
              <a:solidFill>
                <a:srgbClr val="EBF6EE"/>
              </a:solidFill>
            </c:spPr>
            <c:extLst>
              <c:ext xmlns:c16="http://schemas.microsoft.com/office/drawing/2014/chart" uri="{C3380CC4-5D6E-409C-BE32-E72D297353CC}">
                <c16:uniqueId val="{0000002B-DCA9-4F8A-89E1-0558AA35FC0D}"/>
              </c:ext>
            </c:extLst>
          </c:dPt>
          <c:dPt>
            <c:idx val="22"/>
            <c:bubble3D val="0"/>
            <c:spPr>
              <a:solidFill>
                <a:srgbClr val="FFF0E6"/>
              </a:solidFill>
            </c:spPr>
            <c:extLst>
              <c:ext xmlns:c16="http://schemas.microsoft.com/office/drawing/2014/chart" uri="{C3380CC4-5D6E-409C-BE32-E72D297353CC}">
                <c16:uniqueId val="{0000002D-DCA9-4F8A-89E1-0558AA35FC0D}"/>
              </c:ext>
            </c:extLst>
          </c:dPt>
          <c:dPt>
            <c:idx val="23"/>
            <c:bubble3D val="0"/>
            <c:spPr>
              <a:solidFill>
                <a:srgbClr val="EDF8F9"/>
              </a:solidFill>
            </c:spPr>
            <c:extLst>
              <c:ext xmlns:c16="http://schemas.microsoft.com/office/drawing/2014/chart" uri="{C3380CC4-5D6E-409C-BE32-E72D297353CC}">
                <c16:uniqueId val="{0000002F-DCA9-4F8A-89E1-0558AA35FC0D}"/>
              </c:ext>
            </c:extLst>
          </c:dPt>
          <c:dPt>
            <c:idx val="24"/>
            <c:bubble3D val="0"/>
            <c:spPr>
              <a:solidFill>
                <a:srgbClr val="251701"/>
              </a:solidFill>
            </c:spPr>
            <c:extLst>
              <c:ext xmlns:c16="http://schemas.microsoft.com/office/drawing/2014/chart" uri="{C3380CC4-5D6E-409C-BE32-E72D297353CC}">
                <c16:uniqueId val="{00000031-DCA9-4F8A-89E1-0558AA35FC0D}"/>
              </c:ext>
            </c:extLst>
          </c:dPt>
          <c:dPt>
            <c:idx val="25"/>
            <c:bubble3D val="0"/>
            <c:spPr>
              <a:solidFill>
                <a:srgbClr val="032527"/>
              </a:solidFill>
            </c:spPr>
            <c:extLst>
              <c:ext xmlns:c16="http://schemas.microsoft.com/office/drawing/2014/chart" uri="{C3380CC4-5D6E-409C-BE32-E72D297353CC}">
                <c16:uniqueId val="{00000033-DCA9-4F8A-89E1-0558AA35FC0D}"/>
              </c:ext>
            </c:extLst>
          </c:dPt>
          <c:dPt>
            <c:idx val="26"/>
            <c:bubble3D val="0"/>
            <c:spPr>
              <a:solidFill>
                <a:srgbClr val="000C31"/>
              </a:solidFill>
            </c:spPr>
            <c:extLst>
              <c:ext xmlns:c16="http://schemas.microsoft.com/office/drawing/2014/chart" uri="{C3380CC4-5D6E-409C-BE32-E72D297353CC}">
                <c16:uniqueId val="{00000035-DCA9-4F8A-89E1-0558AA35FC0D}"/>
              </c:ext>
            </c:extLst>
          </c:dPt>
          <c:dPt>
            <c:idx val="27"/>
            <c:bubble3D val="0"/>
            <c:spPr>
              <a:solidFill>
                <a:srgbClr val="281021"/>
              </a:solidFill>
            </c:spPr>
            <c:extLst>
              <c:ext xmlns:c16="http://schemas.microsoft.com/office/drawing/2014/chart" uri="{C3380CC4-5D6E-409C-BE32-E72D297353CC}">
                <c16:uniqueId val="{00000037-DCA9-4F8A-89E1-0558AA35FC0D}"/>
              </c:ext>
            </c:extLst>
          </c:dPt>
          <c:dPt>
            <c:idx val="28"/>
            <c:bubble3D val="0"/>
            <c:spPr>
              <a:solidFill>
                <a:srgbClr val="FF1C32"/>
              </a:solidFill>
            </c:spPr>
            <c:extLst>
              <c:ext xmlns:c16="http://schemas.microsoft.com/office/drawing/2014/chart" uri="{C3380CC4-5D6E-409C-BE32-E72D297353CC}">
                <c16:uniqueId val="{00000039-DCA9-4F8A-89E1-0558AA35FC0D}"/>
              </c:ext>
            </c:extLst>
          </c:dPt>
          <c:dPt>
            <c:idx val="29"/>
            <c:bubble3D val="0"/>
            <c:spPr>
              <a:solidFill>
                <a:srgbClr val="240C0A"/>
              </a:solidFill>
            </c:spPr>
            <c:extLst>
              <c:ext xmlns:c16="http://schemas.microsoft.com/office/drawing/2014/chart" uri="{C3380CC4-5D6E-409C-BE32-E72D297353CC}">
                <c16:uniqueId val="{0000003B-DCA9-4F8A-89E1-0558AA35FC0D}"/>
              </c:ext>
            </c:extLst>
          </c:dPt>
          <c:dPt>
            <c:idx val="30"/>
            <c:bubble3D val="0"/>
            <c:spPr>
              <a:solidFill>
                <a:srgbClr val="5E3C05"/>
              </a:solidFill>
            </c:spPr>
            <c:extLst>
              <c:ext xmlns:c16="http://schemas.microsoft.com/office/drawing/2014/chart" uri="{C3380CC4-5D6E-409C-BE32-E72D297353CC}">
                <c16:uniqueId val="{0000003D-DCA9-4F8A-89E1-0558AA35FC0D}"/>
              </c:ext>
            </c:extLst>
          </c:dPt>
          <c:dPt>
            <c:idx val="31"/>
            <c:bubble3D val="0"/>
            <c:spPr>
              <a:solidFill>
                <a:srgbClr val="0A5D64"/>
              </a:solidFill>
            </c:spPr>
            <c:extLst>
              <c:ext xmlns:c16="http://schemas.microsoft.com/office/drawing/2014/chart" uri="{C3380CC4-5D6E-409C-BE32-E72D297353CC}">
                <c16:uniqueId val="{0000003F-DCA9-4F8A-89E1-0558AA35FC0D}"/>
              </c:ext>
            </c:extLst>
          </c:dPt>
          <c:dPt>
            <c:idx val="32"/>
            <c:bubble3D val="0"/>
            <c:spPr>
              <a:solidFill>
                <a:srgbClr val="01217D"/>
              </a:solidFill>
            </c:spPr>
            <c:extLst>
              <c:ext xmlns:c16="http://schemas.microsoft.com/office/drawing/2014/chart" uri="{C3380CC4-5D6E-409C-BE32-E72D297353CC}">
                <c16:uniqueId val="{00000041-DCA9-4F8A-89E1-0558AA35FC0D}"/>
              </c:ext>
            </c:extLst>
          </c:dPt>
          <c:dPt>
            <c:idx val="33"/>
            <c:bubble3D val="0"/>
            <c:spPr>
              <a:solidFill>
                <a:srgbClr val="652B55"/>
              </a:solidFill>
            </c:spPr>
            <c:extLst>
              <c:ext xmlns:c16="http://schemas.microsoft.com/office/drawing/2014/chart" uri="{C3380CC4-5D6E-409C-BE32-E72D297353CC}">
                <c16:uniqueId val="{00000043-DCA9-4F8A-89E1-0558AA35FC0D}"/>
              </c:ext>
            </c:extLst>
          </c:dPt>
          <c:dPt>
            <c:idx val="34"/>
            <c:bubble3D val="0"/>
            <c:spPr>
              <a:solidFill>
                <a:srgbClr val="FF487E"/>
              </a:solidFill>
            </c:spPr>
            <c:extLst>
              <c:ext xmlns:c16="http://schemas.microsoft.com/office/drawing/2014/chart" uri="{C3380CC4-5D6E-409C-BE32-E72D297353CC}">
                <c16:uniqueId val="{00000045-DCA9-4F8A-89E1-0558AA35FC0D}"/>
              </c:ext>
            </c:extLst>
          </c:dPt>
          <c:dPt>
            <c:idx val="35"/>
            <c:bubble3D val="0"/>
            <c:spPr>
              <a:solidFill>
                <a:srgbClr val="5C201C"/>
              </a:solidFill>
            </c:spPr>
            <c:extLst>
              <c:ext xmlns:c16="http://schemas.microsoft.com/office/drawing/2014/chart" uri="{C3380CC4-5D6E-409C-BE32-E72D297353CC}">
                <c16:uniqueId val="{00000047-DCA9-4F8A-89E1-0558AA35FC0D}"/>
              </c:ext>
            </c:extLst>
          </c:dPt>
          <c:dPt>
            <c:idx val="36"/>
            <c:bubble3D val="0"/>
            <c:spPr>
              <a:solidFill>
                <a:srgbClr val="966108"/>
              </a:solidFill>
            </c:spPr>
            <c:extLst>
              <c:ext xmlns:c16="http://schemas.microsoft.com/office/drawing/2014/chart" uri="{C3380CC4-5D6E-409C-BE32-E72D297353CC}">
                <c16:uniqueId val="{00000049-DCA9-4F8A-89E1-0558AA35FC0D}"/>
              </c:ext>
            </c:extLst>
          </c:dPt>
          <c:dPt>
            <c:idx val="37"/>
            <c:bubble3D val="0"/>
            <c:spPr>
              <a:solidFill>
                <a:srgbClr val="1095A1"/>
              </a:solidFill>
            </c:spPr>
            <c:extLst>
              <c:ext xmlns:c16="http://schemas.microsoft.com/office/drawing/2014/chart" uri="{C3380CC4-5D6E-409C-BE32-E72D297353CC}">
                <c16:uniqueId val="{0000004B-DCA9-4F8A-89E1-0558AA35FC0D}"/>
              </c:ext>
            </c:extLst>
          </c:dPt>
          <c:cat>
            <c:strRef>
              <c:f>'Fire &amp; Ambulance'!$B$136:$B$173</c:f>
              <c:strCache>
                <c:ptCount val="38"/>
                <c:pt idx="0">
                  <c:v>FULL TIME EMPLOYEES</c:v>
                </c:pt>
                <c:pt idx="1">
                  <c:v>OVERTIME</c:v>
                </c:pt>
                <c:pt idx="2">
                  <c:v>PART TIME EMPLOYEES</c:v>
                </c:pt>
                <c:pt idx="3">
                  <c:v>SEASONAL EMPLOYEES</c:v>
                </c:pt>
                <c:pt idx="4">
                  <c:v>EMPLOYEE BENEFITS</c:v>
                </c:pt>
                <c:pt idx="5">
                  <c:v>UNIFORM ALLOWANCE</c:v>
                </c:pt>
                <c:pt idx="6">
                  <c:v>PAGER PAY</c:v>
                </c:pt>
                <c:pt idx="7">
                  <c:v>SUBSCRIPTIONS &amp; MEMBERSHIPS</c:v>
                </c:pt>
                <c:pt idx="8">
                  <c:v>TRAVEL</c:v>
                </c:pt>
                <c:pt idx="9">
                  <c:v>OFFICE SUPPLIES</c:v>
                </c:pt>
                <c:pt idx="10">
                  <c:v>EQUIPMENT SUPPLIES &amp; MAINT</c:v>
                </c:pt>
                <c:pt idx="11">
                  <c:v>NON CAPITALIZED EQUIPMENT</c:v>
                </c:pt>
                <c:pt idx="12">
                  <c:v>WILDLAND FIRE EQUIP &amp; SUPPLIES</c:v>
                </c:pt>
                <c:pt idx="13">
                  <c:v>UTILITIES</c:v>
                </c:pt>
                <c:pt idx="14">
                  <c:v>COMMUNICATIONS</c:v>
                </c:pt>
                <c:pt idx="15">
                  <c:v>FUEL</c:v>
                </c:pt>
                <c:pt idx="16">
                  <c:v>LEASE PAYMENTS</c:v>
                </c:pt>
                <c:pt idx="17">
                  <c:v>RENT</c:v>
                </c:pt>
                <c:pt idx="18">
                  <c:v>PROFESSIONAL &amp; TECHNICAL</c:v>
                </c:pt>
                <c:pt idx="19">
                  <c:v>SOFTWARE PACKAGES</c:v>
                </c:pt>
                <c:pt idx="20">
                  <c:v>PROF &amp; TECH-MEDICAL</c:v>
                </c:pt>
                <c:pt idx="21">
                  <c:v>EDUCATION &amp; TRAINING</c:v>
                </c:pt>
                <c:pt idx="22">
                  <c:v>HAZARD/MATERIALS SUPPLIES</c:v>
                </c:pt>
                <c:pt idx="23">
                  <c:v>TECHNICAL RESCUE MATERIALS/SUP</c:v>
                </c:pt>
                <c:pt idx="24">
                  <c:v>SPECIAL DEPT SUPPLIES</c:v>
                </c:pt>
                <c:pt idx="25">
                  <c:v>UNIFORMS AND SUPPLIES</c:v>
                </c:pt>
                <c:pt idx="26">
                  <c:v>FIRE PREVENTION PROMO-SUPPLIES</c:v>
                </c:pt>
                <c:pt idx="27">
                  <c:v>INSURANCE</c:v>
                </c:pt>
                <c:pt idx="28">
                  <c:v>WILDLAND FIRE MITIGATION FUND</c:v>
                </c:pt>
                <c:pt idx="29">
                  <c:v>BILLING AND COLLECTION COSTS</c:v>
                </c:pt>
                <c:pt idx="30">
                  <c:v>BAD DEBT COLLECTION FEES</c:v>
                </c:pt>
                <c:pt idx="31">
                  <c:v>PATIENT REFUNDS</c:v>
                </c:pt>
                <c:pt idx="32">
                  <c:v>MISC SUPPLIES - RECOGNITION</c:v>
                </c:pt>
                <c:pt idx="33">
                  <c:v>MISCELLANEOUS SERVICES</c:v>
                </c:pt>
                <c:pt idx="34">
                  <c:v>MISC SERVICES - AIR COMPRESSOR</c:v>
                </c:pt>
                <c:pt idx="35">
                  <c:v>RANGE FIRE SUPPRESSION</c:v>
                </c:pt>
                <c:pt idx="36">
                  <c:v>OTHER FIRE 100% REIMBURSABLE</c:v>
                </c:pt>
                <c:pt idx="37">
                  <c:v>STATE FIRE WARDEN COST SHARE</c:v>
                </c:pt>
              </c:strCache>
            </c:strRef>
          </c:cat>
          <c:val>
            <c:numRef>
              <c:f>'Fire &amp; Ambulance'!$R$136:$R$173</c:f>
              <c:numCache>
                <c:formatCode>#,##0</c:formatCode>
                <c:ptCount val="38"/>
                <c:pt idx="0">
                  <c:v>1657100</c:v>
                </c:pt>
                <c:pt idx="1">
                  <c:v>110000</c:v>
                </c:pt>
                <c:pt idx="2">
                  <c:v>400000</c:v>
                </c:pt>
                <c:pt idx="3">
                  <c:v>0</c:v>
                </c:pt>
                <c:pt idx="4">
                  <c:v>876700</c:v>
                </c:pt>
                <c:pt idx="5">
                  <c:v>0</c:v>
                </c:pt>
                <c:pt idx="6">
                  <c:v>90000</c:v>
                </c:pt>
                <c:pt idx="7">
                  <c:v>3020</c:v>
                </c:pt>
                <c:pt idx="8">
                  <c:v>12000</c:v>
                </c:pt>
                <c:pt idx="9">
                  <c:v>3000</c:v>
                </c:pt>
                <c:pt idx="10">
                  <c:v>130000</c:v>
                </c:pt>
                <c:pt idx="11">
                  <c:v>30000</c:v>
                </c:pt>
                <c:pt idx="12">
                  <c:v>9000</c:v>
                </c:pt>
                <c:pt idx="13">
                  <c:v>23000</c:v>
                </c:pt>
                <c:pt idx="14">
                  <c:v>14000</c:v>
                </c:pt>
                <c:pt idx="15">
                  <c:v>25000</c:v>
                </c:pt>
                <c:pt idx="16">
                  <c:v>0</c:v>
                </c:pt>
                <c:pt idx="17">
                  <c:v>0</c:v>
                </c:pt>
                <c:pt idx="18">
                  <c:v>255400</c:v>
                </c:pt>
                <c:pt idx="19">
                  <c:v>43000</c:v>
                </c:pt>
                <c:pt idx="20">
                  <c:v>0</c:v>
                </c:pt>
                <c:pt idx="21">
                  <c:v>7250</c:v>
                </c:pt>
                <c:pt idx="22">
                  <c:v>5000</c:v>
                </c:pt>
                <c:pt idx="23">
                  <c:v>5000</c:v>
                </c:pt>
                <c:pt idx="24">
                  <c:v>0</c:v>
                </c:pt>
                <c:pt idx="25">
                  <c:v>15000</c:v>
                </c:pt>
                <c:pt idx="26">
                  <c:v>4000</c:v>
                </c:pt>
                <c:pt idx="27">
                  <c:v>50400</c:v>
                </c:pt>
                <c:pt idx="28">
                  <c:v>0</c:v>
                </c:pt>
                <c:pt idx="29">
                  <c:v>45000</c:v>
                </c:pt>
                <c:pt idx="30">
                  <c:v>10000</c:v>
                </c:pt>
                <c:pt idx="31">
                  <c:v>2500</c:v>
                </c:pt>
                <c:pt idx="32">
                  <c:v>0</c:v>
                </c:pt>
                <c:pt idx="33">
                  <c:v>0</c:v>
                </c:pt>
                <c:pt idx="34">
                  <c:v>10000</c:v>
                </c:pt>
                <c:pt idx="35">
                  <c:v>0</c:v>
                </c:pt>
                <c:pt idx="36">
                  <c:v>32000</c:v>
                </c:pt>
                <c:pt idx="37">
                  <c:v>40000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C-DCA9-4F8A-89E1-0558AA35F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Expenditure</c:v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'Fire &amp; Ambulance'!$M$199:$S$199</c:f>
              <c:numCache>
                <c:formatCode>#,##0</c:formatCode>
                <c:ptCount val="7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'Fire &amp; Ambulance'!$M$200:$S$200</c:f>
              <c:numCache>
                <c:formatCode>#,##0</c:formatCode>
                <c:ptCount val="7"/>
                <c:pt idx="0">
                  <c:v>0</c:v>
                </c:pt>
                <c:pt idx="2">
                  <c:v>2839238.3799999994</c:v>
                </c:pt>
                <c:pt idx="3">
                  <c:v>3203825.4000000008</c:v>
                </c:pt>
                <c:pt idx="4">
                  <c:v>3801537</c:v>
                </c:pt>
                <c:pt idx="5">
                  <c:v>2302116.6800000002</c:v>
                </c:pt>
                <c:pt idx="6">
                  <c:v>3848365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2A2-493D-9EFD-B3D1936B6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2699596"/>
        <c:axId val="1498443193"/>
      </c:barChart>
      <c:catAx>
        <c:axId val="18026995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Period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98443193"/>
        <c:crosses val="autoZero"/>
        <c:auto val="1"/>
        <c:lblAlgn val="ctr"/>
        <c:lblOffset val="100"/>
        <c:noMultiLvlLbl val="1"/>
      </c:catAx>
      <c:valAx>
        <c:axId val="149844319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Expenditure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0269959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410E-41A7-8B5A-6ACE2851CBA0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410E-41A7-8B5A-6ACE2851CBA0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410E-41A7-8B5A-6ACE2851CBA0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410E-41A7-8B5A-6ACE2851CBA0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410E-41A7-8B5A-6ACE2851CBA0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410E-41A7-8B5A-6ACE2851CBA0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410E-41A7-8B5A-6ACE2851CBA0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410E-41A7-8B5A-6ACE2851CBA0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410E-41A7-8B5A-6ACE2851CBA0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410E-41A7-8B5A-6ACE2851CBA0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410E-41A7-8B5A-6ACE2851CBA0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410E-41A7-8B5A-6ACE2851CBA0}"/>
              </c:ext>
            </c:extLst>
          </c:dPt>
          <c:cat>
            <c:strRef>
              <c:f>GIS!$B$3:$B$14</c:f>
              <c:strCache>
                <c:ptCount val="12"/>
                <c:pt idx="0">
                  <c:v>FULL TIME EMPLOYEES</c:v>
                </c:pt>
                <c:pt idx="1">
                  <c:v>OVERTIME</c:v>
                </c:pt>
                <c:pt idx="2">
                  <c:v>EMPLOYEE BENEFITS</c:v>
                </c:pt>
                <c:pt idx="3">
                  <c:v>TRAVEL</c:v>
                </c:pt>
                <c:pt idx="4">
                  <c:v>OFFICE SUPPLIES</c:v>
                </c:pt>
                <c:pt idx="5">
                  <c:v>EQUIPMENT SUPPLIES &amp; MAINT</c:v>
                </c:pt>
                <c:pt idx="6">
                  <c:v>COMMUNICATIONS</c:v>
                </c:pt>
                <c:pt idx="7">
                  <c:v>PROFESSIONAL &amp; TECHNICAL</c:v>
                </c:pt>
                <c:pt idx="8">
                  <c:v>SOFTWARE PACKAGES</c:v>
                </c:pt>
                <c:pt idx="9">
                  <c:v>EDUCATION &amp; TRAINING</c:v>
                </c:pt>
                <c:pt idx="10">
                  <c:v>INSURANCE</c:v>
                </c:pt>
                <c:pt idx="11">
                  <c:v>TAX ADMIN - GIS 60%</c:v>
                </c:pt>
              </c:strCache>
            </c:strRef>
          </c:cat>
          <c:val>
            <c:numRef>
              <c:f>GIS!$R$3:$R$14</c:f>
              <c:numCache>
                <c:formatCode>#,##0</c:formatCode>
                <c:ptCount val="12"/>
                <c:pt idx="0">
                  <c:v>331200</c:v>
                </c:pt>
                <c:pt idx="1">
                  <c:v>1000</c:v>
                </c:pt>
                <c:pt idx="2">
                  <c:v>135900</c:v>
                </c:pt>
                <c:pt idx="3">
                  <c:v>8500</c:v>
                </c:pt>
                <c:pt idx="4">
                  <c:v>2000</c:v>
                </c:pt>
                <c:pt idx="5">
                  <c:v>2550</c:v>
                </c:pt>
                <c:pt idx="6">
                  <c:v>500</c:v>
                </c:pt>
                <c:pt idx="7">
                  <c:v>0</c:v>
                </c:pt>
                <c:pt idx="8">
                  <c:v>36000</c:v>
                </c:pt>
                <c:pt idx="9">
                  <c:v>500</c:v>
                </c:pt>
                <c:pt idx="10">
                  <c:v>2500</c:v>
                </c:pt>
                <c:pt idx="11">
                  <c:v>-312390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10E-41A7-8B5A-6ACE2851C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Expenditure</c:v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GIS!$M$23:$S$23</c:f>
              <c:strCache>
                <c:ptCount val="7"/>
                <c:pt idx="0">
                  <c:v>2023 Actual</c:v>
                </c:pt>
                <c:pt idx="1">
                  <c:v>2024 Actual</c:v>
                </c:pt>
                <c:pt idx="2">
                  <c:v>Approved
  2025
 Budget</c:v>
                </c:pt>
                <c:pt idx="3">
                  <c:v>2025 YTD Actual</c:v>
                </c:pt>
                <c:pt idx="4">
                  <c:v>Projected 2025 </c:v>
                </c:pt>
                <c:pt idx="5">
                  <c:v>2026
 Requested
 Budget</c:v>
                </c:pt>
                <c:pt idx="6">
                  <c:v>2026 
Tentative 
Budget</c:v>
                </c:pt>
              </c:strCache>
            </c:strRef>
          </c:cat>
          <c:val>
            <c:numRef>
              <c:f>GIS!$M$24:$S$24</c:f>
              <c:numCache>
                <c:formatCode>#,##0</c:formatCode>
                <c:ptCount val="7"/>
                <c:pt idx="0">
                  <c:v>132860</c:v>
                </c:pt>
                <c:pt idx="1">
                  <c:v>159042</c:v>
                </c:pt>
                <c:pt idx="2">
                  <c:v>208579</c:v>
                </c:pt>
                <c:pt idx="3">
                  <c:v>144627</c:v>
                </c:pt>
                <c:pt idx="4">
                  <c:v>173592</c:v>
                </c:pt>
                <c:pt idx="5">
                  <c:v>208688</c:v>
                </c:pt>
                <c:pt idx="6">
                  <c:v>208260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69B-4863-8629-14DD34E67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3495842"/>
        <c:axId val="2097262257"/>
      </c:barChart>
      <c:catAx>
        <c:axId val="149349584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Period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97262257"/>
        <c:crosses val="autoZero"/>
        <c:auto val="1"/>
        <c:lblAlgn val="ctr"/>
        <c:lblOffset val="100"/>
        <c:noMultiLvlLbl val="1"/>
      </c:catAx>
      <c:valAx>
        <c:axId val="209726225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Expenditure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9349584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>
        <c:manualLayout>
          <c:xMode val="edge"/>
          <c:yMode val="edge"/>
          <c:x val="3.3892128279883381E-2"/>
          <c:y val="0.05"/>
        </c:manualLayout>
      </c:layout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Expenditure</c:v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AEB-4692-A939-A77A229DC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789227"/>
        <c:axId val="208361877"/>
      </c:barChart>
      <c:catAx>
        <c:axId val="2747892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Period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8361877"/>
        <c:crosses val="autoZero"/>
        <c:auto val="1"/>
        <c:lblAlgn val="ctr"/>
        <c:lblOffset val="100"/>
        <c:noMultiLvlLbl val="1"/>
      </c:catAx>
      <c:valAx>
        <c:axId val="20836187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Expenditure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74789227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B6CF-4287-9270-CB79EDC3AEF4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B6CF-4287-9270-CB79EDC3AEF4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B6CF-4287-9270-CB79EDC3AEF4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B6CF-4287-9270-CB79EDC3AEF4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B6CF-4287-9270-CB79EDC3AEF4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B6CF-4287-9270-CB79EDC3AEF4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B6CF-4287-9270-CB79EDC3AEF4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B6CF-4287-9270-CB79EDC3AEF4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B6CF-4287-9270-CB79EDC3AEF4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B6CF-4287-9270-CB79EDC3AEF4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B6CF-4287-9270-CB79EDC3AEF4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B6CF-4287-9270-CB79EDC3AEF4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B6CF-4287-9270-CB79EDC3AEF4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B6CF-4287-9270-CB79EDC3AEF4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B6CF-4287-9270-CB79EDC3AEF4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B6CF-4287-9270-CB79EDC3AEF4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B6CF-4287-9270-CB79EDC3AEF4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B6CF-4287-9270-CB79EDC3AEF4}"/>
              </c:ext>
            </c:extLst>
          </c:dP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24-B6CF-4287-9270-CB79EDC3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IT!$L$35:$R$35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IT!$L$36:$R$36</c:f>
              <c:numCache>
                <c:formatCode>#,##0</c:formatCode>
                <c:ptCount val="7"/>
                <c:pt idx="0">
                  <c:v>1656447.05</c:v>
                </c:pt>
                <c:pt idx="1">
                  <c:v>1875645.42</c:v>
                </c:pt>
                <c:pt idx="2">
                  <c:v>1520466</c:v>
                </c:pt>
                <c:pt idx="3">
                  <c:v>1095019.03</c:v>
                </c:pt>
                <c:pt idx="4">
                  <c:v>1416449.0336000002</c:v>
                </c:pt>
                <c:pt idx="5">
                  <c:v>1538965</c:v>
                </c:pt>
                <c:pt idx="6">
                  <c:v>1438165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1D6-453A-A12C-C2AD63012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276050"/>
        <c:axId val="2045506593"/>
      </c:barChart>
      <c:catAx>
        <c:axId val="11327605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45506593"/>
        <c:crosses val="autoZero"/>
        <c:auto val="1"/>
        <c:lblAlgn val="ctr"/>
        <c:lblOffset val="100"/>
        <c:noMultiLvlLbl val="1"/>
      </c:catAx>
      <c:valAx>
        <c:axId val="204550659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327605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'Personnel Management'!$M$30:$S$30</c:f>
              <c:strCache>
                <c:ptCount val="6"/>
                <c:pt idx="0">
                  <c:v>2024 Actual</c:v>
                </c:pt>
                <c:pt idx="1">
                  <c:v>Approved
  2025
 Budget</c:v>
                </c:pt>
                <c:pt idx="2">
                  <c:v>2025 YTD Actual</c:v>
                </c:pt>
                <c:pt idx="3">
                  <c:v>Projected 2025 </c:v>
                </c:pt>
                <c:pt idx="4">
                  <c:v>2026
 Requested
 Budget</c:v>
                </c:pt>
                <c:pt idx="5">
                  <c:v>2026 
Tentative 
Budget</c:v>
                </c:pt>
              </c:strCache>
            </c:strRef>
          </c:cat>
          <c:val>
            <c:numRef>
              <c:f>'Personnel Management'!$M$31:$S$31</c:f>
              <c:numCache>
                <c:formatCode>#,##0</c:formatCode>
                <c:ptCount val="6"/>
                <c:pt idx="0">
                  <c:v>601462.02</c:v>
                </c:pt>
                <c:pt idx="1">
                  <c:v>858291.9</c:v>
                </c:pt>
                <c:pt idx="2">
                  <c:v>421603.30999999994</c:v>
                </c:pt>
                <c:pt idx="3">
                  <c:v>702891.21535000007</c:v>
                </c:pt>
                <c:pt idx="4">
                  <c:v>893680</c:v>
                </c:pt>
                <c:pt idx="5">
                  <c:v>853645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3AA-4D5A-B24A-B7A1AB5AE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6543294"/>
        <c:axId val="30175466"/>
      </c:barChart>
      <c:catAx>
        <c:axId val="37654329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0175466"/>
        <c:crosses val="autoZero"/>
        <c:auto val="1"/>
        <c:lblAlgn val="ctr"/>
        <c:lblOffset val="100"/>
        <c:noMultiLvlLbl val="1"/>
      </c:catAx>
      <c:valAx>
        <c:axId val="3017546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7654329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>
        <c:manualLayout>
          <c:xMode val="edge"/>
          <c:yMode val="edge"/>
          <c:x val="5.2296221592990529E-2"/>
          <c:y val="0.1858041329739443"/>
          <c:w val="0.49600437876299946"/>
          <c:h val="0.8141958670260557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9329-4AE6-96DB-F6EA4703DA31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9329-4AE6-96DB-F6EA4703DA31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9329-4AE6-96DB-F6EA4703DA31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9329-4AE6-96DB-F6EA4703DA31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9329-4AE6-96DB-F6EA4703DA31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9329-4AE6-96DB-F6EA4703DA31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9329-4AE6-96DB-F6EA4703DA31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9329-4AE6-96DB-F6EA4703DA31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9329-4AE6-96DB-F6EA4703DA31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9329-4AE6-96DB-F6EA4703DA31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9329-4AE6-96DB-F6EA4703DA31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9329-4AE6-96DB-F6EA4703DA31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9329-4AE6-96DB-F6EA4703DA31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9329-4AE6-96DB-F6EA4703DA31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9329-4AE6-96DB-F6EA4703DA31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9329-4AE6-96DB-F6EA4703DA31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9329-4AE6-96DB-F6EA4703DA31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9329-4AE6-96DB-F6EA4703DA31}"/>
              </c:ext>
            </c:extLst>
          </c:dPt>
          <c:cat>
            <c:strRef>
              <c:f>IT!$B$6:$B$23</c:f>
              <c:strCache>
                <c:ptCount val="18"/>
                <c:pt idx="0">
                  <c:v>FULL TIME EMPLOYEES</c:v>
                </c:pt>
                <c:pt idx="1">
                  <c:v>OVERTIME</c:v>
                </c:pt>
                <c:pt idx="2">
                  <c:v>SEASONAL EMPLOYEES</c:v>
                </c:pt>
                <c:pt idx="3">
                  <c:v>EMPLOYEE BENEFITS</c:v>
                </c:pt>
                <c:pt idx="4">
                  <c:v>SUBSCRIPTIONS &amp; MEMBERSHIPS</c:v>
                </c:pt>
                <c:pt idx="5">
                  <c:v>SOFTWARE SUBSCRIP &amp; LICENSES</c:v>
                </c:pt>
                <c:pt idx="6">
                  <c:v>TRAVEL</c:v>
                </c:pt>
                <c:pt idx="7">
                  <c:v>OFFICE SUPPLIES</c:v>
                </c:pt>
                <c:pt idx="8">
                  <c:v>EQUIPMENT SUPPLIES &amp; MAINT</c:v>
                </c:pt>
                <c:pt idx="9">
                  <c:v>NON CAPITALIZED EQUIPMENT</c:v>
                </c:pt>
                <c:pt idx="10">
                  <c:v>COMMUNICATIONS</c:v>
                </c:pt>
                <c:pt idx="11">
                  <c:v>PROFESSIONAL &amp; TECHNICAL</c:v>
                </c:pt>
                <c:pt idx="12">
                  <c:v>SOFTWARE PACKAGES</c:v>
                </c:pt>
                <c:pt idx="13">
                  <c:v>EDUCATION &amp; TRAINING</c:v>
                </c:pt>
                <c:pt idx="14">
                  <c:v>INSURANCE</c:v>
                </c:pt>
                <c:pt idx="15">
                  <c:v>MISCELLANEOUS SERVICES</c:v>
                </c:pt>
                <c:pt idx="16">
                  <c:v>TV TRANSLATOR</c:v>
                </c:pt>
                <c:pt idx="17">
                  <c:v>TAX ADMIN - IT 30%</c:v>
                </c:pt>
              </c:strCache>
            </c:strRef>
          </c:cat>
          <c:val>
            <c:numRef>
              <c:f>IT!$R$6:$R$23</c:f>
              <c:numCache>
                <c:formatCode>#,##0</c:formatCode>
                <c:ptCount val="18"/>
                <c:pt idx="0">
                  <c:v>1020100</c:v>
                </c:pt>
                <c:pt idx="1">
                  <c:v>1000</c:v>
                </c:pt>
                <c:pt idx="2">
                  <c:v>20800</c:v>
                </c:pt>
                <c:pt idx="3">
                  <c:v>431900</c:v>
                </c:pt>
                <c:pt idx="4">
                  <c:v>107700</c:v>
                </c:pt>
                <c:pt idx="5">
                  <c:v>0</c:v>
                </c:pt>
                <c:pt idx="6">
                  <c:v>16500</c:v>
                </c:pt>
                <c:pt idx="7">
                  <c:v>2500</c:v>
                </c:pt>
                <c:pt idx="8">
                  <c:v>42000</c:v>
                </c:pt>
                <c:pt idx="9">
                  <c:v>211400</c:v>
                </c:pt>
                <c:pt idx="10">
                  <c:v>38700</c:v>
                </c:pt>
                <c:pt idx="11">
                  <c:v>5000</c:v>
                </c:pt>
                <c:pt idx="12">
                  <c:v>7500</c:v>
                </c:pt>
                <c:pt idx="13">
                  <c:v>14400</c:v>
                </c:pt>
                <c:pt idx="14">
                  <c:v>9000</c:v>
                </c:pt>
                <c:pt idx="15">
                  <c:v>2750</c:v>
                </c:pt>
                <c:pt idx="16">
                  <c:v>49700</c:v>
                </c:pt>
                <c:pt idx="17">
                  <c:v>-594285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9329-4AE6-96DB-F6EA4703D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IT!$L$100:$R$100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IT!$L$101:$R$101</c:f>
              <c:numCache>
                <c:formatCode>#,##0</c:formatCode>
                <c:ptCount val="7"/>
                <c:pt idx="0">
                  <c:v>312141.27</c:v>
                </c:pt>
                <c:pt idx="1">
                  <c:v>326230.82999999996</c:v>
                </c:pt>
                <c:pt idx="2">
                  <c:v>366276</c:v>
                </c:pt>
                <c:pt idx="3">
                  <c:v>210102.97</c:v>
                </c:pt>
                <c:pt idx="4">
                  <c:v>219205.96899999998</c:v>
                </c:pt>
                <c:pt idx="5">
                  <c:v>368600</c:v>
                </c:pt>
                <c:pt idx="6">
                  <c:v>368600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6A5-4A04-A427-67B228CFE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21203"/>
        <c:axId val="604927958"/>
      </c:barChart>
      <c:catAx>
        <c:axId val="3808212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04927958"/>
        <c:crosses val="autoZero"/>
        <c:auto val="1"/>
        <c:lblAlgn val="ctr"/>
        <c:lblOffset val="100"/>
        <c:noMultiLvlLbl val="1"/>
      </c:catAx>
      <c:valAx>
        <c:axId val="60492795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80821203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F334-45C0-AE76-397DE0931F39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F334-45C0-AE76-397DE0931F39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F334-45C0-AE76-397DE0931F39}"/>
              </c:ext>
            </c:extLst>
          </c:dPt>
          <c:cat>
            <c:strRef>
              <c:f>IT!$B$88:$B$90</c:f>
              <c:strCache>
                <c:ptCount val="3"/>
                <c:pt idx="0">
                  <c:v>FULL TIME EMPLOYEES</c:v>
                </c:pt>
                <c:pt idx="1">
                  <c:v>EMPLOYEE BENEFITS</c:v>
                </c:pt>
                <c:pt idx="2">
                  <c:v>INSURANCE</c:v>
                </c:pt>
              </c:strCache>
            </c:strRef>
          </c:cat>
          <c:val>
            <c:numRef>
              <c:f>IT!$R$88:$R$90</c:f>
              <c:numCache>
                <c:formatCode>#,##0</c:formatCode>
                <c:ptCount val="3"/>
                <c:pt idx="0">
                  <c:v>379900</c:v>
                </c:pt>
                <c:pt idx="1">
                  <c:v>166600</c:v>
                </c:pt>
                <c:pt idx="2">
                  <c:v>6400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34-45C0-AE76-397DE0931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8D88-41E3-AA7E-EE3EAD3B719D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8D88-41E3-AA7E-EE3EAD3B719D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8D88-41E3-AA7E-EE3EAD3B719D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8D88-41E3-AA7E-EE3EAD3B719D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8D88-41E3-AA7E-EE3EAD3B719D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8D88-41E3-AA7E-EE3EAD3B719D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8D88-41E3-AA7E-EE3EAD3B719D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8D88-41E3-AA7E-EE3EAD3B719D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8D88-41E3-AA7E-EE3EAD3B719D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8D88-41E3-AA7E-EE3EAD3B719D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8D88-41E3-AA7E-EE3EAD3B719D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8D88-41E3-AA7E-EE3EAD3B719D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8D88-41E3-AA7E-EE3EAD3B719D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8D88-41E3-AA7E-EE3EAD3B719D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8D88-41E3-AA7E-EE3EAD3B719D}"/>
              </c:ext>
            </c:extLst>
          </c:dPt>
          <c:cat>
            <c:strRef>
              <c:f>'Building &amp; Grounds'!$B$6:$B$20</c:f>
              <c:strCache>
                <c:ptCount val="15"/>
                <c:pt idx="0">
                  <c:v>FULL TIME EMPLOYEES</c:v>
                </c:pt>
                <c:pt idx="1">
                  <c:v>OVERTIME</c:v>
                </c:pt>
                <c:pt idx="2">
                  <c:v>PART TIME EMPLOYEES</c:v>
                </c:pt>
                <c:pt idx="3">
                  <c:v>SEASONAL EMPLOYEES</c:v>
                </c:pt>
                <c:pt idx="4">
                  <c:v>EMPLOYEE BENEFITS</c:v>
                </c:pt>
                <c:pt idx="5">
                  <c:v>OFFICE SUPPLIES</c:v>
                </c:pt>
                <c:pt idx="6">
                  <c:v>NON CAPITALIZED EQUIPMENT</c:v>
                </c:pt>
                <c:pt idx="7">
                  <c:v>BUILDING &amp; GROUNDS</c:v>
                </c:pt>
                <c:pt idx="8">
                  <c:v>UTILITIES</c:v>
                </c:pt>
                <c:pt idx="9">
                  <c:v>COMMUNICATIONS</c:v>
                </c:pt>
                <c:pt idx="10">
                  <c:v>PROFESSIONAL &amp; TECHNICAL</c:v>
                </c:pt>
                <c:pt idx="11">
                  <c:v>EDUCATION &amp; TRAINING</c:v>
                </c:pt>
                <c:pt idx="12">
                  <c:v>INSURANCE</c:v>
                </c:pt>
                <c:pt idx="13">
                  <c:v>MISCELLANEOUS SERVICES</c:v>
                </c:pt>
                <c:pt idx="14">
                  <c:v>TAX ADMIN - BLDG &amp; GROUNDS 31%</c:v>
                </c:pt>
              </c:strCache>
            </c:strRef>
          </c:cat>
          <c:val>
            <c:numRef>
              <c:f>'Building &amp; Grounds'!$R$6:$R$20</c:f>
              <c:numCache>
                <c:formatCode>#,##0</c:formatCode>
                <c:ptCount val="15"/>
                <c:pt idx="0">
                  <c:v>191000</c:v>
                </c:pt>
                <c:pt idx="1">
                  <c:v>5000</c:v>
                </c:pt>
                <c:pt idx="2">
                  <c:v>131100</c:v>
                </c:pt>
                <c:pt idx="3">
                  <c:v>0</c:v>
                </c:pt>
                <c:pt idx="4">
                  <c:v>111400</c:v>
                </c:pt>
                <c:pt idx="5">
                  <c:v>6180</c:v>
                </c:pt>
                <c:pt idx="6">
                  <c:v>2300</c:v>
                </c:pt>
                <c:pt idx="7">
                  <c:v>64265</c:v>
                </c:pt>
                <c:pt idx="8">
                  <c:v>97823</c:v>
                </c:pt>
                <c:pt idx="9">
                  <c:v>4720</c:v>
                </c:pt>
                <c:pt idx="10">
                  <c:v>0</c:v>
                </c:pt>
                <c:pt idx="11">
                  <c:v>500</c:v>
                </c:pt>
                <c:pt idx="12">
                  <c:v>2800</c:v>
                </c:pt>
                <c:pt idx="14">
                  <c:v>-191297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D88-41E3-AA7E-EE3EAD3B7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Expenditure</c:v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'Building &amp; Grounds'!$M$31:$S$31</c:f>
              <c:strCache>
                <c:ptCount val="7"/>
                <c:pt idx="0">
                  <c:v>2023 Actual</c:v>
                </c:pt>
                <c:pt idx="1">
                  <c:v>2024 Actual</c:v>
                </c:pt>
                <c:pt idx="2">
                  <c:v>Approved
  2025
 Budget</c:v>
                </c:pt>
                <c:pt idx="3">
                  <c:v>2025 YTD Actual</c:v>
                </c:pt>
                <c:pt idx="4">
                  <c:v>Projected 2025 </c:v>
                </c:pt>
                <c:pt idx="5">
                  <c:v>2026
 Requested
 Budget</c:v>
                </c:pt>
                <c:pt idx="6">
                  <c:v>2026 
Tentative 
Budget</c:v>
                </c:pt>
              </c:strCache>
            </c:strRef>
          </c:cat>
          <c:val>
            <c:numRef>
              <c:f>'Building &amp; Grounds'!$M$32:$S$32</c:f>
              <c:numCache>
                <c:formatCode>#,##0</c:formatCode>
                <c:ptCount val="7"/>
                <c:pt idx="0">
                  <c:v>396113</c:v>
                </c:pt>
                <c:pt idx="1">
                  <c:v>586695.76</c:v>
                </c:pt>
                <c:pt idx="2">
                  <c:v>490313</c:v>
                </c:pt>
                <c:pt idx="3">
                  <c:v>349297.96999999991</c:v>
                </c:pt>
                <c:pt idx="4">
                  <c:v>471780.27970000007</c:v>
                </c:pt>
                <c:pt idx="5">
                  <c:v>541342</c:v>
                </c:pt>
                <c:pt idx="6">
                  <c:v>466991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6B2-42B5-94F4-FA1FF0DFE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6788864"/>
        <c:axId val="1921936984"/>
      </c:barChart>
      <c:catAx>
        <c:axId val="153678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Period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21936984"/>
        <c:crosses val="autoZero"/>
        <c:auto val="1"/>
        <c:lblAlgn val="ctr"/>
        <c:lblOffset val="100"/>
        <c:noMultiLvlLbl val="1"/>
      </c:catAx>
      <c:valAx>
        <c:axId val="192193698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Expenditure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3678886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417B-4C1A-B677-B7DC431F2D1D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417B-4C1A-B677-B7DC431F2D1D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417B-4C1A-B677-B7DC431F2D1D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417B-4C1A-B677-B7DC431F2D1D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417B-4C1A-B677-B7DC431F2D1D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417B-4C1A-B677-B7DC431F2D1D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417B-4C1A-B677-B7DC431F2D1D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417B-4C1A-B677-B7DC431F2D1D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417B-4C1A-B677-B7DC431F2D1D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417B-4C1A-B677-B7DC431F2D1D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417B-4C1A-B677-B7DC431F2D1D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417B-4C1A-B677-B7DC431F2D1D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417B-4C1A-B677-B7DC431F2D1D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417B-4C1A-B677-B7DC431F2D1D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417B-4C1A-B677-B7DC431F2D1D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417B-4C1A-B677-B7DC431F2D1D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417B-4C1A-B677-B7DC431F2D1D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417B-4C1A-B677-B7DC431F2D1D}"/>
              </c:ext>
            </c:extLst>
          </c:dPt>
          <c:dPt>
            <c:idx val="18"/>
            <c:bubble3D val="0"/>
            <c:spPr>
              <a:solidFill>
                <a:srgbClr val="ECF3FE"/>
              </a:solidFill>
            </c:spPr>
            <c:extLst>
              <c:ext xmlns:c16="http://schemas.microsoft.com/office/drawing/2014/chart" uri="{C3380CC4-5D6E-409C-BE32-E72D297353CC}">
                <c16:uniqueId val="{00000025-417B-4C1A-B677-B7DC431F2D1D}"/>
              </c:ext>
            </c:extLst>
          </c:dPt>
          <c:dPt>
            <c:idx val="19"/>
            <c:bubble3D val="0"/>
            <c:spPr>
              <a:solidFill>
                <a:srgbClr val="FDECEB"/>
              </a:solidFill>
            </c:spPr>
            <c:extLst>
              <c:ext xmlns:c16="http://schemas.microsoft.com/office/drawing/2014/chart" uri="{C3380CC4-5D6E-409C-BE32-E72D297353CC}">
                <c16:uniqueId val="{00000027-417B-4C1A-B677-B7DC431F2D1D}"/>
              </c:ext>
            </c:extLst>
          </c:dPt>
          <c:dPt>
            <c:idx val="20"/>
            <c:bubble3D val="0"/>
            <c:spPr>
              <a:solidFill>
                <a:srgbClr val="FFF8E6"/>
              </a:solidFill>
            </c:spPr>
            <c:extLst>
              <c:ext xmlns:c16="http://schemas.microsoft.com/office/drawing/2014/chart" uri="{C3380CC4-5D6E-409C-BE32-E72D297353CC}">
                <c16:uniqueId val="{00000029-417B-4C1A-B677-B7DC431F2D1D}"/>
              </c:ext>
            </c:extLst>
          </c:dPt>
          <c:dPt>
            <c:idx val="21"/>
            <c:bubble3D val="0"/>
            <c:spPr>
              <a:solidFill>
                <a:srgbClr val="EBF6EE"/>
              </a:solidFill>
            </c:spPr>
            <c:extLst>
              <c:ext xmlns:c16="http://schemas.microsoft.com/office/drawing/2014/chart" uri="{C3380CC4-5D6E-409C-BE32-E72D297353CC}">
                <c16:uniqueId val="{0000002B-417B-4C1A-B677-B7DC431F2D1D}"/>
              </c:ext>
            </c:extLst>
          </c:dPt>
          <c:dPt>
            <c:idx val="22"/>
            <c:bubble3D val="0"/>
            <c:spPr>
              <a:solidFill>
                <a:srgbClr val="FFF0E6"/>
              </a:solidFill>
            </c:spPr>
            <c:extLst>
              <c:ext xmlns:c16="http://schemas.microsoft.com/office/drawing/2014/chart" uri="{C3380CC4-5D6E-409C-BE32-E72D297353CC}">
                <c16:uniqueId val="{0000002D-417B-4C1A-B677-B7DC431F2D1D}"/>
              </c:ext>
            </c:extLst>
          </c:dPt>
          <c:dPt>
            <c:idx val="23"/>
            <c:bubble3D val="0"/>
            <c:spPr>
              <a:solidFill>
                <a:srgbClr val="EDF8F9"/>
              </a:solidFill>
            </c:spPr>
            <c:extLst>
              <c:ext xmlns:c16="http://schemas.microsoft.com/office/drawing/2014/chart" uri="{C3380CC4-5D6E-409C-BE32-E72D297353CC}">
                <c16:uniqueId val="{0000002F-417B-4C1A-B677-B7DC431F2D1D}"/>
              </c:ext>
            </c:extLst>
          </c:dPt>
          <c:dPt>
            <c:idx val="24"/>
            <c:bubble3D val="0"/>
            <c:spPr>
              <a:solidFill>
                <a:srgbClr val="251701"/>
              </a:solidFill>
            </c:spPr>
            <c:extLst>
              <c:ext xmlns:c16="http://schemas.microsoft.com/office/drawing/2014/chart" uri="{C3380CC4-5D6E-409C-BE32-E72D297353CC}">
                <c16:uniqueId val="{00000031-417B-4C1A-B677-B7DC431F2D1D}"/>
              </c:ext>
            </c:extLst>
          </c:dPt>
          <c:dPt>
            <c:idx val="25"/>
            <c:bubble3D val="0"/>
            <c:spPr>
              <a:solidFill>
                <a:srgbClr val="032527"/>
              </a:solidFill>
            </c:spPr>
            <c:extLst>
              <c:ext xmlns:c16="http://schemas.microsoft.com/office/drawing/2014/chart" uri="{C3380CC4-5D6E-409C-BE32-E72D297353CC}">
                <c16:uniqueId val="{00000033-417B-4C1A-B677-B7DC431F2D1D}"/>
              </c:ext>
            </c:extLst>
          </c:dPt>
          <c:dPt>
            <c:idx val="26"/>
            <c:bubble3D val="0"/>
            <c:spPr>
              <a:solidFill>
                <a:srgbClr val="000C31"/>
              </a:solidFill>
            </c:spPr>
            <c:extLst>
              <c:ext xmlns:c16="http://schemas.microsoft.com/office/drawing/2014/chart" uri="{C3380CC4-5D6E-409C-BE32-E72D297353CC}">
                <c16:uniqueId val="{00000035-417B-4C1A-B677-B7DC431F2D1D}"/>
              </c:ext>
            </c:extLst>
          </c:dPt>
          <c:dPt>
            <c:idx val="27"/>
            <c:bubble3D val="0"/>
            <c:spPr>
              <a:solidFill>
                <a:srgbClr val="281021"/>
              </a:solidFill>
            </c:spPr>
            <c:extLst>
              <c:ext xmlns:c16="http://schemas.microsoft.com/office/drawing/2014/chart" uri="{C3380CC4-5D6E-409C-BE32-E72D297353CC}">
                <c16:uniqueId val="{00000037-417B-4C1A-B677-B7DC431F2D1D}"/>
              </c:ext>
            </c:extLst>
          </c:dPt>
          <c:dPt>
            <c:idx val="28"/>
            <c:bubble3D val="0"/>
            <c:spPr>
              <a:solidFill>
                <a:srgbClr val="FF1C32"/>
              </a:solidFill>
            </c:spPr>
            <c:extLst>
              <c:ext xmlns:c16="http://schemas.microsoft.com/office/drawing/2014/chart" uri="{C3380CC4-5D6E-409C-BE32-E72D297353CC}">
                <c16:uniqueId val="{00000039-417B-4C1A-B677-B7DC431F2D1D}"/>
              </c:ext>
            </c:extLst>
          </c:dPt>
          <c:dPt>
            <c:idx val="29"/>
            <c:bubble3D val="0"/>
            <c:spPr>
              <a:solidFill>
                <a:srgbClr val="240C0A"/>
              </a:solidFill>
            </c:spPr>
            <c:extLst>
              <c:ext xmlns:c16="http://schemas.microsoft.com/office/drawing/2014/chart" uri="{C3380CC4-5D6E-409C-BE32-E72D297353CC}">
                <c16:uniqueId val="{0000003B-417B-4C1A-B677-B7DC431F2D1D}"/>
              </c:ext>
            </c:extLst>
          </c:dPt>
          <c:dPt>
            <c:idx val="30"/>
            <c:bubble3D val="0"/>
            <c:spPr>
              <a:solidFill>
                <a:srgbClr val="5E3C05"/>
              </a:solidFill>
            </c:spPr>
            <c:extLst>
              <c:ext xmlns:c16="http://schemas.microsoft.com/office/drawing/2014/chart" uri="{C3380CC4-5D6E-409C-BE32-E72D297353CC}">
                <c16:uniqueId val="{0000003D-417B-4C1A-B677-B7DC431F2D1D}"/>
              </c:ext>
            </c:extLst>
          </c:dPt>
          <c:cat>
            <c:strRef>
              <c:f>Fairgrounds!$B$6:$B$36</c:f>
              <c:strCache>
                <c:ptCount val="31"/>
                <c:pt idx="0">
                  <c:v>FULL TIME EMPLOYEES</c:v>
                </c:pt>
                <c:pt idx="1">
                  <c:v>OVERTIME</c:v>
                </c:pt>
                <c:pt idx="2">
                  <c:v>PART TIME EMPLOYEES</c:v>
                </c:pt>
                <c:pt idx="3">
                  <c:v>SEASONAL EMPLOYEES</c:v>
                </c:pt>
                <c:pt idx="4">
                  <c:v>EMPLOYEE BENEFITS</c:v>
                </c:pt>
                <c:pt idx="5">
                  <c:v>PAGER PAY</c:v>
                </c:pt>
                <c:pt idx="6">
                  <c:v>SUBSCRIPTIONS &amp; MEMBERSHIPS</c:v>
                </c:pt>
                <c:pt idx="7">
                  <c:v>ADVERTISING</c:v>
                </c:pt>
                <c:pt idx="8">
                  <c:v>TRAVEL</c:v>
                </c:pt>
                <c:pt idx="9">
                  <c:v>OFFICE SUPPLIES</c:v>
                </c:pt>
                <c:pt idx="10">
                  <c:v>EQUIPMENT SUPPLIES &amp; MAINT</c:v>
                </c:pt>
                <c:pt idx="11">
                  <c:v>EQUIPMENT - LIGHTS</c:v>
                </c:pt>
                <c:pt idx="12">
                  <c:v>EQUIPMENT - CHAIRS</c:v>
                </c:pt>
                <c:pt idx="13">
                  <c:v>EQUIPMENT - LES</c:v>
                </c:pt>
                <c:pt idx="14">
                  <c:v>BUILDING &amp; GROUNDS</c:v>
                </c:pt>
                <c:pt idx="15">
                  <c:v>STALL BEDDING</c:v>
                </c:pt>
                <c:pt idx="16">
                  <c:v>SPECIAL AUDIO/VIDEO NEEDS</c:v>
                </c:pt>
                <c:pt idx="17">
                  <c:v>UTILITIES</c:v>
                </c:pt>
                <c:pt idx="18">
                  <c:v>UTILITIES - EVENT CENTER</c:v>
                </c:pt>
                <c:pt idx="19">
                  <c:v>ENVIRONMENTAL COLLECTION FEES</c:v>
                </c:pt>
                <c:pt idx="20">
                  <c:v>COMMUNICATIONS</c:v>
                </c:pt>
                <c:pt idx="21">
                  <c:v>FUEL</c:v>
                </c:pt>
                <c:pt idx="22">
                  <c:v>PROFESSIONAL &amp; TECHNICAL</c:v>
                </c:pt>
                <c:pt idx="23">
                  <c:v>SOFTWARE PACKAGES</c:v>
                </c:pt>
                <c:pt idx="24">
                  <c:v>EVENT STAFFING EXPENSE</c:v>
                </c:pt>
                <c:pt idx="25">
                  <c:v>EVENT SECURITY EXPENSE</c:v>
                </c:pt>
                <c:pt idx="26">
                  <c:v>EDUCATION &amp; TRAINING</c:v>
                </c:pt>
                <c:pt idx="27">
                  <c:v>SPECIAL EVENTS</c:v>
                </c:pt>
                <c:pt idx="28">
                  <c:v>UNIFORMS</c:v>
                </c:pt>
                <c:pt idx="29">
                  <c:v>INSURANCE</c:v>
                </c:pt>
                <c:pt idx="30">
                  <c:v>MISCELLANEOUS SERVICES</c:v>
                </c:pt>
              </c:strCache>
            </c:strRef>
          </c:cat>
          <c:val>
            <c:numRef>
              <c:f>Fairgrounds!$R$6:$R$36</c:f>
              <c:numCache>
                <c:formatCode>#,##0</c:formatCode>
                <c:ptCount val="31"/>
                <c:pt idx="0">
                  <c:v>380200</c:v>
                </c:pt>
                <c:pt idx="1">
                  <c:v>15000</c:v>
                </c:pt>
                <c:pt idx="2">
                  <c:v>106600</c:v>
                </c:pt>
                <c:pt idx="3">
                  <c:v>88500</c:v>
                </c:pt>
                <c:pt idx="4">
                  <c:v>229400</c:v>
                </c:pt>
                <c:pt idx="5">
                  <c:v>11000</c:v>
                </c:pt>
                <c:pt idx="6">
                  <c:v>800</c:v>
                </c:pt>
                <c:pt idx="7">
                  <c:v>1000</c:v>
                </c:pt>
                <c:pt idx="8">
                  <c:v>3500</c:v>
                </c:pt>
                <c:pt idx="9">
                  <c:v>6900</c:v>
                </c:pt>
                <c:pt idx="10">
                  <c:v>34300</c:v>
                </c:pt>
                <c:pt idx="11">
                  <c:v>0</c:v>
                </c:pt>
                <c:pt idx="12">
                  <c:v>0</c:v>
                </c:pt>
                <c:pt idx="13">
                  <c:v>10000</c:v>
                </c:pt>
                <c:pt idx="14">
                  <c:v>151100</c:v>
                </c:pt>
                <c:pt idx="15">
                  <c:v>2000</c:v>
                </c:pt>
                <c:pt idx="16">
                  <c:v>11000</c:v>
                </c:pt>
                <c:pt idx="17">
                  <c:v>125000</c:v>
                </c:pt>
                <c:pt idx="18">
                  <c:v>75000</c:v>
                </c:pt>
                <c:pt idx="19">
                  <c:v>35000</c:v>
                </c:pt>
                <c:pt idx="20">
                  <c:v>6490</c:v>
                </c:pt>
                <c:pt idx="21">
                  <c:v>15000</c:v>
                </c:pt>
                <c:pt idx="22">
                  <c:v>0</c:v>
                </c:pt>
                <c:pt idx="23">
                  <c:v>31775</c:v>
                </c:pt>
                <c:pt idx="24">
                  <c:v>0</c:v>
                </c:pt>
                <c:pt idx="25">
                  <c:v>5000</c:v>
                </c:pt>
                <c:pt idx="26">
                  <c:v>5500</c:v>
                </c:pt>
                <c:pt idx="27">
                  <c:v>83800</c:v>
                </c:pt>
                <c:pt idx="28">
                  <c:v>2000</c:v>
                </c:pt>
                <c:pt idx="29">
                  <c:v>9200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E-417B-4C1A-B677-B7DC431F2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Expenditure</c:v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Fairgrounds!$M$59:$S$59</c:f>
              <c:strCache>
                <c:ptCount val="7"/>
                <c:pt idx="0">
                  <c:v>2023 Actual</c:v>
                </c:pt>
                <c:pt idx="1">
                  <c:v>2024 Actual</c:v>
                </c:pt>
                <c:pt idx="2">
                  <c:v>Approved
  2025
 Budget</c:v>
                </c:pt>
                <c:pt idx="3">
                  <c:v>2025 YTD Actual</c:v>
                </c:pt>
                <c:pt idx="4">
                  <c:v>Projected 2025 </c:v>
                </c:pt>
                <c:pt idx="5">
                  <c:v>2026
 Requested
 Budget</c:v>
                </c:pt>
                <c:pt idx="6">
                  <c:v>2026 
Tentative 
Budget</c:v>
                </c:pt>
              </c:strCache>
            </c:strRef>
          </c:cat>
          <c:val>
            <c:numRef>
              <c:f>Fairgrounds!$M$60:$S$60</c:f>
              <c:numCache>
                <c:formatCode>#,##0</c:formatCode>
                <c:ptCount val="7"/>
                <c:pt idx="0">
                  <c:v>1617608</c:v>
                </c:pt>
                <c:pt idx="1">
                  <c:v>1843809.4000000004</c:v>
                </c:pt>
                <c:pt idx="2">
                  <c:v>2054642</c:v>
                </c:pt>
                <c:pt idx="3">
                  <c:v>885130.77999999991</c:v>
                </c:pt>
                <c:pt idx="4">
                  <c:v>1264540.4543333333</c:v>
                </c:pt>
                <c:pt idx="5">
                  <c:v>1880865</c:v>
                </c:pt>
                <c:pt idx="6">
                  <c:v>1445065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048-43D3-B998-CADBAF0B6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6932746"/>
        <c:axId val="2007882792"/>
      </c:barChart>
      <c:catAx>
        <c:axId val="211693274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Period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07882792"/>
        <c:crosses val="autoZero"/>
        <c:auto val="1"/>
        <c:lblAlgn val="ctr"/>
        <c:lblOffset val="100"/>
        <c:noMultiLvlLbl val="1"/>
      </c:catAx>
      <c:valAx>
        <c:axId val="200788279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Expenditure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1693274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Expenditure</c:v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Fairgrounds!$M$147:$S$147</c:f>
              <c:strCache>
                <c:ptCount val="7"/>
                <c:pt idx="0">
                  <c:v>2023 Actual</c:v>
                </c:pt>
                <c:pt idx="1">
                  <c:v>2024 Actual</c:v>
                </c:pt>
                <c:pt idx="2">
                  <c:v>Approved
  2025
 Budget</c:v>
                </c:pt>
                <c:pt idx="3">
                  <c:v>2025 YTD Actual</c:v>
                </c:pt>
                <c:pt idx="4">
                  <c:v>Projected 2025 </c:v>
                </c:pt>
                <c:pt idx="5">
                  <c:v>2026
 Requested
 Budget</c:v>
                </c:pt>
                <c:pt idx="6">
                  <c:v>2026 
Tentative 
Budget</c:v>
                </c:pt>
              </c:strCache>
            </c:strRef>
          </c:cat>
          <c:val>
            <c:numRef>
              <c:f>Fairgrounds!$M$148:$S$148</c:f>
              <c:numCache>
                <c:formatCode>#,##0</c:formatCode>
                <c:ptCount val="7"/>
                <c:pt idx="0">
                  <c:v>180344</c:v>
                </c:pt>
                <c:pt idx="1">
                  <c:v>216060.24000000002</c:v>
                </c:pt>
                <c:pt idx="2">
                  <c:v>284360</c:v>
                </c:pt>
                <c:pt idx="3">
                  <c:v>194193.03</c:v>
                </c:pt>
                <c:pt idx="4">
                  <c:v>222790.44</c:v>
                </c:pt>
                <c:pt idx="5">
                  <c:v>291080</c:v>
                </c:pt>
                <c:pt idx="6">
                  <c:v>291080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B83-4DB5-871F-7E39DF9CE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6655282"/>
        <c:axId val="1990729286"/>
      </c:barChart>
      <c:catAx>
        <c:axId val="93665528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Period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90729286"/>
        <c:crosses val="autoZero"/>
        <c:auto val="1"/>
        <c:lblAlgn val="ctr"/>
        <c:lblOffset val="100"/>
        <c:noMultiLvlLbl val="1"/>
      </c:catAx>
      <c:valAx>
        <c:axId val="199072928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Expenditure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3665528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378C-4227-A121-CC80DCDE2950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378C-4227-A121-CC80DCDE2950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378C-4227-A121-CC80DCDE2950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378C-4227-A121-CC80DCDE2950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378C-4227-A121-CC80DCDE2950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378C-4227-A121-CC80DCDE2950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378C-4227-A121-CC80DCDE2950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378C-4227-A121-CC80DCDE2950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378C-4227-A121-CC80DCDE2950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378C-4227-A121-CC80DCDE2950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378C-4227-A121-CC80DCDE2950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378C-4227-A121-CC80DCDE2950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378C-4227-A121-CC80DCDE2950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378C-4227-A121-CC80DCDE2950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378C-4227-A121-CC80DCDE2950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378C-4227-A121-CC80DCDE2950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378C-4227-A121-CC80DCDE2950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378C-4227-A121-CC80DCDE2950}"/>
              </c:ext>
            </c:extLst>
          </c:dPt>
          <c:dPt>
            <c:idx val="18"/>
            <c:bubble3D val="0"/>
            <c:spPr>
              <a:solidFill>
                <a:srgbClr val="ECF3FE"/>
              </a:solidFill>
            </c:spPr>
            <c:extLst>
              <c:ext xmlns:c16="http://schemas.microsoft.com/office/drawing/2014/chart" uri="{C3380CC4-5D6E-409C-BE32-E72D297353CC}">
                <c16:uniqueId val="{00000025-378C-4227-A121-CC80DCDE2950}"/>
              </c:ext>
            </c:extLst>
          </c:dPt>
          <c:dPt>
            <c:idx val="19"/>
            <c:bubble3D val="0"/>
            <c:spPr>
              <a:solidFill>
                <a:srgbClr val="FDECEB"/>
              </a:solidFill>
            </c:spPr>
            <c:extLst>
              <c:ext xmlns:c16="http://schemas.microsoft.com/office/drawing/2014/chart" uri="{C3380CC4-5D6E-409C-BE32-E72D297353CC}">
                <c16:uniqueId val="{00000027-378C-4227-A121-CC80DCDE2950}"/>
              </c:ext>
            </c:extLst>
          </c:dPt>
          <c:dPt>
            <c:idx val="20"/>
            <c:bubble3D val="0"/>
            <c:spPr>
              <a:solidFill>
                <a:srgbClr val="FFF8E6"/>
              </a:solidFill>
            </c:spPr>
            <c:extLst>
              <c:ext xmlns:c16="http://schemas.microsoft.com/office/drawing/2014/chart" uri="{C3380CC4-5D6E-409C-BE32-E72D297353CC}">
                <c16:uniqueId val="{00000029-378C-4227-A121-CC80DCDE2950}"/>
              </c:ext>
            </c:extLst>
          </c:dPt>
          <c:dPt>
            <c:idx val="21"/>
            <c:bubble3D val="0"/>
            <c:spPr>
              <a:solidFill>
                <a:srgbClr val="EBF6EE"/>
              </a:solidFill>
            </c:spPr>
            <c:extLst>
              <c:ext xmlns:c16="http://schemas.microsoft.com/office/drawing/2014/chart" uri="{C3380CC4-5D6E-409C-BE32-E72D297353CC}">
                <c16:uniqueId val="{0000002B-378C-4227-A121-CC80DCDE2950}"/>
              </c:ext>
            </c:extLst>
          </c:dPt>
          <c:dPt>
            <c:idx val="22"/>
            <c:bubble3D val="0"/>
            <c:spPr>
              <a:solidFill>
                <a:srgbClr val="FFF0E6"/>
              </a:solidFill>
            </c:spPr>
            <c:extLst>
              <c:ext xmlns:c16="http://schemas.microsoft.com/office/drawing/2014/chart" uri="{C3380CC4-5D6E-409C-BE32-E72D297353CC}">
                <c16:uniqueId val="{0000002D-378C-4227-A121-CC80DCDE2950}"/>
              </c:ext>
            </c:extLst>
          </c:dPt>
          <c:dPt>
            <c:idx val="23"/>
            <c:bubble3D val="0"/>
            <c:spPr>
              <a:solidFill>
                <a:srgbClr val="EDF8F9"/>
              </a:solidFill>
            </c:spPr>
            <c:extLst>
              <c:ext xmlns:c16="http://schemas.microsoft.com/office/drawing/2014/chart" uri="{C3380CC4-5D6E-409C-BE32-E72D297353CC}">
                <c16:uniqueId val="{0000002F-378C-4227-A121-CC80DCDE2950}"/>
              </c:ext>
            </c:extLst>
          </c:dPt>
          <c:dPt>
            <c:idx val="24"/>
            <c:bubble3D val="0"/>
            <c:spPr>
              <a:solidFill>
                <a:srgbClr val="251701"/>
              </a:solidFill>
            </c:spPr>
            <c:extLst>
              <c:ext xmlns:c16="http://schemas.microsoft.com/office/drawing/2014/chart" uri="{C3380CC4-5D6E-409C-BE32-E72D297353CC}">
                <c16:uniqueId val="{00000031-378C-4227-A121-CC80DCDE2950}"/>
              </c:ext>
            </c:extLst>
          </c:dPt>
          <c:dPt>
            <c:idx val="25"/>
            <c:bubble3D val="0"/>
            <c:spPr>
              <a:solidFill>
                <a:srgbClr val="032527"/>
              </a:solidFill>
            </c:spPr>
            <c:extLst>
              <c:ext xmlns:c16="http://schemas.microsoft.com/office/drawing/2014/chart" uri="{C3380CC4-5D6E-409C-BE32-E72D297353CC}">
                <c16:uniqueId val="{00000033-378C-4227-A121-CC80DCDE2950}"/>
              </c:ext>
            </c:extLst>
          </c:dPt>
          <c:cat>
            <c:strRef>
              <c:f>Fairgrounds!$B$113:$B$138</c:f>
              <c:strCache>
                <c:ptCount val="26"/>
                <c:pt idx="0">
                  <c:v>FULL TIME EMPLOYEES</c:v>
                </c:pt>
                <c:pt idx="1">
                  <c:v>OVERTIME</c:v>
                </c:pt>
                <c:pt idx="2">
                  <c:v>PART TIME EMPLOYEES</c:v>
                </c:pt>
                <c:pt idx="3">
                  <c:v>SEASONAL EMPLOYEES</c:v>
                </c:pt>
                <c:pt idx="4">
                  <c:v>EMPLOYEE BENEFITS</c:v>
                </c:pt>
                <c:pt idx="5">
                  <c:v>STATE FAIR</c:v>
                </c:pt>
                <c:pt idx="6">
                  <c:v>SUBSCRIPTIONS &amp; MEMBERSHIPS</c:v>
                </c:pt>
                <c:pt idx="7">
                  <c:v>ADVERTISING</c:v>
                </c:pt>
                <c:pt idx="8">
                  <c:v>TRAVEL</c:v>
                </c:pt>
                <c:pt idx="9">
                  <c:v>OFFICE SUPPLIES</c:v>
                </c:pt>
                <c:pt idx="10">
                  <c:v>EQUIPMENT SUPPLIES &amp; MAINT</c:v>
                </c:pt>
                <c:pt idx="11">
                  <c:v>NON CAPITALIZED EQUIPMENT</c:v>
                </c:pt>
                <c:pt idx="12">
                  <c:v>Environmental Collection Servi</c:v>
                </c:pt>
                <c:pt idx="13">
                  <c:v>FUEL</c:v>
                </c:pt>
                <c:pt idx="14">
                  <c:v>PROFESSIONAL &amp; TECHNICAL</c:v>
                </c:pt>
                <c:pt idx="15">
                  <c:v>SOFTWARE PACKAGES</c:v>
                </c:pt>
                <c:pt idx="16">
                  <c:v>EDUCATION &amp; TRAINING</c:v>
                </c:pt>
                <c:pt idx="17">
                  <c:v>ENTERTAINMENT</c:v>
                </c:pt>
                <c:pt idx="18">
                  <c:v>Fair - Security &amp; Judges</c:v>
                </c:pt>
                <c:pt idx="19">
                  <c:v>PRIZE MONEY &amp; TROPHY</c:v>
                </c:pt>
                <c:pt idx="20">
                  <c:v>UNIFORMS AND SUPPLIES</c:v>
                </c:pt>
                <c:pt idx="21">
                  <c:v>INSURANCE</c:v>
                </c:pt>
                <c:pt idx="22">
                  <c:v>MISCELLANEOUS SUPPLIES</c:v>
                </c:pt>
                <c:pt idx="23">
                  <c:v>MISCELLANEOUS SERVICES</c:v>
                </c:pt>
                <c:pt idx="24">
                  <c:v>MISC SERVICES - CARNIVAL CONTR</c:v>
                </c:pt>
                <c:pt idx="25">
                  <c:v>FAIR MANAGEMENT SERVICES</c:v>
                </c:pt>
              </c:strCache>
            </c:strRef>
          </c:cat>
          <c:val>
            <c:numRef>
              <c:f>Fairgrounds!$R$113:$R$138</c:f>
              <c:numCache>
                <c:formatCode>#,##0</c:formatCode>
                <c:ptCount val="26"/>
                <c:pt idx="0">
                  <c:v>0</c:v>
                </c:pt>
                <c:pt idx="1">
                  <c:v>5000</c:v>
                </c:pt>
                <c:pt idx="2">
                  <c:v>13600</c:v>
                </c:pt>
                <c:pt idx="3">
                  <c:v>12000</c:v>
                </c:pt>
                <c:pt idx="4">
                  <c:v>3300</c:v>
                </c:pt>
                <c:pt idx="5">
                  <c:v>0</c:v>
                </c:pt>
                <c:pt idx="6">
                  <c:v>700</c:v>
                </c:pt>
                <c:pt idx="7">
                  <c:v>20030</c:v>
                </c:pt>
                <c:pt idx="8">
                  <c:v>6000</c:v>
                </c:pt>
                <c:pt idx="9">
                  <c:v>5650</c:v>
                </c:pt>
                <c:pt idx="10">
                  <c:v>90550</c:v>
                </c:pt>
                <c:pt idx="11">
                  <c:v>2000</c:v>
                </c:pt>
                <c:pt idx="13">
                  <c:v>0</c:v>
                </c:pt>
                <c:pt idx="14">
                  <c:v>18500</c:v>
                </c:pt>
                <c:pt idx="15">
                  <c:v>2800</c:v>
                </c:pt>
                <c:pt idx="16">
                  <c:v>3500</c:v>
                </c:pt>
                <c:pt idx="17">
                  <c:v>41500</c:v>
                </c:pt>
                <c:pt idx="18">
                  <c:v>9250</c:v>
                </c:pt>
                <c:pt idx="19">
                  <c:v>42600</c:v>
                </c:pt>
                <c:pt idx="20">
                  <c:v>5000</c:v>
                </c:pt>
                <c:pt idx="21">
                  <c:v>0</c:v>
                </c:pt>
                <c:pt idx="22">
                  <c:v>0</c:v>
                </c:pt>
                <c:pt idx="23">
                  <c:v>2500</c:v>
                </c:pt>
                <c:pt idx="24">
                  <c:v>0</c:v>
                </c:pt>
                <c:pt idx="25">
                  <c:v>6600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4-378C-4227-A121-CC80DCDE2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Expenditure</c:v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Fairgrounds!$M$231:$S$231</c:f>
              <c:strCache>
                <c:ptCount val="7"/>
                <c:pt idx="0">
                  <c:v>2023 Actual</c:v>
                </c:pt>
                <c:pt idx="1">
                  <c:v>2024 Actual</c:v>
                </c:pt>
                <c:pt idx="2">
                  <c:v>Approved
  2025
 Budget</c:v>
                </c:pt>
                <c:pt idx="3">
                  <c:v>2025 YTD Actual</c:v>
                </c:pt>
                <c:pt idx="4">
                  <c:v>Projected 2025 </c:v>
                </c:pt>
                <c:pt idx="5">
                  <c:v>2026
 Requested
 Budget</c:v>
                </c:pt>
                <c:pt idx="6">
                  <c:v>2026 
Tentative 
Budget</c:v>
                </c:pt>
              </c:strCache>
            </c:strRef>
          </c:cat>
          <c:val>
            <c:numRef>
              <c:f>Fairgrounds!$M$232:$S$232</c:f>
              <c:numCache>
                <c:formatCode>#,##0</c:formatCode>
                <c:ptCount val="7"/>
                <c:pt idx="0">
                  <c:v>310400</c:v>
                </c:pt>
                <c:pt idx="1">
                  <c:v>338309.16000000003</c:v>
                </c:pt>
                <c:pt idx="2">
                  <c:v>431210</c:v>
                </c:pt>
                <c:pt idx="3">
                  <c:v>360337.64</c:v>
                </c:pt>
                <c:pt idx="4">
                  <c:v>368751.10933333333</c:v>
                </c:pt>
                <c:pt idx="5">
                  <c:v>460061</c:v>
                </c:pt>
                <c:pt idx="6">
                  <c:v>460061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DD8-49BB-B74F-DC882A494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079928"/>
        <c:axId val="1132105044"/>
      </c:barChart>
      <c:catAx>
        <c:axId val="343079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Period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32105044"/>
        <c:crosses val="autoZero"/>
        <c:auto val="1"/>
        <c:lblAlgn val="ctr"/>
        <c:lblOffset val="100"/>
        <c:noMultiLvlLbl val="1"/>
      </c:catAx>
      <c:valAx>
        <c:axId val="11321050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Expenditure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4307992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D6DC-4915-A43F-D24D0BDA3731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D6DC-4915-A43F-D24D0BDA3731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D6DC-4915-A43F-D24D0BDA3731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D6DC-4915-A43F-D24D0BDA3731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D6DC-4915-A43F-D24D0BDA3731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D6DC-4915-A43F-D24D0BDA3731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D6DC-4915-A43F-D24D0BDA3731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D6DC-4915-A43F-D24D0BDA3731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D6DC-4915-A43F-D24D0BDA3731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D6DC-4915-A43F-D24D0BDA3731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D6DC-4915-A43F-D24D0BDA3731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D6DC-4915-A43F-D24D0BDA3731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D6DC-4915-A43F-D24D0BDA3731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D6DC-4915-A43F-D24D0BDA3731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D6DC-4915-A43F-D24D0BDA3731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D6DC-4915-A43F-D24D0BDA3731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D6DC-4915-A43F-D24D0BDA3731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D6DC-4915-A43F-D24D0BDA3731}"/>
              </c:ext>
            </c:extLst>
          </c:dPt>
          <c:dPt>
            <c:idx val="18"/>
            <c:bubble3D val="0"/>
            <c:spPr>
              <a:solidFill>
                <a:srgbClr val="ECF3FE"/>
              </a:solidFill>
            </c:spPr>
            <c:extLst>
              <c:ext xmlns:c16="http://schemas.microsoft.com/office/drawing/2014/chart" uri="{C3380CC4-5D6E-409C-BE32-E72D297353CC}">
                <c16:uniqueId val="{00000025-D6DC-4915-A43F-D24D0BDA3731}"/>
              </c:ext>
            </c:extLst>
          </c:dPt>
          <c:dPt>
            <c:idx val="19"/>
            <c:bubble3D val="0"/>
            <c:spPr>
              <a:solidFill>
                <a:srgbClr val="FDECEB"/>
              </a:solidFill>
            </c:spPr>
            <c:extLst>
              <c:ext xmlns:c16="http://schemas.microsoft.com/office/drawing/2014/chart" uri="{C3380CC4-5D6E-409C-BE32-E72D297353CC}">
                <c16:uniqueId val="{00000027-D6DC-4915-A43F-D24D0BDA3731}"/>
              </c:ext>
            </c:extLst>
          </c:dPt>
          <c:cat>
            <c:strRef>
              <c:f>'Personnel Management'!$B$6:$B$25</c:f>
              <c:strCache>
                <c:ptCount val="20"/>
                <c:pt idx="0">
                  <c:v>FULL TIME EMPLOYEES</c:v>
                </c:pt>
                <c:pt idx="1">
                  <c:v>OVERTIME</c:v>
                </c:pt>
                <c:pt idx="2">
                  <c:v>PART TIME EMPLOYEES</c:v>
                </c:pt>
                <c:pt idx="3">
                  <c:v>EMPLOYEE BENEFITS</c:v>
                </c:pt>
                <c:pt idx="4">
                  <c:v>SUBSCRIPTIONS &amp; MEMBERSHIPS</c:v>
                </c:pt>
                <c:pt idx="5">
                  <c:v>TRAVEL</c:v>
                </c:pt>
                <c:pt idx="6">
                  <c:v>OFFICE SUPPLIES</c:v>
                </c:pt>
                <c:pt idx="7">
                  <c:v>EQUIPMENT SUPPLIES &amp; MAINT</c:v>
                </c:pt>
                <c:pt idx="8">
                  <c:v>NON CAPITALIZED EQUIPMENT</c:v>
                </c:pt>
                <c:pt idx="9">
                  <c:v>COMMUNICATIONS</c:v>
                </c:pt>
                <c:pt idx="10">
                  <c:v>PROFESSIONAL &amp; TECHNICAL</c:v>
                </c:pt>
                <c:pt idx="11">
                  <c:v>SOFTWARE PACKAGES</c:v>
                </c:pt>
                <c:pt idx="12">
                  <c:v>EDUCATION &amp; TRAINING</c:v>
                </c:pt>
                <c:pt idx="13">
                  <c:v>HUMAN RESOURCE EXPENSES</c:v>
                </c:pt>
                <c:pt idx="14">
                  <c:v>INSURANCE</c:v>
                </c:pt>
                <c:pt idx="15">
                  <c:v>SPEC PROGRAM- EMPLOYEE ASSIST</c:v>
                </c:pt>
                <c:pt idx="16">
                  <c:v>EMPLOYEE SAFETY PROGRAM</c:v>
                </c:pt>
                <c:pt idx="17">
                  <c:v>MISCELLANEOUS SERVICES</c:v>
                </c:pt>
                <c:pt idx="18">
                  <c:v>LONGEVITY SERVICE AWARD</c:v>
                </c:pt>
                <c:pt idx="19">
                  <c:v>TAX ADMIN - HUMAN RESOURCE 15%</c:v>
                </c:pt>
              </c:strCache>
            </c:strRef>
          </c:cat>
          <c:val>
            <c:numRef>
              <c:f>'Personnel Management'!$S$6:$S$25</c:f>
              <c:numCache>
                <c:formatCode>#,##0</c:formatCode>
                <c:ptCount val="20"/>
                <c:pt idx="0">
                  <c:v>377200</c:v>
                </c:pt>
                <c:pt idx="1">
                  <c:v>0</c:v>
                </c:pt>
                <c:pt idx="2">
                  <c:v>0</c:v>
                </c:pt>
                <c:pt idx="3">
                  <c:v>176000</c:v>
                </c:pt>
                <c:pt idx="4">
                  <c:v>2467</c:v>
                </c:pt>
                <c:pt idx="5">
                  <c:v>6000</c:v>
                </c:pt>
                <c:pt idx="6">
                  <c:v>3000</c:v>
                </c:pt>
                <c:pt idx="7">
                  <c:v>2500</c:v>
                </c:pt>
                <c:pt idx="8">
                  <c:v>0</c:v>
                </c:pt>
                <c:pt idx="9">
                  <c:v>2227</c:v>
                </c:pt>
                <c:pt idx="10">
                  <c:v>63500</c:v>
                </c:pt>
                <c:pt idx="11">
                  <c:v>109000</c:v>
                </c:pt>
                <c:pt idx="12">
                  <c:v>10920</c:v>
                </c:pt>
                <c:pt idx="13">
                  <c:v>73075</c:v>
                </c:pt>
                <c:pt idx="14">
                  <c:v>5700</c:v>
                </c:pt>
                <c:pt idx="15">
                  <c:v>112000</c:v>
                </c:pt>
                <c:pt idx="16">
                  <c:v>54000</c:v>
                </c:pt>
                <c:pt idx="17">
                  <c:v>0</c:v>
                </c:pt>
                <c:pt idx="18">
                  <c:v>6700</c:v>
                </c:pt>
                <c:pt idx="19">
                  <c:v>-150644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D6DC-4915-A43F-D24D0BDA3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86E9-4F04-B65B-32C5B5B1B9C8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86E9-4F04-B65B-32C5B5B1B9C8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86E9-4F04-B65B-32C5B5B1B9C8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86E9-4F04-B65B-32C5B5B1B9C8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86E9-4F04-B65B-32C5B5B1B9C8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86E9-4F04-B65B-32C5B5B1B9C8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86E9-4F04-B65B-32C5B5B1B9C8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86E9-4F04-B65B-32C5B5B1B9C8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86E9-4F04-B65B-32C5B5B1B9C8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86E9-4F04-B65B-32C5B5B1B9C8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86E9-4F04-B65B-32C5B5B1B9C8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86E9-4F04-B65B-32C5B5B1B9C8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86E9-4F04-B65B-32C5B5B1B9C8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86E9-4F04-B65B-32C5B5B1B9C8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86E9-4F04-B65B-32C5B5B1B9C8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86E9-4F04-B65B-32C5B5B1B9C8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86E9-4F04-B65B-32C5B5B1B9C8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86E9-4F04-B65B-32C5B5B1B9C8}"/>
              </c:ext>
            </c:extLst>
          </c:dPt>
          <c:dPt>
            <c:idx val="18"/>
            <c:bubble3D val="0"/>
            <c:spPr>
              <a:solidFill>
                <a:srgbClr val="ECF3FE"/>
              </a:solidFill>
            </c:spPr>
            <c:extLst>
              <c:ext xmlns:c16="http://schemas.microsoft.com/office/drawing/2014/chart" uri="{C3380CC4-5D6E-409C-BE32-E72D297353CC}">
                <c16:uniqueId val="{00000025-86E9-4F04-B65B-32C5B5B1B9C8}"/>
              </c:ext>
            </c:extLst>
          </c:dPt>
          <c:dPt>
            <c:idx val="19"/>
            <c:bubble3D val="0"/>
            <c:spPr>
              <a:solidFill>
                <a:srgbClr val="FDECEB"/>
              </a:solidFill>
            </c:spPr>
            <c:extLst>
              <c:ext xmlns:c16="http://schemas.microsoft.com/office/drawing/2014/chart" uri="{C3380CC4-5D6E-409C-BE32-E72D297353CC}">
                <c16:uniqueId val="{00000027-86E9-4F04-B65B-32C5B5B1B9C8}"/>
              </c:ext>
            </c:extLst>
          </c:dPt>
          <c:cat>
            <c:strRef>
              <c:f>Fairgrounds!$B$201:$B$220</c:f>
              <c:strCache>
                <c:ptCount val="20"/>
                <c:pt idx="0">
                  <c:v>OVERTIME</c:v>
                </c:pt>
                <c:pt idx="1">
                  <c:v>SEASONAL EMPLOYEES</c:v>
                </c:pt>
                <c:pt idx="2">
                  <c:v>EMPLOYEE BENEFITS</c:v>
                </c:pt>
                <c:pt idx="3">
                  <c:v>SUBSCRIPTIONS &amp; MEMBERSHIPS</c:v>
                </c:pt>
                <c:pt idx="4">
                  <c:v>ADVERTISING</c:v>
                </c:pt>
                <c:pt idx="5">
                  <c:v>TRAVEL</c:v>
                </c:pt>
                <c:pt idx="6">
                  <c:v>OFFICE SUPPLIES</c:v>
                </c:pt>
                <c:pt idx="7">
                  <c:v>EQUIPMENT SUPPLIES &amp; MAINT</c:v>
                </c:pt>
                <c:pt idx="8">
                  <c:v>NON CAPITALIZED EQUIPMENT</c:v>
                </c:pt>
                <c:pt idx="9">
                  <c:v>FUEL</c:v>
                </c:pt>
                <c:pt idx="10">
                  <c:v>PROFESSIONAL &amp; TECHNICAL</c:v>
                </c:pt>
                <c:pt idx="11">
                  <c:v>RODEO - SECURITY &amp; JUDGES</c:v>
                </c:pt>
                <c:pt idx="12">
                  <c:v>RODEO QUEEN CONTEST EXPENSE</c:v>
                </c:pt>
                <c:pt idx="13">
                  <c:v>PRIZE MONEY &amp; TROPHIES</c:v>
                </c:pt>
                <c:pt idx="14">
                  <c:v>UNIFORMS</c:v>
                </c:pt>
                <c:pt idx="15">
                  <c:v>INSURANCE</c:v>
                </c:pt>
                <c:pt idx="16">
                  <c:v>MISCELLANEOUS SERVICES</c:v>
                </c:pt>
                <c:pt idx="17">
                  <c:v>CONTRACTS</c:v>
                </c:pt>
                <c:pt idx="18">
                  <c:v>RODEO MANAGEMENT SERVICES</c:v>
                </c:pt>
                <c:pt idx="19">
                  <c:v>SPECIAL RODEO EVENTS</c:v>
                </c:pt>
              </c:strCache>
            </c:strRef>
          </c:cat>
          <c:val>
            <c:numRef>
              <c:f>Fairgrounds!$Q$201:$Q$220</c:f>
              <c:numCache>
                <c:formatCode>#,##0</c:formatCode>
                <c:ptCount val="20"/>
                <c:pt idx="0">
                  <c:v>1000</c:v>
                </c:pt>
                <c:pt idx="1">
                  <c:v>7200</c:v>
                </c:pt>
                <c:pt idx="2">
                  <c:v>800</c:v>
                </c:pt>
                <c:pt idx="3">
                  <c:v>6520</c:v>
                </c:pt>
                <c:pt idx="4">
                  <c:v>19806</c:v>
                </c:pt>
                <c:pt idx="5">
                  <c:v>33700</c:v>
                </c:pt>
                <c:pt idx="6">
                  <c:v>5600</c:v>
                </c:pt>
                <c:pt idx="7">
                  <c:v>17500</c:v>
                </c:pt>
                <c:pt idx="8">
                  <c:v>1000</c:v>
                </c:pt>
                <c:pt idx="9">
                  <c:v>1200</c:v>
                </c:pt>
                <c:pt idx="10">
                  <c:v>11275</c:v>
                </c:pt>
                <c:pt idx="11">
                  <c:v>4620</c:v>
                </c:pt>
                <c:pt idx="12">
                  <c:v>3250</c:v>
                </c:pt>
                <c:pt idx="13">
                  <c:v>148000</c:v>
                </c:pt>
                <c:pt idx="14">
                  <c:v>1500</c:v>
                </c:pt>
                <c:pt idx="15">
                  <c:v>175</c:v>
                </c:pt>
                <c:pt idx="16">
                  <c:v>15000</c:v>
                </c:pt>
                <c:pt idx="17">
                  <c:v>163300</c:v>
                </c:pt>
                <c:pt idx="18">
                  <c:v>6615</c:v>
                </c:pt>
                <c:pt idx="19">
                  <c:v>12000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86E9-4F04-B65B-32C5B5B1B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Expenditure</c:v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Fairgrounds!$M$147:$S$147</c:f>
              <c:strCache>
                <c:ptCount val="7"/>
                <c:pt idx="0">
                  <c:v>2023 Actual</c:v>
                </c:pt>
                <c:pt idx="1">
                  <c:v>2024 Actual</c:v>
                </c:pt>
                <c:pt idx="2">
                  <c:v>Approved
  2025
 Budget</c:v>
                </c:pt>
                <c:pt idx="3">
                  <c:v>2025 YTD Actual</c:v>
                </c:pt>
                <c:pt idx="4">
                  <c:v>Projected 2025 </c:v>
                </c:pt>
                <c:pt idx="5">
                  <c:v>2026
 Requested
 Budget</c:v>
                </c:pt>
                <c:pt idx="6">
                  <c:v>2026 
Tentative 
Budget</c:v>
                </c:pt>
              </c:strCache>
            </c:strRef>
          </c:cat>
          <c:val>
            <c:numRef>
              <c:f>Fairgrounds!$M$148:$S$148</c:f>
              <c:numCache>
                <c:formatCode>#,##0</c:formatCode>
                <c:ptCount val="7"/>
                <c:pt idx="0">
                  <c:v>180344</c:v>
                </c:pt>
                <c:pt idx="1">
                  <c:v>216060.24000000002</c:v>
                </c:pt>
                <c:pt idx="2">
                  <c:v>284360</c:v>
                </c:pt>
                <c:pt idx="3">
                  <c:v>194193.03</c:v>
                </c:pt>
                <c:pt idx="4">
                  <c:v>222790.44</c:v>
                </c:pt>
                <c:pt idx="5">
                  <c:v>291080</c:v>
                </c:pt>
                <c:pt idx="6">
                  <c:v>291080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242-4B11-AE5E-B6900832B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4374133"/>
        <c:axId val="268907183"/>
      </c:barChart>
      <c:catAx>
        <c:axId val="102437413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Period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68907183"/>
        <c:crosses val="autoZero"/>
        <c:auto val="1"/>
        <c:lblAlgn val="ctr"/>
        <c:lblOffset val="100"/>
        <c:noMultiLvlLbl val="1"/>
      </c:catAx>
      <c:valAx>
        <c:axId val="26890718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Expenditure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24374133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E75F-4C5B-B15C-73AD24FF6CBC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E75F-4C5B-B15C-73AD24FF6CBC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E75F-4C5B-B15C-73AD24FF6CBC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E75F-4C5B-B15C-73AD24FF6CBC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E75F-4C5B-B15C-73AD24FF6CBC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E75F-4C5B-B15C-73AD24FF6CBC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E75F-4C5B-B15C-73AD24FF6CBC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E75F-4C5B-B15C-73AD24FF6CBC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E75F-4C5B-B15C-73AD24FF6CBC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E75F-4C5B-B15C-73AD24FF6CBC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E75F-4C5B-B15C-73AD24FF6CBC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E75F-4C5B-B15C-73AD24FF6CBC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E75F-4C5B-B15C-73AD24FF6CBC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E75F-4C5B-B15C-73AD24FF6CBC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E75F-4C5B-B15C-73AD24FF6CBC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E75F-4C5B-B15C-73AD24FF6CBC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E75F-4C5B-B15C-73AD24FF6CBC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E75F-4C5B-B15C-73AD24FF6CBC}"/>
              </c:ext>
            </c:extLst>
          </c:dPt>
          <c:dPt>
            <c:idx val="18"/>
            <c:bubble3D val="0"/>
            <c:spPr>
              <a:solidFill>
                <a:srgbClr val="ECF3FE"/>
              </a:solidFill>
            </c:spPr>
            <c:extLst>
              <c:ext xmlns:c16="http://schemas.microsoft.com/office/drawing/2014/chart" uri="{C3380CC4-5D6E-409C-BE32-E72D297353CC}">
                <c16:uniqueId val="{00000025-E75F-4C5B-B15C-73AD24FF6CBC}"/>
              </c:ext>
            </c:extLst>
          </c:dPt>
          <c:dPt>
            <c:idx val="19"/>
            <c:bubble3D val="0"/>
            <c:spPr>
              <a:solidFill>
                <a:srgbClr val="FDECEB"/>
              </a:solidFill>
            </c:spPr>
            <c:extLst>
              <c:ext xmlns:c16="http://schemas.microsoft.com/office/drawing/2014/chart" uri="{C3380CC4-5D6E-409C-BE32-E72D297353CC}">
                <c16:uniqueId val="{00000027-E75F-4C5B-B15C-73AD24FF6CBC}"/>
              </c:ext>
            </c:extLst>
          </c:dPt>
          <c:dPt>
            <c:idx val="20"/>
            <c:bubble3D val="0"/>
            <c:spPr>
              <a:solidFill>
                <a:srgbClr val="FFF8E6"/>
              </a:solidFill>
            </c:spPr>
            <c:extLst>
              <c:ext xmlns:c16="http://schemas.microsoft.com/office/drawing/2014/chart" uri="{C3380CC4-5D6E-409C-BE32-E72D297353CC}">
                <c16:uniqueId val="{00000029-E75F-4C5B-B15C-73AD24FF6CBC}"/>
              </c:ext>
            </c:extLst>
          </c:dPt>
          <c:dPt>
            <c:idx val="21"/>
            <c:bubble3D val="0"/>
            <c:spPr>
              <a:solidFill>
                <a:srgbClr val="EBF6EE"/>
              </a:solidFill>
            </c:spPr>
            <c:extLst>
              <c:ext xmlns:c16="http://schemas.microsoft.com/office/drawing/2014/chart" uri="{C3380CC4-5D6E-409C-BE32-E72D297353CC}">
                <c16:uniqueId val="{0000002B-E75F-4C5B-B15C-73AD24FF6CBC}"/>
              </c:ext>
            </c:extLst>
          </c:dPt>
          <c:dPt>
            <c:idx val="22"/>
            <c:bubble3D val="0"/>
            <c:spPr>
              <a:solidFill>
                <a:srgbClr val="FFF0E6"/>
              </a:solidFill>
            </c:spPr>
            <c:extLst>
              <c:ext xmlns:c16="http://schemas.microsoft.com/office/drawing/2014/chart" uri="{C3380CC4-5D6E-409C-BE32-E72D297353CC}">
                <c16:uniqueId val="{0000002D-E75F-4C5B-B15C-73AD24FF6CBC}"/>
              </c:ext>
            </c:extLst>
          </c:dPt>
          <c:dPt>
            <c:idx val="23"/>
            <c:bubble3D val="0"/>
            <c:spPr>
              <a:solidFill>
                <a:srgbClr val="EDF8F9"/>
              </a:solidFill>
            </c:spPr>
            <c:extLst>
              <c:ext xmlns:c16="http://schemas.microsoft.com/office/drawing/2014/chart" uri="{C3380CC4-5D6E-409C-BE32-E72D297353CC}">
                <c16:uniqueId val="{0000002F-E75F-4C5B-B15C-73AD24FF6CBC}"/>
              </c:ext>
            </c:extLst>
          </c:dPt>
          <c:dPt>
            <c:idx val="24"/>
            <c:bubble3D val="0"/>
            <c:spPr>
              <a:solidFill>
                <a:srgbClr val="251701"/>
              </a:solidFill>
            </c:spPr>
            <c:extLst>
              <c:ext xmlns:c16="http://schemas.microsoft.com/office/drawing/2014/chart" uri="{C3380CC4-5D6E-409C-BE32-E72D297353CC}">
                <c16:uniqueId val="{00000031-E75F-4C5B-B15C-73AD24FF6CBC}"/>
              </c:ext>
            </c:extLst>
          </c:dPt>
          <c:dPt>
            <c:idx val="25"/>
            <c:bubble3D val="0"/>
            <c:spPr>
              <a:solidFill>
                <a:srgbClr val="032527"/>
              </a:solidFill>
            </c:spPr>
            <c:extLst>
              <c:ext xmlns:c16="http://schemas.microsoft.com/office/drawing/2014/chart" uri="{C3380CC4-5D6E-409C-BE32-E72D297353CC}">
                <c16:uniqueId val="{00000033-E75F-4C5B-B15C-73AD24FF6CBC}"/>
              </c:ext>
            </c:extLst>
          </c:dPt>
          <c:cat>
            <c:strRef>
              <c:f>Fairgrounds!$B$113:$B$138</c:f>
              <c:strCache>
                <c:ptCount val="26"/>
                <c:pt idx="0">
                  <c:v>FULL TIME EMPLOYEES</c:v>
                </c:pt>
                <c:pt idx="1">
                  <c:v>OVERTIME</c:v>
                </c:pt>
                <c:pt idx="2">
                  <c:v>PART TIME EMPLOYEES</c:v>
                </c:pt>
                <c:pt idx="3">
                  <c:v>SEASONAL EMPLOYEES</c:v>
                </c:pt>
                <c:pt idx="4">
                  <c:v>EMPLOYEE BENEFITS</c:v>
                </c:pt>
                <c:pt idx="5">
                  <c:v>STATE FAIR</c:v>
                </c:pt>
                <c:pt idx="6">
                  <c:v>SUBSCRIPTIONS &amp; MEMBERSHIPS</c:v>
                </c:pt>
                <c:pt idx="7">
                  <c:v>ADVERTISING</c:v>
                </c:pt>
                <c:pt idx="8">
                  <c:v>TRAVEL</c:v>
                </c:pt>
                <c:pt idx="9">
                  <c:v>OFFICE SUPPLIES</c:v>
                </c:pt>
                <c:pt idx="10">
                  <c:v>EQUIPMENT SUPPLIES &amp; MAINT</c:v>
                </c:pt>
                <c:pt idx="11">
                  <c:v>NON CAPITALIZED EQUIPMENT</c:v>
                </c:pt>
                <c:pt idx="12">
                  <c:v>Environmental Collection Servi</c:v>
                </c:pt>
                <c:pt idx="13">
                  <c:v>FUEL</c:v>
                </c:pt>
                <c:pt idx="14">
                  <c:v>PROFESSIONAL &amp; TECHNICAL</c:v>
                </c:pt>
                <c:pt idx="15">
                  <c:v>SOFTWARE PACKAGES</c:v>
                </c:pt>
                <c:pt idx="16">
                  <c:v>EDUCATION &amp; TRAINING</c:v>
                </c:pt>
                <c:pt idx="17">
                  <c:v>ENTERTAINMENT</c:v>
                </c:pt>
                <c:pt idx="18">
                  <c:v>Fair - Security &amp; Judges</c:v>
                </c:pt>
                <c:pt idx="19">
                  <c:v>PRIZE MONEY &amp; TROPHY</c:v>
                </c:pt>
                <c:pt idx="20">
                  <c:v>UNIFORMS AND SUPPLIES</c:v>
                </c:pt>
                <c:pt idx="21">
                  <c:v>INSURANCE</c:v>
                </c:pt>
                <c:pt idx="22">
                  <c:v>MISCELLANEOUS SUPPLIES</c:v>
                </c:pt>
                <c:pt idx="23">
                  <c:v>MISCELLANEOUS SERVICES</c:v>
                </c:pt>
                <c:pt idx="24">
                  <c:v>MISC SERVICES - CARNIVAL CONTR</c:v>
                </c:pt>
                <c:pt idx="25">
                  <c:v>FAIR MANAGEMENT SERVICES</c:v>
                </c:pt>
              </c:strCache>
            </c:strRef>
          </c:cat>
          <c:val>
            <c:numRef>
              <c:f>Fairgrounds!$R$113:$R$138</c:f>
              <c:numCache>
                <c:formatCode>#,##0</c:formatCode>
                <c:ptCount val="26"/>
                <c:pt idx="0">
                  <c:v>0</c:v>
                </c:pt>
                <c:pt idx="1">
                  <c:v>5000</c:v>
                </c:pt>
                <c:pt idx="2">
                  <c:v>13600</c:v>
                </c:pt>
                <c:pt idx="3">
                  <c:v>12000</c:v>
                </c:pt>
                <c:pt idx="4">
                  <c:v>3300</c:v>
                </c:pt>
                <c:pt idx="5">
                  <c:v>0</c:v>
                </c:pt>
                <c:pt idx="6">
                  <c:v>700</c:v>
                </c:pt>
                <c:pt idx="7">
                  <c:v>20030</c:v>
                </c:pt>
                <c:pt idx="8">
                  <c:v>6000</c:v>
                </c:pt>
                <c:pt idx="9">
                  <c:v>5650</c:v>
                </c:pt>
                <c:pt idx="10">
                  <c:v>90550</c:v>
                </c:pt>
                <c:pt idx="11">
                  <c:v>2000</c:v>
                </c:pt>
                <c:pt idx="13">
                  <c:v>0</c:v>
                </c:pt>
                <c:pt idx="14">
                  <c:v>18500</c:v>
                </c:pt>
                <c:pt idx="15">
                  <c:v>2800</c:v>
                </c:pt>
                <c:pt idx="16">
                  <c:v>3500</c:v>
                </c:pt>
                <c:pt idx="17">
                  <c:v>41500</c:v>
                </c:pt>
                <c:pt idx="18">
                  <c:v>9250</c:v>
                </c:pt>
                <c:pt idx="19">
                  <c:v>42600</c:v>
                </c:pt>
                <c:pt idx="20">
                  <c:v>5000</c:v>
                </c:pt>
                <c:pt idx="21">
                  <c:v>0</c:v>
                </c:pt>
                <c:pt idx="22">
                  <c:v>0</c:v>
                </c:pt>
                <c:pt idx="23">
                  <c:v>2500</c:v>
                </c:pt>
                <c:pt idx="24">
                  <c:v>0</c:v>
                </c:pt>
                <c:pt idx="25">
                  <c:v>6600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4-E75F-4C5B-B15C-73AD24FF6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Expenditure</c:v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Fairgrounds!$M$231:$S$231</c:f>
              <c:strCache>
                <c:ptCount val="7"/>
                <c:pt idx="0">
                  <c:v>2023 Actual</c:v>
                </c:pt>
                <c:pt idx="1">
                  <c:v>2024 Actual</c:v>
                </c:pt>
                <c:pt idx="2">
                  <c:v>Approved
  2025
 Budget</c:v>
                </c:pt>
                <c:pt idx="3">
                  <c:v>2025 YTD Actual</c:v>
                </c:pt>
                <c:pt idx="4">
                  <c:v>Projected 2025 </c:v>
                </c:pt>
                <c:pt idx="5">
                  <c:v>2026
 Requested
 Budget</c:v>
                </c:pt>
                <c:pt idx="6">
                  <c:v>2026 
Tentative 
Budget</c:v>
                </c:pt>
              </c:strCache>
            </c:strRef>
          </c:cat>
          <c:val>
            <c:numRef>
              <c:f>Fairgrounds!$M$232:$S$232</c:f>
              <c:numCache>
                <c:formatCode>#,##0</c:formatCode>
                <c:ptCount val="7"/>
                <c:pt idx="0">
                  <c:v>310400</c:v>
                </c:pt>
                <c:pt idx="1">
                  <c:v>338309.16000000003</c:v>
                </c:pt>
                <c:pt idx="2">
                  <c:v>431210</c:v>
                </c:pt>
                <c:pt idx="3">
                  <c:v>360337.64</c:v>
                </c:pt>
                <c:pt idx="4">
                  <c:v>368751.10933333333</c:v>
                </c:pt>
                <c:pt idx="5">
                  <c:v>460061</c:v>
                </c:pt>
                <c:pt idx="6">
                  <c:v>460061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AB0-4470-83F3-F39C8C5E2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4752211"/>
        <c:axId val="574164591"/>
      </c:barChart>
      <c:catAx>
        <c:axId val="8247522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Period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574164591"/>
        <c:crosses val="autoZero"/>
        <c:auto val="1"/>
        <c:lblAlgn val="ctr"/>
        <c:lblOffset val="100"/>
        <c:noMultiLvlLbl val="1"/>
      </c:catAx>
      <c:valAx>
        <c:axId val="57416459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Expenditure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824752211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34BA-4625-BBC8-1235D342D404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34BA-4625-BBC8-1235D342D404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34BA-4625-BBC8-1235D342D404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34BA-4625-BBC8-1235D342D404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34BA-4625-BBC8-1235D342D404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34BA-4625-BBC8-1235D342D404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34BA-4625-BBC8-1235D342D404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34BA-4625-BBC8-1235D342D404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34BA-4625-BBC8-1235D342D404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34BA-4625-BBC8-1235D342D404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34BA-4625-BBC8-1235D342D404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34BA-4625-BBC8-1235D342D404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34BA-4625-BBC8-1235D342D404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34BA-4625-BBC8-1235D342D404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34BA-4625-BBC8-1235D342D404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34BA-4625-BBC8-1235D342D404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34BA-4625-BBC8-1235D342D404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34BA-4625-BBC8-1235D342D404}"/>
              </c:ext>
            </c:extLst>
          </c:dPt>
          <c:dPt>
            <c:idx val="18"/>
            <c:bubble3D val="0"/>
            <c:spPr>
              <a:solidFill>
                <a:srgbClr val="ECF3FE"/>
              </a:solidFill>
            </c:spPr>
            <c:extLst>
              <c:ext xmlns:c16="http://schemas.microsoft.com/office/drawing/2014/chart" uri="{C3380CC4-5D6E-409C-BE32-E72D297353CC}">
                <c16:uniqueId val="{00000025-34BA-4625-BBC8-1235D342D404}"/>
              </c:ext>
            </c:extLst>
          </c:dPt>
          <c:dPt>
            <c:idx val="19"/>
            <c:bubble3D val="0"/>
            <c:spPr>
              <a:solidFill>
                <a:srgbClr val="FDECEB"/>
              </a:solidFill>
            </c:spPr>
            <c:extLst>
              <c:ext xmlns:c16="http://schemas.microsoft.com/office/drawing/2014/chart" uri="{C3380CC4-5D6E-409C-BE32-E72D297353CC}">
                <c16:uniqueId val="{00000027-34BA-4625-BBC8-1235D342D404}"/>
              </c:ext>
            </c:extLst>
          </c:dPt>
          <c:cat>
            <c:strRef>
              <c:f>Fairgrounds!$B$201:$B$220</c:f>
              <c:strCache>
                <c:ptCount val="20"/>
                <c:pt idx="0">
                  <c:v>OVERTIME</c:v>
                </c:pt>
                <c:pt idx="1">
                  <c:v>SEASONAL EMPLOYEES</c:v>
                </c:pt>
                <c:pt idx="2">
                  <c:v>EMPLOYEE BENEFITS</c:v>
                </c:pt>
                <c:pt idx="3">
                  <c:v>SUBSCRIPTIONS &amp; MEMBERSHIPS</c:v>
                </c:pt>
                <c:pt idx="4">
                  <c:v>ADVERTISING</c:v>
                </c:pt>
                <c:pt idx="5">
                  <c:v>TRAVEL</c:v>
                </c:pt>
                <c:pt idx="6">
                  <c:v>OFFICE SUPPLIES</c:v>
                </c:pt>
                <c:pt idx="7">
                  <c:v>EQUIPMENT SUPPLIES &amp; MAINT</c:v>
                </c:pt>
                <c:pt idx="8">
                  <c:v>NON CAPITALIZED EQUIPMENT</c:v>
                </c:pt>
                <c:pt idx="9">
                  <c:v>FUEL</c:v>
                </c:pt>
                <c:pt idx="10">
                  <c:v>PROFESSIONAL &amp; TECHNICAL</c:v>
                </c:pt>
                <c:pt idx="11">
                  <c:v>RODEO - SECURITY &amp; JUDGES</c:v>
                </c:pt>
                <c:pt idx="12">
                  <c:v>RODEO QUEEN CONTEST EXPENSE</c:v>
                </c:pt>
                <c:pt idx="13">
                  <c:v>PRIZE MONEY &amp; TROPHIES</c:v>
                </c:pt>
                <c:pt idx="14">
                  <c:v>UNIFORMS</c:v>
                </c:pt>
                <c:pt idx="15">
                  <c:v>INSURANCE</c:v>
                </c:pt>
                <c:pt idx="16">
                  <c:v>MISCELLANEOUS SERVICES</c:v>
                </c:pt>
                <c:pt idx="17">
                  <c:v>CONTRACTS</c:v>
                </c:pt>
                <c:pt idx="18">
                  <c:v>RODEO MANAGEMENT SERVICES</c:v>
                </c:pt>
                <c:pt idx="19">
                  <c:v>SPECIAL RODEO EVENTS</c:v>
                </c:pt>
              </c:strCache>
            </c:strRef>
          </c:cat>
          <c:val>
            <c:numRef>
              <c:f>Fairgrounds!$Q$201:$Q$220</c:f>
              <c:numCache>
                <c:formatCode>#,##0</c:formatCode>
                <c:ptCount val="20"/>
                <c:pt idx="0">
                  <c:v>1000</c:v>
                </c:pt>
                <c:pt idx="1">
                  <c:v>7200</c:v>
                </c:pt>
                <c:pt idx="2">
                  <c:v>800</c:v>
                </c:pt>
                <c:pt idx="3">
                  <c:v>6520</c:v>
                </c:pt>
                <c:pt idx="4">
                  <c:v>19806</c:v>
                </c:pt>
                <c:pt idx="5">
                  <c:v>33700</c:v>
                </c:pt>
                <c:pt idx="6">
                  <c:v>5600</c:v>
                </c:pt>
                <c:pt idx="7">
                  <c:v>17500</c:v>
                </c:pt>
                <c:pt idx="8">
                  <c:v>1000</c:v>
                </c:pt>
                <c:pt idx="9">
                  <c:v>1200</c:v>
                </c:pt>
                <c:pt idx="10">
                  <c:v>11275</c:v>
                </c:pt>
                <c:pt idx="11">
                  <c:v>4620</c:v>
                </c:pt>
                <c:pt idx="12">
                  <c:v>3250</c:v>
                </c:pt>
                <c:pt idx="13">
                  <c:v>148000</c:v>
                </c:pt>
                <c:pt idx="14">
                  <c:v>1500</c:v>
                </c:pt>
                <c:pt idx="15">
                  <c:v>175</c:v>
                </c:pt>
                <c:pt idx="16">
                  <c:v>15000</c:v>
                </c:pt>
                <c:pt idx="17">
                  <c:v>163300</c:v>
                </c:pt>
                <c:pt idx="18">
                  <c:v>6615</c:v>
                </c:pt>
                <c:pt idx="19">
                  <c:v>12000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34BA-4625-BBC8-1235D342D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Library!$L$28:$R$28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Library!$L$29:$R$29</c:f>
              <c:numCache>
                <c:formatCode>#,##0</c:formatCode>
                <c:ptCount val="7"/>
                <c:pt idx="0">
                  <c:v>204812</c:v>
                </c:pt>
                <c:pt idx="1">
                  <c:v>219051.56999999998</c:v>
                </c:pt>
                <c:pt idx="2">
                  <c:v>234404</c:v>
                </c:pt>
                <c:pt idx="3">
                  <c:v>159303.52000000002</c:v>
                </c:pt>
                <c:pt idx="4">
                  <c:v>209997.58100000001</c:v>
                </c:pt>
                <c:pt idx="5">
                  <c:v>265500</c:v>
                </c:pt>
                <c:pt idx="6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188-4055-8848-62FDB5A97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5030050"/>
        <c:axId val="687425958"/>
      </c:barChart>
      <c:catAx>
        <c:axId val="116503005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87425958"/>
        <c:crosses val="autoZero"/>
        <c:auto val="1"/>
        <c:lblAlgn val="ctr"/>
        <c:lblOffset val="100"/>
        <c:noMultiLvlLbl val="1"/>
      </c:catAx>
      <c:valAx>
        <c:axId val="68742595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6503005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 Comparison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'Public Works'!$L$87:$R$87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'Public Works'!$L$88:$R$88</c:f>
              <c:numCache>
                <c:formatCode>#,##0</c:formatCode>
                <c:ptCount val="7"/>
                <c:pt idx="0">
                  <c:v>672148</c:v>
                </c:pt>
                <c:pt idx="1">
                  <c:v>713638.49</c:v>
                </c:pt>
                <c:pt idx="2">
                  <c:v>792066</c:v>
                </c:pt>
                <c:pt idx="3">
                  <c:v>418713.4800000001</c:v>
                </c:pt>
                <c:pt idx="4">
                  <c:v>646345.77033333329</c:v>
                </c:pt>
                <c:pt idx="5">
                  <c:v>865400</c:v>
                </c:pt>
                <c:pt idx="6">
                  <c:v>703100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B49-4D4C-AD67-7E5F18FB9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483325"/>
        <c:axId val="502005545"/>
      </c:barChart>
      <c:catAx>
        <c:axId val="23348332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502005545"/>
        <c:crosses val="autoZero"/>
        <c:auto val="1"/>
        <c:lblAlgn val="ctr"/>
        <c:lblOffset val="100"/>
        <c:noMultiLvlLbl val="1"/>
      </c:catAx>
      <c:valAx>
        <c:axId val="50200554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33483325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37A7-418E-9252-5DE82B9955D6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37A7-418E-9252-5DE82B9955D6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37A7-418E-9252-5DE82B9955D6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37A7-418E-9252-5DE82B9955D6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37A7-418E-9252-5DE82B9955D6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37A7-418E-9252-5DE82B9955D6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37A7-418E-9252-5DE82B9955D6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37A7-418E-9252-5DE82B9955D6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37A7-418E-9252-5DE82B9955D6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37A7-418E-9252-5DE82B9955D6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37A7-418E-9252-5DE82B9955D6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37A7-418E-9252-5DE82B9955D6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37A7-418E-9252-5DE82B9955D6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37A7-418E-9252-5DE82B9955D6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37A7-418E-9252-5DE82B9955D6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37A7-418E-9252-5DE82B9955D6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37A7-418E-9252-5DE82B9955D6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37A7-418E-9252-5DE82B9955D6}"/>
              </c:ext>
            </c:extLst>
          </c:dPt>
          <c:cat>
            <c:strRef>
              <c:f>'Public Works'!$B$53:$B$70</c:f>
              <c:strCache>
                <c:ptCount val="18"/>
                <c:pt idx="0">
                  <c:v>FULL TIME EMPLOYEES</c:v>
                </c:pt>
                <c:pt idx="1">
                  <c:v>OVERTIME</c:v>
                </c:pt>
                <c:pt idx="2">
                  <c:v>PART TIME EMPLOYEES</c:v>
                </c:pt>
                <c:pt idx="3">
                  <c:v>EMPLOYEE BENEFITS</c:v>
                </c:pt>
                <c:pt idx="4">
                  <c:v>SUBSCRIPTIONS &amp; MEMBERSHIPS</c:v>
                </c:pt>
                <c:pt idx="5">
                  <c:v>TRAVEL</c:v>
                </c:pt>
                <c:pt idx="6">
                  <c:v>OFFICE SUPPLIES</c:v>
                </c:pt>
                <c:pt idx="7">
                  <c:v>EQUIPMENT SUPPLIES &amp; MAINT</c:v>
                </c:pt>
                <c:pt idx="8">
                  <c:v>NON CAPITALIZED EQUIPMENT</c:v>
                </c:pt>
                <c:pt idx="9">
                  <c:v>BUILDINGS AND GROUNDS</c:v>
                </c:pt>
                <c:pt idx="10">
                  <c:v>UTILITIES</c:v>
                </c:pt>
                <c:pt idx="11">
                  <c:v>COMMUNICATIONS</c:v>
                </c:pt>
                <c:pt idx="12">
                  <c:v>PROFESSIONAL &amp; TECHNICAL</c:v>
                </c:pt>
                <c:pt idx="13">
                  <c:v>SOFTWARE</c:v>
                </c:pt>
                <c:pt idx="14">
                  <c:v>EDUCATION &amp; TRAINING</c:v>
                </c:pt>
                <c:pt idx="15">
                  <c:v>UNIFORM &amp; SAFETY SUPPLIES</c:v>
                </c:pt>
                <c:pt idx="16">
                  <c:v>INSURANCE</c:v>
                </c:pt>
                <c:pt idx="17">
                  <c:v>MISCELLANEOUS SERVICES</c:v>
                </c:pt>
              </c:strCache>
            </c:strRef>
          </c:cat>
          <c:val>
            <c:numRef>
              <c:f>'Public Works'!$R$53:$R$70</c:f>
              <c:numCache>
                <c:formatCode>#,##0</c:formatCode>
                <c:ptCount val="18"/>
                <c:pt idx="0">
                  <c:v>285300</c:v>
                </c:pt>
                <c:pt idx="1">
                  <c:v>4100</c:v>
                </c:pt>
                <c:pt idx="2">
                  <c:v>10000</c:v>
                </c:pt>
                <c:pt idx="3">
                  <c:v>144800</c:v>
                </c:pt>
                <c:pt idx="4">
                  <c:v>3300</c:v>
                </c:pt>
                <c:pt idx="5">
                  <c:v>5000</c:v>
                </c:pt>
                <c:pt idx="6">
                  <c:v>10000</c:v>
                </c:pt>
                <c:pt idx="7">
                  <c:v>10000</c:v>
                </c:pt>
                <c:pt idx="8">
                  <c:v>5000</c:v>
                </c:pt>
                <c:pt idx="9">
                  <c:v>100100</c:v>
                </c:pt>
                <c:pt idx="10">
                  <c:v>100000</c:v>
                </c:pt>
                <c:pt idx="11">
                  <c:v>4400</c:v>
                </c:pt>
                <c:pt idx="12">
                  <c:v>5000</c:v>
                </c:pt>
                <c:pt idx="13">
                  <c:v>2100</c:v>
                </c:pt>
                <c:pt idx="14">
                  <c:v>5000</c:v>
                </c:pt>
                <c:pt idx="15">
                  <c:v>5000</c:v>
                </c:pt>
                <c:pt idx="16">
                  <c:v>4000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37A7-418E-9252-5DE82B995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Expenditure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Expenditure</c:v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'Auditor (2)'!$M$38:$S$38</c:f>
              <c:strCache>
                <c:ptCount val="7"/>
                <c:pt idx="0">
                  <c:v>2023 Actual</c:v>
                </c:pt>
                <c:pt idx="1">
                  <c:v>2024 Actual</c:v>
                </c:pt>
                <c:pt idx="2">
                  <c:v>Approved
  2025
 Budget</c:v>
                </c:pt>
                <c:pt idx="3">
                  <c:v>2025 YTD Actual</c:v>
                </c:pt>
                <c:pt idx="4">
                  <c:v>Projected 2025 </c:v>
                </c:pt>
                <c:pt idx="5">
                  <c:v>2026
 Requested
 Budget</c:v>
                </c:pt>
                <c:pt idx="6">
                  <c:v>2026 
Tentative 
Budget</c:v>
                </c:pt>
              </c:strCache>
            </c:strRef>
          </c:cat>
          <c:val>
            <c:numRef>
              <c:f>'Auditor (2)'!$M$39:$S$39</c:f>
              <c:numCache>
                <c:formatCode>#,##0</c:formatCode>
                <c:ptCount val="7"/>
                <c:pt idx="0">
                  <c:v>1114749</c:v>
                </c:pt>
                <c:pt idx="1">
                  <c:v>889226.63000000012</c:v>
                </c:pt>
                <c:pt idx="2">
                  <c:v>1030325</c:v>
                </c:pt>
                <c:pt idx="3">
                  <c:v>678681.9600000002</c:v>
                </c:pt>
                <c:pt idx="4">
                  <c:v>924108.01659999997</c:v>
                </c:pt>
                <c:pt idx="5">
                  <c:v>1164971</c:v>
                </c:pt>
                <c:pt idx="6">
                  <c:v>981322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EB7-470B-A3F5-C14F2ED43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8757278"/>
        <c:axId val="609003426"/>
      </c:barChart>
      <c:catAx>
        <c:axId val="124875727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Period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09003426"/>
        <c:crosses val="autoZero"/>
        <c:auto val="1"/>
        <c:lblAlgn val="ctr"/>
        <c:lblOffset val="100"/>
        <c:noMultiLvlLbl val="1"/>
      </c:catAx>
      <c:valAx>
        <c:axId val="60900342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 i="0">
                    <a:solidFill>
                      <a:srgbClr val="000000"/>
                    </a:solidFill>
                    <a:latin typeface="+mn-lt"/>
                  </a:rPr>
                  <a:t>Expenditure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4875727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3DC4-45AB-9975-21D5164A20EA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3DC4-45AB-9975-21D5164A20EA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3DC4-45AB-9975-21D5164A20EA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3DC4-45AB-9975-21D5164A20EA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3DC4-45AB-9975-21D5164A20EA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3DC4-45AB-9975-21D5164A20EA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3DC4-45AB-9975-21D5164A20EA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3DC4-45AB-9975-21D5164A20EA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3DC4-45AB-9975-21D5164A20EA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3DC4-45AB-9975-21D5164A20EA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3DC4-45AB-9975-21D5164A20EA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3DC4-45AB-9975-21D5164A20EA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3DC4-45AB-9975-21D5164A20EA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3DC4-45AB-9975-21D5164A20EA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3DC4-45AB-9975-21D5164A20EA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3DC4-45AB-9975-21D5164A20EA}"/>
              </c:ext>
            </c:extLst>
          </c:dPt>
          <c:cat>
            <c:strRef>
              <c:f>'Auditor (2)'!$B$6:$B$21</c:f>
              <c:strCache>
                <c:ptCount val="16"/>
                <c:pt idx="0">
                  <c:v>FULL TIME EMPLOYEES</c:v>
                </c:pt>
                <c:pt idx="1">
                  <c:v>OVERTIME</c:v>
                </c:pt>
                <c:pt idx="2">
                  <c:v>PART TIME EMPLOYEES</c:v>
                </c:pt>
                <c:pt idx="3">
                  <c:v>EMPLOYEE BENEFITS</c:v>
                </c:pt>
                <c:pt idx="4">
                  <c:v>SUBSCRIPTIONS &amp; MEMBERSHIPS</c:v>
                </c:pt>
                <c:pt idx="5">
                  <c:v>TRAVEL</c:v>
                </c:pt>
                <c:pt idx="6">
                  <c:v>OFFICE SUPPLIES</c:v>
                </c:pt>
                <c:pt idx="7">
                  <c:v>NON CAPITALIZED EQUIPMENT</c:v>
                </c:pt>
                <c:pt idx="8">
                  <c:v>COMMUNICATIONS</c:v>
                </c:pt>
                <c:pt idx="9">
                  <c:v>PROFESSIONAL &amp; TECHNICAL</c:v>
                </c:pt>
                <c:pt idx="10">
                  <c:v>SOFTWARE PACKAGES</c:v>
                </c:pt>
                <c:pt idx="11">
                  <c:v>EDUCATION &amp; TRAINING</c:v>
                </c:pt>
                <c:pt idx="12">
                  <c:v>INSURANCE</c:v>
                </c:pt>
                <c:pt idx="13">
                  <c:v>COLLECTION COSTS</c:v>
                </c:pt>
                <c:pt idx="14">
                  <c:v>MISCELLANEOUS SERVICES</c:v>
                </c:pt>
                <c:pt idx="15">
                  <c:v>TAX ADMIN - FINANCE 10%</c:v>
                </c:pt>
              </c:strCache>
            </c:strRef>
          </c:cat>
          <c:val>
            <c:numRef>
              <c:f>'Auditor (2)'!$R$6:$R$21</c:f>
              <c:numCache>
                <c:formatCode>#,##0.00</c:formatCode>
                <c:ptCount val="16"/>
                <c:pt idx="0">
                  <c:v>606500</c:v>
                </c:pt>
                <c:pt idx="1">
                  <c:v>12000</c:v>
                </c:pt>
                <c:pt idx="2">
                  <c:v>11400</c:v>
                </c:pt>
                <c:pt idx="3">
                  <c:v>330800</c:v>
                </c:pt>
                <c:pt idx="4">
                  <c:v>2140</c:v>
                </c:pt>
                <c:pt idx="5">
                  <c:v>5000</c:v>
                </c:pt>
                <c:pt idx="6">
                  <c:v>17180</c:v>
                </c:pt>
                <c:pt idx="7">
                  <c:v>5000</c:v>
                </c:pt>
                <c:pt idx="8">
                  <c:v>2860</c:v>
                </c:pt>
                <c:pt idx="9">
                  <c:v>10000</c:v>
                </c:pt>
                <c:pt idx="10">
                  <c:v>103500</c:v>
                </c:pt>
                <c:pt idx="11">
                  <c:v>10815</c:v>
                </c:pt>
                <c:pt idx="12">
                  <c:v>5665</c:v>
                </c:pt>
                <c:pt idx="13">
                  <c:v>29664</c:v>
                </c:pt>
                <c:pt idx="14">
                  <c:v>0</c:v>
                </c:pt>
                <c:pt idx="15">
                  <c:v>-114702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DC4-45AB-9975-21D5164A2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2026 Tentative Budget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F89F-4B84-857D-68147F04D81C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F89F-4B84-857D-68147F04D81C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F89F-4B84-857D-68147F04D81C}"/>
              </c:ext>
            </c:extLst>
          </c:dPt>
          <c:dPt>
            <c:idx val="3"/>
            <c:bubble3D val="0"/>
            <c:spPr>
              <a:solidFill>
                <a:srgbClr val="34A853"/>
              </a:solidFill>
            </c:spPr>
            <c:extLst>
              <c:ext xmlns:c16="http://schemas.microsoft.com/office/drawing/2014/chart" uri="{C3380CC4-5D6E-409C-BE32-E72D297353CC}">
                <c16:uniqueId val="{00000007-F89F-4B84-857D-68147F04D81C}"/>
              </c:ext>
            </c:extLst>
          </c:dPt>
          <c:dPt>
            <c:idx val="4"/>
            <c:bubble3D val="0"/>
            <c:spPr>
              <a:solidFill>
                <a:srgbClr val="FF6D01"/>
              </a:solidFill>
            </c:spPr>
            <c:extLst>
              <c:ext xmlns:c16="http://schemas.microsoft.com/office/drawing/2014/chart" uri="{C3380CC4-5D6E-409C-BE32-E72D297353CC}">
                <c16:uniqueId val="{00000009-F89F-4B84-857D-68147F04D81C}"/>
              </c:ext>
            </c:extLst>
          </c:dPt>
          <c:dPt>
            <c:idx val="5"/>
            <c:bubble3D val="0"/>
            <c:spPr>
              <a:solidFill>
                <a:srgbClr val="46BDC6"/>
              </a:solidFill>
            </c:spPr>
            <c:extLst>
              <c:ext xmlns:c16="http://schemas.microsoft.com/office/drawing/2014/chart" uri="{C3380CC4-5D6E-409C-BE32-E72D297353CC}">
                <c16:uniqueId val="{0000000B-F89F-4B84-857D-68147F04D81C}"/>
              </c:ext>
            </c:extLst>
          </c:dPt>
          <c:dPt>
            <c:idx val="6"/>
            <c:bubble3D val="0"/>
            <c:spPr>
              <a:solidFill>
                <a:srgbClr val="7BAAF7"/>
              </a:solidFill>
            </c:spPr>
            <c:extLst>
              <c:ext xmlns:c16="http://schemas.microsoft.com/office/drawing/2014/chart" uri="{C3380CC4-5D6E-409C-BE32-E72D297353CC}">
                <c16:uniqueId val="{0000000D-F89F-4B84-857D-68147F04D81C}"/>
              </c:ext>
            </c:extLst>
          </c:dPt>
          <c:dPt>
            <c:idx val="7"/>
            <c:bubble3D val="0"/>
            <c:spPr>
              <a:solidFill>
                <a:srgbClr val="F07B72"/>
              </a:solidFill>
            </c:spPr>
            <c:extLst>
              <c:ext xmlns:c16="http://schemas.microsoft.com/office/drawing/2014/chart" uri="{C3380CC4-5D6E-409C-BE32-E72D297353CC}">
                <c16:uniqueId val="{0000000F-F89F-4B84-857D-68147F04D81C}"/>
              </c:ext>
            </c:extLst>
          </c:dPt>
          <c:dPt>
            <c:idx val="8"/>
            <c:bubble3D val="0"/>
            <c:spPr>
              <a:solidFill>
                <a:srgbClr val="FCD04F"/>
              </a:solidFill>
            </c:spPr>
            <c:extLst>
              <c:ext xmlns:c16="http://schemas.microsoft.com/office/drawing/2014/chart" uri="{C3380CC4-5D6E-409C-BE32-E72D297353CC}">
                <c16:uniqueId val="{00000011-F89F-4B84-857D-68147F04D81C}"/>
              </c:ext>
            </c:extLst>
          </c:dPt>
          <c:dPt>
            <c:idx val="9"/>
            <c:bubble3D val="0"/>
            <c:spPr>
              <a:solidFill>
                <a:srgbClr val="71C287"/>
              </a:solidFill>
            </c:spPr>
            <c:extLst>
              <c:ext xmlns:c16="http://schemas.microsoft.com/office/drawing/2014/chart" uri="{C3380CC4-5D6E-409C-BE32-E72D297353CC}">
                <c16:uniqueId val="{00000013-F89F-4B84-857D-68147F04D81C}"/>
              </c:ext>
            </c:extLst>
          </c:dPt>
          <c:dPt>
            <c:idx val="10"/>
            <c:bubble3D val="0"/>
            <c:spPr>
              <a:solidFill>
                <a:srgbClr val="FF994D"/>
              </a:solidFill>
            </c:spPr>
            <c:extLst>
              <c:ext xmlns:c16="http://schemas.microsoft.com/office/drawing/2014/chart" uri="{C3380CC4-5D6E-409C-BE32-E72D297353CC}">
                <c16:uniqueId val="{00000015-F89F-4B84-857D-68147F04D81C}"/>
              </c:ext>
            </c:extLst>
          </c:dPt>
          <c:dPt>
            <c:idx val="11"/>
            <c:bubble3D val="0"/>
            <c:spPr>
              <a:solidFill>
                <a:srgbClr val="7ED1D7"/>
              </a:solidFill>
            </c:spPr>
            <c:extLst>
              <c:ext xmlns:c16="http://schemas.microsoft.com/office/drawing/2014/chart" uri="{C3380CC4-5D6E-409C-BE32-E72D297353CC}">
                <c16:uniqueId val="{00000017-F89F-4B84-857D-68147F04D81C}"/>
              </c:ext>
            </c:extLst>
          </c:dPt>
          <c:dPt>
            <c:idx val="12"/>
            <c:bubble3D val="0"/>
            <c:spPr>
              <a:solidFill>
                <a:srgbClr val="B3CEFB"/>
              </a:solidFill>
            </c:spPr>
            <c:extLst>
              <c:ext xmlns:c16="http://schemas.microsoft.com/office/drawing/2014/chart" uri="{C3380CC4-5D6E-409C-BE32-E72D297353CC}">
                <c16:uniqueId val="{00000019-F89F-4B84-857D-68147F04D81C}"/>
              </c:ext>
            </c:extLst>
          </c:dPt>
          <c:dPt>
            <c:idx val="13"/>
            <c:bubble3D val="0"/>
            <c:spPr>
              <a:solidFill>
                <a:srgbClr val="F7B4AE"/>
              </a:solidFill>
            </c:spPr>
            <c:extLst>
              <c:ext xmlns:c16="http://schemas.microsoft.com/office/drawing/2014/chart" uri="{C3380CC4-5D6E-409C-BE32-E72D297353CC}">
                <c16:uniqueId val="{0000001B-F89F-4B84-857D-68147F04D81C}"/>
              </c:ext>
            </c:extLst>
          </c:dPt>
          <c:dPt>
            <c:idx val="14"/>
            <c:bubble3D val="0"/>
            <c:spPr>
              <a:solidFill>
                <a:srgbClr val="FDE49B"/>
              </a:solidFill>
            </c:spPr>
            <c:extLst>
              <c:ext xmlns:c16="http://schemas.microsoft.com/office/drawing/2014/chart" uri="{C3380CC4-5D6E-409C-BE32-E72D297353CC}">
                <c16:uniqueId val="{0000001D-F89F-4B84-857D-68147F04D81C}"/>
              </c:ext>
            </c:extLst>
          </c:dPt>
          <c:dPt>
            <c:idx val="15"/>
            <c:bubble3D val="0"/>
            <c:spPr>
              <a:solidFill>
                <a:srgbClr val="AEDCBA"/>
              </a:solidFill>
            </c:spPr>
            <c:extLst>
              <c:ext xmlns:c16="http://schemas.microsoft.com/office/drawing/2014/chart" uri="{C3380CC4-5D6E-409C-BE32-E72D297353CC}">
                <c16:uniqueId val="{0000001F-F89F-4B84-857D-68147F04D81C}"/>
              </c:ext>
            </c:extLst>
          </c:dPt>
          <c:dPt>
            <c:idx val="16"/>
            <c:bubble3D val="0"/>
            <c:spPr>
              <a:solidFill>
                <a:srgbClr val="FFC599"/>
              </a:solidFill>
            </c:spPr>
            <c:extLst>
              <c:ext xmlns:c16="http://schemas.microsoft.com/office/drawing/2014/chart" uri="{C3380CC4-5D6E-409C-BE32-E72D297353CC}">
                <c16:uniqueId val="{00000021-F89F-4B84-857D-68147F04D81C}"/>
              </c:ext>
            </c:extLst>
          </c:dPt>
          <c:dPt>
            <c:idx val="17"/>
            <c:bubble3D val="0"/>
            <c:spPr>
              <a:solidFill>
                <a:srgbClr val="B5E5E8"/>
              </a:solidFill>
            </c:spPr>
            <c:extLst>
              <c:ext xmlns:c16="http://schemas.microsoft.com/office/drawing/2014/chart" uri="{C3380CC4-5D6E-409C-BE32-E72D297353CC}">
                <c16:uniqueId val="{00000023-F89F-4B84-857D-68147F04D81C}"/>
              </c:ext>
            </c:extLst>
          </c:dPt>
          <c:dPt>
            <c:idx val="18"/>
            <c:bubble3D val="0"/>
            <c:spPr>
              <a:solidFill>
                <a:srgbClr val="ECF3FE"/>
              </a:solidFill>
            </c:spPr>
            <c:extLst>
              <c:ext xmlns:c16="http://schemas.microsoft.com/office/drawing/2014/chart" uri="{C3380CC4-5D6E-409C-BE32-E72D297353CC}">
                <c16:uniqueId val="{00000025-F89F-4B84-857D-68147F04D81C}"/>
              </c:ext>
            </c:extLst>
          </c:dPt>
          <c:dPt>
            <c:idx val="19"/>
            <c:bubble3D val="0"/>
            <c:spPr>
              <a:solidFill>
                <a:srgbClr val="FDECEB"/>
              </a:solidFill>
            </c:spPr>
            <c:extLst>
              <c:ext xmlns:c16="http://schemas.microsoft.com/office/drawing/2014/chart" uri="{C3380CC4-5D6E-409C-BE32-E72D297353CC}">
                <c16:uniqueId val="{00000027-F89F-4B84-857D-68147F04D81C}"/>
              </c:ext>
            </c:extLst>
          </c:dPt>
          <c:dPt>
            <c:idx val="20"/>
            <c:bubble3D val="0"/>
            <c:spPr>
              <a:solidFill>
                <a:srgbClr val="FFF8E6"/>
              </a:solidFill>
            </c:spPr>
            <c:extLst>
              <c:ext xmlns:c16="http://schemas.microsoft.com/office/drawing/2014/chart" uri="{C3380CC4-5D6E-409C-BE32-E72D297353CC}">
                <c16:uniqueId val="{00000029-F89F-4B84-857D-68147F04D81C}"/>
              </c:ext>
            </c:extLst>
          </c:dPt>
          <c:dPt>
            <c:idx val="21"/>
            <c:bubble3D val="0"/>
            <c:spPr>
              <a:solidFill>
                <a:srgbClr val="EBF6EE"/>
              </a:solidFill>
            </c:spPr>
            <c:extLst>
              <c:ext xmlns:c16="http://schemas.microsoft.com/office/drawing/2014/chart" uri="{C3380CC4-5D6E-409C-BE32-E72D297353CC}">
                <c16:uniqueId val="{0000002B-F89F-4B84-857D-68147F04D81C}"/>
              </c:ext>
            </c:extLst>
          </c:dPt>
          <c:dPt>
            <c:idx val="22"/>
            <c:bubble3D val="0"/>
            <c:spPr>
              <a:solidFill>
                <a:srgbClr val="FFF0E6"/>
              </a:solidFill>
            </c:spPr>
            <c:extLst>
              <c:ext xmlns:c16="http://schemas.microsoft.com/office/drawing/2014/chart" uri="{C3380CC4-5D6E-409C-BE32-E72D297353CC}">
                <c16:uniqueId val="{0000002D-F89F-4B84-857D-68147F04D81C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2E-F89F-4B84-857D-68147F04D81C}"/>
              </c:ext>
            </c:extLst>
          </c:dPt>
          <c:cat>
            <c:strRef>
              <c:f>'Auditor (2)'!$B$86:$B$109</c:f>
              <c:strCache>
                <c:ptCount val="24"/>
                <c:pt idx="0">
                  <c:v>Title</c:v>
                </c:pt>
                <c:pt idx="2">
                  <c:v>FULL TIME EMPLOYEES</c:v>
                </c:pt>
                <c:pt idx="3">
                  <c:v>OVERTIME</c:v>
                </c:pt>
                <c:pt idx="4">
                  <c:v>PART TIME EMPLOYEES</c:v>
                </c:pt>
                <c:pt idx="5">
                  <c:v>SEASONAL EMPLOYEES</c:v>
                </c:pt>
                <c:pt idx="6">
                  <c:v>EMPLOYEE BENEFITS</c:v>
                </c:pt>
                <c:pt idx="7">
                  <c:v>SUBSCRIPTIONS &amp; MEMBERSHIPS</c:v>
                </c:pt>
                <c:pt idx="8">
                  <c:v>PUBLIC NOTICES</c:v>
                </c:pt>
                <c:pt idx="9">
                  <c:v>TRAVEL</c:v>
                </c:pt>
                <c:pt idx="10">
                  <c:v>OFFICE SUPPLIES</c:v>
                </c:pt>
                <c:pt idx="11">
                  <c:v>VALUATION NOTICES</c:v>
                </c:pt>
                <c:pt idx="12">
                  <c:v>SUPPLIES &amp; MAINT</c:v>
                </c:pt>
                <c:pt idx="13">
                  <c:v>NON CAPITALIZED EQUIPMENT</c:v>
                </c:pt>
                <c:pt idx="14">
                  <c:v>COMMUNICATIONS</c:v>
                </c:pt>
                <c:pt idx="15">
                  <c:v>FUEL</c:v>
                </c:pt>
                <c:pt idx="16">
                  <c:v>PROFESSIONAL &amp; TECHNICAL</c:v>
                </c:pt>
                <c:pt idx="17">
                  <c:v>SOFTWARE PACKAGES</c:v>
                </c:pt>
                <c:pt idx="18">
                  <c:v>EDUCATION &amp; TRAINING</c:v>
                </c:pt>
                <c:pt idx="19">
                  <c:v>INSURANCE</c:v>
                </c:pt>
                <c:pt idx="20">
                  <c:v>COLLECTION COSTS</c:v>
                </c:pt>
                <c:pt idx="21">
                  <c:v>MISCELLANEOUS SERVICES</c:v>
                </c:pt>
                <c:pt idx="22">
                  <c:v>MISCELLANEOUS SERVICES</c:v>
                </c:pt>
                <c:pt idx="23">
                  <c:v>TAX ADMIN - AUDITOR 86%</c:v>
                </c:pt>
              </c:strCache>
            </c:strRef>
          </c:cat>
          <c:val>
            <c:numRef>
              <c:f>'Auditor (2)'!$R$86:$R$109</c:f>
              <c:numCache>
                <c:formatCode>General</c:formatCode>
                <c:ptCount val="24"/>
                <c:pt idx="0" formatCode="#,##0">
                  <c:v>0</c:v>
                </c:pt>
                <c:pt idx="2" formatCode="#,##0">
                  <c:v>149900</c:v>
                </c:pt>
                <c:pt idx="3" formatCode="#,##0">
                  <c:v>5700</c:v>
                </c:pt>
                <c:pt idx="4" formatCode="#,##0">
                  <c:v>36500</c:v>
                </c:pt>
                <c:pt idx="5" formatCode="#,##0">
                  <c:v>23500</c:v>
                </c:pt>
                <c:pt idx="6" formatCode="#,##0">
                  <c:v>79500</c:v>
                </c:pt>
                <c:pt idx="7" formatCode="#,##0">
                  <c:v>7475</c:v>
                </c:pt>
                <c:pt idx="8" formatCode="#,##0">
                  <c:v>0</c:v>
                </c:pt>
                <c:pt idx="9" formatCode="#,##0">
                  <c:v>10370</c:v>
                </c:pt>
                <c:pt idx="10" formatCode="#,##0">
                  <c:v>8100</c:v>
                </c:pt>
                <c:pt idx="11" formatCode="#,##0">
                  <c:v>36000</c:v>
                </c:pt>
                <c:pt idx="12" formatCode="#,##0">
                  <c:v>4000</c:v>
                </c:pt>
                <c:pt idx="13" formatCode="#,##0">
                  <c:v>2400</c:v>
                </c:pt>
                <c:pt idx="14" formatCode="#,##0">
                  <c:v>1420</c:v>
                </c:pt>
                <c:pt idx="15" formatCode="#,##0">
                  <c:v>0</c:v>
                </c:pt>
                <c:pt idx="16" formatCode="#,##0">
                  <c:v>22000</c:v>
                </c:pt>
                <c:pt idx="17" formatCode="#,##0">
                  <c:v>55320</c:v>
                </c:pt>
                <c:pt idx="18" formatCode="#,##0">
                  <c:v>5700</c:v>
                </c:pt>
                <c:pt idx="19" formatCode="#,##0">
                  <c:v>1400</c:v>
                </c:pt>
                <c:pt idx="20" formatCode="#,##0">
                  <c:v>2000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-388106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F89F-4B84-857D-68147F04D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4" Type="http://schemas.openxmlformats.org/officeDocument/2006/relationships/chart" Target="../charts/chart5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chart" Target="../charts/chart58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4" Type="http://schemas.openxmlformats.org/officeDocument/2006/relationships/chart" Target="../charts/chart6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85725</xdr:colOff>
      <xdr:row>30</xdr:row>
      <xdr:rowOff>123825</xdr:rowOff>
    </xdr:from>
    <xdr:ext cx="6734175" cy="4152900"/>
    <xdr:graphicFrame macro="">
      <xdr:nvGraphicFramePr>
        <xdr:cNvPr id="956228592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28575</xdr:colOff>
      <xdr:row>53</xdr:row>
      <xdr:rowOff>0</xdr:rowOff>
    </xdr:from>
    <xdr:ext cx="6734175" cy="4391025"/>
    <xdr:graphicFrame macro="">
      <xdr:nvGraphicFramePr>
        <xdr:cNvPr id="275821288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57150</xdr:colOff>
      <xdr:row>696</xdr:row>
      <xdr:rowOff>19050</xdr:rowOff>
    </xdr:from>
    <xdr:ext cx="6838950" cy="3533775"/>
    <xdr:graphicFrame macro="">
      <xdr:nvGraphicFramePr>
        <xdr:cNvPr id="245385566" name="Chart 2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114300</xdr:colOff>
      <xdr:row>720</xdr:row>
      <xdr:rowOff>38100</xdr:rowOff>
    </xdr:from>
    <xdr:ext cx="6838950" cy="3533775"/>
    <xdr:graphicFrame macro="">
      <xdr:nvGraphicFramePr>
        <xdr:cNvPr id="1490427394" name="Chart 3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57150</xdr:colOff>
      <xdr:row>621</xdr:row>
      <xdr:rowOff>19050</xdr:rowOff>
    </xdr:from>
    <xdr:ext cx="6838950" cy="3533775"/>
    <xdr:graphicFrame macro="">
      <xdr:nvGraphicFramePr>
        <xdr:cNvPr id="315156900" name="Chart 3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114300</xdr:colOff>
      <xdr:row>645</xdr:row>
      <xdr:rowOff>38100</xdr:rowOff>
    </xdr:from>
    <xdr:ext cx="6838950" cy="3533775"/>
    <xdr:graphicFrame macro="">
      <xdr:nvGraphicFramePr>
        <xdr:cNvPr id="30923610" name="Chart 3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57150</xdr:colOff>
      <xdr:row>785</xdr:row>
      <xdr:rowOff>19050</xdr:rowOff>
    </xdr:from>
    <xdr:ext cx="6838950" cy="3533775"/>
    <xdr:graphicFrame macro="">
      <xdr:nvGraphicFramePr>
        <xdr:cNvPr id="1108256030" name="Chart 3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114300</xdr:colOff>
      <xdr:row>809</xdr:row>
      <xdr:rowOff>38100</xdr:rowOff>
    </xdr:from>
    <xdr:ext cx="6838950" cy="3533775"/>
    <xdr:graphicFrame macro="">
      <xdr:nvGraphicFramePr>
        <xdr:cNvPr id="1837398834" name="Chart 3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57150</xdr:colOff>
      <xdr:row>18</xdr:row>
      <xdr:rowOff>0</xdr:rowOff>
    </xdr:from>
    <xdr:ext cx="6838950" cy="3533775"/>
    <xdr:graphicFrame macro="">
      <xdr:nvGraphicFramePr>
        <xdr:cNvPr id="1117408167" name="Chart 3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114300</xdr:colOff>
      <xdr:row>18</xdr:row>
      <xdr:rowOff>0</xdr:rowOff>
    </xdr:from>
    <xdr:ext cx="6838950" cy="3533775"/>
    <xdr:graphicFrame macro="">
      <xdr:nvGraphicFramePr>
        <xdr:cNvPr id="1962973340" name="Chart 3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161925</xdr:colOff>
      <xdr:row>28</xdr:row>
      <xdr:rowOff>161925</xdr:rowOff>
    </xdr:from>
    <xdr:ext cx="7191375" cy="3533775"/>
    <xdr:graphicFrame macro="">
      <xdr:nvGraphicFramePr>
        <xdr:cNvPr id="1239248643" name="Chart 3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123825</xdr:colOff>
      <xdr:row>46</xdr:row>
      <xdr:rowOff>0</xdr:rowOff>
    </xdr:from>
    <xdr:ext cx="7191375" cy="3533775"/>
    <xdr:graphicFrame macro="">
      <xdr:nvGraphicFramePr>
        <xdr:cNvPr id="1845945988" name="Chart 3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11</xdr:col>
      <xdr:colOff>57150</xdr:colOff>
      <xdr:row>96</xdr:row>
      <xdr:rowOff>19050</xdr:rowOff>
    </xdr:from>
    <xdr:ext cx="6838950" cy="3533775"/>
    <xdr:graphicFrame macro="">
      <xdr:nvGraphicFramePr>
        <xdr:cNvPr id="1756663626" name="Chart 3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11</xdr:col>
      <xdr:colOff>114300</xdr:colOff>
      <xdr:row>120</xdr:row>
      <xdr:rowOff>38100</xdr:rowOff>
    </xdr:from>
    <xdr:ext cx="6838950" cy="3533775"/>
    <xdr:graphicFrame macro="">
      <xdr:nvGraphicFramePr>
        <xdr:cNvPr id="1438745519" name="Chart 4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57150</xdr:colOff>
      <xdr:row>84</xdr:row>
      <xdr:rowOff>0</xdr:rowOff>
    </xdr:from>
    <xdr:ext cx="6838950" cy="3533775"/>
    <xdr:graphicFrame macro="">
      <xdr:nvGraphicFramePr>
        <xdr:cNvPr id="170670057" name="Chart 4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114300</xdr:colOff>
      <xdr:row>84</xdr:row>
      <xdr:rowOff>0</xdr:rowOff>
    </xdr:from>
    <xdr:ext cx="6838950" cy="3533775"/>
    <xdr:graphicFrame macro="">
      <xdr:nvGraphicFramePr>
        <xdr:cNvPr id="1486390927" name="Chart 4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57150</xdr:colOff>
      <xdr:row>369</xdr:row>
      <xdr:rowOff>19050</xdr:rowOff>
    </xdr:from>
    <xdr:ext cx="6838950" cy="3533775"/>
    <xdr:graphicFrame macro="">
      <xdr:nvGraphicFramePr>
        <xdr:cNvPr id="1149700600" name="Chart 4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114300</xdr:colOff>
      <xdr:row>393</xdr:row>
      <xdr:rowOff>38100</xdr:rowOff>
    </xdr:from>
    <xdr:ext cx="6838950" cy="3533775"/>
    <xdr:graphicFrame macro="">
      <xdr:nvGraphicFramePr>
        <xdr:cNvPr id="1598180246" name="Chart 4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57150</xdr:colOff>
      <xdr:row>192</xdr:row>
      <xdr:rowOff>19050</xdr:rowOff>
    </xdr:from>
    <xdr:ext cx="6838950" cy="3533775"/>
    <xdr:graphicFrame macro="">
      <xdr:nvGraphicFramePr>
        <xdr:cNvPr id="1011765406" name="Chart 4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114300</xdr:colOff>
      <xdr:row>216</xdr:row>
      <xdr:rowOff>38100</xdr:rowOff>
    </xdr:from>
    <xdr:ext cx="6838950" cy="3533775"/>
    <xdr:graphicFrame macro="">
      <xdr:nvGraphicFramePr>
        <xdr:cNvPr id="691323814" name="Chart 4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57150</xdr:colOff>
      <xdr:row>120</xdr:row>
      <xdr:rowOff>19050</xdr:rowOff>
    </xdr:from>
    <xdr:ext cx="6838950" cy="3533775"/>
    <xdr:graphicFrame macro="">
      <xdr:nvGraphicFramePr>
        <xdr:cNvPr id="1773759602" name="Chart 4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114300</xdr:colOff>
      <xdr:row>144</xdr:row>
      <xdr:rowOff>38100</xdr:rowOff>
    </xdr:from>
    <xdr:ext cx="6838950" cy="3533775"/>
    <xdr:graphicFrame macro="">
      <xdr:nvGraphicFramePr>
        <xdr:cNvPr id="329663290" name="Chart 4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114300</xdr:colOff>
      <xdr:row>226</xdr:row>
      <xdr:rowOff>142875</xdr:rowOff>
    </xdr:from>
    <xdr:ext cx="6372225" cy="4152900"/>
    <xdr:graphicFrame macro="">
      <xdr:nvGraphicFramePr>
        <xdr:cNvPr id="872312487" name="Chart 4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0</xdr:colOff>
      <xdr:row>200</xdr:row>
      <xdr:rowOff>76200</xdr:rowOff>
    </xdr:from>
    <xdr:ext cx="6372225" cy="3962400"/>
    <xdr:graphicFrame macro="">
      <xdr:nvGraphicFramePr>
        <xdr:cNvPr id="1914285506" name="Chart 5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28575</xdr:colOff>
      <xdr:row>60</xdr:row>
      <xdr:rowOff>76200</xdr:rowOff>
    </xdr:from>
    <xdr:ext cx="6600825" cy="4305300"/>
    <xdr:graphicFrame macro="">
      <xdr:nvGraphicFramePr>
        <xdr:cNvPr id="434093667" name="Chart 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38100</xdr:colOff>
      <xdr:row>33</xdr:row>
      <xdr:rowOff>161925</xdr:rowOff>
    </xdr:from>
    <xdr:ext cx="7143750" cy="4057650"/>
    <xdr:graphicFrame macro="">
      <xdr:nvGraphicFramePr>
        <xdr:cNvPr id="99777362" name="Chart 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28575</xdr:colOff>
      <xdr:row>47</xdr:row>
      <xdr:rowOff>76200</xdr:rowOff>
    </xdr:from>
    <xdr:ext cx="6648450" cy="4181475"/>
    <xdr:graphicFrame macro="">
      <xdr:nvGraphicFramePr>
        <xdr:cNvPr id="1904712419" name="Chart 5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676275</xdr:colOff>
      <xdr:row>25</xdr:row>
      <xdr:rowOff>28575</xdr:rowOff>
    </xdr:from>
    <xdr:ext cx="6810375" cy="3724275"/>
    <xdr:graphicFrame macro="">
      <xdr:nvGraphicFramePr>
        <xdr:cNvPr id="151271729" name="Chart 5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37</xdr:row>
      <xdr:rowOff>66675</xdr:rowOff>
    </xdr:from>
    <xdr:ext cx="6534150" cy="4048125"/>
    <xdr:graphicFrame macro="">
      <xdr:nvGraphicFramePr>
        <xdr:cNvPr id="1865534067" name="Chart 6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0</xdr:colOff>
      <xdr:row>58</xdr:row>
      <xdr:rowOff>38100</xdr:rowOff>
    </xdr:from>
    <xdr:ext cx="6534150" cy="4181475"/>
    <xdr:graphicFrame macro="">
      <xdr:nvGraphicFramePr>
        <xdr:cNvPr id="1616769042" name="Chart 6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190500</xdr:colOff>
      <xdr:row>36</xdr:row>
      <xdr:rowOff>190500</xdr:rowOff>
    </xdr:from>
    <xdr:ext cx="5800725" cy="3533775"/>
    <xdr:graphicFrame macro="">
      <xdr:nvGraphicFramePr>
        <xdr:cNvPr id="430134646" name="Chart 6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171450</xdr:colOff>
      <xdr:row>59</xdr:row>
      <xdr:rowOff>152400</xdr:rowOff>
    </xdr:from>
    <xdr:ext cx="5800725" cy="3533775"/>
    <xdr:graphicFrame macro="">
      <xdr:nvGraphicFramePr>
        <xdr:cNvPr id="2136181123" name="Chart 6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11</xdr:col>
      <xdr:colOff>361950</xdr:colOff>
      <xdr:row>102</xdr:row>
      <xdr:rowOff>95250</xdr:rowOff>
    </xdr:from>
    <xdr:ext cx="5629275" cy="3533775"/>
    <xdr:graphicFrame macro="">
      <xdr:nvGraphicFramePr>
        <xdr:cNvPr id="1967955799" name="Chart 6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11</xdr:col>
      <xdr:colOff>323850</xdr:colOff>
      <xdr:row>125</xdr:row>
      <xdr:rowOff>47625</xdr:rowOff>
    </xdr:from>
    <xdr:ext cx="5629275" cy="3533775"/>
    <xdr:graphicFrame macro="">
      <xdr:nvGraphicFramePr>
        <xdr:cNvPr id="5650642" name="Chart 6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28575</xdr:colOff>
      <xdr:row>56</xdr:row>
      <xdr:rowOff>180975</xdr:rowOff>
    </xdr:from>
    <xdr:ext cx="6638925" cy="4352925"/>
    <xdr:graphicFrame macro="">
      <xdr:nvGraphicFramePr>
        <xdr:cNvPr id="777773781" name="Chart 6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38100</xdr:colOff>
      <xdr:row>37</xdr:row>
      <xdr:rowOff>47625</xdr:rowOff>
    </xdr:from>
    <xdr:ext cx="6619875" cy="4076700"/>
    <xdr:graphicFrame macro="">
      <xdr:nvGraphicFramePr>
        <xdr:cNvPr id="1543423711" name="Chart 7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66675</xdr:colOff>
      <xdr:row>83</xdr:row>
      <xdr:rowOff>95250</xdr:rowOff>
    </xdr:from>
    <xdr:ext cx="6238875" cy="3971925"/>
    <xdr:graphicFrame macro="">
      <xdr:nvGraphicFramePr>
        <xdr:cNvPr id="342605693" name="Chart 7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0</xdr:colOff>
      <xdr:row>60</xdr:row>
      <xdr:rowOff>114300</xdr:rowOff>
    </xdr:from>
    <xdr:ext cx="6238875" cy="3848100"/>
    <xdr:graphicFrame macro="">
      <xdr:nvGraphicFramePr>
        <xdr:cNvPr id="1469884452" name="Chart 7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11</xdr:col>
      <xdr:colOff>9525</xdr:colOff>
      <xdr:row>148</xdr:row>
      <xdr:rowOff>104775</xdr:rowOff>
    </xdr:from>
    <xdr:ext cx="6238875" cy="3848100"/>
    <xdr:graphicFrame macro="">
      <xdr:nvGraphicFramePr>
        <xdr:cNvPr id="673765584" name="Chart 7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11</xdr:col>
      <xdr:colOff>19050</xdr:colOff>
      <xdr:row>170</xdr:row>
      <xdr:rowOff>142875</xdr:rowOff>
    </xdr:from>
    <xdr:ext cx="6238875" cy="4010025"/>
    <xdr:graphicFrame macro="">
      <xdr:nvGraphicFramePr>
        <xdr:cNvPr id="1947480734" name="Chart 7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11</xdr:col>
      <xdr:colOff>9525</xdr:colOff>
      <xdr:row>232</xdr:row>
      <xdr:rowOff>152400</xdr:rowOff>
    </xdr:from>
    <xdr:ext cx="6438900" cy="3971925"/>
    <xdr:graphicFrame macro="">
      <xdr:nvGraphicFramePr>
        <xdr:cNvPr id="1800178021" name="Chart 7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11</xdr:col>
      <xdr:colOff>47625</xdr:colOff>
      <xdr:row>254</xdr:row>
      <xdr:rowOff>152400</xdr:rowOff>
    </xdr:from>
    <xdr:ext cx="6438900" cy="4191000"/>
    <xdr:graphicFrame macro="">
      <xdr:nvGraphicFramePr>
        <xdr:cNvPr id="1032640361" name="Chart 7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9525</xdr:colOff>
      <xdr:row>41</xdr:row>
      <xdr:rowOff>104775</xdr:rowOff>
    </xdr:from>
    <xdr:ext cx="6238875" cy="3848100"/>
    <xdr:graphicFrame macro="">
      <xdr:nvGraphicFramePr>
        <xdr:cNvPr id="1981133362" name="Chart 7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19050</xdr:colOff>
      <xdr:row>63</xdr:row>
      <xdr:rowOff>142875</xdr:rowOff>
    </xdr:from>
    <xdr:ext cx="6238875" cy="4010025"/>
    <xdr:graphicFrame macro="">
      <xdr:nvGraphicFramePr>
        <xdr:cNvPr id="1951906227" name="Chart 8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11</xdr:col>
      <xdr:colOff>9525</xdr:colOff>
      <xdr:row>125</xdr:row>
      <xdr:rowOff>152400</xdr:rowOff>
    </xdr:from>
    <xdr:ext cx="6438900" cy="3971925"/>
    <xdr:graphicFrame macro="">
      <xdr:nvGraphicFramePr>
        <xdr:cNvPr id="425173884" name="Chart 8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11</xdr:col>
      <xdr:colOff>47625</xdr:colOff>
      <xdr:row>147</xdr:row>
      <xdr:rowOff>152400</xdr:rowOff>
    </xdr:from>
    <xdr:ext cx="6438900" cy="4191000"/>
    <xdr:graphicFrame macro="">
      <xdr:nvGraphicFramePr>
        <xdr:cNvPr id="38778933" name="Chart 8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323850</xdr:colOff>
      <xdr:row>30</xdr:row>
      <xdr:rowOff>9525</xdr:rowOff>
    </xdr:from>
    <xdr:ext cx="6067425" cy="3533775"/>
    <xdr:graphicFrame macro="">
      <xdr:nvGraphicFramePr>
        <xdr:cNvPr id="806509139" name="Chart 8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190500</xdr:colOff>
      <xdr:row>88</xdr:row>
      <xdr:rowOff>200025</xdr:rowOff>
    </xdr:from>
    <xdr:ext cx="6610350" cy="3533775"/>
    <xdr:graphicFrame macro="">
      <xdr:nvGraphicFramePr>
        <xdr:cNvPr id="1697365903" name="Chart 6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161925</xdr:colOff>
      <xdr:row>89</xdr:row>
      <xdr:rowOff>0</xdr:rowOff>
    </xdr:from>
    <xdr:ext cx="6610350" cy="3533775"/>
    <xdr:graphicFrame macro="">
      <xdr:nvGraphicFramePr>
        <xdr:cNvPr id="119557635" name="Chart 6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228600</xdr:colOff>
      <xdr:row>32</xdr:row>
      <xdr:rowOff>66675</xdr:rowOff>
    </xdr:from>
    <xdr:ext cx="5448300" cy="3533775"/>
    <xdr:graphicFrame macro="">
      <xdr:nvGraphicFramePr>
        <xdr:cNvPr id="1413908292" name="Chart 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13</xdr:col>
      <xdr:colOff>266700</xdr:colOff>
      <xdr:row>55</xdr:row>
      <xdr:rowOff>38100</xdr:rowOff>
    </xdr:from>
    <xdr:ext cx="5400675" cy="3533775"/>
    <xdr:graphicFrame macro="">
      <xdr:nvGraphicFramePr>
        <xdr:cNvPr id="168902613" name="Chart 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57150</xdr:colOff>
      <xdr:row>39</xdr:row>
      <xdr:rowOff>95250</xdr:rowOff>
    </xdr:from>
    <xdr:ext cx="7077075" cy="2819400"/>
    <xdr:graphicFrame macro="">
      <xdr:nvGraphicFramePr>
        <xdr:cNvPr id="1826967756" name="Chart 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161925</xdr:colOff>
      <xdr:row>58</xdr:row>
      <xdr:rowOff>152400</xdr:rowOff>
    </xdr:from>
    <xdr:ext cx="7019925" cy="2962275"/>
    <xdr:graphicFrame macro="">
      <xdr:nvGraphicFramePr>
        <xdr:cNvPr id="1336572760" name="Chart 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11</xdr:col>
      <xdr:colOff>133350</xdr:colOff>
      <xdr:row>178</xdr:row>
      <xdr:rowOff>9525</xdr:rowOff>
    </xdr:from>
    <xdr:ext cx="6210300" cy="3990975"/>
    <xdr:graphicFrame macro="">
      <xdr:nvGraphicFramePr>
        <xdr:cNvPr id="525110574" name="Chart 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11</xdr:col>
      <xdr:colOff>114300</xdr:colOff>
      <xdr:row>113</xdr:row>
      <xdr:rowOff>76200</xdr:rowOff>
    </xdr:from>
    <xdr:ext cx="6210300" cy="3848100"/>
    <xdr:graphicFrame macro="">
      <xdr:nvGraphicFramePr>
        <xdr:cNvPr id="1670435955" name="Chart 1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190500</xdr:colOff>
      <xdr:row>38</xdr:row>
      <xdr:rowOff>66675</xdr:rowOff>
    </xdr:from>
    <xdr:ext cx="5715000" cy="3533775"/>
    <xdr:graphicFrame macro="">
      <xdr:nvGraphicFramePr>
        <xdr:cNvPr id="1607547563" name="Chart 1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76200</xdr:colOff>
      <xdr:row>60</xdr:row>
      <xdr:rowOff>152400</xdr:rowOff>
    </xdr:from>
    <xdr:ext cx="5753100" cy="3533775"/>
    <xdr:graphicFrame macro="">
      <xdr:nvGraphicFramePr>
        <xdr:cNvPr id="346908724" name="Chart 1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11</xdr:col>
      <xdr:colOff>28575</xdr:colOff>
      <xdr:row>124</xdr:row>
      <xdr:rowOff>19050</xdr:rowOff>
    </xdr:from>
    <xdr:ext cx="5895975" cy="3533775"/>
    <xdr:graphicFrame macro="">
      <xdr:nvGraphicFramePr>
        <xdr:cNvPr id="733274698" name="Chart 1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11</xdr:col>
      <xdr:colOff>19050</xdr:colOff>
      <xdr:row>146</xdr:row>
      <xdr:rowOff>85725</xdr:rowOff>
    </xdr:from>
    <xdr:ext cx="5895975" cy="3533775"/>
    <xdr:graphicFrame macro="">
      <xdr:nvGraphicFramePr>
        <xdr:cNvPr id="808116526" name="Chart 1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85725</xdr:colOff>
      <xdr:row>33</xdr:row>
      <xdr:rowOff>19050</xdr:rowOff>
    </xdr:from>
    <xdr:ext cx="5715000" cy="3533775"/>
    <xdr:graphicFrame macro="">
      <xdr:nvGraphicFramePr>
        <xdr:cNvPr id="1479559893" name="Chart 1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47625</xdr:colOff>
      <xdr:row>56</xdr:row>
      <xdr:rowOff>114300</xdr:rowOff>
    </xdr:from>
    <xdr:ext cx="5657850" cy="3438525"/>
    <xdr:graphicFrame macro="">
      <xdr:nvGraphicFramePr>
        <xdr:cNvPr id="880224049" name="Chart 1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66675</xdr:colOff>
      <xdr:row>132</xdr:row>
      <xdr:rowOff>133350</xdr:rowOff>
    </xdr:from>
    <xdr:ext cx="6543675" cy="3524250"/>
    <xdr:graphicFrame macro="">
      <xdr:nvGraphicFramePr>
        <xdr:cNvPr id="130319509" name="Chart 2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85725</xdr:colOff>
      <xdr:row>107</xdr:row>
      <xdr:rowOff>47625</xdr:rowOff>
    </xdr:from>
    <xdr:ext cx="6543675" cy="4038600"/>
    <xdr:graphicFrame macro="">
      <xdr:nvGraphicFramePr>
        <xdr:cNvPr id="1957751647" name="Chart 2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28575</xdr:colOff>
      <xdr:row>103</xdr:row>
      <xdr:rowOff>123825</xdr:rowOff>
    </xdr:from>
    <xdr:ext cx="7372350" cy="3638550"/>
    <xdr:graphicFrame macro="">
      <xdr:nvGraphicFramePr>
        <xdr:cNvPr id="34286050" name="Chart 2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76200</xdr:colOff>
      <xdr:row>122</xdr:row>
      <xdr:rowOff>171450</xdr:rowOff>
    </xdr:from>
    <xdr:ext cx="7372350" cy="4067175"/>
    <xdr:graphicFrame macro="">
      <xdr:nvGraphicFramePr>
        <xdr:cNvPr id="1189878339" name="Chart 2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438150</xdr:colOff>
      <xdr:row>64</xdr:row>
      <xdr:rowOff>133350</xdr:rowOff>
    </xdr:from>
    <xdr:ext cx="6743700" cy="4391025"/>
    <xdr:graphicFrame macro="">
      <xdr:nvGraphicFramePr>
        <xdr:cNvPr id="1190122058" name="Chart 2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438150</xdr:colOff>
      <xdr:row>38</xdr:row>
      <xdr:rowOff>19050</xdr:rowOff>
    </xdr:from>
    <xdr:ext cx="6743700" cy="4152900"/>
    <xdr:graphicFrame macro="">
      <xdr:nvGraphicFramePr>
        <xdr:cNvPr id="1101105480" name="Chart 2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cordero\Downloads\Copy%20of%20Analysis%202019%20-%202026%20-%20Am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rport"/>
      <sheetName val="Auditor"/>
      <sheetName val="Council"/>
      <sheetName val="Executive"/>
      <sheetName val="Building &amp; Grounds"/>
      <sheetName val="Fairgrounds"/>
      <sheetName val="Public Defender"/>
      <sheetName val="Development Services"/>
      <sheetName val="Fire &amp; Ambulance"/>
      <sheetName val="Visitors Bureau"/>
      <sheetName val="2019 Adjustments"/>
      <sheetName val="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12"/>
  <sheetViews>
    <sheetView tabSelected="1" workbookViewId="0"/>
  </sheetViews>
  <sheetFormatPr defaultColWidth="12.5703125" defaultRowHeight="15" customHeight="1" x14ac:dyDescent="0.2"/>
  <cols>
    <col min="1" max="1" width="27.85546875" customWidth="1"/>
    <col min="2" max="4" width="19.5703125" customWidth="1"/>
    <col min="5" max="7" width="12.5703125" style="455"/>
    <col min="8" max="8" width="14" style="455" customWidth="1"/>
    <col min="9" max="9" width="27.85546875" style="455" customWidth="1"/>
    <col min="10" max="12" width="19.5703125" style="455" customWidth="1"/>
    <col min="13" max="14" width="12.5703125" style="455"/>
  </cols>
  <sheetData>
    <row r="1" spans="1:26" ht="27" customHeight="1" x14ac:dyDescent="0.2">
      <c r="A1" s="1" t="s">
        <v>0</v>
      </c>
      <c r="B1" s="2"/>
      <c r="C1" s="2"/>
      <c r="D1" s="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6.5" customHeight="1" x14ac:dyDescent="0.2">
      <c r="A2" s="3" t="s">
        <v>1</v>
      </c>
      <c r="B2" s="4" t="s">
        <v>2</v>
      </c>
      <c r="C2" s="4" t="s">
        <v>3</v>
      </c>
      <c r="D2" s="4" t="s">
        <v>4</v>
      </c>
      <c r="E2" s="444"/>
      <c r="F2" s="444"/>
      <c r="G2" s="444"/>
      <c r="H2" s="444"/>
      <c r="I2" s="453"/>
      <c r="J2" s="453"/>
      <c r="K2" s="453"/>
      <c r="L2" s="453"/>
      <c r="M2" s="444"/>
      <c r="N2" s="444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5.75" customHeight="1" x14ac:dyDescent="0.2">
      <c r="A3" s="451" t="s">
        <v>5</v>
      </c>
      <c r="B3" s="448">
        <v>0</v>
      </c>
      <c r="C3" s="448">
        <f>+Council!R21</f>
        <v>545589</v>
      </c>
      <c r="D3" s="448">
        <f t="shared" ref="D3:D13" si="0">C3+B3</f>
        <v>545589</v>
      </c>
      <c r="E3" s="444"/>
      <c r="F3" s="444"/>
      <c r="G3" s="444"/>
      <c r="H3" s="444"/>
      <c r="I3" s="449"/>
      <c r="J3" s="454"/>
      <c r="K3" s="454"/>
      <c r="L3" s="454"/>
      <c r="M3" s="444"/>
      <c r="N3" s="444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.75" customHeight="1" x14ac:dyDescent="0.2">
      <c r="A4" s="451" t="s">
        <v>6</v>
      </c>
      <c r="B4" s="448">
        <v>0</v>
      </c>
      <c r="C4" s="448">
        <f>+Executive!R23</f>
        <v>323935</v>
      </c>
      <c r="D4" s="448">
        <f t="shared" si="0"/>
        <v>323935</v>
      </c>
      <c r="E4" s="444"/>
      <c r="F4" s="444"/>
      <c r="G4" s="444"/>
      <c r="H4" s="444"/>
      <c r="I4" s="449"/>
      <c r="J4" s="454"/>
      <c r="K4" s="454"/>
      <c r="L4" s="454"/>
      <c r="M4" s="444"/>
      <c r="N4" s="444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.75" customHeight="1" x14ac:dyDescent="0.2">
      <c r="A5" s="451" t="s">
        <v>7</v>
      </c>
      <c r="B5" s="448">
        <v>0</v>
      </c>
      <c r="C5" s="448">
        <f>+'Personnel Management'!S26</f>
        <v>853645</v>
      </c>
      <c r="D5" s="448">
        <f t="shared" si="0"/>
        <v>853645</v>
      </c>
      <c r="E5" s="444"/>
      <c r="F5" s="444"/>
      <c r="G5" s="444"/>
      <c r="H5" s="444"/>
      <c r="I5" s="449"/>
      <c r="J5" s="454"/>
      <c r="K5" s="454"/>
      <c r="L5" s="454"/>
      <c r="M5" s="444"/>
      <c r="N5" s="444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5.75" customHeight="1" x14ac:dyDescent="0.2">
      <c r="A6" s="451" t="s">
        <v>2435</v>
      </c>
      <c r="B6" s="448">
        <f>+'Auditor (2)'!R34</f>
        <v>-51000</v>
      </c>
      <c r="C6" s="448">
        <f>+'Auditor (2)'!R22+'Auditor (2)'!R110</f>
        <v>1101001</v>
      </c>
      <c r="D6" s="448">
        <f t="shared" si="0"/>
        <v>1050001</v>
      </c>
      <c r="E6" s="444"/>
      <c r="F6" s="444"/>
      <c r="G6" s="444"/>
      <c r="H6" s="444"/>
      <c r="I6" s="449"/>
      <c r="J6" s="454"/>
      <c r="K6" s="454"/>
      <c r="L6" s="454"/>
      <c r="M6" s="444"/>
      <c r="N6" s="444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.75" customHeight="1" x14ac:dyDescent="0.2">
      <c r="A7" s="496" t="s">
        <v>2432</v>
      </c>
      <c r="B7" s="448">
        <f>+'Clerk (2)'!R30</f>
        <v>-105000</v>
      </c>
      <c r="C7" s="448">
        <f>+'Clerk (2)'!R25</f>
        <v>367725</v>
      </c>
      <c r="D7" s="448">
        <f t="shared" si="0"/>
        <v>262725</v>
      </c>
      <c r="E7" s="444"/>
      <c r="F7" s="444"/>
      <c r="G7" s="444"/>
      <c r="H7" s="444"/>
      <c r="I7" s="449"/>
      <c r="J7" s="454"/>
      <c r="K7" s="454"/>
      <c r="L7" s="454"/>
      <c r="M7" s="444"/>
      <c r="N7" s="444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.75" customHeight="1" x14ac:dyDescent="0.2">
      <c r="A8" s="496" t="s">
        <v>2433</v>
      </c>
      <c r="B8" s="448">
        <v>-500</v>
      </c>
      <c r="C8" s="448">
        <f>971300-33500</f>
        <v>937800</v>
      </c>
      <c r="D8" s="448">
        <f t="shared" si="0"/>
        <v>937300</v>
      </c>
      <c r="E8" s="444"/>
      <c r="F8" s="444"/>
      <c r="G8" s="444"/>
      <c r="H8" s="444"/>
      <c r="I8" s="449"/>
      <c r="J8" s="454"/>
      <c r="K8" s="454"/>
      <c r="L8" s="454"/>
      <c r="M8" s="444"/>
      <c r="N8" s="444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5.75" customHeight="1" x14ac:dyDescent="0.2">
      <c r="A9" s="451" t="s">
        <v>9</v>
      </c>
      <c r="B9" s="448">
        <v>-515700</v>
      </c>
      <c r="C9" s="448">
        <f>+Recorder!S21</f>
        <v>766900</v>
      </c>
      <c r="D9" s="448">
        <f t="shared" si="0"/>
        <v>251200</v>
      </c>
      <c r="E9" s="444"/>
      <c r="F9" s="444"/>
      <c r="G9" s="444"/>
      <c r="H9" s="445"/>
      <c r="I9" s="449"/>
      <c r="J9" s="454"/>
      <c r="K9" s="454"/>
      <c r="L9" s="454"/>
      <c r="M9" s="444"/>
      <c r="N9" s="444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5.75" customHeight="1" x14ac:dyDescent="0.2">
      <c r="A10" s="451" t="s">
        <v>10</v>
      </c>
      <c r="B10" s="448">
        <v>-311300</v>
      </c>
      <c r="C10" s="448">
        <f>3799923-320047</f>
        <v>3479876</v>
      </c>
      <c r="D10" s="448">
        <f t="shared" si="0"/>
        <v>3168576</v>
      </c>
      <c r="E10" s="444"/>
      <c r="F10" s="445"/>
      <c r="G10" s="445"/>
      <c r="H10" s="445"/>
      <c r="I10" s="449"/>
      <c r="J10" s="454"/>
      <c r="K10" s="454"/>
      <c r="L10" s="454"/>
      <c r="M10" s="444"/>
      <c r="N10" s="444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5.75" customHeight="1" x14ac:dyDescent="0.2">
      <c r="A11" s="451" t="s">
        <v>11</v>
      </c>
      <c r="B11" s="448">
        <v>-240000</v>
      </c>
      <c r="C11" s="448">
        <f>841820-2000</f>
        <v>839820</v>
      </c>
      <c r="D11" s="448">
        <f t="shared" si="0"/>
        <v>599820</v>
      </c>
      <c r="E11" s="444"/>
      <c r="F11" s="444"/>
      <c r="G11" s="444"/>
      <c r="H11" s="444"/>
      <c r="I11" s="449"/>
      <c r="J11" s="454"/>
      <c r="K11" s="454"/>
      <c r="L11" s="454"/>
      <c r="M11" s="444"/>
      <c r="N11" s="444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75" customHeight="1" x14ac:dyDescent="0.2">
      <c r="A12" s="451" t="s">
        <v>12</v>
      </c>
      <c r="B12" s="448">
        <v>-455500</v>
      </c>
      <c r="C12" s="448">
        <f>'Public Defender'!R25</f>
        <v>1452490.96</v>
      </c>
      <c r="D12" s="448">
        <f t="shared" si="0"/>
        <v>996990.96</v>
      </c>
      <c r="E12" s="444"/>
      <c r="F12" s="444"/>
      <c r="G12" s="444"/>
      <c r="H12" s="444"/>
      <c r="I12" s="449"/>
      <c r="J12" s="454"/>
      <c r="K12" s="454"/>
      <c r="L12" s="454"/>
      <c r="M12" s="444"/>
      <c r="N12" s="444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75" customHeight="1" x14ac:dyDescent="0.2">
      <c r="A13" s="447" t="s">
        <v>13</v>
      </c>
      <c r="B13" s="446">
        <v>0</v>
      </c>
      <c r="C13" s="446">
        <f>+Sheriff!R12</f>
        <v>653150</v>
      </c>
      <c r="D13" s="446">
        <f t="shared" si="0"/>
        <v>653150</v>
      </c>
      <c r="E13" s="444"/>
      <c r="F13" s="445"/>
      <c r="G13" s="445"/>
      <c r="H13" s="445"/>
      <c r="I13" s="449"/>
      <c r="J13" s="454"/>
      <c r="K13" s="454"/>
      <c r="L13" s="454"/>
      <c r="M13" s="444"/>
      <c r="N13" s="444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customHeight="1" x14ac:dyDescent="0.2">
      <c r="A14" s="447" t="s">
        <v>14</v>
      </c>
      <c r="B14" s="446">
        <f>+Sheriff!R115</f>
        <v>-53500</v>
      </c>
      <c r="C14" s="446">
        <f>+Sheriff!R101</f>
        <v>3236593.24</v>
      </c>
      <c r="D14" s="446">
        <f t="shared" ref="D14:D16" si="1">+C14+B14</f>
        <v>3183093.24</v>
      </c>
      <c r="E14" s="444"/>
      <c r="F14" s="444"/>
      <c r="G14" s="444"/>
      <c r="H14" s="444"/>
      <c r="I14" s="449"/>
      <c r="J14" s="454"/>
      <c r="K14" s="454"/>
      <c r="L14" s="454"/>
      <c r="M14" s="444"/>
      <c r="N14" s="444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75" customHeight="1" x14ac:dyDescent="0.2">
      <c r="A15" s="447" t="s">
        <v>15</v>
      </c>
      <c r="B15" s="446">
        <f>+'Sheriff Support'!R30</f>
        <v>-678200</v>
      </c>
      <c r="C15" s="446">
        <f>+'Sheriff Support'!R22</f>
        <v>3477250</v>
      </c>
      <c r="D15" s="446">
        <f t="shared" si="1"/>
        <v>2799050</v>
      </c>
      <c r="E15" s="444"/>
      <c r="F15" s="444"/>
      <c r="G15" s="444"/>
      <c r="H15" s="444"/>
      <c r="I15" s="449"/>
      <c r="J15" s="454"/>
      <c r="K15" s="454"/>
      <c r="L15" s="454"/>
      <c r="M15" s="444"/>
      <c r="N15" s="444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customHeight="1" x14ac:dyDescent="0.2">
      <c r="A16" s="447" t="s">
        <v>16</v>
      </c>
      <c r="B16" s="446">
        <f>+Sheriff!R271</f>
        <v>-18000</v>
      </c>
      <c r="C16" s="446">
        <f>+Sheriff!R267</f>
        <v>30200</v>
      </c>
      <c r="D16" s="446">
        <f t="shared" si="1"/>
        <v>12200</v>
      </c>
      <c r="E16" s="444"/>
      <c r="F16" s="444"/>
      <c r="G16" s="444"/>
      <c r="H16" s="444"/>
      <c r="I16" s="449"/>
      <c r="J16" s="454"/>
      <c r="K16" s="454"/>
      <c r="L16" s="454"/>
      <c r="M16" s="444"/>
      <c r="N16" s="444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75" customHeight="1" x14ac:dyDescent="0.2">
      <c r="A17" s="447" t="s">
        <v>17</v>
      </c>
      <c r="B17" s="446">
        <v>0</v>
      </c>
      <c r="C17" s="446">
        <f>+'Sheriff - IT'!R7</f>
        <v>226920</v>
      </c>
      <c r="D17" s="446">
        <f>+'Sheriff - IT'!R13</f>
        <v>226920</v>
      </c>
      <c r="E17" s="444"/>
      <c r="F17" s="444"/>
      <c r="G17" s="444"/>
      <c r="H17" s="444"/>
      <c r="I17" s="449"/>
      <c r="J17" s="454"/>
      <c r="K17" s="454"/>
      <c r="L17" s="454"/>
      <c r="M17" s="444"/>
      <c r="N17" s="444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75" customHeight="1" x14ac:dyDescent="0.2">
      <c r="A18" s="447" t="s">
        <v>19</v>
      </c>
      <c r="B18" s="446">
        <f>+'Sheriff Patrol'!R22</f>
        <v>-1479300</v>
      </c>
      <c r="C18" s="446">
        <f>+'Sheriff Patrol'!R15</f>
        <v>5062400</v>
      </c>
      <c r="D18" s="446">
        <f>+'Sheriff Patrol'!R24</f>
        <v>3583100</v>
      </c>
      <c r="E18" s="444"/>
      <c r="F18" s="444"/>
      <c r="G18" s="444"/>
      <c r="H18" s="444"/>
      <c r="I18" s="449"/>
      <c r="J18" s="454"/>
      <c r="K18" s="454"/>
      <c r="L18" s="454"/>
      <c r="M18" s="444"/>
      <c r="N18" s="444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75" customHeight="1" x14ac:dyDescent="0.2">
      <c r="A19" s="447" t="s">
        <v>21</v>
      </c>
      <c r="B19" s="446">
        <f>+'Sheriff Criminal'!R30</f>
        <v>-615600</v>
      </c>
      <c r="C19" s="446">
        <f>+'Sheriff Criminal'!Q21</f>
        <v>4128300</v>
      </c>
      <c r="D19" s="446">
        <f>+'Sheriff Criminal'!R32</f>
        <v>3512700</v>
      </c>
      <c r="E19" s="444"/>
      <c r="F19" s="444"/>
      <c r="G19" s="444"/>
      <c r="H19" s="444"/>
      <c r="I19" s="449"/>
      <c r="J19" s="454"/>
      <c r="K19" s="454"/>
      <c r="L19" s="454"/>
      <c r="M19" s="444"/>
      <c r="N19" s="444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customHeight="1" x14ac:dyDescent="0.2">
      <c r="A20" s="447" t="s">
        <v>23</v>
      </c>
      <c r="B20" s="446">
        <f>+'Sheriff - Search &amp; Rescue'!R29</f>
        <v>-40000</v>
      </c>
      <c r="C20" s="446">
        <f>+'Sheriff - Search &amp; Rescue'!R23</f>
        <v>76750</v>
      </c>
      <c r="D20" s="446">
        <f>+'Sheriff - Search &amp; Rescue'!R31</f>
        <v>36750</v>
      </c>
      <c r="E20" s="444"/>
      <c r="F20" s="444"/>
      <c r="G20" s="444"/>
      <c r="H20" s="444"/>
      <c r="I20" s="449"/>
      <c r="J20" s="454"/>
      <c r="K20" s="454"/>
      <c r="L20" s="454"/>
      <c r="M20" s="444"/>
      <c r="N20" s="444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customHeight="1" x14ac:dyDescent="0.2">
      <c r="A21" s="447" t="s">
        <v>25</v>
      </c>
      <c r="B21" s="446">
        <f>+'Sheriff - Corrections'!R53</f>
        <v>-5726525</v>
      </c>
      <c r="C21" s="446">
        <f>+'Sheriff - Corrections'!R35</f>
        <v>12077218</v>
      </c>
      <c r="D21" s="446">
        <f>+'Sheriff - Corrections'!R55</f>
        <v>6350693</v>
      </c>
      <c r="E21" s="444"/>
      <c r="F21" s="444"/>
      <c r="G21" s="444"/>
      <c r="H21" s="444"/>
      <c r="I21" s="449"/>
      <c r="J21" s="454"/>
      <c r="K21" s="454"/>
      <c r="L21" s="454"/>
      <c r="M21" s="444"/>
      <c r="N21" s="444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customHeight="1" x14ac:dyDescent="0.2">
      <c r="A22" s="447" t="s">
        <v>26</v>
      </c>
      <c r="B22" s="446">
        <f>+'Sheriff - Animal Control'!R18</f>
        <v>-84000</v>
      </c>
      <c r="C22" s="446">
        <f>+'Sheriff - Animal Control'!R14</f>
        <v>503400</v>
      </c>
      <c r="D22" s="446">
        <f>+'Sheriff - Animal Control'!R20</f>
        <v>419400</v>
      </c>
      <c r="E22" s="444"/>
      <c r="F22" s="444"/>
      <c r="G22" s="444"/>
      <c r="H22" s="444"/>
      <c r="I22" s="449"/>
      <c r="J22" s="454"/>
      <c r="K22" s="454"/>
      <c r="L22" s="454"/>
      <c r="M22" s="444"/>
      <c r="N22" s="444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customHeight="1" x14ac:dyDescent="0.2">
      <c r="A23" s="447" t="s">
        <v>27</v>
      </c>
      <c r="B23" s="446">
        <f>+'Sheriff - Animal Shelter'!R30</f>
        <v>-90000</v>
      </c>
      <c r="C23" s="446">
        <f>+'Sheriff - Animal Shelter'!Q26-0.49</f>
        <v>560038.51</v>
      </c>
      <c r="D23" s="446">
        <f t="shared" ref="D23:D24" si="2">+C23+B23</f>
        <v>470038.51</v>
      </c>
      <c r="E23" s="444"/>
      <c r="F23" s="444"/>
      <c r="G23" s="444"/>
      <c r="H23" s="444"/>
      <c r="I23" s="449"/>
      <c r="J23" s="454"/>
      <c r="K23" s="454"/>
      <c r="L23" s="454"/>
      <c r="M23" s="444"/>
      <c r="N23" s="444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customHeight="1" x14ac:dyDescent="0.2">
      <c r="A24" s="447" t="s">
        <v>28</v>
      </c>
      <c r="B24" s="446">
        <v>0</v>
      </c>
      <c r="C24" s="446">
        <v>233300</v>
      </c>
      <c r="D24" s="446">
        <f t="shared" si="2"/>
        <v>233300</v>
      </c>
      <c r="E24" s="444"/>
      <c r="F24" s="444"/>
      <c r="G24" s="444"/>
      <c r="H24" s="444"/>
      <c r="I24" s="449"/>
      <c r="J24" s="454"/>
      <c r="K24" s="454"/>
      <c r="L24" s="454"/>
      <c r="M24" s="444"/>
      <c r="N24" s="444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customHeight="1" x14ac:dyDescent="0.2">
      <c r="A25" s="451" t="s">
        <v>29</v>
      </c>
      <c r="B25" s="448">
        <v>-1442500</v>
      </c>
      <c r="C25" s="448">
        <f>+'Fire &amp; Ambulance'!R174</f>
        <v>3907370</v>
      </c>
      <c r="D25" s="448">
        <f t="shared" ref="D25:D36" si="3">C25+B25</f>
        <v>2464870</v>
      </c>
      <c r="E25" s="444"/>
      <c r="F25" s="444"/>
      <c r="G25" s="444"/>
      <c r="H25" s="444"/>
      <c r="I25" s="449"/>
      <c r="J25" s="454"/>
      <c r="K25" s="454"/>
      <c r="L25" s="454"/>
      <c r="M25" s="444"/>
      <c r="N25" s="444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customHeight="1" x14ac:dyDescent="0.2">
      <c r="A26" s="496" t="s">
        <v>1130</v>
      </c>
      <c r="B26" s="448">
        <v>-31500</v>
      </c>
      <c r="C26" s="448">
        <f>208688-428</f>
        <v>208260</v>
      </c>
      <c r="D26" s="448">
        <f t="shared" si="3"/>
        <v>176760</v>
      </c>
      <c r="E26" s="444"/>
      <c r="F26" s="444"/>
      <c r="G26" s="444"/>
      <c r="H26" s="444"/>
      <c r="I26" s="449"/>
      <c r="J26" s="454"/>
      <c r="K26" s="454"/>
      <c r="L26" s="454"/>
      <c r="M26" s="444"/>
      <c r="N26" s="444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 x14ac:dyDescent="0.2">
      <c r="A27" s="496" t="s">
        <v>2434</v>
      </c>
      <c r="B27" s="448">
        <v>-41000</v>
      </c>
      <c r="C27" s="448">
        <f>1824910</f>
        <v>1824910</v>
      </c>
      <c r="D27" s="448">
        <f t="shared" si="3"/>
        <v>1783910</v>
      </c>
      <c r="E27" s="444"/>
      <c r="F27" s="444"/>
      <c r="G27" s="444"/>
      <c r="H27" s="444"/>
      <c r="I27" s="449"/>
      <c r="J27" s="454"/>
      <c r="K27" s="454"/>
      <c r="L27" s="454"/>
      <c r="M27" s="444"/>
      <c r="N27" s="444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customHeight="1" x14ac:dyDescent="0.2">
      <c r="A28" s="451" t="s">
        <v>30</v>
      </c>
      <c r="B28" s="448">
        <v>0</v>
      </c>
      <c r="C28" s="448">
        <f>+IT!R24</f>
        <v>1386665</v>
      </c>
      <c r="D28" s="448">
        <f t="shared" si="3"/>
        <v>1386665</v>
      </c>
      <c r="E28" s="444"/>
      <c r="F28" s="444"/>
      <c r="G28" s="444"/>
      <c r="H28" s="445"/>
      <c r="I28" s="449"/>
      <c r="J28" s="454"/>
      <c r="K28" s="454"/>
      <c r="L28" s="454"/>
      <c r="M28" s="444"/>
      <c r="N28" s="444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customHeight="1" x14ac:dyDescent="0.2">
      <c r="A29" s="451" t="s">
        <v>31</v>
      </c>
      <c r="B29" s="448">
        <v>0</v>
      </c>
      <c r="C29" s="448">
        <f>+'Building &amp; Grounds'!R21</f>
        <v>425791</v>
      </c>
      <c r="D29" s="448">
        <f t="shared" si="3"/>
        <v>425791</v>
      </c>
      <c r="E29" s="444"/>
      <c r="F29" s="444"/>
      <c r="G29" s="444"/>
      <c r="H29" s="445"/>
      <c r="I29" s="449"/>
      <c r="J29" s="454"/>
      <c r="K29" s="454"/>
      <c r="L29" s="454"/>
      <c r="M29" s="444"/>
      <c r="N29" s="444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customHeight="1" x14ac:dyDescent="0.2">
      <c r="A30" s="451" t="s">
        <v>32</v>
      </c>
      <c r="B30" s="448">
        <v>-330900</v>
      </c>
      <c r="C30" s="448">
        <f>1450065-5000</f>
        <v>1445065</v>
      </c>
      <c r="D30" s="448">
        <f t="shared" si="3"/>
        <v>1114165</v>
      </c>
      <c r="E30" s="444"/>
      <c r="F30" s="444"/>
      <c r="G30" s="444"/>
      <c r="H30" s="445"/>
      <c r="I30" s="449"/>
      <c r="J30" s="454"/>
      <c r="K30" s="454"/>
      <c r="L30" s="454"/>
      <c r="M30" s="444"/>
      <c r="N30" s="444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customHeight="1" x14ac:dyDescent="0.2">
      <c r="A31" s="451" t="s">
        <v>33</v>
      </c>
      <c r="B31" s="450">
        <v>-135000</v>
      </c>
      <c r="C31" s="450">
        <v>291080</v>
      </c>
      <c r="D31" s="448">
        <f t="shared" si="3"/>
        <v>156080</v>
      </c>
      <c r="E31" s="444"/>
      <c r="F31" s="444"/>
      <c r="G31" s="444"/>
      <c r="H31" s="444"/>
      <c r="I31" s="449"/>
      <c r="J31" s="454"/>
      <c r="K31" s="454"/>
      <c r="L31" s="454"/>
      <c r="M31" s="444"/>
      <c r="N31" s="444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customHeight="1" x14ac:dyDescent="0.2">
      <c r="A32" s="451" t="s">
        <v>34</v>
      </c>
      <c r="B32" s="448">
        <v>-370800</v>
      </c>
      <c r="C32" s="448">
        <v>460061</v>
      </c>
      <c r="D32" s="448">
        <f t="shared" si="3"/>
        <v>89261</v>
      </c>
      <c r="E32" s="444"/>
      <c r="F32" s="444"/>
      <c r="G32" s="444"/>
      <c r="H32" s="444"/>
      <c r="I32" s="449"/>
      <c r="J32" s="454"/>
      <c r="K32" s="454"/>
      <c r="L32" s="454"/>
      <c r="M32" s="444"/>
      <c r="N32" s="444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" customHeight="1" x14ac:dyDescent="0.2">
      <c r="A33" s="451" t="s">
        <v>35</v>
      </c>
      <c r="B33" s="448">
        <v>0</v>
      </c>
      <c r="C33" s="448">
        <v>0</v>
      </c>
      <c r="D33" s="448">
        <f t="shared" si="3"/>
        <v>0</v>
      </c>
      <c r="E33" s="444"/>
      <c r="F33" s="444"/>
      <c r="G33" s="444"/>
      <c r="H33" s="444"/>
      <c r="I33" s="449"/>
      <c r="J33" s="444"/>
      <c r="K33" s="444"/>
      <c r="L33" s="444"/>
      <c r="M33" s="444"/>
      <c r="N33" s="444"/>
      <c r="O33" s="444"/>
      <c r="P33" s="444"/>
      <c r="Q33" s="444"/>
      <c r="R33" s="444"/>
      <c r="S33" s="444"/>
      <c r="T33" s="444"/>
      <c r="U33" s="444"/>
      <c r="V33" s="444"/>
      <c r="W33" s="444"/>
      <c r="X33" s="444"/>
      <c r="Y33" s="444"/>
      <c r="Z33" s="444"/>
    </row>
    <row r="34" spans="1:26" ht="15.75" customHeight="1" x14ac:dyDescent="0.2">
      <c r="A34" s="451" t="s">
        <v>18</v>
      </c>
      <c r="B34" s="448">
        <v>0</v>
      </c>
      <c r="C34" s="448">
        <f>+'Public Works'!U71</f>
        <v>175900</v>
      </c>
      <c r="D34" s="448">
        <f t="shared" si="3"/>
        <v>175900</v>
      </c>
      <c r="E34" s="444"/>
      <c r="F34" s="444"/>
      <c r="G34" s="444"/>
      <c r="H34" s="444"/>
      <c r="I34" s="449"/>
      <c r="J34" s="454"/>
      <c r="K34" s="454"/>
      <c r="L34" s="454"/>
      <c r="M34" s="444"/>
      <c r="N34" s="444"/>
      <c r="O34" s="444"/>
      <c r="P34" s="444"/>
      <c r="Q34" s="444"/>
      <c r="R34" s="444"/>
      <c r="S34" s="444"/>
      <c r="T34" s="444"/>
      <c r="U34" s="444"/>
      <c r="V34" s="444"/>
      <c r="W34" s="444"/>
      <c r="X34" s="444"/>
      <c r="Y34" s="444"/>
      <c r="Z34" s="444"/>
    </row>
    <row r="35" spans="1:26" ht="15.75" customHeight="1" x14ac:dyDescent="0.2">
      <c r="A35" s="451" t="s">
        <v>20</v>
      </c>
      <c r="B35" s="448">
        <v>0</v>
      </c>
      <c r="C35" s="448">
        <f>+'Public Works - Engineering'!U81</f>
        <v>255600</v>
      </c>
      <c r="D35" s="448">
        <f t="shared" si="3"/>
        <v>255600</v>
      </c>
      <c r="E35" s="444"/>
      <c r="F35" s="444"/>
      <c r="G35" s="444"/>
      <c r="H35" s="444"/>
      <c r="I35" s="449"/>
      <c r="J35" s="454"/>
      <c r="K35" s="454"/>
      <c r="L35" s="454"/>
      <c r="M35" s="444"/>
      <c r="N35" s="444"/>
      <c r="O35" s="444"/>
      <c r="P35" s="444"/>
      <c r="Q35" s="444"/>
      <c r="R35" s="444"/>
      <c r="S35" s="444"/>
      <c r="T35" s="444"/>
      <c r="U35" s="444"/>
      <c r="V35" s="444"/>
      <c r="W35" s="444"/>
      <c r="X35" s="444"/>
      <c r="Y35" s="444"/>
      <c r="Z35" s="444"/>
    </row>
    <row r="36" spans="1:26" ht="15.75" customHeight="1" x14ac:dyDescent="0.2">
      <c r="A36" s="451" t="s">
        <v>22</v>
      </c>
      <c r="B36" s="448">
        <v>-3639000</v>
      </c>
      <c r="C36" s="448">
        <f>+'Public Works - Roads'!R113</f>
        <v>6113500</v>
      </c>
      <c r="D36" s="448">
        <f t="shared" si="3"/>
        <v>2474500</v>
      </c>
      <c r="E36" s="444"/>
      <c r="F36" s="444"/>
      <c r="G36" s="444"/>
      <c r="H36" s="444"/>
      <c r="I36" s="449"/>
      <c r="J36" s="454"/>
      <c r="K36" s="454"/>
      <c r="L36" s="454"/>
      <c r="M36" s="444"/>
      <c r="N36" s="444"/>
      <c r="O36" s="444"/>
      <c r="P36" s="444"/>
      <c r="Q36" s="444"/>
      <c r="R36" s="444"/>
      <c r="S36" s="444"/>
      <c r="T36" s="444"/>
      <c r="U36" s="444"/>
      <c r="V36" s="444"/>
      <c r="W36" s="444"/>
      <c r="X36" s="444"/>
      <c r="Y36" s="444"/>
      <c r="Z36" s="444"/>
    </row>
    <row r="37" spans="1:26" ht="15.75" customHeight="1" x14ac:dyDescent="0.2">
      <c r="A37" s="451" t="s">
        <v>24</v>
      </c>
      <c r="B37" s="448">
        <f>-238000-5000</f>
        <v>-243000</v>
      </c>
      <c r="C37" s="448">
        <f>+'Public Works - Vegetation'!R426</f>
        <v>904600</v>
      </c>
      <c r="D37" s="448">
        <f>+C37+B37</f>
        <v>661600</v>
      </c>
      <c r="E37" s="444"/>
      <c r="F37" s="444"/>
      <c r="G37" s="444"/>
      <c r="H37" s="444"/>
      <c r="I37" s="449"/>
      <c r="J37" s="454"/>
      <c r="K37" s="454"/>
      <c r="L37" s="45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444"/>
      <c r="X37" s="444"/>
      <c r="Y37" s="444"/>
      <c r="Z37" s="444"/>
    </row>
    <row r="38" spans="1:26" ht="15.75" customHeight="1" x14ac:dyDescent="0.2">
      <c r="A38" s="9"/>
      <c r="B38" s="10"/>
      <c r="C38" s="10"/>
      <c r="D38" s="10"/>
      <c r="E38" s="444"/>
      <c r="F38" s="444"/>
      <c r="G38" s="444"/>
      <c r="H38" s="444"/>
      <c r="I38" s="449"/>
      <c r="J38" s="454"/>
      <c r="K38" s="454"/>
      <c r="L38" s="454"/>
      <c r="M38" s="444"/>
      <c r="N38" s="444"/>
      <c r="O38" s="444"/>
      <c r="P38" s="444"/>
      <c r="Q38" s="444"/>
      <c r="R38" s="444"/>
      <c r="S38" s="444"/>
      <c r="T38" s="444"/>
      <c r="U38" s="444"/>
      <c r="V38" s="444"/>
      <c r="W38" s="444"/>
      <c r="X38" s="444"/>
      <c r="Y38" s="444"/>
      <c r="Z38" s="444"/>
    </row>
    <row r="39" spans="1:26" ht="15.75" customHeight="1" x14ac:dyDescent="0.2">
      <c r="A39" s="11" t="s">
        <v>36</v>
      </c>
      <c r="B39" s="12">
        <v>0</v>
      </c>
      <c r="C39" s="12">
        <v>304560</v>
      </c>
      <c r="D39" s="12">
        <f t="shared" ref="D39:D49" si="4">C39+B39</f>
        <v>304560</v>
      </c>
      <c r="E39" s="444"/>
      <c r="F39" s="444"/>
      <c r="G39" s="444"/>
      <c r="H39" s="444"/>
      <c r="I39" s="449"/>
      <c r="J39" s="454"/>
      <c r="K39" s="454"/>
      <c r="L39" s="454"/>
      <c r="M39" s="444"/>
      <c r="N39" s="444"/>
      <c r="O39" s="444"/>
      <c r="P39" s="444"/>
      <c r="Q39" s="444"/>
      <c r="R39" s="444"/>
      <c r="S39" s="444"/>
      <c r="T39" s="444"/>
      <c r="U39" s="444"/>
      <c r="V39" s="444"/>
      <c r="W39" s="444"/>
      <c r="X39" s="444"/>
      <c r="Y39" s="444"/>
      <c r="Z39" s="444"/>
    </row>
    <row r="40" spans="1:26" ht="15.75" customHeight="1" x14ac:dyDescent="0.2">
      <c r="A40" s="11" t="s">
        <v>37</v>
      </c>
      <c r="B40" s="12">
        <v>-184800</v>
      </c>
      <c r="C40" s="12">
        <v>308000</v>
      </c>
      <c r="D40" s="12">
        <f t="shared" si="4"/>
        <v>123200</v>
      </c>
      <c r="E40" s="444"/>
      <c r="F40" s="444"/>
      <c r="G40" s="444"/>
      <c r="H40" s="444"/>
      <c r="I40" s="449"/>
      <c r="J40" s="454"/>
      <c r="K40" s="454"/>
      <c r="L40" s="454"/>
      <c r="M40" s="444"/>
      <c r="N40" s="444"/>
      <c r="O40" s="444"/>
      <c r="P40" s="444"/>
      <c r="Q40" s="444"/>
      <c r="R40" s="444"/>
      <c r="S40" s="444"/>
      <c r="T40" s="444"/>
      <c r="U40" s="444"/>
      <c r="V40" s="444"/>
      <c r="W40" s="444"/>
      <c r="X40" s="444"/>
      <c r="Y40" s="444"/>
      <c r="Z40" s="444"/>
    </row>
    <row r="41" spans="1:26" ht="15.75" customHeight="1" x14ac:dyDescent="0.2">
      <c r="A41" s="11" t="s">
        <v>38</v>
      </c>
      <c r="B41" s="12">
        <v>-326700</v>
      </c>
      <c r="C41" s="12">
        <v>427122</v>
      </c>
      <c r="D41" s="12">
        <f t="shared" si="4"/>
        <v>100422</v>
      </c>
      <c r="E41" s="444"/>
      <c r="F41" s="444"/>
      <c r="G41" s="444"/>
      <c r="H41" s="444"/>
      <c r="I41" s="449"/>
      <c r="J41" s="454"/>
      <c r="K41" s="454"/>
      <c r="L41" s="454"/>
      <c r="M41" s="444"/>
      <c r="N41" s="444"/>
      <c r="O41" s="444"/>
      <c r="P41" s="444"/>
      <c r="Q41" s="444"/>
      <c r="R41" s="444"/>
      <c r="S41" s="444"/>
      <c r="T41" s="444"/>
      <c r="U41" s="444"/>
      <c r="V41" s="444"/>
      <c r="W41" s="444"/>
      <c r="X41" s="444"/>
      <c r="Y41" s="444"/>
      <c r="Z41" s="444"/>
    </row>
    <row r="42" spans="1:26" ht="15.75" customHeight="1" x14ac:dyDescent="0.2">
      <c r="A42" s="11" t="s">
        <v>39</v>
      </c>
      <c r="B42" s="12">
        <v>0</v>
      </c>
      <c r="C42" s="12">
        <f>269600+5938711.46</f>
        <v>6208311.46</v>
      </c>
      <c r="D42" s="12">
        <f t="shared" si="4"/>
        <v>6208311.46</v>
      </c>
      <c r="E42" s="444"/>
      <c r="F42" s="444"/>
      <c r="G42" s="444"/>
      <c r="H42" s="444"/>
      <c r="I42" s="449"/>
      <c r="J42" s="454"/>
      <c r="K42" s="454"/>
      <c r="L42" s="454"/>
      <c r="M42" s="444"/>
      <c r="N42" s="444"/>
      <c r="O42" s="444"/>
      <c r="P42" s="444"/>
      <c r="Q42" s="444"/>
      <c r="R42" s="444"/>
      <c r="S42" s="444"/>
      <c r="T42" s="444"/>
      <c r="U42" s="444"/>
      <c r="V42" s="444"/>
      <c r="W42" s="444"/>
      <c r="X42" s="444"/>
      <c r="Y42" s="444"/>
      <c r="Z42" s="444"/>
    </row>
    <row r="43" spans="1:26" ht="15.75" customHeight="1" x14ac:dyDescent="0.2">
      <c r="A43" s="11" t="s">
        <v>40</v>
      </c>
      <c r="B43" s="12">
        <f>-20141500-120000-990000-150000-2946900</f>
        <v>-24348400</v>
      </c>
      <c r="C43" s="12">
        <v>0</v>
      </c>
      <c r="D43" s="12">
        <f t="shared" si="4"/>
        <v>-24348400</v>
      </c>
      <c r="E43" s="444"/>
      <c r="F43" s="444"/>
      <c r="G43" s="444"/>
      <c r="H43" s="444"/>
      <c r="I43" s="449"/>
      <c r="J43" s="454"/>
      <c r="K43" s="454"/>
      <c r="L43" s="454"/>
      <c r="M43" s="444"/>
      <c r="N43" s="444"/>
      <c r="O43" s="444"/>
      <c r="P43" s="444"/>
      <c r="Q43" s="444"/>
      <c r="R43" s="444"/>
      <c r="S43" s="444"/>
      <c r="T43" s="444"/>
      <c r="U43" s="444"/>
      <c r="V43" s="444"/>
      <c r="W43" s="444"/>
      <c r="X43" s="444"/>
      <c r="Y43" s="444"/>
      <c r="Z43" s="444"/>
    </row>
    <row r="44" spans="1:26" ht="15.75" customHeight="1" x14ac:dyDescent="0.2">
      <c r="A44" s="11" t="s">
        <v>41</v>
      </c>
      <c r="B44" s="12">
        <f>-10474800-3117700-5100000</f>
        <v>-18692500</v>
      </c>
      <c r="C44" s="12">
        <v>0</v>
      </c>
      <c r="D44" s="12">
        <f t="shared" si="4"/>
        <v>-18692500</v>
      </c>
      <c r="E44" s="444"/>
      <c r="F44" s="444"/>
      <c r="G44" s="444"/>
      <c r="H44" s="444"/>
      <c r="I44" s="449"/>
      <c r="J44" s="454"/>
      <c r="K44" s="454"/>
      <c r="L44" s="454"/>
      <c r="M44" s="444"/>
      <c r="N44" s="444"/>
      <c r="O44" s="444"/>
      <c r="P44" s="444"/>
      <c r="Q44" s="444"/>
      <c r="R44" s="444"/>
      <c r="S44" s="444"/>
      <c r="T44" s="444"/>
      <c r="U44" s="444"/>
      <c r="V44" s="444"/>
      <c r="W44" s="444"/>
      <c r="X44" s="444"/>
      <c r="Y44" s="444"/>
      <c r="Z44" s="444"/>
    </row>
    <row r="45" spans="1:26" ht="15.75" customHeight="1" x14ac:dyDescent="0.2">
      <c r="A45" s="11" t="s">
        <v>42</v>
      </c>
      <c r="B45" s="12">
        <f>-15000-960000-9200</f>
        <v>-984200</v>
      </c>
      <c r="C45" s="12">
        <v>0</v>
      </c>
      <c r="D45" s="12">
        <f t="shared" si="4"/>
        <v>-984200</v>
      </c>
      <c r="E45" s="444"/>
      <c r="F45" s="444"/>
      <c r="G45" s="444"/>
      <c r="H45" s="444"/>
      <c r="I45" s="449"/>
      <c r="J45" s="454"/>
      <c r="K45" s="454"/>
      <c r="L45" s="454"/>
      <c r="M45" s="444"/>
      <c r="N45" s="444"/>
      <c r="O45" s="444"/>
      <c r="P45" s="444"/>
      <c r="Q45" s="444"/>
      <c r="R45" s="444"/>
      <c r="S45" s="444"/>
      <c r="T45" s="444"/>
      <c r="U45" s="444"/>
      <c r="V45" s="444"/>
      <c r="W45" s="444"/>
      <c r="X45" s="444"/>
      <c r="Y45" s="444"/>
      <c r="Z45" s="444"/>
    </row>
    <row r="46" spans="1:26" ht="15.75" customHeight="1" x14ac:dyDescent="0.2">
      <c r="A46" s="11" t="s">
        <v>43</v>
      </c>
      <c r="B46" s="12">
        <f>-1800000-300000-300000</f>
        <v>-2400000</v>
      </c>
      <c r="C46" s="12">
        <v>0</v>
      </c>
      <c r="D46" s="12">
        <f t="shared" si="4"/>
        <v>-2400000</v>
      </c>
      <c r="E46" s="444"/>
      <c r="F46" s="444"/>
      <c r="G46" s="444"/>
      <c r="H46" s="444"/>
      <c r="I46" s="449"/>
      <c r="J46" s="454"/>
      <c r="K46" s="454"/>
      <c r="L46" s="454"/>
      <c r="M46" s="444"/>
      <c r="N46" s="444"/>
      <c r="O46" s="444"/>
      <c r="P46" s="444"/>
      <c r="Q46" s="444"/>
      <c r="R46" s="444"/>
      <c r="S46" s="444"/>
      <c r="T46" s="444"/>
      <c r="U46" s="444"/>
      <c r="V46" s="444"/>
      <c r="W46" s="444"/>
      <c r="X46" s="444"/>
      <c r="Y46" s="444"/>
      <c r="Z46" s="444"/>
    </row>
    <row r="47" spans="1:26" ht="15.75" customHeight="1" x14ac:dyDescent="0.2">
      <c r="A47" s="11" t="s">
        <v>44</v>
      </c>
      <c r="B47" s="12">
        <f>-50000-500-5000-135000</f>
        <v>-190500</v>
      </c>
      <c r="C47" s="12">
        <v>0</v>
      </c>
      <c r="D47" s="12">
        <f t="shared" si="4"/>
        <v>-190500</v>
      </c>
      <c r="E47" s="444"/>
      <c r="F47" s="444"/>
      <c r="G47" s="444"/>
      <c r="H47" s="444"/>
      <c r="I47" s="449"/>
      <c r="J47" s="454"/>
      <c r="K47" s="454"/>
      <c r="L47" s="454"/>
      <c r="M47" s="444"/>
      <c r="N47" s="444"/>
      <c r="O47" s="444"/>
      <c r="P47" s="444"/>
      <c r="Q47" s="444"/>
      <c r="R47" s="444"/>
      <c r="S47" s="444"/>
      <c r="T47" s="444"/>
      <c r="U47" s="444"/>
      <c r="V47" s="444"/>
      <c r="W47" s="444"/>
      <c r="X47" s="444"/>
      <c r="Y47" s="444"/>
      <c r="Z47" s="444"/>
    </row>
    <row r="48" spans="1:26" ht="15.75" customHeight="1" x14ac:dyDescent="0.2">
      <c r="A48" s="11" t="s">
        <v>45</v>
      </c>
      <c r="B48" s="12">
        <f>18000+1000-561050+6000+121000</f>
        <v>-415050</v>
      </c>
      <c r="C48" s="12">
        <v>0</v>
      </c>
      <c r="D48" s="12">
        <f t="shared" si="4"/>
        <v>-415050</v>
      </c>
      <c r="E48" s="444"/>
      <c r="F48" s="444"/>
      <c r="G48" s="444"/>
      <c r="H48" s="444"/>
      <c r="I48" s="449"/>
      <c r="J48" s="454"/>
      <c r="K48" s="454"/>
      <c r="L48" s="454"/>
      <c r="M48" s="444"/>
      <c r="N48" s="444"/>
      <c r="O48" s="444"/>
      <c r="P48" s="444"/>
      <c r="Q48" s="444"/>
      <c r="R48" s="444"/>
      <c r="S48" s="444"/>
      <c r="T48" s="444"/>
      <c r="U48" s="444"/>
      <c r="V48" s="444"/>
      <c r="W48" s="444"/>
      <c r="X48" s="444"/>
      <c r="Y48" s="444"/>
      <c r="Z48" s="444"/>
    </row>
    <row r="49" spans="1:26" ht="15.75" customHeight="1" x14ac:dyDescent="0.2">
      <c r="A49" s="494" t="s">
        <v>46</v>
      </c>
      <c r="B49" s="495">
        <f>2946900-4293372.17+5350</f>
        <v>-1341122.17</v>
      </c>
      <c r="C49" s="495">
        <v>0</v>
      </c>
      <c r="D49" s="495">
        <f t="shared" si="4"/>
        <v>-1341122.17</v>
      </c>
      <c r="E49" s="444"/>
      <c r="F49" s="444"/>
      <c r="G49" s="444"/>
      <c r="H49" s="444"/>
      <c r="I49" s="449"/>
      <c r="J49" s="454"/>
      <c r="K49" s="454"/>
      <c r="L49" s="454"/>
      <c r="M49" s="444"/>
      <c r="N49" s="444"/>
      <c r="O49" s="444"/>
      <c r="P49" s="444"/>
      <c r="Q49" s="444"/>
      <c r="R49" s="444"/>
      <c r="S49" s="444"/>
      <c r="T49" s="444"/>
      <c r="U49" s="444"/>
      <c r="V49" s="444"/>
      <c r="W49" s="444"/>
      <c r="X49" s="444"/>
      <c r="Y49" s="444"/>
      <c r="Z49" s="444"/>
    </row>
    <row r="50" spans="1:26" ht="15.75" customHeight="1" x14ac:dyDescent="0.2">
      <c r="A50" s="492" t="s">
        <v>47</v>
      </c>
      <c r="B50" s="493">
        <f t="shared" ref="B50:D50" si="5">SUM(B3:B49)</f>
        <v>-65581097.170000002</v>
      </c>
      <c r="C50" s="493">
        <f t="shared" si="5"/>
        <v>65581097.170000002</v>
      </c>
      <c r="D50" s="493">
        <f t="shared" si="5"/>
        <v>9.3132257461547852E-9</v>
      </c>
      <c r="E50" s="444"/>
      <c r="F50" s="444"/>
      <c r="G50" s="444"/>
      <c r="H50" s="454"/>
      <c r="I50" s="454"/>
      <c r="J50" s="454"/>
      <c r="K50" s="444"/>
      <c r="L50" s="444"/>
      <c r="M50" s="444"/>
      <c r="N50" s="444"/>
      <c r="O50" s="444"/>
      <c r="P50" s="444"/>
      <c r="Q50" s="444"/>
      <c r="R50" s="444"/>
      <c r="S50" s="444"/>
      <c r="T50" s="444"/>
      <c r="U50" s="444"/>
      <c r="V50" s="444"/>
      <c r="W50" s="444"/>
      <c r="X50" s="444"/>
      <c r="Y50" s="455"/>
      <c r="Z50" s="455"/>
    </row>
    <row r="51" spans="1:26" ht="15.75" customHeight="1" x14ac:dyDescent="0.2">
      <c r="A51" s="13"/>
      <c r="B51" s="12"/>
      <c r="C51" s="448"/>
      <c r="D51" s="450"/>
      <c r="E51" s="444"/>
      <c r="F51" s="444"/>
      <c r="G51" s="444"/>
      <c r="H51" s="448"/>
      <c r="I51" s="448"/>
      <c r="J51" s="448"/>
      <c r="K51" s="444"/>
      <c r="L51" s="444"/>
      <c r="M51" s="444"/>
      <c r="N51" s="444"/>
      <c r="O51" s="444"/>
      <c r="P51" s="444"/>
      <c r="Q51" s="444"/>
      <c r="R51" s="444"/>
      <c r="S51" s="444"/>
      <c r="T51" s="444"/>
      <c r="U51" s="444"/>
      <c r="V51" s="444"/>
      <c r="W51" s="444"/>
      <c r="X51" s="444"/>
      <c r="Y51" s="455"/>
      <c r="Z51" s="455"/>
    </row>
    <row r="52" spans="1:26" ht="15.75" customHeight="1" x14ac:dyDescent="0.2">
      <c r="A52" s="11"/>
      <c r="B52" s="12"/>
      <c r="C52" s="448"/>
      <c r="D52" s="450"/>
      <c r="E52" s="444"/>
      <c r="F52" s="444"/>
      <c r="G52" s="444"/>
      <c r="H52" s="454"/>
      <c r="I52" s="454"/>
      <c r="J52" s="444"/>
      <c r="K52" s="444"/>
      <c r="L52" s="444"/>
      <c r="M52" s="444"/>
      <c r="N52" s="444"/>
      <c r="O52" s="444"/>
      <c r="P52" s="444"/>
      <c r="Q52" s="444"/>
      <c r="R52" s="444"/>
      <c r="S52" s="444"/>
      <c r="T52" s="444"/>
      <c r="U52" s="444"/>
      <c r="V52" s="444"/>
      <c r="W52" s="444"/>
      <c r="X52" s="444"/>
      <c r="Y52" s="455"/>
      <c r="Z52" s="455"/>
    </row>
    <row r="53" spans="1:26" ht="15.75" customHeight="1" x14ac:dyDescent="0.2">
      <c r="A53" s="13"/>
      <c r="B53" s="14"/>
      <c r="C53" s="14"/>
      <c r="D53" s="14"/>
      <c r="E53" s="444"/>
      <c r="F53" s="444"/>
      <c r="G53" s="444"/>
      <c r="H53" s="444"/>
      <c r="I53" s="449"/>
      <c r="J53" s="454"/>
      <c r="K53" s="454"/>
      <c r="L53" s="444"/>
      <c r="M53" s="444"/>
      <c r="N53" s="444"/>
      <c r="O53" s="444"/>
      <c r="P53" s="444"/>
      <c r="Q53" s="444"/>
      <c r="R53" s="444"/>
      <c r="S53" s="444"/>
      <c r="T53" s="444"/>
      <c r="U53" s="444"/>
      <c r="V53" s="444"/>
      <c r="W53" s="444"/>
      <c r="X53" s="444"/>
      <c r="Y53" s="444"/>
      <c r="Z53" s="444"/>
    </row>
    <row r="54" spans="1:26" ht="15.75" customHeight="1" x14ac:dyDescent="0.2">
      <c r="A54" s="13"/>
      <c r="B54" s="14"/>
      <c r="C54" s="14"/>
      <c r="D54" s="14"/>
      <c r="E54" s="444"/>
      <c r="F54" s="444"/>
      <c r="G54" s="444"/>
      <c r="H54" s="444"/>
      <c r="I54" s="444"/>
      <c r="J54" s="444"/>
      <c r="K54" s="444"/>
      <c r="L54" s="444"/>
      <c r="M54" s="444"/>
      <c r="N54" s="444"/>
      <c r="O54" s="444"/>
      <c r="P54" s="444"/>
      <c r="Q54" s="444"/>
      <c r="R54" s="444"/>
      <c r="S54" s="444"/>
      <c r="T54" s="444"/>
      <c r="U54" s="444"/>
      <c r="V54" s="444"/>
      <c r="W54" s="444"/>
      <c r="X54" s="444"/>
      <c r="Y54" s="444"/>
      <c r="Z54" s="444"/>
    </row>
    <row r="55" spans="1:26" ht="15.75" customHeight="1" x14ac:dyDescent="0.2">
      <c r="A55" s="13"/>
      <c r="B55" s="14"/>
      <c r="C55" s="14"/>
      <c r="D55" s="14"/>
      <c r="E55" s="444"/>
      <c r="F55" s="444"/>
      <c r="G55" s="444"/>
      <c r="H55" s="444"/>
      <c r="I55" s="444"/>
      <c r="J55" s="444"/>
      <c r="K55" s="444"/>
      <c r="L55" s="444"/>
      <c r="M55" s="444"/>
      <c r="N55" s="444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 x14ac:dyDescent="0.2">
      <c r="A56" s="13"/>
      <c r="B56" s="14"/>
      <c r="C56" s="14"/>
      <c r="D56" s="14"/>
      <c r="E56" s="444"/>
      <c r="F56" s="444"/>
      <c r="G56" s="444"/>
      <c r="H56" s="444"/>
      <c r="I56" s="444"/>
      <c r="J56" s="444"/>
      <c r="K56" s="444"/>
      <c r="L56" s="444"/>
      <c r="M56" s="444"/>
      <c r="N56" s="444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 x14ac:dyDescent="0.2">
      <c r="A57" s="13"/>
      <c r="B57" s="14"/>
      <c r="C57" s="14"/>
      <c r="D57" s="14"/>
      <c r="E57" s="444"/>
      <c r="F57" s="444"/>
      <c r="G57" s="444"/>
      <c r="H57" s="444"/>
      <c r="I57" s="444"/>
      <c r="J57" s="444"/>
      <c r="K57" s="444"/>
      <c r="L57" s="444"/>
      <c r="M57" s="444"/>
      <c r="N57" s="444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 x14ac:dyDescent="0.2">
      <c r="A58" s="13"/>
      <c r="B58" s="14"/>
      <c r="C58" s="14"/>
      <c r="D58" s="14"/>
      <c r="E58" s="444"/>
      <c r="F58" s="444"/>
      <c r="G58" s="444"/>
      <c r="H58" s="444"/>
      <c r="I58" s="444"/>
      <c r="J58" s="444"/>
      <c r="K58" s="444"/>
      <c r="L58" s="444"/>
      <c r="M58" s="444"/>
      <c r="N58" s="444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customHeight="1" x14ac:dyDescent="0.2">
      <c r="A59" s="13"/>
      <c r="B59" s="14"/>
      <c r="C59" s="14"/>
      <c r="D59" s="14"/>
      <c r="E59" s="444"/>
      <c r="F59" s="444"/>
      <c r="G59" s="444"/>
      <c r="H59" s="444"/>
      <c r="I59" s="444"/>
      <c r="J59" s="444"/>
      <c r="K59" s="444"/>
      <c r="L59" s="444"/>
      <c r="M59" s="444"/>
      <c r="N59" s="444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customHeight="1" x14ac:dyDescent="0.2">
      <c r="A60" s="13"/>
      <c r="B60" s="14"/>
      <c r="C60" s="14"/>
      <c r="D60" s="14"/>
      <c r="E60" s="444"/>
      <c r="F60" s="444"/>
      <c r="G60" s="444"/>
      <c r="H60" s="444"/>
      <c r="I60" s="444"/>
      <c r="J60" s="444"/>
      <c r="K60" s="444"/>
      <c r="L60" s="444"/>
      <c r="M60" s="444"/>
      <c r="N60" s="444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customHeight="1" x14ac:dyDescent="0.2">
      <c r="A61" s="13"/>
      <c r="B61" s="14"/>
      <c r="C61" s="14"/>
      <c r="D61" s="14"/>
      <c r="E61" s="444"/>
      <c r="F61" s="444"/>
      <c r="G61" s="444"/>
      <c r="H61" s="444"/>
      <c r="I61" s="444"/>
      <c r="J61" s="444"/>
      <c r="K61" s="444"/>
      <c r="L61" s="444"/>
      <c r="M61" s="444"/>
      <c r="N61" s="444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customHeight="1" x14ac:dyDescent="0.2">
      <c r="A62" s="13"/>
      <c r="B62" s="14"/>
      <c r="C62" s="14"/>
      <c r="D62" s="14"/>
      <c r="E62" s="444"/>
      <c r="F62" s="444"/>
      <c r="G62" s="444"/>
      <c r="H62" s="444"/>
      <c r="I62" s="444"/>
      <c r="J62" s="444"/>
      <c r="K62" s="444"/>
      <c r="L62" s="444"/>
      <c r="M62" s="444"/>
      <c r="N62" s="444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customHeight="1" x14ac:dyDescent="0.2">
      <c r="A63" s="13"/>
      <c r="B63" s="14"/>
      <c r="C63" s="14"/>
      <c r="D63" s="14"/>
      <c r="E63" s="444"/>
      <c r="F63" s="444"/>
      <c r="G63" s="444"/>
      <c r="H63" s="444"/>
      <c r="I63" s="444"/>
      <c r="J63" s="444"/>
      <c r="K63" s="444"/>
      <c r="L63" s="444"/>
      <c r="M63" s="444"/>
      <c r="N63" s="444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customHeight="1" x14ac:dyDescent="0.2">
      <c r="A64" s="13"/>
      <c r="B64" s="14"/>
      <c r="C64" s="14"/>
      <c r="D64" s="14"/>
      <c r="E64" s="444"/>
      <c r="F64" s="444"/>
      <c r="G64" s="444"/>
      <c r="H64" s="444"/>
      <c r="I64" s="444"/>
      <c r="J64" s="444"/>
      <c r="K64" s="444"/>
      <c r="L64" s="444"/>
      <c r="M64" s="444"/>
      <c r="N64" s="444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customHeight="1" x14ac:dyDescent="0.2">
      <c r="A65" s="13"/>
      <c r="B65" s="14"/>
      <c r="C65" s="14"/>
      <c r="D65" s="14"/>
      <c r="E65" s="444"/>
      <c r="F65" s="444"/>
      <c r="G65" s="444"/>
      <c r="H65" s="444"/>
      <c r="I65" s="444"/>
      <c r="J65" s="444"/>
      <c r="K65" s="444"/>
      <c r="L65" s="444"/>
      <c r="M65" s="444"/>
      <c r="N65" s="444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 x14ac:dyDescent="0.2">
      <c r="A66" s="13"/>
      <c r="B66" s="14"/>
      <c r="C66" s="14"/>
      <c r="D66" s="14"/>
      <c r="E66" s="444"/>
      <c r="F66" s="444"/>
      <c r="G66" s="444"/>
      <c r="H66" s="444"/>
      <c r="I66" s="444"/>
      <c r="J66" s="444"/>
      <c r="K66" s="444"/>
      <c r="L66" s="444"/>
      <c r="M66" s="444"/>
      <c r="N66" s="444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 x14ac:dyDescent="0.2">
      <c r="A67" s="13"/>
      <c r="B67" s="14"/>
      <c r="C67" s="14"/>
      <c r="D67" s="14"/>
      <c r="E67" s="444"/>
      <c r="F67" s="444"/>
      <c r="G67" s="444"/>
      <c r="H67" s="444"/>
      <c r="I67" s="444"/>
      <c r="J67" s="444"/>
      <c r="K67" s="444"/>
      <c r="L67" s="444"/>
      <c r="M67" s="444"/>
      <c r="N67" s="444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 x14ac:dyDescent="0.2">
      <c r="A68" s="13"/>
      <c r="B68" s="14"/>
      <c r="C68" s="14"/>
      <c r="D68" s="14"/>
      <c r="E68" s="444"/>
      <c r="F68" s="444"/>
      <c r="G68" s="444"/>
      <c r="H68" s="444"/>
      <c r="I68" s="444"/>
      <c r="J68" s="444"/>
      <c r="K68" s="444"/>
      <c r="L68" s="444"/>
      <c r="M68" s="444"/>
      <c r="N68" s="444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customHeight="1" x14ac:dyDescent="0.2">
      <c r="A69" s="13"/>
      <c r="B69" s="14"/>
      <c r="C69" s="14"/>
      <c r="D69" s="14"/>
      <c r="E69" s="444"/>
      <c r="F69" s="444"/>
      <c r="G69" s="444"/>
      <c r="H69" s="444"/>
      <c r="I69" s="444"/>
      <c r="J69" s="444"/>
      <c r="K69" s="444"/>
      <c r="L69" s="444"/>
      <c r="M69" s="444"/>
      <c r="N69" s="444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customHeight="1" x14ac:dyDescent="0.2">
      <c r="A70" s="13"/>
      <c r="B70" s="14"/>
      <c r="C70" s="14"/>
      <c r="D70" s="14"/>
      <c r="E70" s="444"/>
      <c r="F70" s="444"/>
      <c r="G70" s="444"/>
      <c r="H70" s="444"/>
      <c r="I70" s="444"/>
      <c r="J70" s="444"/>
      <c r="K70" s="444"/>
      <c r="L70" s="444"/>
      <c r="M70" s="444"/>
      <c r="N70" s="444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customHeight="1" x14ac:dyDescent="0.2">
      <c r="A71" s="13"/>
      <c r="B71" s="14"/>
      <c r="C71" s="14"/>
      <c r="D71" s="14"/>
      <c r="E71" s="444"/>
      <c r="F71" s="444"/>
      <c r="G71" s="444"/>
      <c r="H71" s="444"/>
      <c r="I71" s="444"/>
      <c r="J71" s="444"/>
      <c r="K71" s="444"/>
      <c r="L71" s="444"/>
      <c r="M71" s="444"/>
      <c r="N71" s="444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customHeight="1" x14ac:dyDescent="0.2">
      <c r="A72" s="13"/>
      <c r="B72" s="14"/>
      <c r="C72" s="14"/>
      <c r="D72" s="14"/>
      <c r="E72" s="444"/>
      <c r="F72" s="444"/>
      <c r="G72" s="444"/>
      <c r="H72" s="444"/>
      <c r="I72" s="444"/>
      <c r="J72" s="444"/>
      <c r="K72" s="444"/>
      <c r="L72" s="444"/>
      <c r="M72" s="444"/>
      <c r="N72" s="444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customHeight="1" x14ac:dyDescent="0.2">
      <c r="A73" s="13"/>
      <c r="B73" s="14"/>
      <c r="C73" s="14"/>
      <c r="D73" s="14"/>
      <c r="E73" s="444"/>
      <c r="F73" s="444"/>
      <c r="G73" s="444"/>
      <c r="H73" s="444"/>
      <c r="I73" s="444"/>
      <c r="J73" s="444"/>
      <c r="K73" s="444"/>
      <c r="L73" s="444"/>
      <c r="M73" s="444"/>
      <c r="N73" s="444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customHeight="1" x14ac:dyDescent="0.2">
      <c r="A74" s="13"/>
      <c r="B74" s="14"/>
      <c r="C74" s="14"/>
      <c r="D74" s="14"/>
      <c r="E74" s="444"/>
      <c r="F74" s="444"/>
      <c r="G74" s="444"/>
      <c r="H74" s="444"/>
      <c r="I74" s="444"/>
      <c r="J74" s="444"/>
      <c r="K74" s="444"/>
      <c r="L74" s="444"/>
      <c r="M74" s="444"/>
      <c r="N74" s="444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customHeight="1" x14ac:dyDescent="0.2">
      <c r="A75" s="13"/>
      <c r="B75" s="14"/>
      <c r="C75" s="14"/>
      <c r="D75" s="14"/>
      <c r="E75" s="444"/>
      <c r="F75" s="444"/>
      <c r="G75" s="444"/>
      <c r="H75" s="444"/>
      <c r="I75" s="444"/>
      <c r="J75" s="444"/>
      <c r="K75" s="444"/>
      <c r="L75" s="444"/>
      <c r="M75" s="444"/>
      <c r="N75" s="444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customHeight="1" x14ac:dyDescent="0.2">
      <c r="A76" s="13"/>
      <c r="B76" s="14"/>
      <c r="C76" s="14"/>
      <c r="D76" s="14"/>
      <c r="E76" s="444"/>
      <c r="F76" s="444"/>
      <c r="G76" s="444"/>
      <c r="H76" s="444"/>
      <c r="I76" s="444"/>
      <c r="J76" s="444"/>
      <c r="K76" s="444"/>
      <c r="L76" s="444"/>
      <c r="M76" s="444"/>
      <c r="N76" s="444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customHeight="1" x14ac:dyDescent="0.2">
      <c r="A77" s="13"/>
      <c r="B77" s="14"/>
      <c r="C77" s="14"/>
      <c r="D77" s="14"/>
      <c r="E77" s="444"/>
      <c r="F77" s="444"/>
      <c r="G77" s="444"/>
      <c r="H77" s="444"/>
      <c r="I77" s="444"/>
      <c r="J77" s="444"/>
      <c r="K77" s="444"/>
      <c r="L77" s="444"/>
      <c r="M77" s="444"/>
      <c r="N77" s="444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customHeight="1" x14ac:dyDescent="0.2">
      <c r="A78" s="13"/>
      <c r="B78" s="14"/>
      <c r="C78" s="14"/>
      <c r="D78" s="14"/>
      <c r="E78" s="444"/>
      <c r="F78" s="444"/>
      <c r="G78" s="444"/>
      <c r="H78" s="444"/>
      <c r="I78" s="444"/>
      <c r="J78" s="444"/>
      <c r="K78" s="444"/>
      <c r="L78" s="444"/>
      <c r="M78" s="444"/>
      <c r="N78" s="444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 x14ac:dyDescent="0.2">
      <c r="A79" s="13"/>
      <c r="B79" s="14"/>
      <c r="C79" s="14"/>
      <c r="D79" s="14"/>
      <c r="E79" s="444"/>
      <c r="F79" s="444"/>
      <c r="G79" s="444"/>
      <c r="H79" s="444"/>
      <c r="I79" s="444"/>
      <c r="J79" s="444"/>
      <c r="K79" s="444"/>
      <c r="L79" s="444"/>
      <c r="M79" s="444"/>
      <c r="N79" s="444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customHeight="1" x14ac:dyDescent="0.2">
      <c r="A80" s="13"/>
      <c r="B80" s="14"/>
      <c r="C80" s="14"/>
      <c r="D80" s="14"/>
      <c r="E80" s="444"/>
      <c r="F80" s="444"/>
      <c r="G80" s="444"/>
      <c r="H80" s="444"/>
      <c r="I80" s="444"/>
      <c r="J80" s="444"/>
      <c r="K80" s="444"/>
      <c r="L80" s="444"/>
      <c r="M80" s="444"/>
      <c r="N80" s="444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customHeight="1" x14ac:dyDescent="0.2">
      <c r="A81" s="13"/>
      <c r="B81" s="14"/>
      <c r="C81" s="14"/>
      <c r="D81" s="14"/>
      <c r="E81" s="444"/>
      <c r="F81" s="444"/>
      <c r="G81" s="444"/>
      <c r="H81" s="444"/>
      <c r="I81" s="444"/>
      <c r="J81" s="444"/>
      <c r="K81" s="444"/>
      <c r="L81" s="444"/>
      <c r="M81" s="444"/>
      <c r="N81" s="444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customHeight="1" x14ac:dyDescent="0.2">
      <c r="A82" s="13"/>
      <c r="B82" s="14"/>
      <c r="C82" s="14"/>
      <c r="D82" s="14"/>
      <c r="E82" s="444"/>
      <c r="F82" s="444"/>
      <c r="G82" s="444"/>
      <c r="H82" s="444"/>
      <c r="I82" s="444"/>
      <c r="J82" s="444"/>
      <c r="K82" s="444"/>
      <c r="L82" s="444"/>
      <c r="M82" s="444"/>
      <c r="N82" s="444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customHeight="1" x14ac:dyDescent="0.2">
      <c r="A83" s="13"/>
      <c r="B83" s="14"/>
      <c r="C83" s="14"/>
      <c r="D83" s="14"/>
      <c r="E83" s="444"/>
      <c r="F83" s="444"/>
      <c r="G83" s="444"/>
      <c r="H83" s="444"/>
      <c r="I83" s="444"/>
      <c r="J83" s="444"/>
      <c r="K83" s="444"/>
      <c r="L83" s="444"/>
      <c r="M83" s="444"/>
      <c r="N83" s="444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customHeight="1" x14ac:dyDescent="0.2">
      <c r="A84" s="13"/>
      <c r="B84" s="14"/>
      <c r="C84" s="14"/>
      <c r="D84" s="14"/>
      <c r="E84" s="444"/>
      <c r="F84" s="444"/>
      <c r="G84" s="444"/>
      <c r="H84" s="444"/>
      <c r="I84" s="444"/>
      <c r="J84" s="444"/>
      <c r="K84" s="444"/>
      <c r="L84" s="444"/>
      <c r="M84" s="444"/>
      <c r="N84" s="444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customHeight="1" x14ac:dyDescent="0.2">
      <c r="A85" s="13"/>
      <c r="B85" s="14"/>
      <c r="C85" s="14"/>
      <c r="D85" s="14"/>
      <c r="E85" s="444"/>
      <c r="F85" s="444"/>
      <c r="G85" s="444"/>
      <c r="H85" s="444"/>
      <c r="I85" s="444"/>
      <c r="J85" s="444"/>
      <c r="K85" s="444"/>
      <c r="L85" s="444"/>
      <c r="M85" s="444"/>
      <c r="N85" s="444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customHeight="1" x14ac:dyDescent="0.2">
      <c r="A86" s="13"/>
      <c r="B86" s="14"/>
      <c r="C86" s="14"/>
      <c r="D86" s="14"/>
      <c r="E86" s="444"/>
      <c r="F86" s="444"/>
      <c r="G86" s="444"/>
      <c r="H86" s="444"/>
      <c r="I86" s="444"/>
      <c r="J86" s="444"/>
      <c r="K86" s="444"/>
      <c r="L86" s="444"/>
      <c r="M86" s="444"/>
      <c r="N86" s="444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customHeight="1" x14ac:dyDescent="0.2">
      <c r="A87" s="13"/>
      <c r="B87" s="14"/>
      <c r="C87" s="14"/>
      <c r="D87" s="14"/>
      <c r="E87" s="444"/>
      <c r="F87" s="444"/>
      <c r="G87" s="444"/>
      <c r="H87" s="444"/>
      <c r="I87" s="444"/>
      <c r="J87" s="444"/>
      <c r="K87" s="444"/>
      <c r="L87" s="444"/>
      <c r="M87" s="444"/>
      <c r="N87" s="444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customHeight="1" x14ac:dyDescent="0.2">
      <c r="A88" s="13"/>
      <c r="B88" s="14"/>
      <c r="C88" s="14"/>
      <c r="D88" s="14"/>
      <c r="E88" s="444"/>
      <c r="F88" s="444"/>
      <c r="G88" s="444"/>
      <c r="H88" s="444"/>
      <c r="I88" s="444"/>
      <c r="J88" s="444"/>
      <c r="K88" s="444"/>
      <c r="L88" s="444"/>
      <c r="M88" s="444"/>
      <c r="N88" s="444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customHeight="1" x14ac:dyDescent="0.2">
      <c r="A89" s="13"/>
      <c r="B89" s="14"/>
      <c r="C89" s="14"/>
      <c r="D89" s="14"/>
      <c r="E89" s="444"/>
      <c r="F89" s="444"/>
      <c r="G89" s="444"/>
      <c r="H89" s="444"/>
      <c r="I89" s="444"/>
      <c r="J89" s="444"/>
      <c r="K89" s="444"/>
      <c r="L89" s="444"/>
      <c r="M89" s="444"/>
      <c r="N89" s="444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customHeight="1" x14ac:dyDescent="0.2">
      <c r="A90" s="13"/>
      <c r="B90" s="14"/>
      <c r="C90" s="14"/>
      <c r="D90" s="14"/>
      <c r="E90" s="444"/>
      <c r="F90" s="444"/>
      <c r="G90" s="444"/>
      <c r="H90" s="444"/>
      <c r="I90" s="444"/>
      <c r="J90" s="444"/>
      <c r="K90" s="444"/>
      <c r="L90" s="444"/>
      <c r="M90" s="444"/>
      <c r="N90" s="444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customHeight="1" x14ac:dyDescent="0.2">
      <c r="A91" s="13"/>
      <c r="B91" s="14"/>
      <c r="C91" s="14"/>
      <c r="D91" s="14"/>
      <c r="E91" s="444"/>
      <c r="F91" s="444"/>
      <c r="G91" s="444"/>
      <c r="H91" s="444"/>
      <c r="I91" s="444"/>
      <c r="J91" s="444"/>
      <c r="K91" s="444"/>
      <c r="L91" s="444"/>
      <c r="M91" s="444"/>
      <c r="N91" s="444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customHeight="1" x14ac:dyDescent="0.2">
      <c r="A92" s="13"/>
      <c r="B92" s="14"/>
      <c r="C92" s="14"/>
      <c r="D92" s="14"/>
      <c r="E92" s="444"/>
      <c r="F92" s="444"/>
      <c r="G92" s="444"/>
      <c r="H92" s="444"/>
      <c r="I92" s="444"/>
      <c r="J92" s="444"/>
      <c r="K92" s="444"/>
      <c r="L92" s="444"/>
      <c r="M92" s="444"/>
      <c r="N92" s="444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customHeight="1" x14ac:dyDescent="0.2">
      <c r="A93" s="13"/>
      <c r="B93" s="14"/>
      <c r="C93" s="14"/>
      <c r="D93" s="14"/>
      <c r="E93" s="444"/>
      <c r="F93" s="444"/>
      <c r="G93" s="444"/>
      <c r="H93" s="444"/>
      <c r="I93" s="444"/>
      <c r="J93" s="444"/>
      <c r="K93" s="444"/>
      <c r="L93" s="444"/>
      <c r="M93" s="444"/>
      <c r="N93" s="444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customHeight="1" x14ac:dyDescent="0.2">
      <c r="A94" s="13"/>
      <c r="B94" s="14"/>
      <c r="C94" s="14"/>
      <c r="D94" s="14"/>
      <c r="E94" s="444"/>
      <c r="F94" s="444"/>
      <c r="G94" s="444"/>
      <c r="H94" s="444"/>
      <c r="I94" s="444"/>
      <c r="J94" s="444"/>
      <c r="K94" s="444"/>
      <c r="L94" s="444"/>
      <c r="M94" s="444"/>
      <c r="N94" s="444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customHeight="1" x14ac:dyDescent="0.2">
      <c r="A95" s="13"/>
      <c r="B95" s="14"/>
      <c r="C95" s="14"/>
      <c r="D95" s="14"/>
      <c r="E95" s="444"/>
      <c r="F95" s="444"/>
      <c r="G95" s="444"/>
      <c r="H95" s="444"/>
      <c r="I95" s="444"/>
      <c r="J95" s="444"/>
      <c r="K95" s="444"/>
      <c r="L95" s="444"/>
      <c r="M95" s="444"/>
      <c r="N95" s="444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customHeight="1" x14ac:dyDescent="0.2">
      <c r="A96" s="13"/>
      <c r="B96" s="14"/>
      <c r="C96" s="14"/>
      <c r="D96" s="14"/>
      <c r="E96" s="444"/>
      <c r="F96" s="444"/>
      <c r="G96" s="444"/>
      <c r="H96" s="444"/>
      <c r="I96" s="444"/>
      <c r="J96" s="444"/>
      <c r="K96" s="444"/>
      <c r="L96" s="444"/>
      <c r="M96" s="444"/>
      <c r="N96" s="444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customHeight="1" x14ac:dyDescent="0.2">
      <c r="A97" s="13"/>
      <c r="B97" s="14"/>
      <c r="C97" s="14"/>
      <c r="D97" s="14"/>
      <c r="E97" s="444"/>
      <c r="F97" s="444"/>
      <c r="G97" s="444"/>
      <c r="H97" s="444"/>
      <c r="I97" s="444"/>
      <c r="J97" s="444"/>
      <c r="K97" s="444"/>
      <c r="L97" s="444"/>
      <c r="M97" s="444"/>
      <c r="N97" s="444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customHeight="1" x14ac:dyDescent="0.2">
      <c r="A98" s="13"/>
      <c r="B98" s="14"/>
      <c r="C98" s="14"/>
      <c r="D98" s="14"/>
      <c r="E98" s="444"/>
      <c r="F98" s="444"/>
      <c r="G98" s="444"/>
      <c r="H98" s="444"/>
      <c r="I98" s="444"/>
      <c r="J98" s="444"/>
      <c r="K98" s="444"/>
      <c r="L98" s="444"/>
      <c r="M98" s="444"/>
      <c r="N98" s="444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customHeight="1" x14ac:dyDescent="0.2">
      <c r="A99" s="13"/>
      <c r="B99" s="14"/>
      <c r="C99" s="14"/>
      <c r="D99" s="14"/>
      <c r="E99" s="444"/>
      <c r="F99" s="444"/>
      <c r="G99" s="444"/>
      <c r="H99" s="444"/>
      <c r="I99" s="444"/>
      <c r="J99" s="444"/>
      <c r="K99" s="444"/>
      <c r="L99" s="444"/>
      <c r="M99" s="444"/>
      <c r="N99" s="444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customHeight="1" x14ac:dyDescent="0.2">
      <c r="A100" s="13"/>
      <c r="B100" s="14"/>
      <c r="C100" s="14"/>
      <c r="D100" s="14"/>
      <c r="E100" s="444"/>
      <c r="F100" s="444"/>
      <c r="G100" s="444"/>
      <c r="H100" s="444"/>
      <c r="I100" s="444"/>
      <c r="J100" s="444"/>
      <c r="K100" s="444"/>
      <c r="L100" s="444"/>
      <c r="M100" s="444"/>
      <c r="N100" s="444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customHeight="1" x14ac:dyDescent="0.2">
      <c r="A101" s="13"/>
      <c r="B101" s="14"/>
      <c r="C101" s="14"/>
      <c r="D101" s="14"/>
      <c r="E101" s="444"/>
      <c r="F101" s="444"/>
      <c r="G101" s="444"/>
      <c r="H101" s="444"/>
      <c r="I101" s="444"/>
      <c r="J101" s="444"/>
      <c r="K101" s="444"/>
      <c r="L101" s="444"/>
      <c r="M101" s="444"/>
      <c r="N101" s="444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customHeight="1" x14ac:dyDescent="0.2">
      <c r="A102" s="13"/>
      <c r="B102" s="14"/>
      <c r="C102" s="14"/>
      <c r="D102" s="14"/>
      <c r="E102" s="444"/>
      <c r="F102" s="444"/>
      <c r="G102" s="444"/>
      <c r="H102" s="444"/>
      <c r="I102" s="444"/>
      <c r="J102" s="444"/>
      <c r="K102" s="444"/>
      <c r="L102" s="444"/>
      <c r="M102" s="444"/>
      <c r="N102" s="444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customHeight="1" x14ac:dyDescent="0.2">
      <c r="A103" s="13"/>
      <c r="B103" s="14"/>
      <c r="C103" s="14"/>
      <c r="D103" s="14"/>
      <c r="E103" s="444"/>
      <c r="F103" s="444"/>
      <c r="G103" s="444"/>
      <c r="H103" s="444"/>
      <c r="I103" s="444"/>
      <c r="J103" s="444"/>
      <c r="K103" s="444"/>
      <c r="L103" s="444"/>
      <c r="M103" s="444"/>
      <c r="N103" s="444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customHeight="1" x14ac:dyDescent="0.2">
      <c r="A104" s="13"/>
      <c r="B104" s="14"/>
      <c r="C104" s="14"/>
      <c r="D104" s="14"/>
      <c r="E104" s="444"/>
      <c r="F104" s="444"/>
      <c r="G104" s="444"/>
      <c r="H104" s="444"/>
      <c r="I104" s="444"/>
      <c r="J104" s="444"/>
      <c r="K104" s="444"/>
      <c r="L104" s="444"/>
      <c r="M104" s="444"/>
      <c r="N104" s="444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customHeight="1" x14ac:dyDescent="0.2">
      <c r="A105" s="13"/>
      <c r="B105" s="14"/>
      <c r="C105" s="14"/>
      <c r="D105" s="14"/>
      <c r="E105" s="444"/>
      <c r="F105" s="444"/>
      <c r="G105" s="444"/>
      <c r="H105" s="444"/>
      <c r="I105" s="444"/>
      <c r="J105" s="444"/>
      <c r="K105" s="444"/>
      <c r="L105" s="444"/>
      <c r="M105" s="444"/>
      <c r="N105" s="444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customHeight="1" x14ac:dyDescent="0.2">
      <c r="A106" s="13"/>
      <c r="B106" s="14"/>
      <c r="C106" s="14"/>
      <c r="D106" s="14"/>
      <c r="E106" s="444"/>
      <c r="F106" s="444"/>
      <c r="G106" s="444"/>
      <c r="H106" s="444"/>
      <c r="I106" s="444"/>
      <c r="J106" s="444"/>
      <c r="K106" s="444"/>
      <c r="L106" s="444"/>
      <c r="M106" s="444"/>
      <c r="N106" s="444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customHeight="1" x14ac:dyDescent="0.2">
      <c r="A107" s="13"/>
      <c r="B107" s="14"/>
      <c r="C107" s="14"/>
      <c r="D107" s="14"/>
      <c r="E107" s="444"/>
      <c r="F107" s="444"/>
      <c r="G107" s="444"/>
      <c r="H107" s="444"/>
      <c r="I107" s="444"/>
      <c r="J107" s="444"/>
      <c r="K107" s="444"/>
      <c r="L107" s="444"/>
      <c r="M107" s="444"/>
      <c r="N107" s="444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customHeight="1" x14ac:dyDescent="0.2">
      <c r="A108" s="13"/>
      <c r="B108" s="14"/>
      <c r="C108" s="14"/>
      <c r="D108" s="14"/>
      <c r="E108" s="444"/>
      <c r="F108" s="444"/>
      <c r="G108" s="444"/>
      <c r="H108" s="444"/>
      <c r="I108" s="444"/>
      <c r="J108" s="444"/>
      <c r="K108" s="444"/>
      <c r="L108" s="444"/>
      <c r="M108" s="444"/>
      <c r="N108" s="444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customHeight="1" x14ac:dyDescent="0.2">
      <c r="A109" s="13"/>
      <c r="B109" s="14"/>
      <c r="C109" s="14"/>
      <c r="D109" s="14"/>
      <c r="E109" s="444"/>
      <c r="F109" s="444"/>
      <c r="G109" s="444"/>
      <c r="H109" s="444"/>
      <c r="I109" s="444"/>
      <c r="J109" s="444"/>
      <c r="K109" s="444"/>
      <c r="L109" s="444"/>
      <c r="M109" s="444"/>
      <c r="N109" s="444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customHeight="1" x14ac:dyDescent="0.2">
      <c r="A110" s="13"/>
      <c r="B110" s="14"/>
      <c r="C110" s="14"/>
      <c r="D110" s="14"/>
      <c r="E110" s="444"/>
      <c r="F110" s="444"/>
      <c r="G110" s="444"/>
      <c r="H110" s="444"/>
      <c r="I110" s="444"/>
      <c r="J110" s="444"/>
      <c r="K110" s="444"/>
      <c r="L110" s="444"/>
      <c r="M110" s="444"/>
      <c r="N110" s="444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customHeight="1" x14ac:dyDescent="0.2">
      <c r="A111" s="13"/>
      <c r="B111" s="14"/>
      <c r="C111" s="14"/>
      <c r="D111" s="14"/>
      <c r="E111" s="444"/>
      <c r="F111" s="444"/>
      <c r="G111" s="444"/>
      <c r="H111" s="444"/>
      <c r="I111" s="444"/>
      <c r="J111" s="444"/>
      <c r="K111" s="444"/>
      <c r="L111" s="444"/>
      <c r="M111" s="444"/>
      <c r="N111" s="444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customHeight="1" x14ac:dyDescent="0.2">
      <c r="A112" s="13"/>
      <c r="B112" s="14"/>
      <c r="C112" s="14"/>
      <c r="D112" s="14"/>
      <c r="E112" s="444"/>
      <c r="F112" s="444"/>
      <c r="G112" s="444"/>
      <c r="H112" s="444"/>
      <c r="I112" s="444"/>
      <c r="J112" s="444"/>
      <c r="K112" s="444"/>
      <c r="L112" s="444"/>
      <c r="M112" s="444"/>
      <c r="N112" s="444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customHeight="1" x14ac:dyDescent="0.2">
      <c r="A113" s="13"/>
      <c r="B113" s="14"/>
      <c r="C113" s="14"/>
      <c r="D113" s="14"/>
      <c r="E113" s="444"/>
      <c r="F113" s="444"/>
      <c r="G113" s="444"/>
      <c r="H113" s="444"/>
      <c r="I113" s="444"/>
      <c r="J113" s="444"/>
      <c r="K113" s="444"/>
      <c r="L113" s="444"/>
      <c r="M113" s="444"/>
      <c r="N113" s="444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customHeight="1" x14ac:dyDescent="0.2">
      <c r="A114" s="13"/>
      <c r="B114" s="14"/>
      <c r="C114" s="14"/>
      <c r="D114" s="14"/>
      <c r="E114" s="444"/>
      <c r="F114" s="444"/>
      <c r="G114" s="444"/>
      <c r="H114" s="444"/>
      <c r="I114" s="444"/>
      <c r="J114" s="444"/>
      <c r="K114" s="444"/>
      <c r="L114" s="444"/>
      <c r="M114" s="444"/>
      <c r="N114" s="444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customHeight="1" x14ac:dyDescent="0.2">
      <c r="A115" s="13"/>
      <c r="B115" s="14"/>
      <c r="C115" s="14"/>
      <c r="D115" s="14"/>
      <c r="E115" s="444"/>
      <c r="F115" s="444"/>
      <c r="G115" s="444"/>
      <c r="H115" s="444"/>
      <c r="I115" s="444"/>
      <c r="J115" s="444"/>
      <c r="K115" s="444"/>
      <c r="L115" s="444"/>
      <c r="M115" s="444"/>
      <c r="N115" s="444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 x14ac:dyDescent="0.2">
      <c r="A116" s="13"/>
      <c r="B116" s="14"/>
      <c r="C116" s="14"/>
      <c r="D116" s="14"/>
      <c r="E116" s="444"/>
      <c r="F116" s="444"/>
      <c r="G116" s="444"/>
      <c r="H116" s="444"/>
      <c r="I116" s="444"/>
      <c r="J116" s="444"/>
      <c r="K116" s="444"/>
      <c r="L116" s="444"/>
      <c r="M116" s="444"/>
      <c r="N116" s="444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 x14ac:dyDescent="0.2">
      <c r="A117" s="13"/>
      <c r="B117" s="14"/>
      <c r="C117" s="14"/>
      <c r="D117" s="14"/>
      <c r="E117" s="444"/>
      <c r="F117" s="444"/>
      <c r="G117" s="444"/>
      <c r="H117" s="444"/>
      <c r="I117" s="444"/>
      <c r="J117" s="444"/>
      <c r="K117" s="444"/>
      <c r="L117" s="444"/>
      <c r="M117" s="444"/>
      <c r="N117" s="444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 x14ac:dyDescent="0.2">
      <c r="A118" s="13"/>
      <c r="B118" s="14"/>
      <c r="C118" s="14"/>
      <c r="D118" s="14"/>
      <c r="E118" s="444"/>
      <c r="F118" s="444"/>
      <c r="G118" s="444"/>
      <c r="H118" s="444"/>
      <c r="I118" s="444"/>
      <c r="J118" s="444"/>
      <c r="K118" s="444"/>
      <c r="L118" s="444"/>
      <c r="M118" s="444"/>
      <c r="N118" s="444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 x14ac:dyDescent="0.2">
      <c r="A119" s="13"/>
      <c r="B119" s="14"/>
      <c r="C119" s="14"/>
      <c r="D119" s="14"/>
      <c r="E119" s="444"/>
      <c r="F119" s="444"/>
      <c r="G119" s="444"/>
      <c r="H119" s="444"/>
      <c r="I119" s="444"/>
      <c r="J119" s="444"/>
      <c r="K119" s="444"/>
      <c r="L119" s="444"/>
      <c r="M119" s="444"/>
      <c r="N119" s="444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customHeight="1" x14ac:dyDescent="0.2">
      <c r="A120" s="13"/>
      <c r="B120" s="14"/>
      <c r="C120" s="14"/>
      <c r="D120" s="14"/>
      <c r="E120" s="444"/>
      <c r="F120" s="444"/>
      <c r="G120" s="444"/>
      <c r="H120" s="444"/>
      <c r="I120" s="444"/>
      <c r="J120" s="444"/>
      <c r="K120" s="444"/>
      <c r="L120" s="444"/>
      <c r="M120" s="444"/>
      <c r="N120" s="444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customHeight="1" x14ac:dyDescent="0.2">
      <c r="A121" s="13"/>
      <c r="B121" s="14"/>
      <c r="C121" s="14"/>
      <c r="D121" s="14"/>
      <c r="E121" s="444"/>
      <c r="F121" s="444"/>
      <c r="G121" s="444"/>
      <c r="H121" s="444"/>
      <c r="I121" s="444"/>
      <c r="J121" s="444"/>
      <c r="K121" s="444"/>
      <c r="L121" s="444"/>
      <c r="M121" s="444"/>
      <c r="N121" s="444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customHeight="1" x14ac:dyDescent="0.2">
      <c r="A122" s="13"/>
      <c r="B122" s="14"/>
      <c r="C122" s="14"/>
      <c r="D122" s="14"/>
      <c r="E122" s="444"/>
      <c r="F122" s="444"/>
      <c r="G122" s="444"/>
      <c r="H122" s="444"/>
      <c r="I122" s="444"/>
      <c r="J122" s="444"/>
      <c r="K122" s="444"/>
      <c r="L122" s="444"/>
      <c r="M122" s="444"/>
      <c r="N122" s="444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customHeight="1" x14ac:dyDescent="0.2">
      <c r="A123" s="13"/>
      <c r="B123" s="14"/>
      <c r="C123" s="14"/>
      <c r="D123" s="14"/>
      <c r="E123" s="444"/>
      <c r="F123" s="444"/>
      <c r="G123" s="444"/>
      <c r="H123" s="444"/>
      <c r="I123" s="444"/>
      <c r="J123" s="444"/>
      <c r="K123" s="444"/>
      <c r="L123" s="444"/>
      <c r="M123" s="444"/>
      <c r="N123" s="444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customHeight="1" x14ac:dyDescent="0.2">
      <c r="A124" s="13"/>
      <c r="B124" s="14"/>
      <c r="C124" s="14"/>
      <c r="D124" s="14"/>
      <c r="E124" s="444"/>
      <c r="F124" s="444"/>
      <c r="G124" s="444"/>
      <c r="H124" s="444"/>
      <c r="I124" s="444"/>
      <c r="J124" s="444"/>
      <c r="K124" s="444"/>
      <c r="L124" s="444"/>
      <c r="M124" s="444"/>
      <c r="N124" s="444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customHeight="1" x14ac:dyDescent="0.2">
      <c r="A125" s="13"/>
      <c r="B125" s="14"/>
      <c r="C125" s="14"/>
      <c r="D125" s="14"/>
      <c r="E125" s="444"/>
      <c r="F125" s="444"/>
      <c r="G125" s="444"/>
      <c r="H125" s="444"/>
      <c r="I125" s="444"/>
      <c r="J125" s="444"/>
      <c r="K125" s="444"/>
      <c r="L125" s="444"/>
      <c r="M125" s="444"/>
      <c r="N125" s="444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customHeight="1" x14ac:dyDescent="0.2">
      <c r="A126" s="13"/>
      <c r="B126" s="14"/>
      <c r="C126" s="14"/>
      <c r="D126" s="14"/>
      <c r="E126" s="444"/>
      <c r="F126" s="444"/>
      <c r="G126" s="444"/>
      <c r="H126" s="444"/>
      <c r="I126" s="444"/>
      <c r="J126" s="444"/>
      <c r="K126" s="444"/>
      <c r="L126" s="444"/>
      <c r="M126" s="444"/>
      <c r="N126" s="444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customHeight="1" x14ac:dyDescent="0.2">
      <c r="A127" s="13"/>
      <c r="B127" s="14"/>
      <c r="C127" s="14"/>
      <c r="D127" s="14"/>
      <c r="E127" s="444"/>
      <c r="F127" s="444"/>
      <c r="G127" s="444"/>
      <c r="H127" s="444"/>
      <c r="I127" s="444"/>
      <c r="J127" s="444"/>
      <c r="K127" s="444"/>
      <c r="L127" s="444"/>
      <c r="M127" s="444"/>
      <c r="N127" s="444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customHeight="1" x14ac:dyDescent="0.2">
      <c r="A128" s="13"/>
      <c r="B128" s="14"/>
      <c r="C128" s="14"/>
      <c r="D128" s="14"/>
      <c r="E128" s="444"/>
      <c r="F128" s="444"/>
      <c r="G128" s="444"/>
      <c r="H128" s="444"/>
      <c r="I128" s="444"/>
      <c r="J128" s="444"/>
      <c r="K128" s="444"/>
      <c r="L128" s="444"/>
      <c r="M128" s="444"/>
      <c r="N128" s="444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customHeight="1" x14ac:dyDescent="0.2">
      <c r="A129" s="13"/>
      <c r="B129" s="14"/>
      <c r="C129" s="14"/>
      <c r="D129" s="14"/>
      <c r="E129" s="444"/>
      <c r="F129" s="444"/>
      <c r="G129" s="444"/>
      <c r="H129" s="444"/>
      <c r="I129" s="444"/>
      <c r="J129" s="444"/>
      <c r="K129" s="444"/>
      <c r="L129" s="444"/>
      <c r="M129" s="444"/>
      <c r="N129" s="444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customHeight="1" x14ac:dyDescent="0.2">
      <c r="A130" s="13"/>
      <c r="B130" s="14"/>
      <c r="C130" s="14"/>
      <c r="D130" s="14"/>
      <c r="E130" s="444"/>
      <c r="F130" s="444"/>
      <c r="G130" s="444"/>
      <c r="H130" s="444"/>
      <c r="I130" s="444"/>
      <c r="J130" s="444"/>
      <c r="K130" s="444"/>
      <c r="L130" s="444"/>
      <c r="M130" s="444"/>
      <c r="N130" s="444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customHeight="1" x14ac:dyDescent="0.2">
      <c r="A131" s="13"/>
      <c r="B131" s="14"/>
      <c r="C131" s="14"/>
      <c r="D131" s="14"/>
      <c r="E131" s="444"/>
      <c r="F131" s="444"/>
      <c r="G131" s="444"/>
      <c r="H131" s="444"/>
      <c r="I131" s="444"/>
      <c r="J131" s="444"/>
      <c r="K131" s="444"/>
      <c r="L131" s="444"/>
      <c r="M131" s="444"/>
      <c r="N131" s="444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customHeight="1" x14ac:dyDescent="0.2">
      <c r="A132" s="13"/>
      <c r="B132" s="14"/>
      <c r="C132" s="14"/>
      <c r="D132" s="14"/>
      <c r="E132" s="444"/>
      <c r="F132" s="444"/>
      <c r="G132" s="444"/>
      <c r="H132" s="444"/>
      <c r="I132" s="444"/>
      <c r="J132" s="444"/>
      <c r="K132" s="444"/>
      <c r="L132" s="444"/>
      <c r="M132" s="444"/>
      <c r="N132" s="444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customHeight="1" x14ac:dyDescent="0.2">
      <c r="A133" s="13"/>
      <c r="B133" s="14"/>
      <c r="C133" s="14"/>
      <c r="D133" s="14"/>
      <c r="E133" s="444"/>
      <c r="F133" s="444"/>
      <c r="G133" s="444"/>
      <c r="H133" s="444"/>
      <c r="I133" s="444"/>
      <c r="J133" s="444"/>
      <c r="K133" s="444"/>
      <c r="L133" s="444"/>
      <c r="M133" s="444"/>
      <c r="N133" s="444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customHeight="1" x14ac:dyDescent="0.2">
      <c r="A134" s="13"/>
      <c r="B134" s="14"/>
      <c r="C134" s="14"/>
      <c r="D134" s="14"/>
      <c r="E134" s="444"/>
      <c r="F134" s="444"/>
      <c r="G134" s="444"/>
      <c r="H134" s="444"/>
      <c r="I134" s="444"/>
      <c r="J134" s="444"/>
      <c r="K134" s="444"/>
      <c r="L134" s="444"/>
      <c r="M134" s="444"/>
      <c r="N134" s="444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customHeight="1" x14ac:dyDescent="0.2">
      <c r="A135" s="13"/>
      <c r="B135" s="14"/>
      <c r="C135" s="14"/>
      <c r="D135" s="14"/>
      <c r="E135" s="444"/>
      <c r="F135" s="444"/>
      <c r="G135" s="444"/>
      <c r="H135" s="444"/>
      <c r="I135" s="444"/>
      <c r="J135" s="444"/>
      <c r="K135" s="444"/>
      <c r="L135" s="444"/>
      <c r="M135" s="444"/>
      <c r="N135" s="444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customHeight="1" x14ac:dyDescent="0.2">
      <c r="A136" s="13"/>
      <c r="B136" s="14"/>
      <c r="C136" s="14"/>
      <c r="D136" s="14"/>
      <c r="E136" s="444"/>
      <c r="F136" s="444"/>
      <c r="G136" s="444"/>
      <c r="H136" s="444"/>
      <c r="I136" s="444"/>
      <c r="J136" s="444"/>
      <c r="K136" s="444"/>
      <c r="L136" s="444"/>
      <c r="M136" s="444"/>
      <c r="N136" s="444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customHeight="1" x14ac:dyDescent="0.2">
      <c r="A137" s="13"/>
      <c r="B137" s="14"/>
      <c r="C137" s="14"/>
      <c r="D137" s="14"/>
      <c r="E137" s="444"/>
      <c r="F137" s="444"/>
      <c r="G137" s="444"/>
      <c r="H137" s="444"/>
      <c r="I137" s="444"/>
      <c r="J137" s="444"/>
      <c r="K137" s="444"/>
      <c r="L137" s="444"/>
      <c r="M137" s="444"/>
      <c r="N137" s="444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customHeight="1" x14ac:dyDescent="0.2">
      <c r="A138" s="13"/>
      <c r="B138" s="14"/>
      <c r="C138" s="14"/>
      <c r="D138" s="14"/>
      <c r="E138" s="444"/>
      <c r="F138" s="444"/>
      <c r="G138" s="444"/>
      <c r="H138" s="444"/>
      <c r="I138" s="444"/>
      <c r="J138" s="444"/>
      <c r="K138" s="444"/>
      <c r="L138" s="444"/>
      <c r="M138" s="444"/>
      <c r="N138" s="444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customHeight="1" x14ac:dyDescent="0.2">
      <c r="A139" s="13"/>
      <c r="B139" s="14"/>
      <c r="C139" s="14"/>
      <c r="D139" s="14"/>
      <c r="E139" s="444"/>
      <c r="F139" s="444"/>
      <c r="G139" s="444"/>
      <c r="H139" s="444"/>
      <c r="I139" s="444"/>
      <c r="J139" s="444"/>
      <c r="K139" s="444"/>
      <c r="L139" s="444"/>
      <c r="M139" s="444"/>
      <c r="N139" s="444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customHeight="1" x14ac:dyDescent="0.2">
      <c r="A140" s="13"/>
      <c r="B140" s="14"/>
      <c r="C140" s="14"/>
      <c r="D140" s="14"/>
      <c r="E140" s="444"/>
      <c r="F140" s="444"/>
      <c r="G140" s="444"/>
      <c r="H140" s="444"/>
      <c r="I140" s="444"/>
      <c r="J140" s="444"/>
      <c r="K140" s="444"/>
      <c r="L140" s="444"/>
      <c r="M140" s="444"/>
      <c r="N140" s="444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customHeight="1" x14ac:dyDescent="0.2">
      <c r="A141" s="13"/>
      <c r="B141" s="14"/>
      <c r="C141" s="14"/>
      <c r="D141" s="14"/>
      <c r="E141" s="444"/>
      <c r="F141" s="444"/>
      <c r="G141" s="444"/>
      <c r="H141" s="444"/>
      <c r="I141" s="444"/>
      <c r="J141" s="444"/>
      <c r="K141" s="444"/>
      <c r="L141" s="444"/>
      <c r="M141" s="444"/>
      <c r="N141" s="444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customHeight="1" x14ac:dyDescent="0.2">
      <c r="A142" s="13"/>
      <c r="B142" s="14"/>
      <c r="C142" s="14"/>
      <c r="D142" s="14"/>
      <c r="E142" s="444"/>
      <c r="F142" s="444"/>
      <c r="G142" s="444"/>
      <c r="H142" s="444"/>
      <c r="I142" s="444"/>
      <c r="J142" s="444"/>
      <c r="K142" s="444"/>
      <c r="L142" s="444"/>
      <c r="M142" s="444"/>
      <c r="N142" s="444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customHeight="1" x14ac:dyDescent="0.2">
      <c r="A143" s="13"/>
      <c r="B143" s="14"/>
      <c r="C143" s="14"/>
      <c r="D143" s="14"/>
      <c r="E143" s="444"/>
      <c r="F143" s="444"/>
      <c r="G143" s="444"/>
      <c r="H143" s="444"/>
      <c r="I143" s="444"/>
      <c r="J143" s="444"/>
      <c r="K143" s="444"/>
      <c r="L143" s="444"/>
      <c r="M143" s="444"/>
      <c r="N143" s="444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customHeight="1" x14ac:dyDescent="0.2">
      <c r="A144" s="13"/>
      <c r="B144" s="14"/>
      <c r="C144" s="14"/>
      <c r="D144" s="14"/>
      <c r="E144" s="444"/>
      <c r="F144" s="444"/>
      <c r="G144" s="444"/>
      <c r="H144" s="444"/>
      <c r="I144" s="444"/>
      <c r="J144" s="444"/>
      <c r="K144" s="444"/>
      <c r="L144" s="444"/>
      <c r="M144" s="444"/>
      <c r="N144" s="444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customHeight="1" x14ac:dyDescent="0.2">
      <c r="A145" s="13"/>
      <c r="B145" s="14"/>
      <c r="C145" s="14"/>
      <c r="D145" s="14"/>
      <c r="E145" s="444"/>
      <c r="F145" s="444"/>
      <c r="G145" s="444"/>
      <c r="H145" s="444"/>
      <c r="I145" s="444"/>
      <c r="J145" s="444"/>
      <c r="K145" s="444"/>
      <c r="L145" s="444"/>
      <c r="M145" s="444"/>
      <c r="N145" s="444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customHeight="1" x14ac:dyDescent="0.2">
      <c r="A146" s="13"/>
      <c r="B146" s="14"/>
      <c r="C146" s="14"/>
      <c r="D146" s="14"/>
      <c r="E146" s="444"/>
      <c r="F146" s="444"/>
      <c r="G146" s="444"/>
      <c r="H146" s="444"/>
      <c r="I146" s="444"/>
      <c r="J146" s="444"/>
      <c r="K146" s="444"/>
      <c r="L146" s="444"/>
      <c r="M146" s="444"/>
      <c r="N146" s="444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customHeight="1" x14ac:dyDescent="0.2">
      <c r="A147" s="13"/>
      <c r="B147" s="14"/>
      <c r="C147" s="14"/>
      <c r="D147" s="14"/>
      <c r="E147" s="444"/>
      <c r="F147" s="444"/>
      <c r="G147" s="444"/>
      <c r="H147" s="444"/>
      <c r="I147" s="444"/>
      <c r="J147" s="444"/>
      <c r="K147" s="444"/>
      <c r="L147" s="444"/>
      <c r="M147" s="444"/>
      <c r="N147" s="444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customHeight="1" x14ac:dyDescent="0.2">
      <c r="A148" s="13"/>
      <c r="B148" s="14"/>
      <c r="C148" s="14"/>
      <c r="D148" s="14"/>
      <c r="E148" s="444"/>
      <c r="F148" s="444"/>
      <c r="G148" s="444"/>
      <c r="H148" s="444"/>
      <c r="I148" s="444"/>
      <c r="J148" s="444"/>
      <c r="K148" s="444"/>
      <c r="L148" s="444"/>
      <c r="M148" s="444"/>
      <c r="N148" s="444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customHeight="1" x14ac:dyDescent="0.2">
      <c r="A149" s="13"/>
      <c r="B149" s="14"/>
      <c r="C149" s="14"/>
      <c r="D149" s="14"/>
      <c r="E149" s="444"/>
      <c r="F149" s="444"/>
      <c r="G149" s="444"/>
      <c r="H149" s="444"/>
      <c r="I149" s="444"/>
      <c r="J149" s="444"/>
      <c r="K149" s="444"/>
      <c r="L149" s="444"/>
      <c r="M149" s="444"/>
      <c r="N149" s="444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customHeight="1" x14ac:dyDescent="0.2">
      <c r="A150" s="13"/>
      <c r="B150" s="14"/>
      <c r="C150" s="14"/>
      <c r="D150" s="14"/>
      <c r="E150" s="444"/>
      <c r="F150" s="444"/>
      <c r="G150" s="444"/>
      <c r="H150" s="444"/>
      <c r="I150" s="444"/>
      <c r="J150" s="444"/>
      <c r="K150" s="444"/>
      <c r="L150" s="444"/>
      <c r="M150" s="444"/>
      <c r="N150" s="444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customHeight="1" x14ac:dyDescent="0.2">
      <c r="A151" s="13"/>
      <c r="B151" s="14"/>
      <c r="C151" s="14"/>
      <c r="D151" s="14"/>
      <c r="E151" s="444"/>
      <c r="F151" s="444"/>
      <c r="G151" s="444"/>
      <c r="H151" s="444"/>
      <c r="I151" s="444"/>
      <c r="J151" s="444"/>
      <c r="K151" s="444"/>
      <c r="L151" s="444"/>
      <c r="M151" s="444"/>
      <c r="N151" s="444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customHeight="1" x14ac:dyDescent="0.2">
      <c r="A152" s="13"/>
      <c r="B152" s="14"/>
      <c r="C152" s="14"/>
      <c r="D152" s="14"/>
      <c r="E152" s="444"/>
      <c r="F152" s="444"/>
      <c r="G152" s="444"/>
      <c r="H152" s="444"/>
      <c r="I152" s="444"/>
      <c r="J152" s="444"/>
      <c r="K152" s="444"/>
      <c r="L152" s="444"/>
      <c r="M152" s="444"/>
      <c r="N152" s="444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customHeight="1" x14ac:dyDescent="0.2">
      <c r="A153" s="13"/>
      <c r="B153" s="14"/>
      <c r="C153" s="14"/>
      <c r="D153" s="14"/>
      <c r="E153" s="444"/>
      <c r="F153" s="444"/>
      <c r="G153" s="444"/>
      <c r="H153" s="444"/>
      <c r="I153" s="444"/>
      <c r="J153" s="444"/>
      <c r="K153" s="444"/>
      <c r="L153" s="444"/>
      <c r="M153" s="444"/>
      <c r="N153" s="444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customHeight="1" x14ac:dyDescent="0.2">
      <c r="A154" s="13"/>
      <c r="B154" s="14"/>
      <c r="C154" s="14"/>
      <c r="D154" s="14"/>
      <c r="E154" s="444"/>
      <c r="F154" s="444"/>
      <c r="G154" s="444"/>
      <c r="H154" s="444"/>
      <c r="I154" s="444"/>
      <c r="J154" s="444"/>
      <c r="K154" s="444"/>
      <c r="L154" s="444"/>
      <c r="M154" s="444"/>
      <c r="N154" s="444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customHeight="1" x14ac:dyDescent="0.2">
      <c r="A155" s="13"/>
      <c r="B155" s="14"/>
      <c r="C155" s="14"/>
      <c r="D155" s="14"/>
      <c r="E155" s="444"/>
      <c r="F155" s="444"/>
      <c r="G155" s="444"/>
      <c r="H155" s="444"/>
      <c r="I155" s="444"/>
      <c r="J155" s="444"/>
      <c r="K155" s="444"/>
      <c r="L155" s="444"/>
      <c r="M155" s="444"/>
      <c r="N155" s="444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customHeight="1" x14ac:dyDescent="0.2">
      <c r="A156" s="13"/>
      <c r="B156" s="14"/>
      <c r="C156" s="14"/>
      <c r="D156" s="14"/>
      <c r="E156" s="444"/>
      <c r="F156" s="444"/>
      <c r="G156" s="444"/>
      <c r="H156" s="444"/>
      <c r="I156" s="444"/>
      <c r="J156" s="444"/>
      <c r="K156" s="444"/>
      <c r="L156" s="444"/>
      <c r="M156" s="444"/>
      <c r="N156" s="444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customHeight="1" x14ac:dyDescent="0.2">
      <c r="A157" s="13"/>
      <c r="B157" s="14"/>
      <c r="C157" s="14"/>
      <c r="D157" s="14"/>
      <c r="E157" s="444"/>
      <c r="F157" s="444"/>
      <c r="G157" s="444"/>
      <c r="H157" s="444"/>
      <c r="I157" s="444"/>
      <c r="J157" s="444"/>
      <c r="K157" s="444"/>
      <c r="L157" s="444"/>
      <c r="M157" s="444"/>
      <c r="N157" s="444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customHeight="1" x14ac:dyDescent="0.2">
      <c r="A158" s="13"/>
      <c r="B158" s="14"/>
      <c r="C158" s="14"/>
      <c r="D158" s="14"/>
      <c r="E158" s="444"/>
      <c r="F158" s="444"/>
      <c r="G158" s="444"/>
      <c r="H158" s="444"/>
      <c r="I158" s="444"/>
      <c r="J158" s="444"/>
      <c r="K158" s="444"/>
      <c r="L158" s="444"/>
      <c r="M158" s="444"/>
      <c r="N158" s="444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customHeight="1" x14ac:dyDescent="0.2">
      <c r="A159" s="13"/>
      <c r="B159" s="14"/>
      <c r="C159" s="14"/>
      <c r="D159" s="14"/>
      <c r="E159" s="444"/>
      <c r="F159" s="444"/>
      <c r="G159" s="444"/>
      <c r="H159" s="444"/>
      <c r="I159" s="444"/>
      <c r="J159" s="444"/>
      <c r="K159" s="444"/>
      <c r="L159" s="444"/>
      <c r="M159" s="444"/>
      <c r="N159" s="444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customHeight="1" x14ac:dyDescent="0.2">
      <c r="A160" s="13"/>
      <c r="B160" s="14"/>
      <c r="C160" s="14"/>
      <c r="D160" s="14"/>
      <c r="E160" s="444"/>
      <c r="F160" s="444"/>
      <c r="G160" s="444"/>
      <c r="H160" s="444"/>
      <c r="I160" s="444"/>
      <c r="J160" s="444"/>
      <c r="K160" s="444"/>
      <c r="L160" s="444"/>
      <c r="M160" s="444"/>
      <c r="N160" s="444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customHeight="1" x14ac:dyDescent="0.2">
      <c r="A161" s="13"/>
      <c r="B161" s="14"/>
      <c r="C161" s="14"/>
      <c r="D161" s="14"/>
      <c r="E161" s="444"/>
      <c r="F161" s="444"/>
      <c r="G161" s="444"/>
      <c r="H161" s="444"/>
      <c r="I161" s="444"/>
      <c r="J161" s="444"/>
      <c r="K161" s="444"/>
      <c r="L161" s="444"/>
      <c r="M161" s="444"/>
      <c r="N161" s="444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customHeight="1" x14ac:dyDescent="0.2">
      <c r="A162" s="13"/>
      <c r="B162" s="14"/>
      <c r="C162" s="14"/>
      <c r="D162" s="14"/>
      <c r="E162" s="444"/>
      <c r="F162" s="444"/>
      <c r="G162" s="444"/>
      <c r="H162" s="444"/>
      <c r="I162" s="444"/>
      <c r="J162" s="444"/>
      <c r="K162" s="444"/>
      <c r="L162" s="444"/>
      <c r="M162" s="444"/>
      <c r="N162" s="444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customHeight="1" x14ac:dyDescent="0.2">
      <c r="A163" s="13"/>
      <c r="B163" s="14"/>
      <c r="C163" s="14"/>
      <c r="D163" s="14"/>
      <c r="E163" s="444"/>
      <c r="F163" s="444"/>
      <c r="G163" s="444"/>
      <c r="H163" s="444"/>
      <c r="I163" s="444"/>
      <c r="J163" s="444"/>
      <c r="K163" s="444"/>
      <c r="L163" s="444"/>
      <c r="M163" s="444"/>
      <c r="N163" s="444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customHeight="1" x14ac:dyDescent="0.2">
      <c r="A164" s="13"/>
      <c r="B164" s="14"/>
      <c r="C164" s="14"/>
      <c r="D164" s="14"/>
      <c r="E164" s="444"/>
      <c r="F164" s="444"/>
      <c r="G164" s="444"/>
      <c r="H164" s="444"/>
      <c r="I164" s="444"/>
      <c r="J164" s="444"/>
      <c r="K164" s="444"/>
      <c r="L164" s="444"/>
      <c r="M164" s="444"/>
      <c r="N164" s="444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customHeight="1" x14ac:dyDescent="0.2">
      <c r="A165" s="13"/>
      <c r="B165" s="14"/>
      <c r="C165" s="14"/>
      <c r="D165" s="14"/>
      <c r="E165" s="444"/>
      <c r="F165" s="444"/>
      <c r="G165" s="444"/>
      <c r="H165" s="444"/>
      <c r="I165" s="444"/>
      <c r="J165" s="444"/>
      <c r="K165" s="444"/>
      <c r="L165" s="444"/>
      <c r="M165" s="444"/>
      <c r="N165" s="444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customHeight="1" x14ac:dyDescent="0.2">
      <c r="A166" s="13"/>
      <c r="B166" s="14"/>
      <c r="C166" s="14"/>
      <c r="D166" s="14"/>
      <c r="E166" s="444"/>
      <c r="F166" s="444"/>
      <c r="G166" s="444"/>
      <c r="H166" s="444"/>
      <c r="I166" s="444"/>
      <c r="J166" s="444"/>
      <c r="K166" s="444"/>
      <c r="L166" s="444"/>
      <c r="M166" s="444"/>
      <c r="N166" s="444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customHeight="1" x14ac:dyDescent="0.2">
      <c r="A167" s="13"/>
      <c r="B167" s="14"/>
      <c r="C167" s="14"/>
      <c r="D167" s="14"/>
      <c r="E167" s="444"/>
      <c r="F167" s="444"/>
      <c r="G167" s="444"/>
      <c r="H167" s="444"/>
      <c r="I167" s="444"/>
      <c r="J167" s="444"/>
      <c r="K167" s="444"/>
      <c r="L167" s="444"/>
      <c r="M167" s="444"/>
      <c r="N167" s="444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customHeight="1" x14ac:dyDescent="0.2">
      <c r="A168" s="13"/>
      <c r="B168" s="14"/>
      <c r="C168" s="14"/>
      <c r="D168" s="14"/>
      <c r="E168" s="444"/>
      <c r="F168" s="444"/>
      <c r="G168" s="444"/>
      <c r="H168" s="444"/>
      <c r="I168" s="444"/>
      <c r="J168" s="444"/>
      <c r="K168" s="444"/>
      <c r="L168" s="444"/>
      <c r="M168" s="444"/>
      <c r="N168" s="444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customHeight="1" x14ac:dyDescent="0.2">
      <c r="A169" s="13"/>
      <c r="B169" s="14"/>
      <c r="C169" s="14"/>
      <c r="D169" s="14"/>
      <c r="E169" s="444"/>
      <c r="F169" s="444"/>
      <c r="G169" s="444"/>
      <c r="H169" s="444"/>
      <c r="I169" s="444"/>
      <c r="J169" s="444"/>
      <c r="K169" s="444"/>
      <c r="L169" s="444"/>
      <c r="M169" s="444"/>
      <c r="N169" s="444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customHeight="1" x14ac:dyDescent="0.2">
      <c r="A170" s="13"/>
      <c r="B170" s="14"/>
      <c r="C170" s="14"/>
      <c r="D170" s="14"/>
      <c r="E170" s="444"/>
      <c r="F170" s="444"/>
      <c r="G170" s="444"/>
      <c r="H170" s="444"/>
      <c r="I170" s="444"/>
      <c r="J170" s="444"/>
      <c r="K170" s="444"/>
      <c r="L170" s="444"/>
      <c r="M170" s="444"/>
      <c r="N170" s="444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customHeight="1" x14ac:dyDescent="0.2">
      <c r="A171" s="13"/>
      <c r="B171" s="14"/>
      <c r="C171" s="14"/>
      <c r="D171" s="14"/>
      <c r="E171" s="444"/>
      <c r="F171" s="444"/>
      <c r="G171" s="444"/>
      <c r="H171" s="444"/>
      <c r="I171" s="444"/>
      <c r="J171" s="444"/>
      <c r="K171" s="444"/>
      <c r="L171" s="444"/>
      <c r="M171" s="444"/>
      <c r="N171" s="444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customHeight="1" x14ac:dyDescent="0.2">
      <c r="A172" s="13"/>
      <c r="B172" s="14"/>
      <c r="C172" s="14"/>
      <c r="D172" s="14"/>
      <c r="E172" s="444"/>
      <c r="F172" s="444"/>
      <c r="G172" s="444"/>
      <c r="H172" s="444"/>
      <c r="I172" s="444"/>
      <c r="J172" s="444"/>
      <c r="K172" s="444"/>
      <c r="L172" s="444"/>
      <c r="M172" s="444"/>
      <c r="N172" s="444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customHeight="1" x14ac:dyDescent="0.2">
      <c r="A173" s="13"/>
      <c r="B173" s="14"/>
      <c r="C173" s="14"/>
      <c r="D173" s="14"/>
      <c r="E173" s="444"/>
      <c r="F173" s="444"/>
      <c r="G173" s="444"/>
      <c r="H173" s="444"/>
      <c r="I173" s="444"/>
      <c r="J173" s="444"/>
      <c r="K173" s="444"/>
      <c r="L173" s="444"/>
      <c r="M173" s="444"/>
      <c r="N173" s="444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customHeight="1" x14ac:dyDescent="0.2">
      <c r="A174" s="13"/>
      <c r="B174" s="14"/>
      <c r="C174" s="14"/>
      <c r="D174" s="14"/>
      <c r="E174" s="444"/>
      <c r="F174" s="444"/>
      <c r="G174" s="444"/>
      <c r="H174" s="444"/>
      <c r="I174" s="444"/>
      <c r="J174" s="444"/>
      <c r="K174" s="444"/>
      <c r="L174" s="444"/>
      <c r="M174" s="444"/>
      <c r="N174" s="444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customHeight="1" x14ac:dyDescent="0.2">
      <c r="A175" s="13"/>
      <c r="B175" s="14"/>
      <c r="C175" s="14"/>
      <c r="D175" s="14"/>
      <c r="E175" s="444"/>
      <c r="F175" s="444"/>
      <c r="G175" s="444"/>
      <c r="H175" s="444"/>
      <c r="I175" s="444"/>
      <c r="J175" s="444"/>
      <c r="K175" s="444"/>
      <c r="L175" s="444"/>
      <c r="M175" s="444"/>
      <c r="N175" s="444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customHeight="1" x14ac:dyDescent="0.2">
      <c r="A176" s="13"/>
      <c r="B176" s="14"/>
      <c r="C176" s="14"/>
      <c r="D176" s="14"/>
      <c r="E176" s="444"/>
      <c r="F176" s="444"/>
      <c r="G176" s="444"/>
      <c r="H176" s="444"/>
      <c r="I176" s="444"/>
      <c r="J176" s="444"/>
      <c r="K176" s="444"/>
      <c r="L176" s="444"/>
      <c r="M176" s="444"/>
      <c r="N176" s="444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customHeight="1" x14ac:dyDescent="0.2">
      <c r="A177" s="13"/>
      <c r="B177" s="14"/>
      <c r="C177" s="14"/>
      <c r="D177" s="14"/>
      <c r="E177" s="444"/>
      <c r="F177" s="444"/>
      <c r="G177" s="444"/>
      <c r="H177" s="444"/>
      <c r="I177" s="444"/>
      <c r="J177" s="444"/>
      <c r="K177" s="444"/>
      <c r="L177" s="444"/>
      <c r="M177" s="444"/>
      <c r="N177" s="444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customHeight="1" x14ac:dyDescent="0.2">
      <c r="A178" s="13"/>
      <c r="B178" s="14"/>
      <c r="C178" s="14"/>
      <c r="D178" s="14"/>
      <c r="E178" s="444"/>
      <c r="F178" s="444"/>
      <c r="G178" s="444"/>
      <c r="H178" s="444"/>
      <c r="I178" s="444"/>
      <c r="J178" s="444"/>
      <c r="K178" s="444"/>
      <c r="L178" s="444"/>
      <c r="M178" s="444"/>
      <c r="N178" s="444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customHeight="1" x14ac:dyDescent="0.2">
      <c r="A179" s="13"/>
      <c r="B179" s="14"/>
      <c r="C179" s="14"/>
      <c r="D179" s="14"/>
      <c r="E179" s="444"/>
      <c r="F179" s="444"/>
      <c r="G179" s="444"/>
      <c r="H179" s="444"/>
      <c r="I179" s="444"/>
      <c r="J179" s="444"/>
      <c r="K179" s="444"/>
      <c r="L179" s="444"/>
      <c r="M179" s="444"/>
      <c r="N179" s="444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customHeight="1" x14ac:dyDescent="0.2">
      <c r="A180" s="13"/>
      <c r="B180" s="14"/>
      <c r="C180" s="14"/>
      <c r="D180" s="14"/>
      <c r="E180" s="444"/>
      <c r="F180" s="444"/>
      <c r="G180" s="444"/>
      <c r="H180" s="444"/>
      <c r="I180" s="444"/>
      <c r="J180" s="444"/>
      <c r="K180" s="444"/>
      <c r="L180" s="444"/>
      <c r="M180" s="444"/>
      <c r="N180" s="444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customHeight="1" x14ac:dyDescent="0.2">
      <c r="A181" s="13"/>
      <c r="B181" s="14"/>
      <c r="C181" s="14"/>
      <c r="D181" s="14"/>
      <c r="E181" s="444"/>
      <c r="F181" s="444"/>
      <c r="G181" s="444"/>
      <c r="H181" s="444"/>
      <c r="I181" s="444"/>
      <c r="J181" s="444"/>
      <c r="K181" s="444"/>
      <c r="L181" s="444"/>
      <c r="M181" s="444"/>
      <c r="N181" s="444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customHeight="1" x14ac:dyDescent="0.2">
      <c r="A182" s="13"/>
      <c r="B182" s="14"/>
      <c r="C182" s="14"/>
      <c r="D182" s="14"/>
      <c r="E182" s="444"/>
      <c r="F182" s="444"/>
      <c r="G182" s="444"/>
      <c r="H182" s="444"/>
      <c r="I182" s="444"/>
      <c r="J182" s="444"/>
      <c r="K182" s="444"/>
      <c r="L182" s="444"/>
      <c r="M182" s="444"/>
      <c r="N182" s="444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customHeight="1" x14ac:dyDescent="0.2">
      <c r="A183" s="13"/>
      <c r="B183" s="14"/>
      <c r="C183" s="14"/>
      <c r="D183" s="14"/>
      <c r="E183" s="444"/>
      <c r="F183" s="444"/>
      <c r="G183" s="444"/>
      <c r="H183" s="444"/>
      <c r="I183" s="444"/>
      <c r="J183" s="444"/>
      <c r="K183" s="444"/>
      <c r="L183" s="444"/>
      <c r="M183" s="444"/>
      <c r="N183" s="444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customHeight="1" x14ac:dyDescent="0.2">
      <c r="A184" s="13"/>
      <c r="B184" s="14"/>
      <c r="C184" s="14"/>
      <c r="D184" s="14"/>
      <c r="E184" s="444"/>
      <c r="F184" s="444"/>
      <c r="G184" s="444"/>
      <c r="H184" s="444"/>
      <c r="I184" s="444"/>
      <c r="J184" s="444"/>
      <c r="K184" s="444"/>
      <c r="L184" s="444"/>
      <c r="M184" s="444"/>
      <c r="N184" s="444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customHeight="1" x14ac:dyDescent="0.2">
      <c r="A185" s="13"/>
      <c r="B185" s="14"/>
      <c r="C185" s="14"/>
      <c r="D185" s="14"/>
      <c r="E185" s="444"/>
      <c r="F185" s="444"/>
      <c r="G185" s="444"/>
      <c r="H185" s="444"/>
      <c r="I185" s="444"/>
      <c r="J185" s="444"/>
      <c r="K185" s="444"/>
      <c r="L185" s="444"/>
      <c r="M185" s="444"/>
      <c r="N185" s="444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customHeight="1" x14ac:dyDescent="0.2">
      <c r="A186" s="13"/>
      <c r="B186" s="14"/>
      <c r="C186" s="14"/>
      <c r="D186" s="14"/>
      <c r="E186" s="444"/>
      <c r="F186" s="444"/>
      <c r="G186" s="444"/>
      <c r="H186" s="444"/>
      <c r="I186" s="444"/>
      <c r="J186" s="444"/>
      <c r="K186" s="444"/>
      <c r="L186" s="444"/>
      <c r="M186" s="444"/>
      <c r="N186" s="444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customHeight="1" x14ac:dyDescent="0.2">
      <c r="A187" s="13"/>
      <c r="B187" s="14"/>
      <c r="C187" s="14"/>
      <c r="D187" s="14"/>
      <c r="E187" s="444"/>
      <c r="F187" s="444"/>
      <c r="G187" s="444"/>
      <c r="H187" s="444"/>
      <c r="I187" s="444"/>
      <c r="J187" s="444"/>
      <c r="K187" s="444"/>
      <c r="L187" s="444"/>
      <c r="M187" s="444"/>
      <c r="N187" s="444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customHeight="1" x14ac:dyDescent="0.2">
      <c r="A188" s="13"/>
      <c r="B188" s="14"/>
      <c r="C188" s="14"/>
      <c r="D188" s="14"/>
      <c r="E188" s="444"/>
      <c r="F188" s="444"/>
      <c r="G188" s="444"/>
      <c r="H188" s="444"/>
      <c r="I188" s="444"/>
      <c r="J188" s="444"/>
      <c r="K188" s="444"/>
      <c r="L188" s="444"/>
      <c r="M188" s="444"/>
      <c r="N188" s="444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customHeight="1" x14ac:dyDescent="0.2">
      <c r="A189" s="13"/>
      <c r="B189" s="14"/>
      <c r="C189" s="14"/>
      <c r="D189" s="14"/>
      <c r="E189" s="444"/>
      <c r="F189" s="444"/>
      <c r="G189" s="444"/>
      <c r="H189" s="444"/>
      <c r="I189" s="444"/>
      <c r="J189" s="444"/>
      <c r="K189" s="444"/>
      <c r="L189" s="444"/>
      <c r="M189" s="444"/>
      <c r="N189" s="444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customHeight="1" x14ac:dyDescent="0.2">
      <c r="A190" s="13"/>
      <c r="B190" s="14"/>
      <c r="C190" s="14"/>
      <c r="D190" s="14"/>
      <c r="E190" s="444"/>
      <c r="F190" s="444"/>
      <c r="G190" s="444"/>
      <c r="H190" s="444"/>
      <c r="I190" s="444"/>
      <c r="J190" s="444"/>
      <c r="K190" s="444"/>
      <c r="L190" s="444"/>
      <c r="M190" s="444"/>
      <c r="N190" s="444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customHeight="1" x14ac:dyDescent="0.2">
      <c r="A191" s="13"/>
      <c r="B191" s="14"/>
      <c r="C191" s="14"/>
      <c r="D191" s="14"/>
      <c r="E191" s="444"/>
      <c r="F191" s="444"/>
      <c r="G191" s="444"/>
      <c r="H191" s="444"/>
      <c r="I191" s="444"/>
      <c r="J191" s="444"/>
      <c r="K191" s="444"/>
      <c r="L191" s="444"/>
      <c r="M191" s="444"/>
      <c r="N191" s="444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customHeight="1" x14ac:dyDescent="0.2">
      <c r="A192" s="13"/>
      <c r="B192" s="14"/>
      <c r="C192" s="14"/>
      <c r="D192" s="14"/>
      <c r="E192" s="444"/>
      <c r="F192" s="444"/>
      <c r="G192" s="444"/>
      <c r="H192" s="444"/>
      <c r="I192" s="444"/>
      <c r="J192" s="444"/>
      <c r="K192" s="444"/>
      <c r="L192" s="444"/>
      <c r="M192" s="444"/>
      <c r="N192" s="444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customHeight="1" x14ac:dyDescent="0.2">
      <c r="A193" s="13"/>
      <c r="B193" s="14"/>
      <c r="C193" s="14"/>
      <c r="D193" s="14"/>
      <c r="E193" s="444"/>
      <c r="F193" s="444"/>
      <c r="G193" s="444"/>
      <c r="H193" s="444"/>
      <c r="I193" s="444"/>
      <c r="J193" s="444"/>
      <c r="K193" s="444"/>
      <c r="L193" s="444"/>
      <c r="M193" s="444"/>
      <c r="N193" s="444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customHeight="1" x14ac:dyDescent="0.2">
      <c r="A194" s="13"/>
      <c r="B194" s="14"/>
      <c r="C194" s="14"/>
      <c r="D194" s="14"/>
      <c r="E194" s="444"/>
      <c r="F194" s="444"/>
      <c r="G194" s="444"/>
      <c r="H194" s="444"/>
      <c r="I194" s="444"/>
      <c r="J194" s="444"/>
      <c r="K194" s="444"/>
      <c r="L194" s="444"/>
      <c r="M194" s="444"/>
      <c r="N194" s="444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customHeight="1" x14ac:dyDescent="0.2">
      <c r="A195" s="13"/>
      <c r="B195" s="14"/>
      <c r="C195" s="14"/>
      <c r="D195" s="14"/>
      <c r="E195" s="444"/>
      <c r="F195" s="444"/>
      <c r="G195" s="444"/>
      <c r="H195" s="444"/>
      <c r="I195" s="444"/>
      <c r="J195" s="444"/>
      <c r="K195" s="444"/>
      <c r="L195" s="444"/>
      <c r="M195" s="444"/>
      <c r="N195" s="444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customHeight="1" x14ac:dyDescent="0.2">
      <c r="A196" s="13"/>
      <c r="B196" s="14"/>
      <c r="C196" s="14"/>
      <c r="D196" s="14"/>
      <c r="E196" s="444"/>
      <c r="F196" s="444"/>
      <c r="G196" s="444"/>
      <c r="H196" s="444"/>
      <c r="I196" s="444"/>
      <c r="J196" s="444"/>
      <c r="K196" s="444"/>
      <c r="L196" s="444"/>
      <c r="M196" s="444"/>
      <c r="N196" s="444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customHeight="1" x14ac:dyDescent="0.2">
      <c r="A197" s="13"/>
      <c r="B197" s="14"/>
      <c r="C197" s="14"/>
      <c r="D197" s="14"/>
      <c r="E197" s="444"/>
      <c r="F197" s="444"/>
      <c r="G197" s="444"/>
      <c r="H197" s="444"/>
      <c r="I197" s="444"/>
      <c r="J197" s="444"/>
      <c r="K197" s="444"/>
      <c r="L197" s="444"/>
      <c r="M197" s="444"/>
      <c r="N197" s="444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customHeight="1" x14ac:dyDescent="0.2">
      <c r="A198" s="13"/>
      <c r="B198" s="14"/>
      <c r="C198" s="14"/>
      <c r="D198" s="14"/>
      <c r="E198" s="444"/>
      <c r="F198" s="444"/>
      <c r="G198" s="444"/>
      <c r="H198" s="444"/>
      <c r="I198" s="444"/>
      <c r="J198" s="444"/>
      <c r="K198" s="444"/>
      <c r="L198" s="444"/>
      <c r="M198" s="444"/>
      <c r="N198" s="444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customHeight="1" x14ac:dyDescent="0.2">
      <c r="A199" s="13"/>
      <c r="B199" s="14"/>
      <c r="C199" s="14"/>
      <c r="D199" s="14"/>
      <c r="E199" s="444"/>
      <c r="F199" s="444"/>
      <c r="G199" s="444"/>
      <c r="H199" s="444"/>
      <c r="I199" s="444"/>
      <c r="J199" s="444"/>
      <c r="K199" s="444"/>
      <c r="L199" s="444"/>
      <c r="M199" s="444"/>
      <c r="N199" s="444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customHeight="1" x14ac:dyDescent="0.2">
      <c r="A200" s="13"/>
      <c r="B200" s="14"/>
      <c r="C200" s="14"/>
      <c r="D200" s="14"/>
      <c r="E200" s="444"/>
      <c r="F200" s="444"/>
      <c r="G200" s="444"/>
      <c r="H200" s="444"/>
      <c r="I200" s="444"/>
      <c r="J200" s="444"/>
      <c r="K200" s="444"/>
      <c r="L200" s="444"/>
      <c r="M200" s="444"/>
      <c r="N200" s="444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customHeight="1" x14ac:dyDescent="0.2">
      <c r="A201" s="13"/>
      <c r="B201" s="14"/>
      <c r="C201" s="14"/>
      <c r="D201" s="14"/>
      <c r="E201" s="444"/>
      <c r="F201" s="444"/>
      <c r="G201" s="444"/>
      <c r="H201" s="444"/>
      <c r="I201" s="444"/>
      <c r="J201" s="444"/>
      <c r="K201" s="444"/>
      <c r="L201" s="444"/>
      <c r="M201" s="444"/>
      <c r="N201" s="444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customHeight="1" x14ac:dyDescent="0.2">
      <c r="A202" s="13"/>
      <c r="B202" s="14"/>
      <c r="C202" s="14"/>
      <c r="D202" s="14"/>
      <c r="E202" s="444"/>
      <c r="F202" s="444"/>
      <c r="G202" s="444"/>
      <c r="H202" s="444"/>
      <c r="I202" s="444"/>
      <c r="J202" s="444"/>
      <c r="K202" s="444"/>
      <c r="L202" s="444"/>
      <c r="M202" s="444"/>
      <c r="N202" s="444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customHeight="1" x14ac:dyDescent="0.2">
      <c r="A203" s="13"/>
      <c r="B203" s="14"/>
      <c r="C203" s="14"/>
      <c r="D203" s="14"/>
      <c r="E203" s="444"/>
      <c r="F203" s="444"/>
      <c r="G203" s="444"/>
      <c r="H203" s="444"/>
      <c r="I203" s="444"/>
      <c r="J203" s="444"/>
      <c r="K203" s="444"/>
      <c r="L203" s="444"/>
      <c r="M203" s="444"/>
      <c r="N203" s="444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customHeight="1" x14ac:dyDescent="0.2">
      <c r="A204" s="13"/>
      <c r="B204" s="14"/>
      <c r="C204" s="14"/>
      <c r="D204" s="14"/>
      <c r="E204" s="444"/>
      <c r="F204" s="444"/>
      <c r="G204" s="444"/>
      <c r="H204" s="444"/>
      <c r="I204" s="444"/>
      <c r="J204" s="444"/>
      <c r="K204" s="444"/>
      <c r="L204" s="444"/>
      <c r="M204" s="444"/>
      <c r="N204" s="444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customHeight="1" x14ac:dyDescent="0.2">
      <c r="A205" s="13"/>
      <c r="B205" s="14"/>
      <c r="C205" s="14"/>
      <c r="D205" s="14"/>
      <c r="E205" s="444"/>
      <c r="F205" s="444"/>
      <c r="G205" s="444"/>
      <c r="H205" s="444"/>
      <c r="I205" s="444"/>
      <c r="J205" s="444"/>
      <c r="K205" s="444"/>
      <c r="L205" s="444"/>
      <c r="M205" s="444"/>
      <c r="N205" s="444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customHeight="1" x14ac:dyDescent="0.2">
      <c r="A206" s="13"/>
      <c r="B206" s="14"/>
      <c r="C206" s="14"/>
      <c r="D206" s="14"/>
      <c r="E206" s="444"/>
      <c r="F206" s="444"/>
      <c r="G206" s="444"/>
      <c r="H206" s="444"/>
      <c r="I206" s="444"/>
      <c r="J206" s="444"/>
      <c r="K206" s="444"/>
      <c r="L206" s="444"/>
      <c r="M206" s="444"/>
      <c r="N206" s="444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customHeight="1" x14ac:dyDescent="0.2">
      <c r="A207" s="13"/>
      <c r="B207" s="14"/>
      <c r="C207" s="14"/>
      <c r="D207" s="14"/>
      <c r="E207" s="444"/>
      <c r="F207" s="444"/>
      <c r="G207" s="444"/>
      <c r="H207" s="444"/>
      <c r="I207" s="444"/>
      <c r="J207" s="444"/>
      <c r="K207" s="444"/>
      <c r="L207" s="444"/>
      <c r="M207" s="444"/>
      <c r="N207" s="444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customHeight="1" x14ac:dyDescent="0.2">
      <c r="A208" s="13"/>
      <c r="B208" s="14"/>
      <c r="C208" s="14"/>
      <c r="D208" s="14"/>
      <c r="E208" s="444"/>
      <c r="F208" s="444"/>
      <c r="G208" s="444"/>
      <c r="H208" s="444"/>
      <c r="I208" s="444"/>
      <c r="J208" s="444"/>
      <c r="K208" s="444"/>
      <c r="L208" s="444"/>
      <c r="M208" s="444"/>
      <c r="N208" s="444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customHeight="1" x14ac:dyDescent="0.2">
      <c r="A209" s="13"/>
      <c r="B209" s="14"/>
      <c r="C209" s="14"/>
      <c r="D209" s="14"/>
      <c r="E209" s="444"/>
      <c r="F209" s="444"/>
      <c r="G209" s="444"/>
      <c r="H209" s="444"/>
      <c r="I209" s="444"/>
      <c r="J209" s="444"/>
      <c r="K209" s="444"/>
      <c r="L209" s="444"/>
      <c r="M209" s="444"/>
      <c r="N209" s="444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customHeight="1" x14ac:dyDescent="0.2">
      <c r="A210" s="13"/>
      <c r="B210" s="14"/>
      <c r="C210" s="14"/>
      <c r="D210" s="14"/>
      <c r="E210" s="444"/>
      <c r="F210" s="444"/>
      <c r="G210" s="444"/>
      <c r="H210" s="444"/>
      <c r="I210" s="444"/>
      <c r="J210" s="444"/>
      <c r="K210" s="444"/>
      <c r="L210" s="444"/>
      <c r="M210" s="444"/>
      <c r="N210" s="444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customHeight="1" x14ac:dyDescent="0.2">
      <c r="A211" s="13"/>
      <c r="B211" s="14"/>
      <c r="C211" s="14"/>
      <c r="D211" s="14"/>
      <c r="E211" s="444"/>
      <c r="F211" s="444"/>
      <c r="G211" s="444"/>
      <c r="H211" s="444"/>
      <c r="I211" s="444"/>
      <c r="J211" s="444"/>
      <c r="K211" s="444"/>
      <c r="L211" s="444"/>
      <c r="M211" s="444"/>
      <c r="N211" s="444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customHeight="1" x14ac:dyDescent="0.2">
      <c r="A212" s="13"/>
      <c r="B212" s="14"/>
      <c r="C212" s="14"/>
      <c r="D212" s="14"/>
      <c r="E212" s="444"/>
      <c r="F212" s="444"/>
      <c r="G212" s="444"/>
      <c r="H212" s="444"/>
      <c r="I212" s="444"/>
      <c r="J212" s="444"/>
      <c r="K212" s="444"/>
      <c r="L212" s="444"/>
      <c r="M212" s="444"/>
      <c r="N212" s="444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customHeight="1" x14ac:dyDescent="0.2">
      <c r="A213" s="13"/>
      <c r="B213" s="14"/>
      <c r="C213" s="14"/>
      <c r="D213" s="14"/>
      <c r="E213" s="444"/>
      <c r="F213" s="444"/>
      <c r="G213" s="444"/>
      <c r="H213" s="444"/>
      <c r="I213" s="444"/>
      <c r="J213" s="444"/>
      <c r="K213" s="444"/>
      <c r="L213" s="444"/>
      <c r="M213" s="444"/>
      <c r="N213" s="444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customHeight="1" x14ac:dyDescent="0.2">
      <c r="A214" s="13"/>
      <c r="B214" s="14"/>
      <c r="C214" s="14"/>
      <c r="D214" s="14"/>
      <c r="E214" s="444"/>
      <c r="F214" s="444"/>
      <c r="G214" s="444"/>
      <c r="H214" s="444"/>
      <c r="I214" s="444"/>
      <c r="J214" s="444"/>
      <c r="K214" s="444"/>
      <c r="L214" s="444"/>
      <c r="M214" s="444"/>
      <c r="N214" s="444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customHeight="1" x14ac:dyDescent="0.2">
      <c r="A215" s="13"/>
      <c r="B215" s="14"/>
      <c r="C215" s="14"/>
      <c r="D215" s="14"/>
      <c r="E215" s="444"/>
      <c r="F215" s="444"/>
      <c r="G215" s="444"/>
      <c r="H215" s="444"/>
      <c r="I215" s="444"/>
      <c r="J215" s="444"/>
      <c r="K215" s="444"/>
      <c r="L215" s="444"/>
      <c r="M215" s="444"/>
      <c r="N215" s="444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customHeight="1" x14ac:dyDescent="0.2">
      <c r="A216" s="13"/>
      <c r="B216" s="14"/>
      <c r="C216" s="14"/>
      <c r="D216" s="14"/>
      <c r="E216" s="444"/>
      <c r="F216" s="444"/>
      <c r="G216" s="444"/>
      <c r="H216" s="444"/>
      <c r="I216" s="444"/>
      <c r="J216" s="444"/>
      <c r="K216" s="444"/>
      <c r="L216" s="444"/>
      <c r="M216" s="444"/>
      <c r="N216" s="444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customHeight="1" x14ac:dyDescent="0.2">
      <c r="A217" s="13"/>
      <c r="B217" s="14"/>
      <c r="C217" s="14"/>
      <c r="D217" s="14"/>
      <c r="E217" s="444"/>
      <c r="F217" s="444"/>
      <c r="G217" s="444"/>
      <c r="H217" s="444"/>
      <c r="I217" s="444"/>
      <c r="J217" s="444"/>
      <c r="K217" s="444"/>
      <c r="L217" s="444"/>
      <c r="M217" s="444"/>
      <c r="N217" s="444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customHeight="1" x14ac:dyDescent="0.2">
      <c r="A218" s="13"/>
      <c r="B218" s="14"/>
      <c r="C218" s="14"/>
      <c r="D218" s="14"/>
      <c r="E218" s="444"/>
      <c r="F218" s="444"/>
      <c r="G218" s="444"/>
      <c r="H218" s="444"/>
      <c r="I218" s="444"/>
      <c r="J218" s="444"/>
      <c r="K218" s="444"/>
      <c r="L218" s="444"/>
      <c r="M218" s="444"/>
      <c r="N218" s="444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customHeight="1" x14ac:dyDescent="0.2">
      <c r="A219" s="13"/>
      <c r="B219" s="14"/>
      <c r="C219" s="14"/>
      <c r="D219" s="14"/>
      <c r="E219" s="444"/>
      <c r="F219" s="444"/>
      <c r="G219" s="444"/>
      <c r="H219" s="444"/>
      <c r="I219" s="444"/>
      <c r="J219" s="444"/>
      <c r="K219" s="444"/>
      <c r="L219" s="444"/>
      <c r="M219" s="444"/>
      <c r="N219" s="444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customHeight="1" x14ac:dyDescent="0.2">
      <c r="A220" s="13"/>
      <c r="B220" s="14"/>
      <c r="C220" s="14"/>
      <c r="D220" s="14"/>
      <c r="E220" s="444"/>
      <c r="F220" s="444"/>
      <c r="G220" s="444"/>
      <c r="H220" s="444"/>
      <c r="I220" s="444"/>
      <c r="J220" s="444"/>
      <c r="K220" s="444"/>
      <c r="L220" s="444"/>
      <c r="M220" s="444"/>
      <c r="N220" s="444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">
      <c r="A221" s="13"/>
      <c r="B221" s="14"/>
      <c r="C221" s="14"/>
      <c r="D221" s="14"/>
      <c r="E221" s="444"/>
      <c r="F221" s="444"/>
      <c r="G221" s="444"/>
      <c r="H221" s="444"/>
      <c r="I221" s="444"/>
      <c r="J221" s="444"/>
      <c r="K221" s="444"/>
      <c r="L221" s="444"/>
      <c r="M221" s="444"/>
      <c r="N221" s="444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">
      <c r="A222" s="13"/>
      <c r="B222" s="14"/>
      <c r="C222" s="14"/>
      <c r="D222" s="14"/>
      <c r="E222" s="444"/>
      <c r="F222" s="444"/>
      <c r="G222" s="444"/>
      <c r="H222" s="444"/>
      <c r="I222" s="444"/>
      <c r="J222" s="444"/>
      <c r="K222" s="444"/>
      <c r="L222" s="444"/>
      <c r="M222" s="444"/>
      <c r="N222" s="444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">
      <c r="A223" s="13"/>
      <c r="B223" s="14"/>
      <c r="C223" s="14"/>
      <c r="D223" s="14"/>
      <c r="E223" s="444"/>
      <c r="F223" s="444"/>
      <c r="G223" s="444"/>
      <c r="H223" s="444"/>
      <c r="I223" s="444"/>
      <c r="J223" s="444"/>
      <c r="K223" s="444"/>
      <c r="L223" s="444"/>
      <c r="M223" s="444"/>
      <c r="N223" s="444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">
      <c r="A224" s="13"/>
      <c r="B224" s="14"/>
      <c r="C224" s="14"/>
      <c r="D224" s="14"/>
      <c r="E224" s="444"/>
      <c r="F224" s="444"/>
      <c r="G224" s="444"/>
      <c r="H224" s="444"/>
      <c r="I224" s="444"/>
      <c r="J224" s="444"/>
      <c r="K224" s="444"/>
      <c r="L224" s="444"/>
      <c r="M224" s="444"/>
      <c r="N224" s="444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">
      <c r="A225" s="13"/>
      <c r="B225" s="14"/>
      <c r="C225" s="14"/>
      <c r="D225" s="14"/>
      <c r="E225" s="444"/>
      <c r="F225" s="444"/>
      <c r="G225" s="444"/>
      <c r="H225" s="444"/>
      <c r="I225" s="444"/>
      <c r="J225" s="444"/>
      <c r="K225" s="444"/>
      <c r="L225" s="444"/>
      <c r="M225" s="444"/>
      <c r="N225" s="444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">
      <c r="A226" s="13"/>
      <c r="B226" s="14"/>
      <c r="C226" s="14"/>
      <c r="D226" s="14"/>
      <c r="E226" s="444"/>
      <c r="F226" s="444"/>
      <c r="G226" s="444"/>
      <c r="H226" s="444"/>
      <c r="I226" s="444"/>
      <c r="J226" s="444"/>
      <c r="K226" s="444"/>
      <c r="L226" s="444"/>
      <c r="M226" s="444"/>
      <c r="N226" s="444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">
      <c r="A227" s="13"/>
      <c r="B227" s="14"/>
      <c r="C227" s="14"/>
      <c r="D227" s="14"/>
      <c r="E227" s="444"/>
      <c r="F227" s="444"/>
      <c r="G227" s="444"/>
      <c r="H227" s="444"/>
      <c r="I227" s="444"/>
      <c r="J227" s="444"/>
      <c r="K227" s="444"/>
      <c r="L227" s="444"/>
      <c r="M227" s="444"/>
      <c r="N227" s="444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13"/>
      <c r="B228" s="14"/>
      <c r="C228" s="14"/>
      <c r="D228" s="14"/>
      <c r="E228" s="444"/>
      <c r="F228" s="444"/>
      <c r="G228" s="444"/>
      <c r="H228" s="444"/>
      <c r="I228" s="444"/>
      <c r="J228" s="444"/>
      <c r="K228" s="444"/>
      <c r="L228" s="444"/>
      <c r="M228" s="444"/>
      <c r="N228" s="444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13"/>
      <c r="B229" s="14"/>
      <c r="C229" s="14"/>
      <c r="D229" s="14"/>
      <c r="E229" s="444"/>
      <c r="F229" s="444"/>
      <c r="G229" s="444"/>
      <c r="H229" s="444"/>
      <c r="I229" s="444"/>
      <c r="J229" s="444"/>
      <c r="K229" s="444"/>
      <c r="L229" s="444"/>
      <c r="M229" s="444"/>
      <c r="N229" s="444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13"/>
      <c r="B230" s="14"/>
      <c r="C230" s="14"/>
      <c r="D230" s="14"/>
      <c r="E230" s="444"/>
      <c r="F230" s="444"/>
      <c r="G230" s="444"/>
      <c r="H230" s="444"/>
      <c r="I230" s="444"/>
      <c r="J230" s="444"/>
      <c r="K230" s="444"/>
      <c r="L230" s="444"/>
      <c r="M230" s="444"/>
      <c r="N230" s="444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13"/>
      <c r="B231" s="14"/>
      <c r="C231" s="14"/>
      <c r="D231" s="14"/>
      <c r="E231" s="444"/>
      <c r="F231" s="444"/>
      <c r="G231" s="444"/>
      <c r="H231" s="444"/>
      <c r="I231" s="444"/>
      <c r="J231" s="444"/>
      <c r="K231" s="444"/>
      <c r="L231" s="444"/>
      <c r="M231" s="444"/>
      <c r="N231" s="444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13"/>
      <c r="B232" s="14"/>
      <c r="C232" s="14"/>
      <c r="D232" s="14"/>
      <c r="E232" s="444"/>
      <c r="F232" s="444"/>
      <c r="G232" s="444"/>
      <c r="H232" s="444"/>
      <c r="I232" s="444"/>
      <c r="J232" s="444"/>
      <c r="K232" s="444"/>
      <c r="L232" s="444"/>
      <c r="M232" s="444"/>
      <c r="N232" s="444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13"/>
      <c r="B233" s="14"/>
      <c r="C233" s="14"/>
      <c r="D233" s="14"/>
      <c r="E233" s="444"/>
      <c r="F233" s="444"/>
      <c r="G233" s="444"/>
      <c r="H233" s="444"/>
      <c r="I233" s="444"/>
      <c r="J233" s="444"/>
      <c r="K233" s="444"/>
      <c r="L233" s="444"/>
      <c r="M233" s="444"/>
      <c r="N233" s="444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13"/>
      <c r="B234" s="14"/>
      <c r="C234" s="14"/>
      <c r="D234" s="14"/>
      <c r="E234" s="444"/>
      <c r="F234" s="444"/>
      <c r="G234" s="444"/>
      <c r="H234" s="444"/>
      <c r="I234" s="444"/>
      <c r="J234" s="444"/>
      <c r="K234" s="444"/>
      <c r="L234" s="444"/>
      <c r="M234" s="444"/>
      <c r="N234" s="444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13"/>
      <c r="B235" s="14"/>
      <c r="C235" s="14"/>
      <c r="D235" s="14"/>
      <c r="E235" s="444"/>
      <c r="F235" s="444"/>
      <c r="G235" s="444"/>
      <c r="H235" s="444"/>
      <c r="I235" s="444"/>
      <c r="J235" s="444"/>
      <c r="K235" s="444"/>
      <c r="L235" s="444"/>
      <c r="M235" s="444"/>
      <c r="N235" s="444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13"/>
      <c r="B236" s="14"/>
      <c r="C236" s="14"/>
      <c r="D236" s="14"/>
      <c r="E236" s="444"/>
      <c r="F236" s="444"/>
      <c r="G236" s="444"/>
      <c r="H236" s="444"/>
      <c r="I236" s="444"/>
      <c r="J236" s="444"/>
      <c r="K236" s="444"/>
      <c r="L236" s="444"/>
      <c r="M236" s="444"/>
      <c r="N236" s="444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13"/>
      <c r="B237" s="14"/>
      <c r="C237" s="14"/>
      <c r="D237" s="14"/>
      <c r="E237" s="444"/>
      <c r="F237" s="444"/>
      <c r="G237" s="444"/>
      <c r="H237" s="444"/>
      <c r="I237" s="444"/>
      <c r="J237" s="444"/>
      <c r="K237" s="444"/>
      <c r="L237" s="444"/>
      <c r="M237" s="444"/>
      <c r="N237" s="444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13"/>
      <c r="B238" s="14"/>
      <c r="C238" s="14"/>
      <c r="D238" s="14"/>
      <c r="E238" s="444"/>
      <c r="F238" s="444"/>
      <c r="G238" s="444"/>
      <c r="H238" s="444"/>
      <c r="I238" s="444"/>
      <c r="J238" s="444"/>
      <c r="K238" s="444"/>
      <c r="L238" s="444"/>
      <c r="M238" s="444"/>
      <c r="N238" s="444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13"/>
      <c r="B239" s="14"/>
      <c r="C239" s="14"/>
      <c r="D239" s="14"/>
      <c r="E239" s="444"/>
      <c r="F239" s="444"/>
      <c r="G239" s="444"/>
      <c r="H239" s="444"/>
      <c r="I239" s="444"/>
      <c r="J239" s="444"/>
      <c r="K239" s="444"/>
      <c r="L239" s="444"/>
      <c r="M239" s="444"/>
      <c r="N239" s="444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13"/>
      <c r="B240" s="14"/>
      <c r="C240" s="14"/>
      <c r="D240" s="14"/>
      <c r="E240" s="444"/>
      <c r="F240" s="444"/>
      <c r="G240" s="444"/>
      <c r="H240" s="444"/>
      <c r="I240" s="444"/>
      <c r="J240" s="444"/>
      <c r="K240" s="444"/>
      <c r="L240" s="444"/>
      <c r="M240" s="444"/>
      <c r="N240" s="444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13"/>
      <c r="B241" s="14"/>
      <c r="C241" s="14"/>
      <c r="D241" s="14"/>
      <c r="E241" s="444"/>
      <c r="F241" s="444"/>
      <c r="G241" s="444"/>
      <c r="H241" s="444"/>
      <c r="I241" s="444"/>
      <c r="J241" s="444"/>
      <c r="K241" s="444"/>
      <c r="L241" s="444"/>
      <c r="M241" s="444"/>
      <c r="N241" s="444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13"/>
      <c r="B242" s="14"/>
      <c r="C242" s="14"/>
      <c r="D242" s="14"/>
      <c r="E242" s="444"/>
      <c r="F242" s="444"/>
      <c r="G242" s="444"/>
      <c r="H242" s="444"/>
      <c r="I242" s="444"/>
      <c r="J242" s="444"/>
      <c r="K242" s="444"/>
      <c r="L242" s="444"/>
      <c r="M242" s="444"/>
      <c r="N242" s="444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13"/>
      <c r="B243" s="14"/>
      <c r="C243" s="14"/>
      <c r="D243" s="14"/>
      <c r="E243" s="444"/>
      <c r="F243" s="444"/>
      <c r="G243" s="444"/>
      <c r="H243" s="444"/>
      <c r="I243" s="444"/>
      <c r="J243" s="444"/>
      <c r="K243" s="444"/>
      <c r="L243" s="444"/>
      <c r="M243" s="444"/>
      <c r="N243" s="444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13"/>
      <c r="B244" s="14"/>
      <c r="C244" s="14"/>
      <c r="D244" s="14"/>
      <c r="E244" s="444"/>
      <c r="F244" s="444"/>
      <c r="G244" s="444"/>
      <c r="H244" s="444"/>
      <c r="I244" s="444"/>
      <c r="J244" s="444"/>
      <c r="K244" s="444"/>
      <c r="L244" s="444"/>
      <c r="M244" s="444"/>
      <c r="N244" s="444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13"/>
      <c r="B245" s="14"/>
      <c r="C245" s="14"/>
      <c r="D245" s="14"/>
      <c r="E245" s="444"/>
      <c r="F245" s="444"/>
      <c r="G245" s="444"/>
      <c r="H245" s="444"/>
      <c r="I245" s="444"/>
      <c r="J245" s="444"/>
      <c r="K245" s="444"/>
      <c r="L245" s="444"/>
      <c r="M245" s="444"/>
      <c r="N245" s="444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13"/>
      <c r="B246" s="14"/>
      <c r="C246" s="14"/>
      <c r="D246" s="14"/>
      <c r="E246" s="444"/>
      <c r="F246" s="444"/>
      <c r="G246" s="444"/>
      <c r="H246" s="444"/>
      <c r="I246" s="444"/>
      <c r="J246" s="444"/>
      <c r="K246" s="444"/>
      <c r="L246" s="444"/>
      <c r="M246" s="444"/>
      <c r="N246" s="444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13"/>
      <c r="B247" s="14"/>
      <c r="C247" s="14"/>
      <c r="D247" s="14"/>
      <c r="E247" s="444"/>
      <c r="F247" s="444"/>
      <c r="G247" s="444"/>
      <c r="H247" s="444"/>
      <c r="I247" s="444"/>
      <c r="J247" s="444"/>
      <c r="K247" s="444"/>
      <c r="L247" s="444"/>
      <c r="M247" s="444"/>
      <c r="N247" s="444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13"/>
      <c r="B248" s="14"/>
      <c r="C248" s="14"/>
      <c r="D248" s="14"/>
      <c r="E248" s="444"/>
      <c r="F248" s="444"/>
      <c r="G248" s="444"/>
      <c r="H248" s="444"/>
      <c r="I248" s="444"/>
      <c r="J248" s="444"/>
      <c r="K248" s="444"/>
      <c r="L248" s="444"/>
      <c r="M248" s="444"/>
      <c r="N248" s="444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13"/>
      <c r="B249" s="14"/>
      <c r="C249" s="14"/>
      <c r="D249" s="14"/>
      <c r="E249" s="444"/>
      <c r="F249" s="444"/>
      <c r="G249" s="444"/>
      <c r="H249" s="444"/>
      <c r="I249" s="444"/>
      <c r="J249" s="444"/>
      <c r="K249" s="444"/>
      <c r="L249" s="444"/>
      <c r="M249" s="444"/>
      <c r="N249" s="444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13"/>
      <c r="B250" s="14"/>
      <c r="C250" s="14"/>
      <c r="D250" s="14"/>
      <c r="E250" s="444"/>
      <c r="F250" s="444"/>
      <c r="G250" s="444"/>
      <c r="H250" s="444"/>
      <c r="I250" s="444"/>
      <c r="J250" s="444"/>
      <c r="K250" s="444"/>
      <c r="L250" s="444"/>
      <c r="M250" s="444"/>
      <c r="N250" s="444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13"/>
      <c r="B251" s="14"/>
      <c r="C251" s="14"/>
      <c r="D251" s="14"/>
      <c r="E251" s="444"/>
      <c r="F251" s="444"/>
      <c r="G251" s="444"/>
      <c r="H251" s="444"/>
      <c r="I251" s="444"/>
      <c r="J251" s="444"/>
      <c r="K251" s="444"/>
      <c r="L251" s="444"/>
      <c r="M251" s="444"/>
      <c r="N251" s="444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13"/>
      <c r="B252" s="14"/>
      <c r="C252" s="14"/>
      <c r="D252" s="14"/>
      <c r="E252" s="444"/>
      <c r="F252" s="444"/>
      <c r="G252" s="444"/>
      <c r="H252" s="444"/>
      <c r="I252" s="444"/>
      <c r="J252" s="444"/>
      <c r="K252" s="444"/>
      <c r="L252" s="444"/>
      <c r="M252" s="444"/>
      <c r="N252" s="444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13"/>
      <c r="B253" s="14"/>
      <c r="C253" s="14"/>
      <c r="D253" s="14"/>
      <c r="E253" s="444"/>
      <c r="F253" s="444"/>
      <c r="G253" s="444"/>
      <c r="H253" s="444"/>
      <c r="I253" s="444"/>
      <c r="J253" s="444"/>
      <c r="K253" s="444"/>
      <c r="L253" s="444"/>
      <c r="M253" s="444"/>
      <c r="N253" s="444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13"/>
      <c r="B254" s="14"/>
      <c r="C254" s="14"/>
      <c r="D254" s="14"/>
      <c r="E254" s="444"/>
      <c r="F254" s="444"/>
      <c r="G254" s="444"/>
      <c r="H254" s="444"/>
      <c r="I254" s="444"/>
      <c r="J254" s="444"/>
      <c r="K254" s="444"/>
      <c r="L254" s="444"/>
      <c r="M254" s="444"/>
      <c r="N254" s="444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13"/>
      <c r="B255" s="14"/>
      <c r="C255" s="14"/>
      <c r="D255" s="14"/>
      <c r="E255" s="444"/>
      <c r="F255" s="444"/>
      <c r="G255" s="444"/>
      <c r="H255" s="444"/>
      <c r="I255" s="444"/>
      <c r="J255" s="444"/>
      <c r="K255" s="444"/>
      <c r="L255" s="444"/>
      <c r="M255" s="444"/>
      <c r="N255" s="444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13"/>
      <c r="B256" s="14"/>
      <c r="C256" s="14"/>
      <c r="D256" s="14"/>
      <c r="E256" s="444"/>
      <c r="F256" s="444"/>
      <c r="G256" s="444"/>
      <c r="H256" s="444"/>
      <c r="I256" s="444"/>
      <c r="J256" s="444"/>
      <c r="K256" s="444"/>
      <c r="L256" s="444"/>
      <c r="M256" s="444"/>
      <c r="N256" s="444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13"/>
      <c r="B257" s="14"/>
      <c r="C257" s="14"/>
      <c r="D257" s="14"/>
      <c r="E257" s="444"/>
      <c r="F257" s="444"/>
      <c r="G257" s="444"/>
      <c r="H257" s="444"/>
      <c r="I257" s="444"/>
      <c r="J257" s="444"/>
      <c r="K257" s="444"/>
      <c r="L257" s="444"/>
      <c r="M257" s="444"/>
      <c r="N257" s="444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13"/>
      <c r="B258" s="14"/>
      <c r="C258" s="14"/>
      <c r="D258" s="14"/>
      <c r="E258" s="444"/>
      <c r="F258" s="444"/>
      <c r="G258" s="444"/>
      <c r="H258" s="444"/>
      <c r="I258" s="444"/>
      <c r="J258" s="444"/>
      <c r="K258" s="444"/>
      <c r="L258" s="444"/>
      <c r="M258" s="444"/>
      <c r="N258" s="444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13"/>
      <c r="B259" s="14"/>
      <c r="C259" s="14"/>
      <c r="D259" s="14"/>
      <c r="E259" s="444"/>
      <c r="F259" s="444"/>
      <c r="G259" s="444"/>
      <c r="H259" s="444"/>
      <c r="I259" s="444"/>
      <c r="J259" s="444"/>
      <c r="K259" s="444"/>
      <c r="L259" s="444"/>
      <c r="M259" s="444"/>
      <c r="N259" s="444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13"/>
      <c r="B260" s="14"/>
      <c r="C260" s="14"/>
      <c r="D260" s="14"/>
      <c r="E260" s="444"/>
      <c r="F260" s="444"/>
      <c r="G260" s="444"/>
      <c r="H260" s="444"/>
      <c r="I260" s="444"/>
      <c r="J260" s="444"/>
      <c r="K260" s="444"/>
      <c r="L260" s="444"/>
      <c r="M260" s="444"/>
      <c r="N260" s="444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13"/>
      <c r="B261" s="14"/>
      <c r="C261" s="14"/>
      <c r="D261" s="14"/>
      <c r="E261" s="444"/>
      <c r="F261" s="444"/>
      <c r="G261" s="444"/>
      <c r="H261" s="444"/>
      <c r="I261" s="444"/>
      <c r="J261" s="444"/>
      <c r="K261" s="444"/>
      <c r="L261" s="444"/>
      <c r="M261" s="444"/>
      <c r="N261" s="444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13"/>
      <c r="B262" s="14"/>
      <c r="C262" s="14"/>
      <c r="D262" s="14"/>
      <c r="E262" s="444"/>
      <c r="F262" s="444"/>
      <c r="G262" s="444"/>
      <c r="H262" s="444"/>
      <c r="I262" s="444"/>
      <c r="J262" s="444"/>
      <c r="K262" s="444"/>
      <c r="L262" s="444"/>
      <c r="M262" s="444"/>
      <c r="N262" s="444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13"/>
      <c r="B263" s="14"/>
      <c r="C263" s="14"/>
      <c r="D263" s="14"/>
      <c r="E263" s="444"/>
      <c r="F263" s="444"/>
      <c r="G263" s="444"/>
      <c r="H263" s="444"/>
      <c r="I263" s="444"/>
      <c r="J263" s="444"/>
      <c r="K263" s="444"/>
      <c r="L263" s="444"/>
      <c r="M263" s="444"/>
      <c r="N263" s="444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13"/>
      <c r="B264" s="14"/>
      <c r="C264" s="14"/>
      <c r="D264" s="14"/>
      <c r="E264" s="444"/>
      <c r="F264" s="444"/>
      <c r="G264" s="444"/>
      <c r="H264" s="444"/>
      <c r="I264" s="444"/>
      <c r="J264" s="444"/>
      <c r="K264" s="444"/>
      <c r="L264" s="444"/>
      <c r="M264" s="444"/>
      <c r="N264" s="444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13"/>
      <c r="B265" s="14"/>
      <c r="C265" s="14"/>
      <c r="D265" s="14"/>
      <c r="E265" s="444"/>
      <c r="F265" s="444"/>
      <c r="G265" s="444"/>
      <c r="H265" s="444"/>
      <c r="I265" s="444"/>
      <c r="J265" s="444"/>
      <c r="K265" s="444"/>
      <c r="L265" s="444"/>
      <c r="M265" s="444"/>
      <c r="N265" s="444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13"/>
      <c r="B266" s="14"/>
      <c r="C266" s="14"/>
      <c r="D266" s="14"/>
      <c r="E266" s="444"/>
      <c r="F266" s="444"/>
      <c r="G266" s="444"/>
      <c r="H266" s="444"/>
      <c r="I266" s="444"/>
      <c r="J266" s="444"/>
      <c r="K266" s="444"/>
      <c r="L266" s="444"/>
      <c r="M266" s="444"/>
      <c r="N266" s="444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13"/>
      <c r="B267" s="14"/>
      <c r="C267" s="14"/>
      <c r="D267" s="14"/>
      <c r="E267" s="444"/>
      <c r="F267" s="444"/>
      <c r="G267" s="444"/>
      <c r="H267" s="444"/>
      <c r="I267" s="444"/>
      <c r="J267" s="444"/>
      <c r="K267" s="444"/>
      <c r="L267" s="444"/>
      <c r="M267" s="444"/>
      <c r="N267" s="444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13"/>
      <c r="B268" s="14"/>
      <c r="C268" s="14"/>
      <c r="D268" s="14"/>
      <c r="E268" s="444"/>
      <c r="F268" s="444"/>
      <c r="G268" s="444"/>
      <c r="H268" s="444"/>
      <c r="I268" s="444"/>
      <c r="J268" s="444"/>
      <c r="K268" s="444"/>
      <c r="L268" s="444"/>
      <c r="M268" s="444"/>
      <c r="N268" s="444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13"/>
      <c r="B269" s="14"/>
      <c r="C269" s="14"/>
      <c r="D269" s="14"/>
      <c r="E269" s="444"/>
      <c r="F269" s="444"/>
      <c r="G269" s="444"/>
      <c r="H269" s="444"/>
      <c r="I269" s="444"/>
      <c r="J269" s="444"/>
      <c r="K269" s="444"/>
      <c r="L269" s="444"/>
      <c r="M269" s="444"/>
      <c r="N269" s="444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13"/>
      <c r="B270" s="14"/>
      <c r="C270" s="14"/>
      <c r="D270" s="14"/>
      <c r="E270" s="444"/>
      <c r="F270" s="444"/>
      <c r="G270" s="444"/>
      <c r="H270" s="444"/>
      <c r="I270" s="444"/>
      <c r="J270" s="444"/>
      <c r="K270" s="444"/>
      <c r="L270" s="444"/>
      <c r="M270" s="444"/>
      <c r="N270" s="444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13"/>
      <c r="B271" s="14"/>
      <c r="C271" s="14"/>
      <c r="D271" s="14"/>
      <c r="E271" s="444"/>
      <c r="F271" s="444"/>
      <c r="G271" s="444"/>
      <c r="H271" s="444"/>
      <c r="I271" s="444"/>
      <c r="J271" s="444"/>
      <c r="K271" s="444"/>
      <c r="L271" s="444"/>
      <c r="M271" s="444"/>
      <c r="N271" s="444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13"/>
      <c r="B272" s="14"/>
      <c r="C272" s="14"/>
      <c r="D272" s="14"/>
      <c r="E272" s="444"/>
      <c r="F272" s="444"/>
      <c r="G272" s="444"/>
      <c r="H272" s="444"/>
      <c r="I272" s="444"/>
      <c r="J272" s="444"/>
      <c r="K272" s="444"/>
      <c r="L272" s="444"/>
      <c r="M272" s="444"/>
      <c r="N272" s="444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13"/>
      <c r="B273" s="14"/>
      <c r="C273" s="14"/>
      <c r="D273" s="14"/>
      <c r="E273" s="444"/>
      <c r="F273" s="444"/>
      <c r="G273" s="444"/>
      <c r="H273" s="444"/>
      <c r="I273" s="444"/>
      <c r="J273" s="444"/>
      <c r="K273" s="444"/>
      <c r="L273" s="444"/>
      <c r="M273" s="444"/>
      <c r="N273" s="444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13"/>
      <c r="B274" s="14"/>
      <c r="C274" s="14"/>
      <c r="D274" s="14"/>
      <c r="E274" s="444"/>
      <c r="F274" s="444"/>
      <c r="G274" s="444"/>
      <c r="H274" s="444"/>
      <c r="I274" s="444"/>
      <c r="J274" s="444"/>
      <c r="K274" s="444"/>
      <c r="L274" s="444"/>
      <c r="M274" s="444"/>
      <c r="N274" s="444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13"/>
      <c r="B275" s="14"/>
      <c r="C275" s="14"/>
      <c r="D275" s="14"/>
      <c r="E275" s="444"/>
      <c r="F275" s="444"/>
      <c r="G275" s="444"/>
      <c r="H275" s="444"/>
      <c r="I275" s="444"/>
      <c r="J275" s="444"/>
      <c r="K275" s="444"/>
      <c r="L275" s="444"/>
      <c r="M275" s="444"/>
      <c r="N275" s="444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13"/>
      <c r="B276" s="14"/>
      <c r="C276" s="14"/>
      <c r="D276" s="14"/>
      <c r="E276" s="444"/>
      <c r="F276" s="444"/>
      <c r="G276" s="444"/>
      <c r="H276" s="444"/>
      <c r="I276" s="444"/>
      <c r="J276" s="444"/>
      <c r="K276" s="444"/>
      <c r="L276" s="444"/>
      <c r="M276" s="444"/>
      <c r="N276" s="444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13"/>
      <c r="B277" s="14"/>
      <c r="C277" s="14"/>
      <c r="D277" s="14"/>
      <c r="E277" s="444"/>
      <c r="F277" s="444"/>
      <c r="G277" s="444"/>
      <c r="H277" s="444"/>
      <c r="I277" s="444"/>
      <c r="J277" s="444"/>
      <c r="K277" s="444"/>
      <c r="L277" s="444"/>
      <c r="M277" s="444"/>
      <c r="N277" s="444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13"/>
      <c r="B278" s="14"/>
      <c r="C278" s="14"/>
      <c r="D278" s="14"/>
      <c r="E278" s="444"/>
      <c r="F278" s="444"/>
      <c r="G278" s="444"/>
      <c r="H278" s="444"/>
      <c r="I278" s="444"/>
      <c r="J278" s="444"/>
      <c r="K278" s="444"/>
      <c r="L278" s="444"/>
      <c r="M278" s="444"/>
      <c r="N278" s="444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13"/>
      <c r="B279" s="14"/>
      <c r="C279" s="14"/>
      <c r="D279" s="14"/>
      <c r="E279" s="444"/>
      <c r="F279" s="444"/>
      <c r="G279" s="444"/>
      <c r="H279" s="444"/>
      <c r="I279" s="444"/>
      <c r="J279" s="444"/>
      <c r="K279" s="444"/>
      <c r="L279" s="444"/>
      <c r="M279" s="444"/>
      <c r="N279" s="444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13"/>
      <c r="B280" s="14"/>
      <c r="C280" s="14"/>
      <c r="D280" s="14"/>
      <c r="E280" s="444"/>
      <c r="F280" s="444"/>
      <c r="G280" s="444"/>
      <c r="H280" s="444"/>
      <c r="I280" s="444"/>
      <c r="J280" s="444"/>
      <c r="K280" s="444"/>
      <c r="L280" s="444"/>
      <c r="M280" s="444"/>
      <c r="N280" s="444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13"/>
      <c r="B281" s="14"/>
      <c r="C281" s="14"/>
      <c r="D281" s="14"/>
      <c r="E281" s="444"/>
      <c r="F281" s="444"/>
      <c r="G281" s="444"/>
      <c r="H281" s="444"/>
      <c r="I281" s="444"/>
      <c r="J281" s="444"/>
      <c r="K281" s="444"/>
      <c r="L281" s="444"/>
      <c r="M281" s="444"/>
      <c r="N281" s="444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13"/>
      <c r="B282" s="14"/>
      <c r="C282" s="14"/>
      <c r="D282" s="14"/>
      <c r="E282" s="444"/>
      <c r="F282" s="444"/>
      <c r="G282" s="444"/>
      <c r="H282" s="444"/>
      <c r="I282" s="444"/>
      <c r="J282" s="444"/>
      <c r="K282" s="444"/>
      <c r="L282" s="444"/>
      <c r="M282" s="444"/>
      <c r="N282" s="444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13"/>
      <c r="B283" s="14"/>
      <c r="C283" s="14"/>
      <c r="D283" s="14"/>
      <c r="E283" s="444"/>
      <c r="F283" s="444"/>
      <c r="G283" s="444"/>
      <c r="H283" s="444"/>
      <c r="I283" s="444"/>
      <c r="J283" s="444"/>
      <c r="K283" s="444"/>
      <c r="L283" s="444"/>
      <c r="M283" s="444"/>
      <c r="N283" s="444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13"/>
      <c r="B284" s="14"/>
      <c r="C284" s="14"/>
      <c r="D284" s="14"/>
      <c r="E284" s="444"/>
      <c r="F284" s="444"/>
      <c r="G284" s="444"/>
      <c r="H284" s="444"/>
      <c r="I284" s="444"/>
      <c r="J284" s="444"/>
      <c r="K284" s="444"/>
      <c r="L284" s="444"/>
      <c r="M284" s="444"/>
      <c r="N284" s="444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13"/>
      <c r="B285" s="14"/>
      <c r="C285" s="14"/>
      <c r="D285" s="14"/>
      <c r="E285" s="444"/>
      <c r="F285" s="444"/>
      <c r="G285" s="444"/>
      <c r="H285" s="444"/>
      <c r="I285" s="444"/>
      <c r="J285" s="444"/>
      <c r="K285" s="444"/>
      <c r="L285" s="444"/>
      <c r="M285" s="444"/>
      <c r="N285" s="444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13"/>
      <c r="B286" s="14"/>
      <c r="C286" s="14"/>
      <c r="D286" s="14"/>
      <c r="E286" s="444"/>
      <c r="F286" s="444"/>
      <c r="G286" s="444"/>
      <c r="H286" s="444"/>
      <c r="I286" s="444"/>
      <c r="J286" s="444"/>
      <c r="K286" s="444"/>
      <c r="L286" s="444"/>
      <c r="M286" s="444"/>
      <c r="N286" s="444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13"/>
      <c r="B287" s="14"/>
      <c r="C287" s="14"/>
      <c r="D287" s="14"/>
      <c r="E287" s="444"/>
      <c r="F287" s="444"/>
      <c r="G287" s="444"/>
      <c r="H287" s="444"/>
      <c r="I287" s="444"/>
      <c r="J287" s="444"/>
      <c r="K287" s="444"/>
      <c r="L287" s="444"/>
      <c r="M287" s="444"/>
      <c r="N287" s="444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13"/>
      <c r="B288" s="14"/>
      <c r="C288" s="14"/>
      <c r="D288" s="14"/>
      <c r="E288" s="444"/>
      <c r="F288" s="444"/>
      <c r="G288" s="444"/>
      <c r="H288" s="444"/>
      <c r="I288" s="444"/>
      <c r="J288" s="444"/>
      <c r="K288" s="444"/>
      <c r="L288" s="444"/>
      <c r="M288" s="444"/>
      <c r="N288" s="444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13"/>
      <c r="B289" s="14"/>
      <c r="C289" s="14"/>
      <c r="D289" s="14"/>
      <c r="E289" s="444"/>
      <c r="F289" s="444"/>
      <c r="G289" s="444"/>
      <c r="H289" s="444"/>
      <c r="I289" s="444"/>
      <c r="J289" s="444"/>
      <c r="K289" s="444"/>
      <c r="L289" s="444"/>
      <c r="M289" s="444"/>
      <c r="N289" s="444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13"/>
      <c r="B290" s="14"/>
      <c r="C290" s="14"/>
      <c r="D290" s="14"/>
      <c r="E290" s="444"/>
      <c r="F290" s="444"/>
      <c r="G290" s="444"/>
      <c r="H290" s="444"/>
      <c r="I290" s="444"/>
      <c r="J290" s="444"/>
      <c r="K290" s="444"/>
      <c r="L290" s="444"/>
      <c r="M290" s="444"/>
      <c r="N290" s="444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13"/>
      <c r="B291" s="14"/>
      <c r="C291" s="14"/>
      <c r="D291" s="14"/>
      <c r="E291" s="444"/>
      <c r="F291" s="444"/>
      <c r="G291" s="444"/>
      <c r="H291" s="444"/>
      <c r="I291" s="444"/>
      <c r="J291" s="444"/>
      <c r="K291" s="444"/>
      <c r="L291" s="444"/>
      <c r="M291" s="444"/>
      <c r="N291" s="444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13"/>
      <c r="B292" s="14"/>
      <c r="C292" s="14"/>
      <c r="D292" s="14"/>
      <c r="E292" s="444"/>
      <c r="F292" s="444"/>
      <c r="G292" s="444"/>
      <c r="H292" s="444"/>
      <c r="I292" s="444"/>
      <c r="J292" s="444"/>
      <c r="K292" s="444"/>
      <c r="L292" s="444"/>
      <c r="M292" s="444"/>
      <c r="N292" s="444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13"/>
      <c r="B293" s="14"/>
      <c r="C293" s="14"/>
      <c r="D293" s="14"/>
      <c r="E293" s="444"/>
      <c r="F293" s="444"/>
      <c r="G293" s="444"/>
      <c r="H293" s="444"/>
      <c r="I293" s="444"/>
      <c r="J293" s="444"/>
      <c r="K293" s="444"/>
      <c r="L293" s="444"/>
      <c r="M293" s="444"/>
      <c r="N293" s="444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13"/>
      <c r="B294" s="14"/>
      <c r="C294" s="14"/>
      <c r="D294" s="14"/>
      <c r="E294" s="444"/>
      <c r="F294" s="444"/>
      <c r="G294" s="444"/>
      <c r="H294" s="444"/>
      <c r="I294" s="444"/>
      <c r="J294" s="444"/>
      <c r="K294" s="444"/>
      <c r="L294" s="444"/>
      <c r="M294" s="444"/>
      <c r="N294" s="444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13"/>
      <c r="B295" s="14"/>
      <c r="C295" s="14"/>
      <c r="D295" s="14"/>
      <c r="E295" s="444"/>
      <c r="F295" s="444"/>
      <c r="G295" s="444"/>
      <c r="H295" s="444"/>
      <c r="I295" s="444"/>
      <c r="J295" s="444"/>
      <c r="K295" s="444"/>
      <c r="L295" s="444"/>
      <c r="M295" s="444"/>
      <c r="N295" s="444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13"/>
      <c r="B296" s="14"/>
      <c r="C296" s="14"/>
      <c r="D296" s="14"/>
      <c r="E296" s="444"/>
      <c r="F296" s="444"/>
      <c r="G296" s="444"/>
      <c r="H296" s="444"/>
      <c r="I296" s="444"/>
      <c r="J296" s="444"/>
      <c r="K296" s="444"/>
      <c r="L296" s="444"/>
      <c r="M296" s="444"/>
      <c r="N296" s="444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13"/>
      <c r="B297" s="14"/>
      <c r="C297" s="14"/>
      <c r="D297" s="14"/>
      <c r="E297" s="444"/>
      <c r="F297" s="444"/>
      <c r="G297" s="444"/>
      <c r="H297" s="444"/>
      <c r="I297" s="444"/>
      <c r="J297" s="444"/>
      <c r="K297" s="444"/>
      <c r="L297" s="444"/>
      <c r="M297" s="444"/>
      <c r="N297" s="444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13"/>
      <c r="B298" s="14"/>
      <c r="C298" s="14"/>
      <c r="D298" s="14"/>
      <c r="E298" s="444"/>
      <c r="F298" s="444"/>
      <c r="G298" s="444"/>
      <c r="H298" s="444"/>
      <c r="I298" s="444"/>
      <c r="J298" s="444"/>
      <c r="K298" s="444"/>
      <c r="L298" s="444"/>
      <c r="M298" s="444"/>
      <c r="N298" s="444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13"/>
      <c r="B299" s="14"/>
      <c r="C299" s="14"/>
      <c r="D299" s="14"/>
      <c r="E299" s="444"/>
      <c r="F299" s="444"/>
      <c r="G299" s="444"/>
      <c r="H299" s="444"/>
      <c r="I299" s="444"/>
      <c r="J299" s="444"/>
      <c r="K299" s="444"/>
      <c r="L299" s="444"/>
      <c r="M299" s="444"/>
      <c r="N299" s="444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13"/>
      <c r="B300" s="14"/>
      <c r="C300" s="14"/>
      <c r="D300" s="14"/>
      <c r="E300" s="444"/>
      <c r="F300" s="444"/>
      <c r="G300" s="444"/>
      <c r="H300" s="444"/>
      <c r="I300" s="444"/>
      <c r="J300" s="444"/>
      <c r="K300" s="444"/>
      <c r="L300" s="444"/>
      <c r="M300" s="444"/>
      <c r="N300" s="444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13"/>
      <c r="B301" s="14"/>
      <c r="C301" s="14"/>
      <c r="D301" s="14"/>
      <c r="E301" s="444"/>
      <c r="F301" s="444"/>
      <c r="G301" s="444"/>
      <c r="H301" s="444"/>
      <c r="I301" s="444"/>
      <c r="J301" s="444"/>
      <c r="K301" s="444"/>
      <c r="L301" s="444"/>
      <c r="M301" s="444"/>
      <c r="N301" s="444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13"/>
      <c r="B302" s="14"/>
      <c r="C302" s="14"/>
      <c r="D302" s="14"/>
      <c r="E302" s="444"/>
      <c r="F302" s="444"/>
      <c r="G302" s="444"/>
      <c r="H302" s="444"/>
      <c r="I302" s="444"/>
      <c r="J302" s="444"/>
      <c r="K302" s="444"/>
      <c r="L302" s="444"/>
      <c r="M302" s="444"/>
      <c r="N302" s="444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13"/>
      <c r="B303" s="14"/>
      <c r="C303" s="14"/>
      <c r="D303" s="14"/>
      <c r="E303" s="444"/>
      <c r="F303" s="444"/>
      <c r="G303" s="444"/>
      <c r="H303" s="444"/>
      <c r="I303" s="444"/>
      <c r="J303" s="444"/>
      <c r="K303" s="444"/>
      <c r="L303" s="444"/>
      <c r="M303" s="444"/>
      <c r="N303" s="444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13"/>
      <c r="B304" s="14"/>
      <c r="C304" s="14"/>
      <c r="D304" s="14"/>
      <c r="E304" s="444"/>
      <c r="F304" s="444"/>
      <c r="G304" s="444"/>
      <c r="H304" s="444"/>
      <c r="I304" s="444"/>
      <c r="J304" s="444"/>
      <c r="K304" s="444"/>
      <c r="L304" s="444"/>
      <c r="M304" s="444"/>
      <c r="N304" s="444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13"/>
      <c r="B305" s="14"/>
      <c r="C305" s="14"/>
      <c r="D305" s="14"/>
      <c r="E305" s="444"/>
      <c r="F305" s="444"/>
      <c r="G305" s="444"/>
      <c r="H305" s="444"/>
      <c r="I305" s="444"/>
      <c r="J305" s="444"/>
      <c r="K305" s="444"/>
      <c r="L305" s="444"/>
      <c r="M305" s="444"/>
      <c r="N305" s="444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13"/>
      <c r="B306" s="14"/>
      <c r="C306" s="14"/>
      <c r="D306" s="14"/>
      <c r="E306" s="444"/>
      <c r="F306" s="444"/>
      <c r="G306" s="444"/>
      <c r="H306" s="444"/>
      <c r="I306" s="444"/>
      <c r="J306" s="444"/>
      <c r="K306" s="444"/>
      <c r="L306" s="444"/>
      <c r="M306" s="444"/>
      <c r="N306" s="444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13"/>
      <c r="B307" s="14"/>
      <c r="C307" s="14"/>
      <c r="D307" s="14"/>
      <c r="E307" s="444"/>
      <c r="F307" s="444"/>
      <c r="G307" s="444"/>
      <c r="H307" s="444"/>
      <c r="I307" s="444"/>
      <c r="J307" s="444"/>
      <c r="K307" s="444"/>
      <c r="L307" s="444"/>
      <c r="M307" s="444"/>
      <c r="N307" s="444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13"/>
      <c r="B308" s="14"/>
      <c r="C308" s="14"/>
      <c r="D308" s="14"/>
      <c r="E308" s="444"/>
      <c r="F308" s="444"/>
      <c r="G308" s="444"/>
      <c r="H308" s="444"/>
      <c r="I308" s="444"/>
      <c r="J308" s="444"/>
      <c r="K308" s="444"/>
      <c r="L308" s="444"/>
      <c r="M308" s="444"/>
      <c r="N308" s="444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13"/>
      <c r="B309" s="14"/>
      <c r="C309" s="14"/>
      <c r="D309" s="14"/>
      <c r="E309" s="444"/>
      <c r="F309" s="444"/>
      <c r="G309" s="444"/>
      <c r="H309" s="444"/>
      <c r="I309" s="444"/>
      <c r="J309" s="444"/>
      <c r="K309" s="444"/>
      <c r="L309" s="444"/>
      <c r="M309" s="444"/>
      <c r="N309" s="444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13"/>
      <c r="B310" s="14"/>
      <c r="C310" s="14"/>
      <c r="D310" s="14"/>
      <c r="E310" s="444"/>
      <c r="F310" s="444"/>
      <c r="G310" s="444"/>
      <c r="H310" s="444"/>
      <c r="I310" s="444"/>
      <c r="J310" s="444"/>
      <c r="K310" s="444"/>
      <c r="L310" s="444"/>
      <c r="M310" s="444"/>
      <c r="N310" s="444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13"/>
      <c r="B311" s="14"/>
      <c r="C311" s="14"/>
      <c r="D311" s="14"/>
      <c r="E311" s="444"/>
      <c r="F311" s="444"/>
      <c r="G311" s="444"/>
      <c r="H311" s="444"/>
      <c r="I311" s="444"/>
      <c r="J311" s="444"/>
      <c r="K311" s="444"/>
      <c r="L311" s="444"/>
      <c r="M311" s="444"/>
      <c r="N311" s="444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13"/>
      <c r="B312" s="14"/>
      <c r="C312" s="14"/>
      <c r="D312" s="14"/>
      <c r="E312" s="444"/>
      <c r="F312" s="444"/>
      <c r="G312" s="444"/>
      <c r="H312" s="444"/>
      <c r="I312" s="444"/>
      <c r="J312" s="444"/>
      <c r="K312" s="444"/>
      <c r="L312" s="444"/>
      <c r="M312" s="444"/>
      <c r="N312" s="444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13"/>
      <c r="B313" s="14"/>
      <c r="C313" s="14"/>
      <c r="D313" s="14"/>
      <c r="E313" s="444"/>
      <c r="F313" s="444"/>
      <c r="G313" s="444"/>
      <c r="H313" s="444"/>
      <c r="I313" s="444"/>
      <c r="J313" s="444"/>
      <c r="K313" s="444"/>
      <c r="L313" s="444"/>
      <c r="M313" s="444"/>
      <c r="N313" s="444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13"/>
      <c r="B314" s="14"/>
      <c r="C314" s="14"/>
      <c r="D314" s="14"/>
      <c r="E314" s="444"/>
      <c r="F314" s="444"/>
      <c r="G314" s="444"/>
      <c r="H314" s="444"/>
      <c r="I314" s="444"/>
      <c r="J314" s="444"/>
      <c r="K314" s="444"/>
      <c r="L314" s="444"/>
      <c r="M314" s="444"/>
      <c r="N314" s="444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13"/>
      <c r="B315" s="14"/>
      <c r="C315" s="14"/>
      <c r="D315" s="14"/>
      <c r="E315" s="444"/>
      <c r="F315" s="444"/>
      <c r="G315" s="444"/>
      <c r="H315" s="444"/>
      <c r="I315" s="444"/>
      <c r="J315" s="444"/>
      <c r="K315" s="444"/>
      <c r="L315" s="444"/>
      <c r="M315" s="444"/>
      <c r="N315" s="444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13"/>
      <c r="B316" s="14"/>
      <c r="C316" s="14"/>
      <c r="D316" s="14"/>
      <c r="E316" s="444"/>
      <c r="F316" s="444"/>
      <c r="G316" s="444"/>
      <c r="H316" s="444"/>
      <c r="I316" s="444"/>
      <c r="J316" s="444"/>
      <c r="K316" s="444"/>
      <c r="L316" s="444"/>
      <c r="M316" s="444"/>
      <c r="N316" s="444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13"/>
      <c r="B317" s="14"/>
      <c r="C317" s="14"/>
      <c r="D317" s="14"/>
      <c r="E317" s="444"/>
      <c r="F317" s="444"/>
      <c r="G317" s="444"/>
      <c r="H317" s="444"/>
      <c r="I317" s="444"/>
      <c r="J317" s="444"/>
      <c r="K317" s="444"/>
      <c r="L317" s="444"/>
      <c r="M317" s="444"/>
      <c r="N317" s="444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13"/>
      <c r="B318" s="14"/>
      <c r="C318" s="14"/>
      <c r="D318" s="14"/>
      <c r="E318" s="444"/>
      <c r="F318" s="444"/>
      <c r="G318" s="444"/>
      <c r="H318" s="444"/>
      <c r="I318" s="444"/>
      <c r="J318" s="444"/>
      <c r="K318" s="444"/>
      <c r="L318" s="444"/>
      <c r="M318" s="444"/>
      <c r="N318" s="444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13"/>
      <c r="B319" s="14"/>
      <c r="C319" s="14"/>
      <c r="D319" s="14"/>
      <c r="E319" s="444"/>
      <c r="F319" s="444"/>
      <c r="G319" s="444"/>
      <c r="H319" s="444"/>
      <c r="I319" s="444"/>
      <c r="J319" s="444"/>
      <c r="K319" s="444"/>
      <c r="L319" s="444"/>
      <c r="M319" s="444"/>
      <c r="N319" s="444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13"/>
      <c r="B320" s="14"/>
      <c r="C320" s="14"/>
      <c r="D320" s="14"/>
      <c r="E320" s="444"/>
      <c r="F320" s="444"/>
      <c r="G320" s="444"/>
      <c r="H320" s="444"/>
      <c r="I320" s="444"/>
      <c r="J320" s="444"/>
      <c r="K320" s="444"/>
      <c r="L320" s="444"/>
      <c r="M320" s="444"/>
      <c r="N320" s="444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13"/>
      <c r="B321" s="14"/>
      <c r="C321" s="14"/>
      <c r="D321" s="14"/>
      <c r="E321" s="444"/>
      <c r="F321" s="444"/>
      <c r="G321" s="444"/>
      <c r="H321" s="444"/>
      <c r="I321" s="444"/>
      <c r="J321" s="444"/>
      <c r="K321" s="444"/>
      <c r="L321" s="444"/>
      <c r="M321" s="444"/>
      <c r="N321" s="444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13"/>
      <c r="B322" s="14"/>
      <c r="C322" s="14"/>
      <c r="D322" s="14"/>
      <c r="E322" s="444"/>
      <c r="F322" s="444"/>
      <c r="G322" s="444"/>
      <c r="H322" s="444"/>
      <c r="I322" s="444"/>
      <c r="J322" s="444"/>
      <c r="K322" s="444"/>
      <c r="L322" s="444"/>
      <c r="M322" s="444"/>
      <c r="N322" s="444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13"/>
      <c r="B323" s="14"/>
      <c r="C323" s="14"/>
      <c r="D323" s="14"/>
      <c r="E323" s="444"/>
      <c r="F323" s="444"/>
      <c r="G323" s="444"/>
      <c r="H323" s="444"/>
      <c r="I323" s="444"/>
      <c r="J323" s="444"/>
      <c r="K323" s="444"/>
      <c r="L323" s="444"/>
      <c r="M323" s="444"/>
      <c r="N323" s="444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13"/>
      <c r="B324" s="14"/>
      <c r="C324" s="14"/>
      <c r="D324" s="14"/>
      <c r="E324" s="444"/>
      <c r="F324" s="444"/>
      <c r="G324" s="444"/>
      <c r="H324" s="444"/>
      <c r="I324" s="444"/>
      <c r="J324" s="444"/>
      <c r="K324" s="444"/>
      <c r="L324" s="444"/>
      <c r="M324" s="444"/>
      <c r="N324" s="444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13"/>
      <c r="B325" s="14"/>
      <c r="C325" s="14"/>
      <c r="D325" s="14"/>
      <c r="E325" s="444"/>
      <c r="F325" s="444"/>
      <c r="G325" s="444"/>
      <c r="H325" s="444"/>
      <c r="I325" s="444"/>
      <c r="J325" s="444"/>
      <c r="K325" s="444"/>
      <c r="L325" s="444"/>
      <c r="M325" s="444"/>
      <c r="N325" s="444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13"/>
      <c r="B326" s="14"/>
      <c r="C326" s="14"/>
      <c r="D326" s="14"/>
      <c r="E326" s="444"/>
      <c r="F326" s="444"/>
      <c r="G326" s="444"/>
      <c r="H326" s="444"/>
      <c r="I326" s="444"/>
      <c r="J326" s="444"/>
      <c r="K326" s="444"/>
      <c r="L326" s="444"/>
      <c r="M326" s="444"/>
      <c r="N326" s="444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13"/>
      <c r="B327" s="14"/>
      <c r="C327" s="14"/>
      <c r="D327" s="14"/>
      <c r="E327" s="444"/>
      <c r="F327" s="444"/>
      <c r="G327" s="444"/>
      <c r="H327" s="444"/>
      <c r="I327" s="444"/>
      <c r="J327" s="444"/>
      <c r="K327" s="444"/>
      <c r="L327" s="444"/>
      <c r="M327" s="444"/>
      <c r="N327" s="444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13"/>
      <c r="B328" s="14"/>
      <c r="C328" s="14"/>
      <c r="D328" s="14"/>
      <c r="E328" s="444"/>
      <c r="F328" s="444"/>
      <c r="G328" s="444"/>
      <c r="H328" s="444"/>
      <c r="I328" s="444"/>
      <c r="J328" s="444"/>
      <c r="K328" s="444"/>
      <c r="L328" s="444"/>
      <c r="M328" s="444"/>
      <c r="N328" s="444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13"/>
      <c r="B329" s="14"/>
      <c r="C329" s="14"/>
      <c r="D329" s="14"/>
      <c r="E329" s="444"/>
      <c r="F329" s="444"/>
      <c r="G329" s="444"/>
      <c r="H329" s="444"/>
      <c r="I329" s="444"/>
      <c r="J329" s="444"/>
      <c r="K329" s="444"/>
      <c r="L329" s="444"/>
      <c r="M329" s="444"/>
      <c r="N329" s="444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13"/>
      <c r="B330" s="14"/>
      <c r="C330" s="14"/>
      <c r="D330" s="14"/>
      <c r="E330" s="444"/>
      <c r="F330" s="444"/>
      <c r="G330" s="444"/>
      <c r="H330" s="444"/>
      <c r="I330" s="444"/>
      <c r="J330" s="444"/>
      <c r="K330" s="444"/>
      <c r="L330" s="444"/>
      <c r="M330" s="444"/>
      <c r="N330" s="444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13"/>
      <c r="B331" s="14"/>
      <c r="C331" s="14"/>
      <c r="D331" s="14"/>
      <c r="E331" s="444"/>
      <c r="F331" s="444"/>
      <c r="G331" s="444"/>
      <c r="H331" s="444"/>
      <c r="I331" s="444"/>
      <c r="J331" s="444"/>
      <c r="K331" s="444"/>
      <c r="L331" s="444"/>
      <c r="M331" s="444"/>
      <c r="N331" s="444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13"/>
      <c r="B332" s="14"/>
      <c r="C332" s="14"/>
      <c r="D332" s="14"/>
      <c r="E332" s="444"/>
      <c r="F332" s="444"/>
      <c r="G332" s="444"/>
      <c r="H332" s="444"/>
      <c r="I332" s="444"/>
      <c r="J332" s="444"/>
      <c r="K332" s="444"/>
      <c r="L332" s="444"/>
      <c r="M332" s="444"/>
      <c r="N332" s="444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13"/>
      <c r="B333" s="14"/>
      <c r="C333" s="14"/>
      <c r="D333" s="14"/>
      <c r="E333" s="444"/>
      <c r="F333" s="444"/>
      <c r="G333" s="444"/>
      <c r="H333" s="444"/>
      <c r="I333" s="444"/>
      <c r="J333" s="444"/>
      <c r="K333" s="444"/>
      <c r="L333" s="444"/>
      <c r="M333" s="444"/>
      <c r="N333" s="444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13"/>
      <c r="B334" s="14"/>
      <c r="C334" s="14"/>
      <c r="D334" s="14"/>
      <c r="E334" s="444"/>
      <c r="F334" s="444"/>
      <c r="G334" s="444"/>
      <c r="H334" s="444"/>
      <c r="I334" s="444"/>
      <c r="J334" s="444"/>
      <c r="K334" s="444"/>
      <c r="L334" s="444"/>
      <c r="M334" s="444"/>
      <c r="N334" s="444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13"/>
      <c r="B335" s="14"/>
      <c r="C335" s="14"/>
      <c r="D335" s="14"/>
      <c r="E335" s="444"/>
      <c r="F335" s="444"/>
      <c r="G335" s="444"/>
      <c r="H335" s="444"/>
      <c r="I335" s="444"/>
      <c r="J335" s="444"/>
      <c r="K335" s="444"/>
      <c r="L335" s="444"/>
      <c r="M335" s="444"/>
      <c r="N335" s="444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13"/>
      <c r="B336" s="14"/>
      <c r="C336" s="14"/>
      <c r="D336" s="14"/>
      <c r="E336" s="444"/>
      <c r="F336" s="444"/>
      <c r="G336" s="444"/>
      <c r="H336" s="444"/>
      <c r="I336" s="444"/>
      <c r="J336" s="444"/>
      <c r="K336" s="444"/>
      <c r="L336" s="444"/>
      <c r="M336" s="444"/>
      <c r="N336" s="444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13"/>
      <c r="B337" s="14"/>
      <c r="C337" s="14"/>
      <c r="D337" s="14"/>
      <c r="E337" s="444"/>
      <c r="F337" s="444"/>
      <c r="G337" s="444"/>
      <c r="H337" s="444"/>
      <c r="I337" s="444"/>
      <c r="J337" s="444"/>
      <c r="K337" s="444"/>
      <c r="L337" s="444"/>
      <c r="M337" s="444"/>
      <c r="N337" s="444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13"/>
      <c r="B338" s="14"/>
      <c r="C338" s="14"/>
      <c r="D338" s="14"/>
      <c r="E338" s="444"/>
      <c r="F338" s="444"/>
      <c r="G338" s="444"/>
      <c r="H338" s="444"/>
      <c r="I338" s="444"/>
      <c r="J338" s="444"/>
      <c r="K338" s="444"/>
      <c r="L338" s="444"/>
      <c r="M338" s="444"/>
      <c r="N338" s="444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13"/>
      <c r="B339" s="14"/>
      <c r="C339" s="14"/>
      <c r="D339" s="14"/>
      <c r="E339" s="444"/>
      <c r="F339" s="444"/>
      <c r="G339" s="444"/>
      <c r="H339" s="444"/>
      <c r="I339" s="444"/>
      <c r="J339" s="444"/>
      <c r="K339" s="444"/>
      <c r="L339" s="444"/>
      <c r="M339" s="444"/>
      <c r="N339" s="444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13"/>
      <c r="B340" s="14"/>
      <c r="C340" s="14"/>
      <c r="D340" s="14"/>
      <c r="E340" s="444"/>
      <c r="F340" s="444"/>
      <c r="G340" s="444"/>
      <c r="H340" s="444"/>
      <c r="I340" s="444"/>
      <c r="J340" s="444"/>
      <c r="K340" s="444"/>
      <c r="L340" s="444"/>
      <c r="M340" s="444"/>
      <c r="N340" s="444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13"/>
      <c r="B341" s="14"/>
      <c r="C341" s="14"/>
      <c r="D341" s="14"/>
      <c r="E341" s="444"/>
      <c r="F341" s="444"/>
      <c r="G341" s="444"/>
      <c r="H341" s="444"/>
      <c r="I341" s="444"/>
      <c r="J341" s="444"/>
      <c r="K341" s="444"/>
      <c r="L341" s="444"/>
      <c r="M341" s="444"/>
      <c r="N341" s="444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13"/>
      <c r="B342" s="14"/>
      <c r="C342" s="14"/>
      <c r="D342" s="14"/>
      <c r="E342" s="444"/>
      <c r="F342" s="444"/>
      <c r="G342" s="444"/>
      <c r="H342" s="444"/>
      <c r="I342" s="444"/>
      <c r="J342" s="444"/>
      <c r="K342" s="444"/>
      <c r="L342" s="444"/>
      <c r="M342" s="444"/>
      <c r="N342" s="444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13"/>
      <c r="B343" s="14"/>
      <c r="C343" s="14"/>
      <c r="D343" s="14"/>
      <c r="E343" s="444"/>
      <c r="F343" s="444"/>
      <c r="G343" s="444"/>
      <c r="H343" s="444"/>
      <c r="I343" s="444"/>
      <c r="J343" s="444"/>
      <c r="K343" s="444"/>
      <c r="L343" s="444"/>
      <c r="M343" s="444"/>
      <c r="N343" s="444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13"/>
      <c r="B344" s="14"/>
      <c r="C344" s="14"/>
      <c r="D344" s="14"/>
      <c r="E344" s="444"/>
      <c r="F344" s="444"/>
      <c r="G344" s="444"/>
      <c r="H344" s="444"/>
      <c r="I344" s="444"/>
      <c r="J344" s="444"/>
      <c r="K344" s="444"/>
      <c r="L344" s="444"/>
      <c r="M344" s="444"/>
      <c r="N344" s="444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13"/>
      <c r="B345" s="14"/>
      <c r="C345" s="14"/>
      <c r="D345" s="14"/>
      <c r="E345" s="444"/>
      <c r="F345" s="444"/>
      <c r="G345" s="444"/>
      <c r="H345" s="444"/>
      <c r="I345" s="444"/>
      <c r="J345" s="444"/>
      <c r="K345" s="444"/>
      <c r="L345" s="444"/>
      <c r="M345" s="444"/>
      <c r="N345" s="444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13"/>
      <c r="B346" s="14"/>
      <c r="C346" s="14"/>
      <c r="D346" s="14"/>
      <c r="E346" s="444"/>
      <c r="F346" s="444"/>
      <c r="G346" s="444"/>
      <c r="H346" s="444"/>
      <c r="I346" s="444"/>
      <c r="J346" s="444"/>
      <c r="K346" s="444"/>
      <c r="L346" s="444"/>
      <c r="M346" s="444"/>
      <c r="N346" s="444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13"/>
      <c r="B347" s="14"/>
      <c r="C347" s="14"/>
      <c r="D347" s="14"/>
      <c r="E347" s="444"/>
      <c r="F347" s="444"/>
      <c r="G347" s="444"/>
      <c r="H347" s="444"/>
      <c r="I347" s="444"/>
      <c r="J347" s="444"/>
      <c r="K347" s="444"/>
      <c r="L347" s="444"/>
      <c r="M347" s="444"/>
      <c r="N347" s="444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13"/>
      <c r="B348" s="14"/>
      <c r="C348" s="14"/>
      <c r="D348" s="14"/>
      <c r="E348" s="444"/>
      <c r="F348" s="444"/>
      <c r="G348" s="444"/>
      <c r="H348" s="444"/>
      <c r="I348" s="444"/>
      <c r="J348" s="444"/>
      <c r="K348" s="444"/>
      <c r="L348" s="444"/>
      <c r="M348" s="444"/>
      <c r="N348" s="444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13"/>
      <c r="B349" s="14"/>
      <c r="C349" s="14"/>
      <c r="D349" s="14"/>
      <c r="E349" s="444"/>
      <c r="F349" s="444"/>
      <c r="G349" s="444"/>
      <c r="H349" s="444"/>
      <c r="I349" s="444"/>
      <c r="J349" s="444"/>
      <c r="K349" s="444"/>
      <c r="L349" s="444"/>
      <c r="M349" s="444"/>
      <c r="N349" s="444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13"/>
      <c r="B350" s="14"/>
      <c r="C350" s="14"/>
      <c r="D350" s="14"/>
      <c r="E350" s="444"/>
      <c r="F350" s="444"/>
      <c r="G350" s="444"/>
      <c r="H350" s="444"/>
      <c r="I350" s="444"/>
      <c r="J350" s="444"/>
      <c r="K350" s="444"/>
      <c r="L350" s="444"/>
      <c r="M350" s="444"/>
      <c r="N350" s="444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13"/>
      <c r="B351" s="14"/>
      <c r="C351" s="14"/>
      <c r="D351" s="14"/>
      <c r="E351" s="444"/>
      <c r="F351" s="444"/>
      <c r="G351" s="444"/>
      <c r="H351" s="444"/>
      <c r="I351" s="444"/>
      <c r="J351" s="444"/>
      <c r="K351" s="444"/>
      <c r="L351" s="444"/>
      <c r="M351" s="444"/>
      <c r="N351" s="444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13"/>
      <c r="B352" s="14"/>
      <c r="C352" s="14"/>
      <c r="D352" s="14"/>
      <c r="E352" s="444"/>
      <c r="F352" s="444"/>
      <c r="G352" s="444"/>
      <c r="H352" s="444"/>
      <c r="I352" s="444"/>
      <c r="J352" s="444"/>
      <c r="K352" s="444"/>
      <c r="L352" s="444"/>
      <c r="M352" s="444"/>
      <c r="N352" s="444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13"/>
      <c r="B353" s="14"/>
      <c r="C353" s="14"/>
      <c r="D353" s="14"/>
      <c r="E353" s="444"/>
      <c r="F353" s="444"/>
      <c r="G353" s="444"/>
      <c r="H353" s="444"/>
      <c r="I353" s="444"/>
      <c r="J353" s="444"/>
      <c r="K353" s="444"/>
      <c r="L353" s="444"/>
      <c r="M353" s="444"/>
      <c r="N353" s="444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13"/>
      <c r="B354" s="14"/>
      <c r="C354" s="14"/>
      <c r="D354" s="14"/>
      <c r="E354" s="444"/>
      <c r="F354" s="444"/>
      <c r="G354" s="444"/>
      <c r="H354" s="444"/>
      <c r="I354" s="444"/>
      <c r="J354" s="444"/>
      <c r="K354" s="444"/>
      <c r="L354" s="444"/>
      <c r="M354" s="444"/>
      <c r="N354" s="444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13"/>
      <c r="B355" s="14"/>
      <c r="C355" s="14"/>
      <c r="D355" s="14"/>
      <c r="E355" s="444"/>
      <c r="F355" s="444"/>
      <c r="G355" s="444"/>
      <c r="H355" s="444"/>
      <c r="I355" s="444"/>
      <c r="J355" s="444"/>
      <c r="K355" s="444"/>
      <c r="L355" s="444"/>
      <c r="M355" s="444"/>
      <c r="N355" s="444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13"/>
      <c r="B356" s="14"/>
      <c r="C356" s="14"/>
      <c r="D356" s="14"/>
      <c r="E356" s="444"/>
      <c r="F356" s="444"/>
      <c r="G356" s="444"/>
      <c r="H356" s="444"/>
      <c r="I356" s="444"/>
      <c r="J356" s="444"/>
      <c r="K356" s="444"/>
      <c r="L356" s="444"/>
      <c r="M356" s="444"/>
      <c r="N356" s="444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13"/>
      <c r="B357" s="14"/>
      <c r="C357" s="14"/>
      <c r="D357" s="14"/>
      <c r="E357" s="444"/>
      <c r="F357" s="444"/>
      <c r="G357" s="444"/>
      <c r="H357" s="444"/>
      <c r="I357" s="444"/>
      <c r="J357" s="444"/>
      <c r="K357" s="444"/>
      <c r="L357" s="444"/>
      <c r="M357" s="444"/>
      <c r="N357" s="444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13"/>
      <c r="B358" s="14"/>
      <c r="C358" s="14"/>
      <c r="D358" s="14"/>
      <c r="E358" s="444"/>
      <c r="F358" s="444"/>
      <c r="G358" s="444"/>
      <c r="H358" s="444"/>
      <c r="I358" s="444"/>
      <c r="J358" s="444"/>
      <c r="K358" s="444"/>
      <c r="L358" s="444"/>
      <c r="M358" s="444"/>
      <c r="N358" s="444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13"/>
      <c r="B359" s="14"/>
      <c r="C359" s="14"/>
      <c r="D359" s="14"/>
      <c r="E359" s="444"/>
      <c r="F359" s="444"/>
      <c r="G359" s="444"/>
      <c r="H359" s="444"/>
      <c r="I359" s="444"/>
      <c r="J359" s="444"/>
      <c r="K359" s="444"/>
      <c r="L359" s="444"/>
      <c r="M359" s="444"/>
      <c r="N359" s="444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13"/>
      <c r="B360" s="14"/>
      <c r="C360" s="14"/>
      <c r="D360" s="14"/>
      <c r="E360" s="444"/>
      <c r="F360" s="444"/>
      <c r="G360" s="444"/>
      <c r="H360" s="444"/>
      <c r="I360" s="444"/>
      <c r="J360" s="444"/>
      <c r="K360" s="444"/>
      <c r="L360" s="444"/>
      <c r="M360" s="444"/>
      <c r="N360" s="444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13"/>
      <c r="B361" s="14"/>
      <c r="C361" s="14"/>
      <c r="D361" s="14"/>
      <c r="E361" s="444"/>
      <c r="F361" s="444"/>
      <c r="G361" s="444"/>
      <c r="H361" s="444"/>
      <c r="I361" s="444"/>
      <c r="J361" s="444"/>
      <c r="K361" s="444"/>
      <c r="L361" s="444"/>
      <c r="M361" s="444"/>
      <c r="N361" s="444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13"/>
      <c r="B362" s="14"/>
      <c r="C362" s="14"/>
      <c r="D362" s="14"/>
      <c r="E362" s="444"/>
      <c r="F362" s="444"/>
      <c r="G362" s="444"/>
      <c r="H362" s="444"/>
      <c r="I362" s="444"/>
      <c r="J362" s="444"/>
      <c r="K362" s="444"/>
      <c r="L362" s="444"/>
      <c r="M362" s="444"/>
      <c r="N362" s="444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13"/>
      <c r="B363" s="14"/>
      <c r="C363" s="14"/>
      <c r="D363" s="14"/>
      <c r="E363" s="444"/>
      <c r="F363" s="444"/>
      <c r="G363" s="444"/>
      <c r="H363" s="444"/>
      <c r="I363" s="444"/>
      <c r="J363" s="444"/>
      <c r="K363" s="444"/>
      <c r="L363" s="444"/>
      <c r="M363" s="444"/>
      <c r="N363" s="444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13"/>
      <c r="B364" s="14"/>
      <c r="C364" s="14"/>
      <c r="D364" s="14"/>
      <c r="E364" s="444"/>
      <c r="F364" s="444"/>
      <c r="G364" s="444"/>
      <c r="H364" s="444"/>
      <c r="I364" s="444"/>
      <c r="J364" s="444"/>
      <c r="K364" s="444"/>
      <c r="L364" s="444"/>
      <c r="M364" s="444"/>
      <c r="N364" s="444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13"/>
      <c r="B365" s="14"/>
      <c r="C365" s="14"/>
      <c r="D365" s="14"/>
      <c r="E365" s="444"/>
      <c r="F365" s="444"/>
      <c r="G365" s="444"/>
      <c r="H365" s="444"/>
      <c r="I365" s="444"/>
      <c r="J365" s="444"/>
      <c r="K365" s="444"/>
      <c r="L365" s="444"/>
      <c r="M365" s="444"/>
      <c r="N365" s="444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13"/>
      <c r="B366" s="14"/>
      <c r="C366" s="14"/>
      <c r="D366" s="14"/>
      <c r="E366" s="444"/>
      <c r="F366" s="444"/>
      <c r="G366" s="444"/>
      <c r="H366" s="444"/>
      <c r="I366" s="444"/>
      <c r="J366" s="444"/>
      <c r="K366" s="444"/>
      <c r="L366" s="444"/>
      <c r="M366" s="444"/>
      <c r="N366" s="444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13"/>
      <c r="B367" s="14"/>
      <c r="C367" s="14"/>
      <c r="D367" s="14"/>
      <c r="E367" s="444"/>
      <c r="F367" s="444"/>
      <c r="G367" s="444"/>
      <c r="H367" s="444"/>
      <c r="I367" s="444"/>
      <c r="J367" s="444"/>
      <c r="K367" s="444"/>
      <c r="L367" s="444"/>
      <c r="M367" s="444"/>
      <c r="N367" s="444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13"/>
      <c r="B368" s="14"/>
      <c r="C368" s="14"/>
      <c r="D368" s="14"/>
      <c r="E368" s="444"/>
      <c r="F368" s="444"/>
      <c r="G368" s="444"/>
      <c r="H368" s="444"/>
      <c r="I368" s="444"/>
      <c r="J368" s="444"/>
      <c r="K368" s="444"/>
      <c r="L368" s="444"/>
      <c r="M368" s="444"/>
      <c r="N368" s="444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13"/>
      <c r="B369" s="14"/>
      <c r="C369" s="14"/>
      <c r="D369" s="14"/>
      <c r="E369" s="444"/>
      <c r="F369" s="444"/>
      <c r="G369" s="444"/>
      <c r="H369" s="444"/>
      <c r="I369" s="444"/>
      <c r="J369" s="444"/>
      <c r="K369" s="444"/>
      <c r="L369" s="444"/>
      <c r="M369" s="444"/>
      <c r="N369" s="444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13"/>
      <c r="B370" s="14"/>
      <c r="C370" s="14"/>
      <c r="D370" s="14"/>
      <c r="E370" s="444"/>
      <c r="F370" s="444"/>
      <c r="G370" s="444"/>
      <c r="H370" s="444"/>
      <c r="I370" s="444"/>
      <c r="J370" s="444"/>
      <c r="K370" s="444"/>
      <c r="L370" s="444"/>
      <c r="M370" s="444"/>
      <c r="N370" s="444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13"/>
      <c r="B371" s="14"/>
      <c r="C371" s="14"/>
      <c r="D371" s="14"/>
      <c r="E371" s="444"/>
      <c r="F371" s="444"/>
      <c r="G371" s="444"/>
      <c r="H371" s="444"/>
      <c r="I371" s="444"/>
      <c r="J371" s="444"/>
      <c r="K371" s="444"/>
      <c r="L371" s="444"/>
      <c r="M371" s="444"/>
      <c r="N371" s="444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13"/>
      <c r="B372" s="14"/>
      <c r="C372" s="14"/>
      <c r="D372" s="14"/>
      <c r="E372" s="444"/>
      <c r="F372" s="444"/>
      <c r="G372" s="444"/>
      <c r="H372" s="444"/>
      <c r="I372" s="444"/>
      <c r="J372" s="444"/>
      <c r="K372" s="444"/>
      <c r="L372" s="444"/>
      <c r="M372" s="444"/>
      <c r="N372" s="444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13"/>
      <c r="B373" s="14"/>
      <c r="C373" s="14"/>
      <c r="D373" s="14"/>
      <c r="E373" s="444"/>
      <c r="F373" s="444"/>
      <c r="G373" s="444"/>
      <c r="H373" s="444"/>
      <c r="I373" s="444"/>
      <c r="J373" s="444"/>
      <c r="K373" s="444"/>
      <c r="L373" s="444"/>
      <c r="M373" s="444"/>
      <c r="N373" s="444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13"/>
      <c r="B374" s="14"/>
      <c r="C374" s="14"/>
      <c r="D374" s="14"/>
      <c r="E374" s="444"/>
      <c r="F374" s="444"/>
      <c r="G374" s="444"/>
      <c r="H374" s="444"/>
      <c r="I374" s="444"/>
      <c r="J374" s="444"/>
      <c r="K374" s="444"/>
      <c r="L374" s="444"/>
      <c r="M374" s="444"/>
      <c r="N374" s="444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13"/>
      <c r="B375" s="14"/>
      <c r="C375" s="14"/>
      <c r="D375" s="14"/>
      <c r="E375" s="444"/>
      <c r="F375" s="444"/>
      <c r="G375" s="444"/>
      <c r="H375" s="444"/>
      <c r="I375" s="444"/>
      <c r="J375" s="444"/>
      <c r="K375" s="444"/>
      <c r="L375" s="444"/>
      <c r="M375" s="444"/>
      <c r="N375" s="444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13"/>
      <c r="B376" s="14"/>
      <c r="C376" s="14"/>
      <c r="D376" s="14"/>
      <c r="E376" s="444"/>
      <c r="F376" s="444"/>
      <c r="G376" s="444"/>
      <c r="H376" s="444"/>
      <c r="I376" s="444"/>
      <c r="J376" s="444"/>
      <c r="K376" s="444"/>
      <c r="L376" s="444"/>
      <c r="M376" s="444"/>
      <c r="N376" s="444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13"/>
      <c r="B377" s="14"/>
      <c r="C377" s="14"/>
      <c r="D377" s="14"/>
      <c r="E377" s="444"/>
      <c r="F377" s="444"/>
      <c r="G377" s="444"/>
      <c r="H377" s="444"/>
      <c r="I377" s="444"/>
      <c r="J377" s="444"/>
      <c r="K377" s="444"/>
      <c r="L377" s="444"/>
      <c r="M377" s="444"/>
      <c r="N377" s="444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13"/>
      <c r="B378" s="14"/>
      <c r="C378" s="14"/>
      <c r="D378" s="14"/>
      <c r="E378" s="444"/>
      <c r="F378" s="444"/>
      <c r="G378" s="444"/>
      <c r="H378" s="444"/>
      <c r="I378" s="444"/>
      <c r="J378" s="444"/>
      <c r="K378" s="444"/>
      <c r="L378" s="444"/>
      <c r="M378" s="444"/>
      <c r="N378" s="444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13"/>
      <c r="B379" s="14"/>
      <c r="C379" s="14"/>
      <c r="D379" s="14"/>
      <c r="E379" s="444"/>
      <c r="F379" s="444"/>
      <c r="G379" s="444"/>
      <c r="H379" s="444"/>
      <c r="I379" s="444"/>
      <c r="J379" s="444"/>
      <c r="K379" s="444"/>
      <c r="L379" s="444"/>
      <c r="M379" s="444"/>
      <c r="N379" s="444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13"/>
      <c r="B380" s="14"/>
      <c r="C380" s="14"/>
      <c r="D380" s="14"/>
      <c r="E380" s="444"/>
      <c r="F380" s="444"/>
      <c r="G380" s="444"/>
      <c r="H380" s="444"/>
      <c r="I380" s="444"/>
      <c r="J380" s="444"/>
      <c r="K380" s="444"/>
      <c r="L380" s="444"/>
      <c r="M380" s="444"/>
      <c r="N380" s="444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13"/>
      <c r="B381" s="14"/>
      <c r="C381" s="14"/>
      <c r="D381" s="14"/>
      <c r="E381" s="444"/>
      <c r="F381" s="444"/>
      <c r="G381" s="444"/>
      <c r="H381" s="444"/>
      <c r="I381" s="444"/>
      <c r="J381" s="444"/>
      <c r="K381" s="444"/>
      <c r="L381" s="444"/>
      <c r="M381" s="444"/>
      <c r="N381" s="444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13"/>
      <c r="B382" s="14"/>
      <c r="C382" s="14"/>
      <c r="D382" s="14"/>
      <c r="E382" s="444"/>
      <c r="F382" s="444"/>
      <c r="G382" s="444"/>
      <c r="H382" s="444"/>
      <c r="I382" s="444"/>
      <c r="J382" s="444"/>
      <c r="K382" s="444"/>
      <c r="L382" s="444"/>
      <c r="M382" s="444"/>
      <c r="N382" s="444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13"/>
      <c r="B383" s="14"/>
      <c r="C383" s="14"/>
      <c r="D383" s="14"/>
      <c r="E383" s="444"/>
      <c r="F383" s="444"/>
      <c r="G383" s="444"/>
      <c r="H383" s="444"/>
      <c r="I383" s="444"/>
      <c r="J383" s="444"/>
      <c r="K383" s="444"/>
      <c r="L383" s="444"/>
      <c r="M383" s="444"/>
      <c r="N383" s="444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13"/>
      <c r="B384" s="14"/>
      <c r="C384" s="14"/>
      <c r="D384" s="14"/>
      <c r="E384" s="444"/>
      <c r="F384" s="444"/>
      <c r="G384" s="444"/>
      <c r="H384" s="444"/>
      <c r="I384" s="444"/>
      <c r="J384" s="444"/>
      <c r="K384" s="444"/>
      <c r="L384" s="444"/>
      <c r="M384" s="444"/>
      <c r="N384" s="444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13"/>
      <c r="B385" s="14"/>
      <c r="C385" s="14"/>
      <c r="D385" s="14"/>
      <c r="E385" s="444"/>
      <c r="F385" s="444"/>
      <c r="G385" s="444"/>
      <c r="H385" s="444"/>
      <c r="I385" s="444"/>
      <c r="J385" s="444"/>
      <c r="K385" s="444"/>
      <c r="L385" s="444"/>
      <c r="M385" s="444"/>
      <c r="N385" s="444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13"/>
      <c r="B386" s="14"/>
      <c r="C386" s="14"/>
      <c r="D386" s="14"/>
      <c r="E386" s="444"/>
      <c r="F386" s="444"/>
      <c r="G386" s="444"/>
      <c r="H386" s="444"/>
      <c r="I386" s="444"/>
      <c r="J386" s="444"/>
      <c r="K386" s="444"/>
      <c r="L386" s="444"/>
      <c r="M386" s="444"/>
      <c r="N386" s="444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13"/>
      <c r="B387" s="14"/>
      <c r="C387" s="14"/>
      <c r="D387" s="14"/>
      <c r="E387" s="444"/>
      <c r="F387" s="444"/>
      <c r="G387" s="444"/>
      <c r="H387" s="444"/>
      <c r="I387" s="444"/>
      <c r="J387" s="444"/>
      <c r="K387" s="444"/>
      <c r="L387" s="444"/>
      <c r="M387" s="444"/>
      <c r="N387" s="444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13"/>
      <c r="B388" s="14"/>
      <c r="C388" s="14"/>
      <c r="D388" s="14"/>
      <c r="E388" s="444"/>
      <c r="F388" s="444"/>
      <c r="G388" s="444"/>
      <c r="H388" s="444"/>
      <c r="I388" s="444"/>
      <c r="J388" s="444"/>
      <c r="K388" s="444"/>
      <c r="L388" s="444"/>
      <c r="M388" s="444"/>
      <c r="N388" s="444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13"/>
      <c r="B389" s="14"/>
      <c r="C389" s="14"/>
      <c r="D389" s="14"/>
      <c r="E389" s="444"/>
      <c r="F389" s="444"/>
      <c r="G389" s="444"/>
      <c r="H389" s="444"/>
      <c r="I389" s="444"/>
      <c r="J389" s="444"/>
      <c r="K389" s="444"/>
      <c r="L389" s="444"/>
      <c r="M389" s="444"/>
      <c r="N389" s="444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13"/>
      <c r="B390" s="14"/>
      <c r="C390" s="14"/>
      <c r="D390" s="14"/>
      <c r="E390" s="444"/>
      <c r="F390" s="444"/>
      <c r="G390" s="444"/>
      <c r="H390" s="444"/>
      <c r="I390" s="444"/>
      <c r="J390" s="444"/>
      <c r="K390" s="444"/>
      <c r="L390" s="444"/>
      <c r="M390" s="444"/>
      <c r="N390" s="444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13"/>
      <c r="B391" s="14"/>
      <c r="C391" s="14"/>
      <c r="D391" s="14"/>
      <c r="E391" s="444"/>
      <c r="F391" s="444"/>
      <c r="G391" s="444"/>
      <c r="H391" s="444"/>
      <c r="I391" s="444"/>
      <c r="J391" s="444"/>
      <c r="K391" s="444"/>
      <c r="L391" s="444"/>
      <c r="M391" s="444"/>
      <c r="N391" s="444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13"/>
      <c r="B392" s="14"/>
      <c r="C392" s="14"/>
      <c r="D392" s="14"/>
      <c r="E392" s="444"/>
      <c r="F392" s="444"/>
      <c r="G392" s="444"/>
      <c r="H392" s="444"/>
      <c r="I392" s="444"/>
      <c r="J392" s="444"/>
      <c r="K392" s="444"/>
      <c r="L392" s="444"/>
      <c r="M392" s="444"/>
      <c r="N392" s="444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13"/>
      <c r="B393" s="14"/>
      <c r="C393" s="14"/>
      <c r="D393" s="14"/>
      <c r="E393" s="444"/>
      <c r="F393" s="444"/>
      <c r="G393" s="444"/>
      <c r="H393" s="444"/>
      <c r="I393" s="444"/>
      <c r="J393" s="444"/>
      <c r="K393" s="444"/>
      <c r="L393" s="444"/>
      <c r="M393" s="444"/>
      <c r="N393" s="444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13"/>
      <c r="B394" s="14"/>
      <c r="C394" s="14"/>
      <c r="D394" s="14"/>
      <c r="E394" s="444"/>
      <c r="F394" s="444"/>
      <c r="G394" s="444"/>
      <c r="H394" s="444"/>
      <c r="I394" s="444"/>
      <c r="J394" s="444"/>
      <c r="K394" s="444"/>
      <c r="L394" s="444"/>
      <c r="M394" s="444"/>
      <c r="N394" s="444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13"/>
      <c r="B395" s="14"/>
      <c r="C395" s="14"/>
      <c r="D395" s="14"/>
      <c r="E395" s="444"/>
      <c r="F395" s="444"/>
      <c r="G395" s="444"/>
      <c r="H395" s="444"/>
      <c r="I395" s="444"/>
      <c r="J395" s="444"/>
      <c r="K395" s="444"/>
      <c r="L395" s="444"/>
      <c r="M395" s="444"/>
      <c r="N395" s="444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13"/>
      <c r="B396" s="14"/>
      <c r="C396" s="14"/>
      <c r="D396" s="14"/>
      <c r="E396" s="444"/>
      <c r="F396" s="444"/>
      <c r="G396" s="444"/>
      <c r="H396" s="444"/>
      <c r="I396" s="444"/>
      <c r="J396" s="444"/>
      <c r="K396" s="444"/>
      <c r="L396" s="444"/>
      <c r="M396" s="444"/>
      <c r="N396" s="444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13"/>
      <c r="B397" s="14"/>
      <c r="C397" s="14"/>
      <c r="D397" s="14"/>
      <c r="E397" s="444"/>
      <c r="F397" s="444"/>
      <c r="G397" s="444"/>
      <c r="H397" s="444"/>
      <c r="I397" s="444"/>
      <c r="J397" s="444"/>
      <c r="K397" s="444"/>
      <c r="L397" s="444"/>
      <c r="M397" s="444"/>
      <c r="N397" s="444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13"/>
      <c r="B398" s="14"/>
      <c r="C398" s="14"/>
      <c r="D398" s="14"/>
      <c r="E398" s="444"/>
      <c r="F398" s="444"/>
      <c r="G398" s="444"/>
      <c r="H398" s="444"/>
      <c r="I398" s="444"/>
      <c r="J398" s="444"/>
      <c r="K398" s="444"/>
      <c r="L398" s="444"/>
      <c r="M398" s="444"/>
      <c r="N398" s="444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13"/>
      <c r="B399" s="14"/>
      <c r="C399" s="14"/>
      <c r="D399" s="14"/>
      <c r="E399" s="444"/>
      <c r="F399" s="444"/>
      <c r="G399" s="444"/>
      <c r="H399" s="444"/>
      <c r="I399" s="444"/>
      <c r="J399" s="444"/>
      <c r="K399" s="444"/>
      <c r="L399" s="444"/>
      <c r="M399" s="444"/>
      <c r="N399" s="444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13"/>
      <c r="B400" s="14"/>
      <c r="C400" s="14"/>
      <c r="D400" s="14"/>
      <c r="E400" s="444"/>
      <c r="F400" s="444"/>
      <c r="G400" s="444"/>
      <c r="H400" s="444"/>
      <c r="I400" s="444"/>
      <c r="J400" s="444"/>
      <c r="K400" s="444"/>
      <c r="L400" s="444"/>
      <c r="M400" s="444"/>
      <c r="N400" s="444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13"/>
      <c r="B401" s="14"/>
      <c r="C401" s="14"/>
      <c r="D401" s="14"/>
      <c r="E401" s="444"/>
      <c r="F401" s="444"/>
      <c r="G401" s="444"/>
      <c r="H401" s="444"/>
      <c r="I401" s="444"/>
      <c r="J401" s="444"/>
      <c r="K401" s="444"/>
      <c r="L401" s="444"/>
      <c r="M401" s="444"/>
      <c r="N401" s="444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13"/>
      <c r="B402" s="14"/>
      <c r="C402" s="14"/>
      <c r="D402" s="14"/>
      <c r="E402" s="444"/>
      <c r="F402" s="444"/>
      <c r="G402" s="444"/>
      <c r="H402" s="444"/>
      <c r="I402" s="444"/>
      <c r="J402" s="444"/>
      <c r="K402" s="444"/>
      <c r="L402" s="444"/>
      <c r="M402" s="444"/>
      <c r="N402" s="444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13"/>
      <c r="B403" s="14"/>
      <c r="C403" s="14"/>
      <c r="D403" s="14"/>
      <c r="E403" s="444"/>
      <c r="F403" s="444"/>
      <c r="G403" s="444"/>
      <c r="H403" s="444"/>
      <c r="I403" s="444"/>
      <c r="J403" s="444"/>
      <c r="K403" s="444"/>
      <c r="L403" s="444"/>
      <c r="M403" s="444"/>
      <c r="N403" s="444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13"/>
      <c r="B404" s="14"/>
      <c r="C404" s="14"/>
      <c r="D404" s="14"/>
      <c r="E404" s="444"/>
      <c r="F404" s="444"/>
      <c r="G404" s="444"/>
      <c r="H404" s="444"/>
      <c r="I404" s="444"/>
      <c r="J404" s="444"/>
      <c r="K404" s="444"/>
      <c r="L404" s="444"/>
      <c r="M404" s="444"/>
      <c r="N404" s="444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13"/>
      <c r="B405" s="14"/>
      <c r="C405" s="14"/>
      <c r="D405" s="14"/>
      <c r="E405" s="444"/>
      <c r="F405" s="444"/>
      <c r="G405" s="444"/>
      <c r="H405" s="444"/>
      <c r="I405" s="444"/>
      <c r="J405" s="444"/>
      <c r="K405" s="444"/>
      <c r="L405" s="444"/>
      <c r="M405" s="444"/>
      <c r="N405" s="444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13"/>
      <c r="B406" s="14"/>
      <c r="C406" s="14"/>
      <c r="D406" s="14"/>
      <c r="E406" s="444"/>
      <c r="F406" s="444"/>
      <c r="G406" s="444"/>
      <c r="H406" s="444"/>
      <c r="I406" s="444"/>
      <c r="J406" s="444"/>
      <c r="K406" s="444"/>
      <c r="L406" s="444"/>
      <c r="M406" s="444"/>
      <c r="N406" s="444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13"/>
      <c r="B407" s="14"/>
      <c r="C407" s="14"/>
      <c r="D407" s="14"/>
      <c r="E407" s="444"/>
      <c r="F407" s="444"/>
      <c r="G407" s="444"/>
      <c r="H407" s="444"/>
      <c r="I407" s="444"/>
      <c r="J407" s="444"/>
      <c r="K407" s="444"/>
      <c r="L407" s="444"/>
      <c r="M407" s="444"/>
      <c r="N407" s="444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13"/>
      <c r="B408" s="14"/>
      <c r="C408" s="14"/>
      <c r="D408" s="14"/>
      <c r="E408" s="444"/>
      <c r="F408" s="444"/>
      <c r="G408" s="444"/>
      <c r="H408" s="444"/>
      <c r="I408" s="444"/>
      <c r="J408" s="444"/>
      <c r="K408" s="444"/>
      <c r="L408" s="444"/>
      <c r="M408" s="444"/>
      <c r="N408" s="444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13"/>
      <c r="B409" s="14"/>
      <c r="C409" s="14"/>
      <c r="D409" s="14"/>
      <c r="E409" s="444"/>
      <c r="F409" s="444"/>
      <c r="G409" s="444"/>
      <c r="H409" s="444"/>
      <c r="I409" s="444"/>
      <c r="J409" s="444"/>
      <c r="K409" s="444"/>
      <c r="L409" s="444"/>
      <c r="M409" s="444"/>
      <c r="N409" s="444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13"/>
      <c r="B410" s="14"/>
      <c r="C410" s="14"/>
      <c r="D410" s="14"/>
      <c r="E410" s="444"/>
      <c r="F410" s="444"/>
      <c r="G410" s="444"/>
      <c r="H410" s="444"/>
      <c r="I410" s="444"/>
      <c r="J410" s="444"/>
      <c r="K410" s="444"/>
      <c r="L410" s="444"/>
      <c r="M410" s="444"/>
      <c r="N410" s="444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13"/>
      <c r="B411" s="14"/>
      <c r="C411" s="14"/>
      <c r="D411" s="14"/>
      <c r="E411" s="444"/>
      <c r="F411" s="444"/>
      <c r="G411" s="444"/>
      <c r="H411" s="444"/>
      <c r="I411" s="444"/>
      <c r="J411" s="444"/>
      <c r="K411" s="444"/>
      <c r="L411" s="444"/>
      <c r="M411" s="444"/>
      <c r="N411" s="444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13"/>
      <c r="B412" s="14"/>
      <c r="C412" s="14"/>
      <c r="D412" s="14"/>
      <c r="E412" s="444"/>
      <c r="F412" s="444"/>
      <c r="G412" s="444"/>
      <c r="H412" s="444"/>
      <c r="I412" s="444"/>
      <c r="J412" s="444"/>
      <c r="K412" s="444"/>
      <c r="L412" s="444"/>
      <c r="M412" s="444"/>
      <c r="N412" s="444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13"/>
      <c r="B413" s="14"/>
      <c r="C413" s="14"/>
      <c r="D413" s="14"/>
      <c r="E413" s="444"/>
      <c r="F413" s="444"/>
      <c r="G413" s="444"/>
      <c r="H413" s="444"/>
      <c r="I413" s="444"/>
      <c r="J413" s="444"/>
      <c r="K413" s="444"/>
      <c r="L413" s="444"/>
      <c r="M413" s="444"/>
      <c r="N413" s="444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13"/>
      <c r="B414" s="14"/>
      <c r="C414" s="14"/>
      <c r="D414" s="14"/>
      <c r="E414" s="444"/>
      <c r="F414" s="444"/>
      <c r="G414" s="444"/>
      <c r="H414" s="444"/>
      <c r="I414" s="444"/>
      <c r="J414" s="444"/>
      <c r="K414" s="444"/>
      <c r="L414" s="444"/>
      <c r="M414" s="444"/>
      <c r="N414" s="444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13"/>
      <c r="B415" s="14"/>
      <c r="C415" s="14"/>
      <c r="D415" s="14"/>
      <c r="E415" s="444"/>
      <c r="F415" s="444"/>
      <c r="G415" s="444"/>
      <c r="H415" s="444"/>
      <c r="I415" s="444"/>
      <c r="J415" s="444"/>
      <c r="K415" s="444"/>
      <c r="L415" s="444"/>
      <c r="M415" s="444"/>
      <c r="N415" s="444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13"/>
      <c r="B416" s="14"/>
      <c r="C416" s="14"/>
      <c r="D416" s="14"/>
      <c r="E416" s="444"/>
      <c r="F416" s="444"/>
      <c r="G416" s="444"/>
      <c r="H416" s="444"/>
      <c r="I416" s="444"/>
      <c r="J416" s="444"/>
      <c r="K416" s="444"/>
      <c r="L416" s="444"/>
      <c r="M416" s="444"/>
      <c r="N416" s="444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13"/>
      <c r="B417" s="14"/>
      <c r="C417" s="14"/>
      <c r="D417" s="14"/>
      <c r="E417" s="444"/>
      <c r="F417" s="444"/>
      <c r="G417" s="444"/>
      <c r="H417" s="444"/>
      <c r="I417" s="444"/>
      <c r="J417" s="444"/>
      <c r="K417" s="444"/>
      <c r="L417" s="444"/>
      <c r="M417" s="444"/>
      <c r="N417" s="444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13"/>
      <c r="B418" s="14"/>
      <c r="C418" s="14"/>
      <c r="D418" s="14"/>
      <c r="E418" s="444"/>
      <c r="F418" s="444"/>
      <c r="G418" s="444"/>
      <c r="H418" s="444"/>
      <c r="I418" s="444"/>
      <c r="J418" s="444"/>
      <c r="K418" s="444"/>
      <c r="L418" s="444"/>
      <c r="M418" s="444"/>
      <c r="N418" s="444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13"/>
      <c r="B419" s="14"/>
      <c r="C419" s="14"/>
      <c r="D419" s="14"/>
      <c r="E419" s="444"/>
      <c r="F419" s="444"/>
      <c r="G419" s="444"/>
      <c r="H419" s="444"/>
      <c r="I419" s="444"/>
      <c r="J419" s="444"/>
      <c r="K419" s="444"/>
      <c r="L419" s="444"/>
      <c r="M419" s="444"/>
      <c r="N419" s="444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13"/>
      <c r="B420" s="14"/>
      <c r="C420" s="14"/>
      <c r="D420" s="14"/>
      <c r="E420" s="444"/>
      <c r="F420" s="444"/>
      <c r="G420" s="444"/>
      <c r="H420" s="444"/>
      <c r="I420" s="444"/>
      <c r="J420" s="444"/>
      <c r="K420" s="444"/>
      <c r="L420" s="444"/>
      <c r="M420" s="444"/>
      <c r="N420" s="444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13"/>
      <c r="B421" s="14"/>
      <c r="C421" s="14"/>
      <c r="D421" s="14"/>
      <c r="E421" s="444"/>
      <c r="F421" s="444"/>
      <c r="G421" s="444"/>
      <c r="H421" s="444"/>
      <c r="I421" s="444"/>
      <c r="J421" s="444"/>
      <c r="K421" s="444"/>
      <c r="L421" s="444"/>
      <c r="M421" s="444"/>
      <c r="N421" s="444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13"/>
      <c r="B422" s="14"/>
      <c r="C422" s="14"/>
      <c r="D422" s="14"/>
      <c r="E422" s="444"/>
      <c r="F422" s="444"/>
      <c r="G422" s="444"/>
      <c r="H422" s="444"/>
      <c r="I422" s="444"/>
      <c r="J422" s="444"/>
      <c r="K422" s="444"/>
      <c r="L422" s="444"/>
      <c r="M422" s="444"/>
      <c r="N422" s="444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13"/>
      <c r="B423" s="14"/>
      <c r="C423" s="14"/>
      <c r="D423" s="14"/>
      <c r="E423" s="444"/>
      <c r="F423" s="444"/>
      <c r="G423" s="444"/>
      <c r="H423" s="444"/>
      <c r="I423" s="444"/>
      <c r="J423" s="444"/>
      <c r="K423" s="444"/>
      <c r="L423" s="444"/>
      <c r="M423" s="444"/>
      <c r="N423" s="444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13"/>
      <c r="B424" s="14"/>
      <c r="C424" s="14"/>
      <c r="D424" s="14"/>
      <c r="E424" s="444"/>
      <c r="F424" s="444"/>
      <c r="G424" s="444"/>
      <c r="H424" s="444"/>
      <c r="I424" s="444"/>
      <c r="J424" s="444"/>
      <c r="K424" s="444"/>
      <c r="L424" s="444"/>
      <c r="M424" s="444"/>
      <c r="N424" s="444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13"/>
      <c r="B425" s="14"/>
      <c r="C425" s="14"/>
      <c r="D425" s="14"/>
      <c r="E425" s="444"/>
      <c r="F425" s="444"/>
      <c r="G425" s="444"/>
      <c r="H425" s="444"/>
      <c r="I425" s="444"/>
      <c r="J425" s="444"/>
      <c r="K425" s="444"/>
      <c r="L425" s="444"/>
      <c r="M425" s="444"/>
      <c r="N425" s="444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13"/>
      <c r="B426" s="14"/>
      <c r="C426" s="14"/>
      <c r="D426" s="14"/>
      <c r="E426" s="444"/>
      <c r="F426" s="444"/>
      <c r="G426" s="444"/>
      <c r="H426" s="444"/>
      <c r="I426" s="444"/>
      <c r="J426" s="444"/>
      <c r="K426" s="444"/>
      <c r="L426" s="444"/>
      <c r="M426" s="444"/>
      <c r="N426" s="444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13"/>
      <c r="B427" s="14"/>
      <c r="C427" s="14"/>
      <c r="D427" s="14"/>
      <c r="E427" s="444"/>
      <c r="F427" s="444"/>
      <c r="G427" s="444"/>
      <c r="H427" s="444"/>
      <c r="I427" s="444"/>
      <c r="J427" s="444"/>
      <c r="K427" s="444"/>
      <c r="L427" s="444"/>
      <c r="M427" s="444"/>
      <c r="N427" s="444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13"/>
      <c r="B428" s="14"/>
      <c r="C428" s="14"/>
      <c r="D428" s="14"/>
      <c r="E428" s="444"/>
      <c r="F428" s="444"/>
      <c r="G428" s="444"/>
      <c r="H428" s="444"/>
      <c r="I428" s="444"/>
      <c r="J428" s="444"/>
      <c r="K428" s="444"/>
      <c r="L428" s="444"/>
      <c r="M428" s="444"/>
      <c r="N428" s="444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13"/>
      <c r="B429" s="14"/>
      <c r="C429" s="14"/>
      <c r="D429" s="14"/>
      <c r="E429" s="444"/>
      <c r="F429" s="444"/>
      <c r="G429" s="444"/>
      <c r="H429" s="444"/>
      <c r="I429" s="444"/>
      <c r="J429" s="444"/>
      <c r="K429" s="444"/>
      <c r="L429" s="444"/>
      <c r="M429" s="444"/>
      <c r="N429" s="444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13"/>
      <c r="B430" s="14"/>
      <c r="C430" s="14"/>
      <c r="D430" s="14"/>
      <c r="E430" s="444"/>
      <c r="F430" s="444"/>
      <c r="G430" s="444"/>
      <c r="H430" s="444"/>
      <c r="I430" s="444"/>
      <c r="J430" s="444"/>
      <c r="K430" s="444"/>
      <c r="L430" s="444"/>
      <c r="M430" s="444"/>
      <c r="N430" s="444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13"/>
      <c r="B431" s="14"/>
      <c r="C431" s="14"/>
      <c r="D431" s="14"/>
      <c r="E431" s="444"/>
      <c r="F431" s="444"/>
      <c r="G431" s="444"/>
      <c r="H431" s="444"/>
      <c r="I431" s="444"/>
      <c r="J431" s="444"/>
      <c r="K431" s="444"/>
      <c r="L431" s="444"/>
      <c r="M431" s="444"/>
      <c r="N431" s="444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13"/>
      <c r="B432" s="14"/>
      <c r="C432" s="14"/>
      <c r="D432" s="14"/>
      <c r="E432" s="444"/>
      <c r="F432" s="444"/>
      <c r="G432" s="444"/>
      <c r="H432" s="444"/>
      <c r="I432" s="444"/>
      <c r="J432" s="444"/>
      <c r="K432" s="444"/>
      <c r="L432" s="444"/>
      <c r="M432" s="444"/>
      <c r="N432" s="444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13"/>
      <c r="B433" s="14"/>
      <c r="C433" s="14"/>
      <c r="D433" s="14"/>
      <c r="E433" s="444"/>
      <c r="F433" s="444"/>
      <c r="G433" s="444"/>
      <c r="H433" s="444"/>
      <c r="I433" s="444"/>
      <c r="J433" s="444"/>
      <c r="K433" s="444"/>
      <c r="L433" s="444"/>
      <c r="M433" s="444"/>
      <c r="N433" s="444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13"/>
      <c r="B434" s="14"/>
      <c r="C434" s="14"/>
      <c r="D434" s="14"/>
      <c r="E434" s="444"/>
      <c r="F434" s="444"/>
      <c r="G434" s="444"/>
      <c r="H434" s="444"/>
      <c r="I434" s="444"/>
      <c r="J434" s="444"/>
      <c r="K434" s="444"/>
      <c r="L434" s="444"/>
      <c r="M434" s="444"/>
      <c r="N434" s="444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13"/>
      <c r="B435" s="14"/>
      <c r="C435" s="14"/>
      <c r="D435" s="14"/>
      <c r="E435" s="444"/>
      <c r="F435" s="444"/>
      <c r="G435" s="444"/>
      <c r="H435" s="444"/>
      <c r="I435" s="444"/>
      <c r="J435" s="444"/>
      <c r="K435" s="444"/>
      <c r="L435" s="444"/>
      <c r="M435" s="444"/>
      <c r="N435" s="444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13"/>
      <c r="B436" s="14"/>
      <c r="C436" s="14"/>
      <c r="D436" s="14"/>
      <c r="E436" s="444"/>
      <c r="F436" s="444"/>
      <c r="G436" s="444"/>
      <c r="H436" s="444"/>
      <c r="I436" s="444"/>
      <c r="J436" s="444"/>
      <c r="K436" s="444"/>
      <c r="L436" s="444"/>
      <c r="M436" s="444"/>
      <c r="N436" s="444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13"/>
      <c r="B437" s="14"/>
      <c r="C437" s="14"/>
      <c r="D437" s="14"/>
      <c r="E437" s="444"/>
      <c r="F437" s="444"/>
      <c r="G437" s="444"/>
      <c r="H437" s="444"/>
      <c r="I437" s="444"/>
      <c r="J437" s="444"/>
      <c r="K437" s="444"/>
      <c r="L437" s="444"/>
      <c r="M437" s="444"/>
      <c r="N437" s="444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13"/>
      <c r="B438" s="14"/>
      <c r="C438" s="14"/>
      <c r="D438" s="14"/>
      <c r="E438" s="444"/>
      <c r="F438" s="444"/>
      <c r="G438" s="444"/>
      <c r="H438" s="444"/>
      <c r="I438" s="444"/>
      <c r="J438" s="444"/>
      <c r="K438" s="444"/>
      <c r="L438" s="444"/>
      <c r="M438" s="444"/>
      <c r="N438" s="444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13"/>
      <c r="B439" s="14"/>
      <c r="C439" s="14"/>
      <c r="D439" s="14"/>
      <c r="E439" s="444"/>
      <c r="F439" s="444"/>
      <c r="G439" s="444"/>
      <c r="H439" s="444"/>
      <c r="I439" s="444"/>
      <c r="J439" s="444"/>
      <c r="K439" s="444"/>
      <c r="L439" s="444"/>
      <c r="M439" s="444"/>
      <c r="N439" s="444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13"/>
      <c r="B440" s="14"/>
      <c r="C440" s="14"/>
      <c r="D440" s="14"/>
      <c r="E440" s="444"/>
      <c r="F440" s="444"/>
      <c r="G440" s="444"/>
      <c r="H440" s="444"/>
      <c r="I440" s="444"/>
      <c r="J440" s="444"/>
      <c r="K440" s="444"/>
      <c r="L440" s="444"/>
      <c r="M440" s="444"/>
      <c r="N440" s="444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13"/>
      <c r="B441" s="14"/>
      <c r="C441" s="14"/>
      <c r="D441" s="14"/>
      <c r="E441" s="444"/>
      <c r="F441" s="444"/>
      <c r="G441" s="444"/>
      <c r="H441" s="444"/>
      <c r="I441" s="444"/>
      <c r="J441" s="444"/>
      <c r="K441" s="444"/>
      <c r="L441" s="444"/>
      <c r="M441" s="444"/>
      <c r="N441" s="444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13"/>
      <c r="B442" s="14"/>
      <c r="C442" s="14"/>
      <c r="D442" s="14"/>
      <c r="E442" s="444"/>
      <c r="F442" s="444"/>
      <c r="G442" s="444"/>
      <c r="H442" s="444"/>
      <c r="I442" s="444"/>
      <c r="J442" s="444"/>
      <c r="K442" s="444"/>
      <c r="L442" s="444"/>
      <c r="M442" s="444"/>
      <c r="N442" s="444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13"/>
      <c r="B443" s="14"/>
      <c r="C443" s="14"/>
      <c r="D443" s="14"/>
      <c r="E443" s="444"/>
      <c r="F443" s="444"/>
      <c r="G443" s="444"/>
      <c r="H443" s="444"/>
      <c r="I443" s="444"/>
      <c r="J443" s="444"/>
      <c r="K443" s="444"/>
      <c r="L443" s="444"/>
      <c r="M443" s="444"/>
      <c r="N443" s="444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13"/>
      <c r="B444" s="14"/>
      <c r="C444" s="14"/>
      <c r="D444" s="14"/>
      <c r="E444" s="444"/>
      <c r="F444" s="444"/>
      <c r="G444" s="444"/>
      <c r="H444" s="444"/>
      <c r="I444" s="444"/>
      <c r="J444" s="444"/>
      <c r="K444" s="444"/>
      <c r="L444" s="444"/>
      <c r="M444" s="444"/>
      <c r="N444" s="444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13"/>
      <c r="B445" s="14"/>
      <c r="C445" s="14"/>
      <c r="D445" s="14"/>
      <c r="E445" s="444"/>
      <c r="F445" s="444"/>
      <c r="G445" s="444"/>
      <c r="H445" s="444"/>
      <c r="I445" s="444"/>
      <c r="J445" s="444"/>
      <c r="K445" s="444"/>
      <c r="L445" s="444"/>
      <c r="M445" s="444"/>
      <c r="N445" s="444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13"/>
      <c r="B446" s="14"/>
      <c r="C446" s="14"/>
      <c r="D446" s="14"/>
      <c r="E446" s="444"/>
      <c r="F446" s="444"/>
      <c r="G446" s="444"/>
      <c r="H446" s="444"/>
      <c r="I446" s="444"/>
      <c r="J446" s="444"/>
      <c r="K446" s="444"/>
      <c r="L446" s="444"/>
      <c r="M446" s="444"/>
      <c r="N446" s="444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13"/>
      <c r="B447" s="14"/>
      <c r="C447" s="14"/>
      <c r="D447" s="14"/>
      <c r="E447" s="444"/>
      <c r="F447" s="444"/>
      <c r="G447" s="444"/>
      <c r="H447" s="444"/>
      <c r="I447" s="444"/>
      <c r="J447" s="444"/>
      <c r="K447" s="444"/>
      <c r="L447" s="444"/>
      <c r="M447" s="444"/>
      <c r="N447" s="444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13"/>
      <c r="B448" s="14"/>
      <c r="C448" s="14"/>
      <c r="D448" s="14"/>
      <c r="E448" s="444"/>
      <c r="F448" s="444"/>
      <c r="G448" s="444"/>
      <c r="H448" s="444"/>
      <c r="I448" s="444"/>
      <c r="J448" s="444"/>
      <c r="K448" s="444"/>
      <c r="L448" s="444"/>
      <c r="M448" s="444"/>
      <c r="N448" s="444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13"/>
      <c r="B449" s="14"/>
      <c r="C449" s="14"/>
      <c r="D449" s="14"/>
      <c r="E449" s="444"/>
      <c r="F449" s="444"/>
      <c r="G449" s="444"/>
      <c r="H449" s="444"/>
      <c r="I449" s="444"/>
      <c r="J449" s="444"/>
      <c r="K449" s="444"/>
      <c r="L449" s="444"/>
      <c r="M449" s="444"/>
      <c r="N449" s="444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13"/>
      <c r="B450" s="14"/>
      <c r="C450" s="14"/>
      <c r="D450" s="14"/>
      <c r="E450" s="444"/>
      <c r="F450" s="444"/>
      <c r="G450" s="444"/>
      <c r="H450" s="444"/>
      <c r="I450" s="444"/>
      <c r="J450" s="444"/>
      <c r="K450" s="444"/>
      <c r="L450" s="444"/>
      <c r="M450" s="444"/>
      <c r="N450" s="444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13"/>
      <c r="B451" s="14"/>
      <c r="C451" s="14"/>
      <c r="D451" s="14"/>
      <c r="E451" s="444"/>
      <c r="F451" s="444"/>
      <c r="G451" s="444"/>
      <c r="H451" s="444"/>
      <c r="I451" s="444"/>
      <c r="J451" s="444"/>
      <c r="K451" s="444"/>
      <c r="L451" s="444"/>
      <c r="M451" s="444"/>
      <c r="N451" s="444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13"/>
      <c r="B452" s="14"/>
      <c r="C452" s="14"/>
      <c r="D452" s="14"/>
      <c r="E452" s="444"/>
      <c r="F452" s="444"/>
      <c r="G452" s="444"/>
      <c r="H452" s="444"/>
      <c r="I452" s="444"/>
      <c r="J452" s="444"/>
      <c r="K452" s="444"/>
      <c r="L452" s="444"/>
      <c r="M452" s="444"/>
      <c r="N452" s="444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13"/>
      <c r="B453" s="14"/>
      <c r="C453" s="14"/>
      <c r="D453" s="14"/>
      <c r="E453" s="444"/>
      <c r="F453" s="444"/>
      <c r="G453" s="444"/>
      <c r="H453" s="444"/>
      <c r="I453" s="444"/>
      <c r="J453" s="444"/>
      <c r="K453" s="444"/>
      <c r="L453" s="444"/>
      <c r="M453" s="444"/>
      <c r="N453" s="444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13"/>
      <c r="B454" s="14"/>
      <c r="C454" s="14"/>
      <c r="D454" s="14"/>
      <c r="E454" s="444"/>
      <c r="F454" s="444"/>
      <c r="G454" s="444"/>
      <c r="H454" s="444"/>
      <c r="I454" s="444"/>
      <c r="J454" s="444"/>
      <c r="K454" s="444"/>
      <c r="L454" s="444"/>
      <c r="M454" s="444"/>
      <c r="N454" s="444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13"/>
      <c r="B455" s="14"/>
      <c r="C455" s="14"/>
      <c r="D455" s="14"/>
      <c r="E455" s="444"/>
      <c r="F455" s="444"/>
      <c r="G455" s="444"/>
      <c r="H455" s="444"/>
      <c r="I455" s="444"/>
      <c r="J455" s="444"/>
      <c r="K455" s="444"/>
      <c r="L455" s="444"/>
      <c r="M455" s="444"/>
      <c r="N455" s="444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13"/>
      <c r="B456" s="14"/>
      <c r="C456" s="14"/>
      <c r="D456" s="14"/>
      <c r="E456" s="444"/>
      <c r="F456" s="444"/>
      <c r="G456" s="444"/>
      <c r="H456" s="444"/>
      <c r="I456" s="444"/>
      <c r="J456" s="444"/>
      <c r="K456" s="444"/>
      <c r="L456" s="444"/>
      <c r="M456" s="444"/>
      <c r="N456" s="444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13"/>
      <c r="B457" s="14"/>
      <c r="C457" s="14"/>
      <c r="D457" s="14"/>
      <c r="E457" s="444"/>
      <c r="F457" s="444"/>
      <c r="G457" s="444"/>
      <c r="H457" s="444"/>
      <c r="I457" s="444"/>
      <c r="J457" s="444"/>
      <c r="K457" s="444"/>
      <c r="L457" s="444"/>
      <c r="M457" s="444"/>
      <c r="N457" s="444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13"/>
      <c r="B458" s="14"/>
      <c r="C458" s="14"/>
      <c r="D458" s="14"/>
      <c r="E458" s="444"/>
      <c r="F458" s="444"/>
      <c r="G458" s="444"/>
      <c r="H458" s="444"/>
      <c r="I458" s="444"/>
      <c r="J458" s="444"/>
      <c r="K458" s="444"/>
      <c r="L458" s="444"/>
      <c r="M458" s="444"/>
      <c r="N458" s="444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13"/>
      <c r="B459" s="14"/>
      <c r="C459" s="14"/>
      <c r="D459" s="14"/>
      <c r="E459" s="444"/>
      <c r="F459" s="444"/>
      <c r="G459" s="444"/>
      <c r="H459" s="444"/>
      <c r="I459" s="444"/>
      <c r="J459" s="444"/>
      <c r="K459" s="444"/>
      <c r="L459" s="444"/>
      <c r="M459" s="444"/>
      <c r="N459" s="444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13"/>
      <c r="B460" s="14"/>
      <c r="C460" s="14"/>
      <c r="D460" s="14"/>
      <c r="E460" s="444"/>
      <c r="F460" s="444"/>
      <c r="G460" s="444"/>
      <c r="H460" s="444"/>
      <c r="I460" s="444"/>
      <c r="J460" s="444"/>
      <c r="K460" s="444"/>
      <c r="L460" s="444"/>
      <c r="M460" s="444"/>
      <c r="N460" s="444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13"/>
      <c r="B461" s="14"/>
      <c r="C461" s="14"/>
      <c r="D461" s="14"/>
      <c r="E461" s="444"/>
      <c r="F461" s="444"/>
      <c r="G461" s="444"/>
      <c r="H461" s="444"/>
      <c r="I461" s="444"/>
      <c r="J461" s="444"/>
      <c r="K461" s="444"/>
      <c r="L461" s="444"/>
      <c r="M461" s="444"/>
      <c r="N461" s="444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13"/>
      <c r="B462" s="14"/>
      <c r="C462" s="14"/>
      <c r="D462" s="14"/>
      <c r="E462" s="444"/>
      <c r="F462" s="444"/>
      <c r="G462" s="444"/>
      <c r="H462" s="444"/>
      <c r="I462" s="444"/>
      <c r="J462" s="444"/>
      <c r="K462" s="444"/>
      <c r="L462" s="444"/>
      <c r="M462" s="444"/>
      <c r="N462" s="444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13"/>
      <c r="B463" s="14"/>
      <c r="C463" s="14"/>
      <c r="D463" s="14"/>
      <c r="E463" s="444"/>
      <c r="F463" s="444"/>
      <c r="G463" s="444"/>
      <c r="H463" s="444"/>
      <c r="I463" s="444"/>
      <c r="J463" s="444"/>
      <c r="K463" s="444"/>
      <c r="L463" s="444"/>
      <c r="M463" s="444"/>
      <c r="N463" s="444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13"/>
      <c r="B464" s="14"/>
      <c r="C464" s="14"/>
      <c r="D464" s="14"/>
      <c r="E464" s="444"/>
      <c r="F464" s="444"/>
      <c r="G464" s="444"/>
      <c r="H464" s="444"/>
      <c r="I464" s="444"/>
      <c r="J464" s="444"/>
      <c r="K464" s="444"/>
      <c r="L464" s="444"/>
      <c r="M464" s="444"/>
      <c r="N464" s="444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13"/>
      <c r="B465" s="14"/>
      <c r="C465" s="14"/>
      <c r="D465" s="14"/>
      <c r="E465" s="444"/>
      <c r="F465" s="444"/>
      <c r="G465" s="444"/>
      <c r="H465" s="444"/>
      <c r="I465" s="444"/>
      <c r="J465" s="444"/>
      <c r="K465" s="444"/>
      <c r="L465" s="444"/>
      <c r="M465" s="444"/>
      <c r="N465" s="444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13"/>
      <c r="B466" s="14"/>
      <c r="C466" s="14"/>
      <c r="D466" s="14"/>
      <c r="E466" s="444"/>
      <c r="F466" s="444"/>
      <c r="G466" s="444"/>
      <c r="H466" s="444"/>
      <c r="I466" s="444"/>
      <c r="J466" s="444"/>
      <c r="K466" s="444"/>
      <c r="L466" s="444"/>
      <c r="M466" s="444"/>
      <c r="N466" s="444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13"/>
      <c r="B467" s="14"/>
      <c r="C467" s="14"/>
      <c r="D467" s="14"/>
      <c r="E467" s="444"/>
      <c r="F467" s="444"/>
      <c r="G467" s="444"/>
      <c r="H467" s="444"/>
      <c r="I467" s="444"/>
      <c r="J467" s="444"/>
      <c r="K467" s="444"/>
      <c r="L467" s="444"/>
      <c r="M467" s="444"/>
      <c r="N467" s="444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13"/>
      <c r="B468" s="14"/>
      <c r="C468" s="14"/>
      <c r="D468" s="14"/>
      <c r="E468" s="444"/>
      <c r="F468" s="444"/>
      <c r="G468" s="444"/>
      <c r="H468" s="444"/>
      <c r="I468" s="444"/>
      <c r="J468" s="444"/>
      <c r="K468" s="444"/>
      <c r="L468" s="444"/>
      <c r="M468" s="444"/>
      <c r="N468" s="444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13"/>
      <c r="B469" s="14"/>
      <c r="C469" s="14"/>
      <c r="D469" s="14"/>
      <c r="E469" s="444"/>
      <c r="F469" s="444"/>
      <c r="G469" s="444"/>
      <c r="H469" s="444"/>
      <c r="I469" s="444"/>
      <c r="J469" s="444"/>
      <c r="K469" s="444"/>
      <c r="L469" s="444"/>
      <c r="M469" s="444"/>
      <c r="N469" s="444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13"/>
      <c r="B470" s="14"/>
      <c r="C470" s="14"/>
      <c r="D470" s="14"/>
      <c r="E470" s="444"/>
      <c r="F470" s="444"/>
      <c r="G470" s="444"/>
      <c r="H470" s="444"/>
      <c r="I470" s="444"/>
      <c r="J470" s="444"/>
      <c r="K470" s="444"/>
      <c r="L470" s="444"/>
      <c r="M470" s="444"/>
      <c r="N470" s="444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13"/>
      <c r="B471" s="14"/>
      <c r="C471" s="14"/>
      <c r="D471" s="14"/>
      <c r="E471" s="444"/>
      <c r="F471" s="444"/>
      <c r="G471" s="444"/>
      <c r="H471" s="444"/>
      <c r="I471" s="444"/>
      <c r="J471" s="444"/>
      <c r="K471" s="444"/>
      <c r="L471" s="444"/>
      <c r="M471" s="444"/>
      <c r="N471" s="444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13"/>
      <c r="B472" s="14"/>
      <c r="C472" s="14"/>
      <c r="D472" s="14"/>
      <c r="E472" s="444"/>
      <c r="F472" s="444"/>
      <c r="G472" s="444"/>
      <c r="H472" s="444"/>
      <c r="I472" s="444"/>
      <c r="J472" s="444"/>
      <c r="K472" s="444"/>
      <c r="L472" s="444"/>
      <c r="M472" s="444"/>
      <c r="N472" s="444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13"/>
      <c r="B473" s="14"/>
      <c r="C473" s="14"/>
      <c r="D473" s="14"/>
      <c r="E473" s="444"/>
      <c r="F473" s="444"/>
      <c r="G473" s="444"/>
      <c r="H473" s="444"/>
      <c r="I473" s="444"/>
      <c r="J473" s="444"/>
      <c r="K473" s="444"/>
      <c r="L473" s="444"/>
      <c r="M473" s="444"/>
      <c r="N473" s="444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13"/>
      <c r="B474" s="14"/>
      <c r="C474" s="14"/>
      <c r="D474" s="14"/>
      <c r="E474" s="444"/>
      <c r="F474" s="444"/>
      <c r="G474" s="444"/>
      <c r="H474" s="444"/>
      <c r="I474" s="444"/>
      <c r="J474" s="444"/>
      <c r="K474" s="444"/>
      <c r="L474" s="444"/>
      <c r="M474" s="444"/>
      <c r="N474" s="444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13"/>
      <c r="B475" s="14"/>
      <c r="C475" s="14"/>
      <c r="D475" s="14"/>
      <c r="E475" s="444"/>
      <c r="F475" s="444"/>
      <c r="G475" s="444"/>
      <c r="H475" s="444"/>
      <c r="I475" s="444"/>
      <c r="J475" s="444"/>
      <c r="K475" s="444"/>
      <c r="L475" s="444"/>
      <c r="M475" s="444"/>
      <c r="N475" s="444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13"/>
      <c r="B476" s="14"/>
      <c r="C476" s="14"/>
      <c r="D476" s="14"/>
      <c r="E476" s="444"/>
      <c r="F476" s="444"/>
      <c r="G476" s="444"/>
      <c r="H476" s="444"/>
      <c r="I476" s="444"/>
      <c r="J476" s="444"/>
      <c r="K476" s="444"/>
      <c r="L476" s="444"/>
      <c r="M476" s="444"/>
      <c r="N476" s="444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13"/>
      <c r="B477" s="14"/>
      <c r="C477" s="14"/>
      <c r="D477" s="14"/>
      <c r="E477" s="444"/>
      <c r="F477" s="444"/>
      <c r="G477" s="444"/>
      <c r="H477" s="444"/>
      <c r="I477" s="444"/>
      <c r="J477" s="444"/>
      <c r="K477" s="444"/>
      <c r="L477" s="444"/>
      <c r="M477" s="444"/>
      <c r="N477" s="444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13"/>
      <c r="B478" s="14"/>
      <c r="C478" s="14"/>
      <c r="D478" s="14"/>
      <c r="E478" s="444"/>
      <c r="F478" s="444"/>
      <c r="G478" s="444"/>
      <c r="H478" s="444"/>
      <c r="I478" s="444"/>
      <c r="J478" s="444"/>
      <c r="K478" s="444"/>
      <c r="L478" s="444"/>
      <c r="M478" s="444"/>
      <c r="N478" s="444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13"/>
      <c r="B479" s="14"/>
      <c r="C479" s="14"/>
      <c r="D479" s="14"/>
      <c r="E479" s="444"/>
      <c r="F479" s="444"/>
      <c r="G479" s="444"/>
      <c r="H479" s="444"/>
      <c r="I479" s="444"/>
      <c r="J479" s="444"/>
      <c r="K479" s="444"/>
      <c r="L479" s="444"/>
      <c r="M479" s="444"/>
      <c r="N479" s="444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13"/>
      <c r="B480" s="14"/>
      <c r="C480" s="14"/>
      <c r="D480" s="14"/>
      <c r="E480" s="444"/>
      <c r="F480" s="444"/>
      <c r="G480" s="444"/>
      <c r="H480" s="444"/>
      <c r="I480" s="444"/>
      <c r="J480" s="444"/>
      <c r="K480" s="444"/>
      <c r="L480" s="444"/>
      <c r="M480" s="444"/>
      <c r="N480" s="444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13"/>
      <c r="B481" s="14"/>
      <c r="C481" s="14"/>
      <c r="D481" s="14"/>
      <c r="E481" s="444"/>
      <c r="F481" s="444"/>
      <c r="G481" s="444"/>
      <c r="H481" s="444"/>
      <c r="I481" s="444"/>
      <c r="J481" s="444"/>
      <c r="K481" s="444"/>
      <c r="L481" s="444"/>
      <c r="M481" s="444"/>
      <c r="N481" s="444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13"/>
      <c r="B482" s="14"/>
      <c r="C482" s="14"/>
      <c r="D482" s="14"/>
      <c r="E482" s="444"/>
      <c r="F482" s="444"/>
      <c r="G482" s="444"/>
      <c r="H482" s="444"/>
      <c r="I482" s="444"/>
      <c r="J482" s="444"/>
      <c r="K482" s="444"/>
      <c r="L482" s="444"/>
      <c r="M482" s="444"/>
      <c r="N482" s="444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13"/>
      <c r="B483" s="14"/>
      <c r="C483" s="14"/>
      <c r="D483" s="14"/>
      <c r="E483" s="444"/>
      <c r="F483" s="444"/>
      <c r="G483" s="444"/>
      <c r="H483" s="444"/>
      <c r="I483" s="444"/>
      <c r="J483" s="444"/>
      <c r="K483" s="444"/>
      <c r="L483" s="444"/>
      <c r="M483" s="444"/>
      <c r="N483" s="444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13"/>
      <c r="B484" s="14"/>
      <c r="C484" s="14"/>
      <c r="D484" s="14"/>
      <c r="E484" s="444"/>
      <c r="F484" s="444"/>
      <c r="G484" s="444"/>
      <c r="H484" s="444"/>
      <c r="I484" s="444"/>
      <c r="J484" s="444"/>
      <c r="K484" s="444"/>
      <c r="L484" s="444"/>
      <c r="M484" s="444"/>
      <c r="N484" s="444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13"/>
      <c r="B485" s="14"/>
      <c r="C485" s="14"/>
      <c r="D485" s="14"/>
      <c r="E485" s="444"/>
      <c r="F485" s="444"/>
      <c r="G485" s="444"/>
      <c r="H485" s="444"/>
      <c r="I485" s="444"/>
      <c r="J485" s="444"/>
      <c r="K485" s="444"/>
      <c r="L485" s="444"/>
      <c r="M485" s="444"/>
      <c r="N485" s="444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13"/>
      <c r="B486" s="14"/>
      <c r="C486" s="14"/>
      <c r="D486" s="14"/>
      <c r="E486" s="444"/>
      <c r="F486" s="444"/>
      <c r="G486" s="444"/>
      <c r="H486" s="444"/>
      <c r="I486" s="444"/>
      <c r="J486" s="444"/>
      <c r="K486" s="444"/>
      <c r="L486" s="444"/>
      <c r="M486" s="444"/>
      <c r="N486" s="444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13"/>
      <c r="B487" s="14"/>
      <c r="C487" s="14"/>
      <c r="D487" s="14"/>
      <c r="E487" s="444"/>
      <c r="F487" s="444"/>
      <c r="G487" s="444"/>
      <c r="H487" s="444"/>
      <c r="I487" s="444"/>
      <c r="J487" s="444"/>
      <c r="K487" s="444"/>
      <c r="L487" s="444"/>
      <c r="M487" s="444"/>
      <c r="N487" s="444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13"/>
      <c r="B488" s="14"/>
      <c r="C488" s="14"/>
      <c r="D488" s="14"/>
      <c r="E488" s="444"/>
      <c r="F488" s="444"/>
      <c r="G488" s="444"/>
      <c r="H488" s="444"/>
      <c r="I488" s="444"/>
      <c r="J488" s="444"/>
      <c r="K488" s="444"/>
      <c r="L488" s="444"/>
      <c r="M488" s="444"/>
      <c r="N488" s="444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13"/>
      <c r="B489" s="14"/>
      <c r="C489" s="14"/>
      <c r="D489" s="14"/>
      <c r="E489" s="444"/>
      <c r="F489" s="444"/>
      <c r="G489" s="444"/>
      <c r="H489" s="444"/>
      <c r="I489" s="444"/>
      <c r="J489" s="444"/>
      <c r="K489" s="444"/>
      <c r="L489" s="444"/>
      <c r="M489" s="444"/>
      <c r="N489" s="44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13"/>
      <c r="B490" s="14"/>
      <c r="C490" s="14"/>
      <c r="D490" s="14"/>
      <c r="E490" s="444"/>
      <c r="F490" s="444"/>
      <c r="G490" s="444"/>
      <c r="H490" s="444"/>
      <c r="I490" s="444"/>
      <c r="J490" s="444"/>
      <c r="K490" s="444"/>
      <c r="L490" s="444"/>
      <c r="M490" s="444"/>
      <c r="N490" s="44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13"/>
      <c r="B491" s="14"/>
      <c r="C491" s="14"/>
      <c r="D491" s="14"/>
      <c r="E491" s="444"/>
      <c r="F491" s="444"/>
      <c r="G491" s="444"/>
      <c r="H491" s="444"/>
      <c r="I491" s="444"/>
      <c r="J491" s="444"/>
      <c r="K491" s="444"/>
      <c r="L491" s="444"/>
      <c r="M491" s="444"/>
      <c r="N491" s="44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13"/>
      <c r="B492" s="14"/>
      <c r="C492" s="14"/>
      <c r="D492" s="14"/>
      <c r="E492" s="444"/>
      <c r="F492" s="444"/>
      <c r="G492" s="444"/>
      <c r="H492" s="444"/>
      <c r="I492" s="444"/>
      <c r="J492" s="444"/>
      <c r="K492" s="444"/>
      <c r="L492" s="444"/>
      <c r="M492" s="444"/>
      <c r="N492" s="44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13"/>
      <c r="B493" s="14"/>
      <c r="C493" s="14"/>
      <c r="D493" s="14"/>
      <c r="E493" s="444"/>
      <c r="F493" s="444"/>
      <c r="G493" s="444"/>
      <c r="H493" s="444"/>
      <c r="I493" s="444"/>
      <c r="J493" s="444"/>
      <c r="K493" s="444"/>
      <c r="L493" s="444"/>
      <c r="M493" s="444"/>
      <c r="N493" s="444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13"/>
      <c r="B494" s="14"/>
      <c r="C494" s="14"/>
      <c r="D494" s="14"/>
      <c r="E494" s="444"/>
      <c r="F494" s="444"/>
      <c r="G494" s="444"/>
      <c r="H494" s="444"/>
      <c r="I494" s="444"/>
      <c r="J494" s="444"/>
      <c r="K494" s="444"/>
      <c r="L494" s="444"/>
      <c r="M494" s="444"/>
      <c r="N494" s="444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13"/>
      <c r="B495" s="14"/>
      <c r="C495" s="14"/>
      <c r="D495" s="14"/>
      <c r="E495" s="444"/>
      <c r="F495" s="444"/>
      <c r="G495" s="444"/>
      <c r="H495" s="444"/>
      <c r="I495" s="444"/>
      <c r="J495" s="444"/>
      <c r="K495" s="444"/>
      <c r="L495" s="444"/>
      <c r="M495" s="444"/>
      <c r="N495" s="444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13"/>
      <c r="B496" s="14"/>
      <c r="C496" s="14"/>
      <c r="D496" s="14"/>
      <c r="E496" s="444"/>
      <c r="F496" s="444"/>
      <c r="G496" s="444"/>
      <c r="H496" s="444"/>
      <c r="I496" s="444"/>
      <c r="J496" s="444"/>
      <c r="K496" s="444"/>
      <c r="L496" s="444"/>
      <c r="M496" s="444"/>
      <c r="N496" s="444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13"/>
      <c r="B497" s="14"/>
      <c r="C497" s="14"/>
      <c r="D497" s="14"/>
      <c r="E497" s="444"/>
      <c r="F497" s="444"/>
      <c r="G497" s="444"/>
      <c r="H497" s="444"/>
      <c r="I497" s="444"/>
      <c r="J497" s="444"/>
      <c r="K497" s="444"/>
      <c r="L497" s="444"/>
      <c r="M497" s="444"/>
      <c r="N497" s="444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13"/>
      <c r="B498" s="14"/>
      <c r="C498" s="14"/>
      <c r="D498" s="14"/>
      <c r="E498" s="444"/>
      <c r="F498" s="444"/>
      <c r="G498" s="444"/>
      <c r="H498" s="444"/>
      <c r="I498" s="444"/>
      <c r="J498" s="444"/>
      <c r="K498" s="444"/>
      <c r="L498" s="444"/>
      <c r="M498" s="444"/>
      <c r="N498" s="444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13"/>
      <c r="B499" s="14"/>
      <c r="C499" s="14"/>
      <c r="D499" s="14"/>
      <c r="E499" s="444"/>
      <c r="F499" s="444"/>
      <c r="G499" s="444"/>
      <c r="H499" s="444"/>
      <c r="I499" s="444"/>
      <c r="J499" s="444"/>
      <c r="K499" s="444"/>
      <c r="L499" s="444"/>
      <c r="M499" s="444"/>
      <c r="N499" s="444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13"/>
      <c r="B500" s="14"/>
      <c r="C500" s="14"/>
      <c r="D500" s="14"/>
      <c r="E500" s="444"/>
      <c r="F500" s="444"/>
      <c r="G500" s="444"/>
      <c r="H500" s="444"/>
      <c r="I500" s="444"/>
      <c r="J500" s="444"/>
      <c r="K500" s="444"/>
      <c r="L500" s="444"/>
      <c r="M500" s="444"/>
      <c r="N500" s="444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13"/>
      <c r="B501" s="14"/>
      <c r="C501" s="14"/>
      <c r="D501" s="14"/>
      <c r="E501" s="444"/>
      <c r="F501" s="444"/>
      <c r="G501" s="444"/>
      <c r="H501" s="444"/>
      <c r="I501" s="444"/>
      <c r="J501" s="444"/>
      <c r="K501" s="444"/>
      <c r="L501" s="444"/>
      <c r="M501" s="444"/>
      <c r="N501" s="444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13"/>
      <c r="B502" s="14"/>
      <c r="C502" s="14"/>
      <c r="D502" s="14"/>
      <c r="E502" s="444"/>
      <c r="F502" s="444"/>
      <c r="G502" s="444"/>
      <c r="H502" s="444"/>
      <c r="I502" s="444"/>
      <c r="J502" s="444"/>
      <c r="K502" s="444"/>
      <c r="L502" s="444"/>
      <c r="M502" s="444"/>
      <c r="N502" s="444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13"/>
      <c r="B503" s="14"/>
      <c r="C503" s="14"/>
      <c r="D503" s="14"/>
      <c r="E503" s="444"/>
      <c r="F503" s="444"/>
      <c r="G503" s="444"/>
      <c r="H503" s="444"/>
      <c r="I503" s="444"/>
      <c r="J503" s="444"/>
      <c r="K503" s="444"/>
      <c r="L503" s="444"/>
      <c r="M503" s="444"/>
      <c r="N503" s="444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13"/>
      <c r="B504" s="14"/>
      <c r="C504" s="14"/>
      <c r="D504" s="14"/>
      <c r="E504" s="444"/>
      <c r="F504" s="444"/>
      <c r="G504" s="444"/>
      <c r="H504" s="444"/>
      <c r="I504" s="444"/>
      <c r="J504" s="444"/>
      <c r="K504" s="444"/>
      <c r="L504" s="444"/>
      <c r="M504" s="444"/>
      <c r="N504" s="444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13"/>
      <c r="B505" s="14"/>
      <c r="C505" s="14"/>
      <c r="D505" s="14"/>
      <c r="E505" s="444"/>
      <c r="F505" s="444"/>
      <c r="G505" s="444"/>
      <c r="H505" s="444"/>
      <c r="I505" s="444"/>
      <c r="J505" s="444"/>
      <c r="K505" s="444"/>
      <c r="L505" s="444"/>
      <c r="M505" s="444"/>
      <c r="N505" s="444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13"/>
      <c r="B506" s="14"/>
      <c r="C506" s="14"/>
      <c r="D506" s="14"/>
      <c r="E506" s="444"/>
      <c r="F506" s="444"/>
      <c r="G506" s="444"/>
      <c r="H506" s="444"/>
      <c r="I506" s="444"/>
      <c r="J506" s="444"/>
      <c r="K506" s="444"/>
      <c r="L506" s="444"/>
      <c r="M506" s="444"/>
      <c r="N506" s="444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13"/>
      <c r="B507" s="14"/>
      <c r="C507" s="14"/>
      <c r="D507" s="14"/>
      <c r="E507" s="444"/>
      <c r="F507" s="444"/>
      <c r="G507" s="444"/>
      <c r="H507" s="444"/>
      <c r="I507" s="444"/>
      <c r="J507" s="444"/>
      <c r="K507" s="444"/>
      <c r="L507" s="444"/>
      <c r="M507" s="444"/>
      <c r="N507" s="444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13"/>
      <c r="B508" s="14"/>
      <c r="C508" s="14"/>
      <c r="D508" s="14"/>
      <c r="E508" s="444"/>
      <c r="F508" s="444"/>
      <c r="G508" s="444"/>
      <c r="H508" s="444"/>
      <c r="I508" s="444"/>
      <c r="J508" s="444"/>
      <c r="K508" s="444"/>
      <c r="L508" s="444"/>
      <c r="M508" s="444"/>
      <c r="N508" s="444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13"/>
      <c r="B509" s="14"/>
      <c r="C509" s="14"/>
      <c r="D509" s="14"/>
      <c r="E509" s="444"/>
      <c r="F509" s="444"/>
      <c r="G509" s="444"/>
      <c r="H509" s="444"/>
      <c r="I509" s="444"/>
      <c r="J509" s="444"/>
      <c r="K509" s="444"/>
      <c r="L509" s="444"/>
      <c r="M509" s="444"/>
      <c r="N509" s="444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13"/>
      <c r="B510" s="14"/>
      <c r="C510" s="14"/>
      <c r="D510" s="14"/>
      <c r="E510" s="444"/>
      <c r="F510" s="444"/>
      <c r="G510" s="444"/>
      <c r="H510" s="444"/>
      <c r="I510" s="444"/>
      <c r="J510" s="444"/>
      <c r="K510" s="444"/>
      <c r="L510" s="444"/>
      <c r="M510" s="444"/>
      <c r="N510" s="444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13"/>
      <c r="B511" s="14"/>
      <c r="C511" s="14"/>
      <c r="D511" s="14"/>
      <c r="E511" s="444"/>
      <c r="F511" s="444"/>
      <c r="G511" s="444"/>
      <c r="H511" s="444"/>
      <c r="I511" s="444"/>
      <c r="J511" s="444"/>
      <c r="K511" s="444"/>
      <c r="L511" s="444"/>
      <c r="M511" s="444"/>
      <c r="N511" s="444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13"/>
      <c r="B512" s="14"/>
      <c r="C512" s="14"/>
      <c r="D512" s="14"/>
      <c r="E512" s="444"/>
      <c r="F512" s="444"/>
      <c r="G512" s="444"/>
      <c r="H512" s="444"/>
      <c r="I512" s="444"/>
      <c r="J512" s="444"/>
      <c r="K512" s="444"/>
      <c r="L512" s="444"/>
      <c r="M512" s="444"/>
      <c r="N512" s="444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13"/>
      <c r="B513" s="14"/>
      <c r="C513" s="14"/>
      <c r="D513" s="14"/>
      <c r="E513" s="444"/>
      <c r="F513" s="444"/>
      <c r="G513" s="444"/>
      <c r="H513" s="444"/>
      <c r="I513" s="444"/>
      <c r="J513" s="444"/>
      <c r="K513" s="444"/>
      <c r="L513" s="444"/>
      <c r="M513" s="444"/>
      <c r="N513" s="444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13"/>
      <c r="B514" s="14"/>
      <c r="C514" s="14"/>
      <c r="D514" s="14"/>
      <c r="E514" s="444"/>
      <c r="F514" s="444"/>
      <c r="G514" s="444"/>
      <c r="H514" s="444"/>
      <c r="I514" s="444"/>
      <c r="J514" s="444"/>
      <c r="K514" s="444"/>
      <c r="L514" s="444"/>
      <c r="M514" s="444"/>
      <c r="N514" s="444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13"/>
      <c r="B515" s="14"/>
      <c r="C515" s="14"/>
      <c r="D515" s="14"/>
      <c r="E515" s="444"/>
      <c r="F515" s="444"/>
      <c r="G515" s="444"/>
      <c r="H515" s="444"/>
      <c r="I515" s="444"/>
      <c r="J515" s="444"/>
      <c r="K515" s="444"/>
      <c r="L515" s="444"/>
      <c r="M515" s="444"/>
      <c r="N515" s="444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13"/>
      <c r="B516" s="14"/>
      <c r="C516" s="14"/>
      <c r="D516" s="14"/>
      <c r="E516" s="444"/>
      <c r="F516" s="444"/>
      <c r="G516" s="444"/>
      <c r="H516" s="444"/>
      <c r="I516" s="444"/>
      <c r="J516" s="444"/>
      <c r="K516" s="444"/>
      <c r="L516" s="444"/>
      <c r="M516" s="444"/>
      <c r="N516" s="444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13"/>
      <c r="B517" s="14"/>
      <c r="C517" s="14"/>
      <c r="D517" s="14"/>
      <c r="E517" s="444"/>
      <c r="F517" s="444"/>
      <c r="G517" s="444"/>
      <c r="H517" s="444"/>
      <c r="I517" s="444"/>
      <c r="J517" s="444"/>
      <c r="K517" s="444"/>
      <c r="L517" s="444"/>
      <c r="M517" s="444"/>
      <c r="N517" s="444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13"/>
      <c r="B518" s="14"/>
      <c r="C518" s="14"/>
      <c r="D518" s="14"/>
      <c r="E518" s="444"/>
      <c r="F518" s="444"/>
      <c r="G518" s="444"/>
      <c r="H518" s="444"/>
      <c r="I518" s="444"/>
      <c r="J518" s="444"/>
      <c r="K518" s="444"/>
      <c r="L518" s="444"/>
      <c r="M518" s="444"/>
      <c r="N518" s="444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13"/>
      <c r="B519" s="14"/>
      <c r="C519" s="14"/>
      <c r="D519" s="14"/>
      <c r="E519" s="444"/>
      <c r="F519" s="444"/>
      <c r="G519" s="444"/>
      <c r="H519" s="444"/>
      <c r="I519" s="444"/>
      <c r="J519" s="444"/>
      <c r="K519" s="444"/>
      <c r="L519" s="444"/>
      <c r="M519" s="444"/>
      <c r="N519" s="444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13"/>
      <c r="B520" s="14"/>
      <c r="C520" s="14"/>
      <c r="D520" s="14"/>
      <c r="E520" s="444"/>
      <c r="F520" s="444"/>
      <c r="G520" s="444"/>
      <c r="H520" s="444"/>
      <c r="I520" s="444"/>
      <c r="J520" s="444"/>
      <c r="K520" s="444"/>
      <c r="L520" s="444"/>
      <c r="M520" s="444"/>
      <c r="N520" s="444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13"/>
      <c r="B521" s="14"/>
      <c r="C521" s="14"/>
      <c r="D521" s="14"/>
      <c r="E521" s="444"/>
      <c r="F521" s="444"/>
      <c r="G521" s="444"/>
      <c r="H521" s="444"/>
      <c r="I521" s="444"/>
      <c r="J521" s="444"/>
      <c r="K521" s="444"/>
      <c r="L521" s="444"/>
      <c r="M521" s="444"/>
      <c r="N521" s="444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13"/>
      <c r="B522" s="14"/>
      <c r="C522" s="14"/>
      <c r="D522" s="14"/>
      <c r="E522" s="444"/>
      <c r="F522" s="444"/>
      <c r="G522" s="444"/>
      <c r="H522" s="444"/>
      <c r="I522" s="444"/>
      <c r="J522" s="444"/>
      <c r="K522" s="444"/>
      <c r="L522" s="444"/>
      <c r="M522" s="444"/>
      <c r="N522" s="444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13"/>
      <c r="B523" s="14"/>
      <c r="C523" s="14"/>
      <c r="D523" s="14"/>
      <c r="E523" s="444"/>
      <c r="F523" s="444"/>
      <c r="G523" s="444"/>
      <c r="H523" s="444"/>
      <c r="I523" s="444"/>
      <c r="J523" s="444"/>
      <c r="K523" s="444"/>
      <c r="L523" s="444"/>
      <c r="M523" s="444"/>
      <c r="N523" s="444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13"/>
      <c r="B524" s="14"/>
      <c r="C524" s="14"/>
      <c r="D524" s="14"/>
      <c r="E524" s="444"/>
      <c r="F524" s="444"/>
      <c r="G524" s="444"/>
      <c r="H524" s="444"/>
      <c r="I524" s="444"/>
      <c r="J524" s="444"/>
      <c r="K524" s="444"/>
      <c r="L524" s="444"/>
      <c r="M524" s="444"/>
      <c r="N524" s="444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13"/>
      <c r="B525" s="14"/>
      <c r="C525" s="14"/>
      <c r="D525" s="14"/>
      <c r="E525" s="444"/>
      <c r="F525" s="444"/>
      <c r="G525" s="444"/>
      <c r="H525" s="444"/>
      <c r="I525" s="444"/>
      <c r="J525" s="444"/>
      <c r="K525" s="444"/>
      <c r="L525" s="444"/>
      <c r="M525" s="444"/>
      <c r="N525" s="444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13"/>
      <c r="B526" s="14"/>
      <c r="C526" s="14"/>
      <c r="D526" s="14"/>
      <c r="E526" s="444"/>
      <c r="F526" s="444"/>
      <c r="G526" s="444"/>
      <c r="H526" s="444"/>
      <c r="I526" s="444"/>
      <c r="J526" s="444"/>
      <c r="K526" s="444"/>
      <c r="L526" s="444"/>
      <c r="M526" s="444"/>
      <c r="N526" s="444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13"/>
      <c r="B527" s="14"/>
      <c r="C527" s="14"/>
      <c r="D527" s="14"/>
      <c r="E527" s="444"/>
      <c r="F527" s="444"/>
      <c r="G527" s="444"/>
      <c r="H527" s="444"/>
      <c r="I527" s="444"/>
      <c r="J527" s="444"/>
      <c r="K527" s="444"/>
      <c r="L527" s="444"/>
      <c r="M527" s="444"/>
      <c r="N527" s="444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13"/>
      <c r="B528" s="14"/>
      <c r="C528" s="14"/>
      <c r="D528" s="14"/>
      <c r="E528" s="444"/>
      <c r="F528" s="444"/>
      <c r="G528" s="444"/>
      <c r="H528" s="444"/>
      <c r="I528" s="444"/>
      <c r="J528" s="444"/>
      <c r="K528" s="444"/>
      <c r="L528" s="444"/>
      <c r="M528" s="444"/>
      <c r="N528" s="444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13"/>
      <c r="B529" s="14"/>
      <c r="C529" s="14"/>
      <c r="D529" s="14"/>
      <c r="E529" s="444"/>
      <c r="F529" s="444"/>
      <c r="G529" s="444"/>
      <c r="H529" s="444"/>
      <c r="I529" s="444"/>
      <c r="J529" s="444"/>
      <c r="K529" s="444"/>
      <c r="L529" s="444"/>
      <c r="M529" s="444"/>
      <c r="N529" s="444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13"/>
      <c r="B530" s="14"/>
      <c r="C530" s="14"/>
      <c r="D530" s="14"/>
      <c r="E530" s="444"/>
      <c r="F530" s="444"/>
      <c r="G530" s="444"/>
      <c r="H530" s="444"/>
      <c r="I530" s="444"/>
      <c r="J530" s="444"/>
      <c r="K530" s="444"/>
      <c r="L530" s="444"/>
      <c r="M530" s="444"/>
      <c r="N530" s="444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13"/>
      <c r="B531" s="14"/>
      <c r="C531" s="14"/>
      <c r="D531" s="14"/>
      <c r="E531" s="444"/>
      <c r="F531" s="444"/>
      <c r="G531" s="444"/>
      <c r="H531" s="444"/>
      <c r="I531" s="444"/>
      <c r="J531" s="444"/>
      <c r="K531" s="444"/>
      <c r="L531" s="444"/>
      <c r="M531" s="444"/>
      <c r="N531" s="444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13"/>
      <c r="B532" s="14"/>
      <c r="C532" s="14"/>
      <c r="D532" s="14"/>
      <c r="E532" s="444"/>
      <c r="F532" s="444"/>
      <c r="G532" s="444"/>
      <c r="H532" s="444"/>
      <c r="I532" s="444"/>
      <c r="J532" s="444"/>
      <c r="K532" s="444"/>
      <c r="L532" s="444"/>
      <c r="M532" s="444"/>
      <c r="N532" s="444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13"/>
      <c r="B533" s="14"/>
      <c r="C533" s="14"/>
      <c r="D533" s="14"/>
      <c r="E533" s="444"/>
      <c r="F533" s="444"/>
      <c r="G533" s="444"/>
      <c r="H533" s="444"/>
      <c r="I533" s="444"/>
      <c r="J533" s="444"/>
      <c r="K533" s="444"/>
      <c r="L533" s="444"/>
      <c r="M533" s="444"/>
      <c r="N533" s="444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13"/>
      <c r="B534" s="14"/>
      <c r="C534" s="14"/>
      <c r="D534" s="14"/>
      <c r="E534" s="444"/>
      <c r="F534" s="444"/>
      <c r="G534" s="444"/>
      <c r="H534" s="444"/>
      <c r="I534" s="444"/>
      <c r="J534" s="444"/>
      <c r="K534" s="444"/>
      <c r="L534" s="444"/>
      <c r="M534" s="444"/>
      <c r="N534" s="444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13"/>
      <c r="B535" s="14"/>
      <c r="C535" s="14"/>
      <c r="D535" s="14"/>
      <c r="E535" s="444"/>
      <c r="F535" s="444"/>
      <c r="G535" s="444"/>
      <c r="H535" s="444"/>
      <c r="I535" s="444"/>
      <c r="J535" s="444"/>
      <c r="K535" s="444"/>
      <c r="L535" s="444"/>
      <c r="M535" s="444"/>
      <c r="N535" s="444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13"/>
      <c r="B536" s="14"/>
      <c r="C536" s="14"/>
      <c r="D536" s="14"/>
      <c r="E536" s="444"/>
      <c r="F536" s="444"/>
      <c r="G536" s="444"/>
      <c r="H536" s="444"/>
      <c r="I536" s="444"/>
      <c r="J536" s="444"/>
      <c r="K536" s="444"/>
      <c r="L536" s="444"/>
      <c r="M536" s="444"/>
      <c r="N536" s="444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13"/>
      <c r="B537" s="14"/>
      <c r="C537" s="14"/>
      <c r="D537" s="14"/>
      <c r="E537" s="444"/>
      <c r="F537" s="444"/>
      <c r="G537" s="444"/>
      <c r="H537" s="444"/>
      <c r="I537" s="444"/>
      <c r="J537" s="444"/>
      <c r="K537" s="444"/>
      <c r="L537" s="444"/>
      <c r="M537" s="444"/>
      <c r="N537" s="444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13"/>
      <c r="B538" s="14"/>
      <c r="C538" s="14"/>
      <c r="D538" s="14"/>
      <c r="E538" s="444"/>
      <c r="F538" s="444"/>
      <c r="G538" s="444"/>
      <c r="H538" s="444"/>
      <c r="I538" s="444"/>
      <c r="J538" s="444"/>
      <c r="K538" s="444"/>
      <c r="L538" s="444"/>
      <c r="M538" s="444"/>
      <c r="N538" s="444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13"/>
      <c r="B539" s="14"/>
      <c r="C539" s="14"/>
      <c r="D539" s="14"/>
      <c r="E539" s="444"/>
      <c r="F539" s="444"/>
      <c r="G539" s="444"/>
      <c r="H539" s="444"/>
      <c r="I539" s="444"/>
      <c r="J539" s="444"/>
      <c r="K539" s="444"/>
      <c r="L539" s="444"/>
      <c r="M539" s="444"/>
      <c r="N539" s="444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13"/>
      <c r="B540" s="14"/>
      <c r="C540" s="14"/>
      <c r="D540" s="14"/>
      <c r="E540" s="444"/>
      <c r="F540" s="444"/>
      <c r="G540" s="444"/>
      <c r="H540" s="444"/>
      <c r="I540" s="444"/>
      <c r="J540" s="444"/>
      <c r="K540" s="444"/>
      <c r="L540" s="444"/>
      <c r="M540" s="444"/>
      <c r="N540" s="444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13"/>
      <c r="B541" s="14"/>
      <c r="C541" s="14"/>
      <c r="D541" s="14"/>
      <c r="E541" s="444"/>
      <c r="F541" s="444"/>
      <c r="G541" s="444"/>
      <c r="H541" s="444"/>
      <c r="I541" s="444"/>
      <c r="J541" s="444"/>
      <c r="K541" s="444"/>
      <c r="L541" s="444"/>
      <c r="M541" s="444"/>
      <c r="N541" s="444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13"/>
      <c r="B542" s="14"/>
      <c r="C542" s="14"/>
      <c r="D542" s="14"/>
      <c r="E542" s="444"/>
      <c r="F542" s="444"/>
      <c r="G542" s="444"/>
      <c r="H542" s="444"/>
      <c r="I542" s="444"/>
      <c r="J542" s="444"/>
      <c r="K542" s="444"/>
      <c r="L542" s="444"/>
      <c r="M542" s="444"/>
      <c r="N542" s="444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13"/>
      <c r="B543" s="14"/>
      <c r="C543" s="14"/>
      <c r="D543" s="14"/>
      <c r="E543" s="444"/>
      <c r="F543" s="444"/>
      <c r="G543" s="444"/>
      <c r="H543" s="444"/>
      <c r="I543" s="444"/>
      <c r="J543" s="444"/>
      <c r="K543" s="444"/>
      <c r="L543" s="444"/>
      <c r="M543" s="444"/>
      <c r="N543" s="444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13"/>
      <c r="B544" s="14"/>
      <c r="C544" s="14"/>
      <c r="D544" s="14"/>
      <c r="E544" s="444"/>
      <c r="F544" s="444"/>
      <c r="G544" s="444"/>
      <c r="H544" s="444"/>
      <c r="I544" s="444"/>
      <c r="J544" s="444"/>
      <c r="K544" s="444"/>
      <c r="L544" s="444"/>
      <c r="M544" s="444"/>
      <c r="N544" s="444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13"/>
      <c r="B545" s="14"/>
      <c r="C545" s="14"/>
      <c r="D545" s="14"/>
      <c r="E545" s="444"/>
      <c r="F545" s="444"/>
      <c r="G545" s="444"/>
      <c r="H545" s="444"/>
      <c r="I545" s="444"/>
      <c r="J545" s="444"/>
      <c r="K545" s="444"/>
      <c r="L545" s="444"/>
      <c r="M545" s="444"/>
      <c r="N545" s="444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13"/>
      <c r="B546" s="14"/>
      <c r="C546" s="14"/>
      <c r="D546" s="14"/>
      <c r="E546" s="444"/>
      <c r="F546" s="444"/>
      <c r="G546" s="444"/>
      <c r="H546" s="444"/>
      <c r="I546" s="444"/>
      <c r="J546" s="444"/>
      <c r="K546" s="444"/>
      <c r="L546" s="444"/>
      <c r="M546" s="444"/>
      <c r="N546" s="444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13"/>
      <c r="B547" s="14"/>
      <c r="C547" s="14"/>
      <c r="D547" s="14"/>
      <c r="E547" s="444"/>
      <c r="F547" s="444"/>
      <c r="G547" s="444"/>
      <c r="H547" s="444"/>
      <c r="I547" s="444"/>
      <c r="J547" s="444"/>
      <c r="K547" s="444"/>
      <c r="L547" s="444"/>
      <c r="M547" s="444"/>
      <c r="N547" s="444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13"/>
      <c r="B548" s="14"/>
      <c r="C548" s="14"/>
      <c r="D548" s="14"/>
      <c r="E548" s="444"/>
      <c r="F548" s="444"/>
      <c r="G548" s="444"/>
      <c r="H548" s="444"/>
      <c r="I548" s="444"/>
      <c r="J548" s="444"/>
      <c r="K548" s="444"/>
      <c r="L548" s="444"/>
      <c r="M548" s="444"/>
      <c r="N548" s="444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13"/>
      <c r="B549" s="14"/>
      <c r="C549" s="14"/>
      <c r="D549" s="14"/>
      <c r="E549" s="444"/>
      <c r="F549" s="444"/>
      <c r="G549" s="444"/>
      <c r="H549" s="444"/>
      <c r="I549" s="444"/>
      <c r="J549" s="444"/>
      <c r="K549" s="444"/>
      <c r="L549" s="444"/>
      <c r="M549" s="444"/>
      <c r="N549" s="444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13"/>
      <c r="B550" s="14"/>
      <c r="C550" s="14"/>
      <c r="D550" s="14"/>
      <c r="E550" s="444"/>
      <c r="F550" s="444"/>
      <c r="G550" s="444"/>
      <c r="H550" s="444"/>
      <c r="I550" s="444"/>
      <c r="J550" s="444"/>
      <c r="K550" s="444"/>
      <c r="L550" s="444"/>
      <c r="M550" s="444"/>
      <c r="N550" s="444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13"/>
      <c r="B551" s="14"/>
      <c r="C551" s="14"/>
      <c r="D551" s="14"/>
      <c r="E551" s="444"/>
      <c r="F551" s="444"/>
      <c r="G551" s="444"/>
      <c r="H551" s="444"/>
      <c r="I551" s="444"/>
      <c r="J551" s="444"/>
      <c r="K551" s="444"/>
      <c r="L551" s="444"/>
      <c r="M551" s="444"/>
      <c r="N551" s="444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13"/>
      <c r="B552" s="14"/>
      <c r="C552" s="14"/>
      <c r="D552" s="14"/>
      <c r="E552" s="444"/>
      <c r="F552" s="444"/>
      <c r="G552" s="444"/>
      <c r="H552" s="444"/>
      <c r="I552" s="444"/>
      <c r="J552" s="444"/>
      <c r="K552" s="444"/>
      <c r="L552" s="444"/>
      <c r="M552" s="444"/>
      <c r="N552" s="444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13"/>
      <c r="B553" s="14"/>
      <c r="C553" s="14"/>
      <c r="D553" s="14"/>
      <c r="E553" s="444"/>
      <c r="F553" s="444"/>
      <c r="G553" s="444"/>
      <c r="H553" s="444"/>
      <c r="I553" s="444"/>
      <c r="J553" s="444"/>
      <c r="K553" s="444"/>
      <c r="L553" s="444"/>
      <c r="M553" s="444"/>
      <c r="N553" s="444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13"/>
      <c r="B554" s="14"/>
      <c r="C554" s="14"/>
      <c r="D554" s="14"/>
      <c r="E554" s="444"/>
      <c r="F554" s="444"/>
      <c r="G554" s="444"/>
      <c r="H554" s="444"/>
      <c r="I554" s="444"/>
      <c r="J554" s="444"/>
      <c r="K554" s="444"/>
      <c r="L554" s="444"/>
      <c r="M554" s="444"/>
      <c r="N554" s="444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13"/>
      <c r="B555" s="14"/>
      <c r="C555" s="14"/>
      <c r="D555" s="14"/>
      <c r="E555" s="444"/>
      <c r="F555" s="444"/>
      <c r="G555" s="444"/>
      <c r="H555" s="444"/>
      <c r="I555" s="444"/>
      <c r="J555" s="444"/>
      <c r="K555" s="444"/>
      <c r="L555" s="444"/>
      <c r="M555" s="444"/>
      <c r="N555" s="444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13"/>
      <c r="B556" s="14"/>
      <c r="C556" s="14"/>
      <c r="D556" s="14"/>
      <c r="E556" s="444"/>
      <c r="F556" s="444"/>
      <c r="G556" s="444"/>
      <c r="H556" s="444"/>
      <c r="I556" s="444"/>
      <c r="J556" s="444"/>
      <c r="K556" s="444"/>
      <c r="L556" s="444"/>
      <c r="M556" s="444"/>
      <c r="N556" s="444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13"/>
      <c r="B557" s="14"/>
      <c r="C557" s="14"/>
      <c r="D557" s="14"/>
      <c r="E557" s="444"/>
      <c r="F557" s="444"/>
      <c r="G557" s="444"/>
      <c r="H557" s="444"/>
      <c r="I557" s="444"/>
      <c r="J557" s="444"/>
      <c r="K557" s="444"/>
      <c r="L557" s="444"/>
      <c r="M557" s="444"/>
      <c r="N557" s="444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13"/>
      <c r="B558" s="14"/>
      <c r="C558" s="14"/>
      <c r="D558" s="14"/>
      <c r="E558" s="444"/>
      <c r="F558" s="444"/>
      <c r="G558" s="444"/>
      <c r="H558" s="444"/>
      <c r="I558" s="444"/>
      <c r="J558" s="444"/>
      <c r="K558" s="444"/>
      <c r="L558" s="444"/>
      <c r="M558" s="444"/>
      <c r="N558" s="444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13"/>
      <c r="B559" s="14"/>
      <c r="C559" s="14"/>
      <c r="D559" s="14"/>
      <c r="E559" s="444"/>
      <c r="F559" s="444"/>
      <c r="G559" s="444"/>
      <c r="H559" s="444"/>
      <c r="I559" s="444"/>
      <c r="J559" s="444"/>
      <c r="K559" s="444"/>
      <c r="L559" s="444"/>
      <c r="M559" s="444"/>
      <c r="N559" s="444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13"/>
      <c r="B560" s="14"/>
      <c r="C560" s="14"/>
      <c r="D560" s="14"/>
      <c r="E560" s="444"/>
      <c r="F560" s="444"/>
      <c r="G560" s="444"/>
      <c r="H560" s="444"/>
      <c r="I560" s="444"/>
      <c r="J560" s="444"/>
      <c r="K560" s="444"/>
      <c r="L560" s="444"/>
      <c r="M560" s="444"/>
      <c r="N560" s="444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13"/>
      <c r="B561" s="14"/>
      <c r="C561" s="14"/>
      <c r="D561" s="14"/>
      <c r="E561" s="444"/>
      <c r="F561" s="444"/>
      <c r="G561" s="444"/>
      <c r="H561" s="444"/>
      <c r="I561" s="444"/>
      <c r="J561" s="444"/>
      <c r="K561" s="444"/>
      <c r="L561" s="444"/>
      <c r="M561" s="444"/>
      <c r="N561" s="444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13"/>
      <c r="B562" s="14"/>
      <c r="C562" s="14"/>
      <c r="D562" s="14"/>
      <c r="E562" s="444"/>
      <c r="F562" s="444"/>
      <c r="G562" s="444"/>
      <c r="H562" s="444"/>
      <c r="I562" s="444"/>
      <c r="J562" s="444"/>
      <c r="K562" s="444"/>
      <c r="L562" s="444"/>
      <c r="M562" s="444"/>
      <c r="N562" s="444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13"/>
      <c r="B563" s="14"/>
      <c r="C563" s="14"/>
      <c r="D563" s="14"/>
      <c r="E563" s="444"/>
      <c r="F563" s="444"/>
      <c r="G563" s="444"/>
      <c r="H563" s="444"/>
      <c r="I563" s="444"/>
      <c r="J563" s="444"/>
      <c r="K563" s="444"/>
      <c r="L563" s="444"/>
      <c r="M563" s="444"/>
      <c r="N563" s="444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13"/>
      <c r="B564" s="14"/>
      <c r="C564" s="14"/>
      <c r="D564" s="14"/>
      <c r="E564" s="444"/>
      <c r="F564" s="444"/>
      <c r="G564" s="444"/>
      <c r="H564" s="444"/>
      <c r="I564" s="444"/>
      <c r="J564" s="444"/>
      <c r="K564" s="444"/>
      <c r="L564" s="444"/>
      <c r="M564" s="444"/>
      <c r="N564" s="444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13"/>
      <c r="B565" s="14"/>
      <c r="C565" s="14"/>
      <c r="D565" s="14"/>
      <c r="E565" s="444"/>
      <c r="F565" s="444"/>
      <c r="G565" s="444"/>
      <c r="H565" s="444"/>
      <c r="I565" s="444"/>
      <c r="J565" s="444"/>
      <c r="K565" s="444"/>
      <c r="L565" s="444"/>
      <c r="M565" s="444"/>
      <c r="N565" s="444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13"/>
      <c r="B566" s="14"/>
      <c r="C566" s="14"/>
      <c r="D566" s="14"/>
      <c r="E566" s="444"/>
      <c r="F566" s="444"/>
      <c r="G566" s="444"/>
      <c r="H566" s="444"/>
      <c r="I566" s="444"/>
      <c r="J566" s="444"/>
      <c r="K566" s="444"/>
      <c r="L566" s="444"/>
      <c r="M566" s="444"/>
      <c r="N566" s="444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13"/>
      <c r="B567" s="14"/>
      <c r="C567" s="14"/>
      <c r="D567" s="14"/>
      <c r="E567" s="444"/>
      <c r="F567" s="444"/>
      <c r="G567" s="444"/>
      <c r="H567" s="444"/>
      <c r="I567" s="444"/>
      <c r="J567" s="444"/>
      <c r="K567" s="444"/>
      <c r="L567" s="444"/>
      <c r="M567" s="444"/>
      <c r="N567" s="444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13"/>
      <c r="B568" s="14"/>
      <c r="C568" s="14"/>
      <c r="D568" s="14"/>
      <c r="E568" s="444"/>
      <c r="F568" s="444"/>
      <c r="G568" s="444"/>
      <c r="H568" s="444"/>
      <c r="I568" s="444"/>
      <c r="J568" s="444"/>
      <c r="K568" s="444"/>
      <c r="L568" s="444"/>
      <c r="M568" s="444"/>
      <c r="N568" s="444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13"/>
      <c r="B569" s="14"/>
      <c r="C569" s="14"/>
      <c r="D569" s="14"/>
      <c r="E569" s="444"/>
      <c r="F569" s="444"/>
      <c r="G569" s="444"/>
      <c r="H569" s="444"/>
      <c r="I569" s="444"/>
      <c r="J569" s="444"/>
      <c r="K569" s="444"/>
      <c r="L569" s="444"/>
      <c r="M569" s="444"/>
      <c r="N569" s="444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13"/>
      <c r="B570" s="14"/>
      <c r="C570" s="14"/>
      <c r="D570" s="14"/>
      <c r="E570" s="444"/>
      <c r="F570" s="444"/>
      <c r="G570" s="444"/>
      <c r="H570" s="444"/>
      <c r="I570" s="444"/>
      <c r="J570" s="444"/>
      <c r="K570" s="444"/>
      <c r="L570" s="444"/>
      <c r="M570" s="444"/>
      <c r="N570" s="444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13"/>
      <c r="B571" s="14"/>
      <c r="C571" s="14"/>
      <c r="D571" s="14"/>
      <c r="E571" s="444"/>
      <c r="F571" s="444"/>
      <c r="G571" s="444"/>
      <c r="H571" s="444"/>
      <c r="I571" s="444"/>
      <c r="J571" s="444"/>
      <c r="K571" s="444"/>
      <c r="L571" s="444"/>
      <c r="M571" s="444"/>
      <c r="N571" s="444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13"/>
      <c r="B572" s="14"/>
      <c r="C572" s="14"/>
      <c r="D572" s="14"/>
      <c r="E572" s="444"/>
      <c r="F572" s="444"/>
      <c r="G572" s="444"/>
      <c r="H572" s="444"/>
      <c r="I572" s="444"/>
      <c r="J572" s="444"/>
      <c r="K572" s="444"/>
      <c r="L572" s="444"/>
      <c r="M572" s="444"/>
      <c r="N572" s="444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13"/>
      <c r="B573" s="14"/>
      <c r="C573" s="14"/>
      <c r="D573" s="14"/>
      <c r="E573" s="444"/>
      <c r="F573" s="444"/>
      <c r="G573" s="444"/>
      <c r="H573" s="444"/>
      <c r="I573" s="444"/>
      <c r="J573" s="444"/>
      <c r="K573" s="444"/>
      <c r="L573" s="444"/>
      <c r="M573" s="444"/>
      <c r="N573" s="444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13"/>
      <c r="B574" s="14"/>
      <c r="C574" s="14"/>
      <c r="D574" s="14"/>
      <c r="E574" s="444"/>
      <c r="F574" s="444"/>
      <c r="G574" s="444"/>
      <c r="H574" s="444"/>
      <c r="I574" s="444"/>
      <c r="J574" s="444"/>
      <c r="K574" s="444"/>
      <c r="L574" s="444"/>
      <c r="M574" s="444"/>
      <c r="N574" s="444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13"/>
      <c r="B575" s="14"/>
      <c r="C575" s="14"/>
      <c r="D575" s="14"/>
      <c r="E575" s="444"/>
      <c r="F575" s="444"/>
      <c r="G575" s="444"/>
      <c r="H575" s="444"/>
      <c r="I575" s="444"/>
      <c r="J575" s="444"/>
      <c r="K575" s="444"/>
      <c r="L575" s="444"/>
      <c r="M575" s="444"/>
      <c r="N575" s="444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13"/>
      <c r="B576" s="14"/>
      <c r="C576" s="14"/>
      <c r="D576" s="14"/>
      <c r="E576" s="444"/>
      <c r="F576" s="444"/>
      <c r="G576" s="444"/>
      <c r="H576" s="444"/>
      <c r="I576" s="444"/>
      <c r="J576" s="444"/>
      <c r="K576" s="444"/>
      <c r="L576" s="444"/>
      <c r="M576" s="444"/>
      <c r="N576" s="444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13"/>
      <c r="B577" s="14"/>
      <c r="C577" s="14"/>
      <c r="D577" s="14"/>
      <c r="E577" s="444"/>
      <c r="F577" s="444"/>
      <c r="G577" s="444"/>
      <c r="H577" s="444"/>
      <c r="I577" s="444"/>
      <c r="J577" s="444"/>
      <c r="K577" s="444"/>
      <c r="L577" s="444"/>
      <c r="M577" s="444"/>
      <c r="N577" s="444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13"/>
      <c r="B578" s="14"/>
      <c r="C578" s="14"/>
      <c r="D578" s="14"/>
      <c r="E578" s="444"/>
      <c r="F578" s="444"/>
      <c r="G578" s="444"/>
      <c r="H578" s="444"/>
      <c r="I578" s="444"/>
      <c r="J578" s="444"/>
      <c r="K578" s="444"/>
      <c r="L578" s="444"/>
      <c r="M578" s="444"/>
      <c r="N578" s="444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13"/>
      <c r="B579" s="14"/>
      <c r="C579" s="14"/>
      <c r="D579" s="14"/>
      <c r="E579" s="444"/>
      <c r="F579" s="444"/>
      <c r="G579" s="444"/>
      <c r="H579" s="444"/>
      <c r="I579" s="444"/>
      <c r="J579" s="444"/>
      <c r="K579" s="444"/>
      <c r="L579" s="444"/>
      <c r="M579" s="444"/>
      <c r="N579" s="444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13"/>
      <c r="B580" s="14"/>
      <c r="C580" s="14"/>
      <c r="D580" s="14"/>
      <c r="E580" s="444"/>
      <c r="F580" s="444"/>
      <c r="G580" s="444"/>
      <c r="H580" s="444"/>
      <c r="I580" s="444"/>
      <c r="J580" s="444"/>
      <c r="K580" s="444"/>
      <c r="L580" s="444"/>
      <c r="M580" s="444"/>
      <c r="N580" s="444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13"/>
      <c r="B581" s="14"/>
      <c r="C581" s="14"/>
      <c r="D581" s="14"/>
      <c r="E581" s="444"/>
      <c r="F581" s="444"/>
      <c r="G581" s="444"/>
      <c r="H581" s="444"/>
      <c r="I581" s="444"/>
      <c r="J581" s="444"/>
      <c r="K581" s="444"/>
      <c r="L581" s="444"/>
      <c r="M581" s="444"/>
      <c r="N581" s="444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13"/>
      <c r="B582" s="14"/>
      <c r="C582" s="14"/>
      <c r="D582" s="14"/>
      <c r="E582" s="444"/>
      <c r="F582" s="444"/>
      <c r="G582" s="444"/>
      <c r="H582" s="444"/>
      <c r="I582" s="444"/>
      <c r="J582" s="444"/>
      <c r="K582" s="444"/>
      <c r="L582" s="444"/>
      <c r="M582" s="444"/>
      <c r="N582" s="444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13"/>
      <c r="B583" s="14"/>
      <c r="C583" s="14"/>
      <c r="D583" s="14"/>
      <c r="E583" s="444"/>
      <c r="F583" s="444"/>
      <c r="G583" s="444"/>
      <c r="H583" s="444"/>
      <c r="I583" s="444"/>
      <c r="J583" s="444"/>
      <c r="K583" s="444"/>
      <c r="L583" s="444"/>
      <c r="M583" s="444"/>
      <c r="N583" s="444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13"/>
      <c r="B584" s="14"/>
      <c r="C584" s="14"/>
      <c r="D584" s="14"/>
      <c r="E584" s="444"/>
      <c r="F584" s="444"/>
      <c r="G584" s="444"/>
      <c r="H584" s="444"/>
      <c r="I584" s="444"/>
      <c r="J584" s="444"/>
      <c r="K584" s="444"/>
      <c r="L584" s="444"/>
      <c r="M584" s="444"/>
      <c r="N584" s="444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13"/>
      <c r="B585" s="14"/>
      <c r="C585" s="14"/>
      <c r="D585" s="14"/>
      <c r="E585" s="444"/>
      <c r="F585" s="444"/>
      <c r="G585" s="444"/>
      <c r="H585" s="444"/>
      <c r="I585" s="444"/>
      <c r="J585" s="444"/>
      <c r="K585" s="444"/>
      <c r="L585" s="444"/>
      <c r="M585" s="444"/>
      <c r="N585" s="444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13"/>
      <c r="B586" s="14"/>
      <c r="C586" s="14"/>
      <c r="D586" s="14"/>
      <c r="E586" s="444"/>
      <c r="F586" s="444"/>
      <c r="G586" s="444"/>
      <c r="H586" s="444"/>
      <c r="I586" s="444"/>
      <c r="J586" s="444"/>
      <c r="K586" s="444"/>
      <c r="L586" s="444"/>
      <c r="M586" s="444"/>
      <c r="N586" s="444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13"/>
      <c r="B587" s="14"/>
      <c r="C587" s="14"/>
      <c r="D587" s="14"/>
      <c r="E587" s="444"/>
      <c r="F587" s="444"/>
      <c r="G587" s="444"/>
      <c r="H587" s="444"/>
      <c r="I587" s="444"/>
      <c r="J587" s="444"/>
      <c r="K587" s="444"/>
      <c r="L587" s="444"/>
      <c r="M587" s="444"/>
      <c r="N587" s="444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13"/>
      <c r="B588" s="14"/>
      <c r="C588" s="14"/>
      <c r="D588" s="14"/>
      <c r="E588" s="444"/>
      <c r="F588" s="444"/>
      <c r="G588" s="444"/>
      <c r="H588" s="444"/>
      <c r="I588" s="444"/>
      <c r="J588" s="444"/>
      <c r="K588" s="444"/>
      <c r="L588" s="444"/>
      <c r="M588" s="444"/>
      <c r="N588" s="444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13"/>
      <c r="B589" s="14"/>
      <c r="C589" s="14"/>
      <c r="D589" s="14"/>
      <c r="E589" s="444"/>
      <c r="F589" s="444"/>
      <c r="G589" s="444"/>
      <c r="H589" s="444"/>
      <c r="I589" s="444"/>
      <c r="J589" s="444"/>
      <c r="K589" s="444"/>
      <c r="L589" s="444"/>
      <c r="M589" s="444"/>
      <c r="N589" s="444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13"/>
      <c r="B590" s="14"/>
      <c r="C590" s="14"/>
      <c r="D590" s="14"/>
      <c r="E590" s="444"/>
      <c r="F590" s="444"/>
      <c r="G590" s="444"/>
      <c r="H590" s="444"/>
      <c r="I590" s="444"/>
      <c r="J590" s="444"/>
      <c r="K590" s="444"/>
      <c r="L590" s="444"/>
      <c r="M590" s="444"/>
      <c r="N590" s="444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13"/>
      <c r="B591" s="14"/>
      <c r="C591" s="14"/>
      <c r="D591" s="14"/>
      <c r="E591" s="444"/>
      <c r="F591" s="444"/>
      <c r="G591" s="444"/>
      <c r="H591" s="444"/>
      <c r="I591" s="444"/>
      <c r="J591" s="444"/>
      <c r="K591" s="444"/>
      <c r="L591" s="444"/>
      <c r="M591" s="444"/>
      <c r="N591" s="444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13"/>
      <c r="B592" s="14"/>
      <c r="C592" s="14"/>
      <c r="D592" s="14"/>
      <c r="E592" s="444"/>
      <c r="F592" s="444"/>
      <c r="G592" s="444"/>
      <c r="H592" s="444"/>
      <c r="I592" s="444"/>
      <c r="J592" s="444"/>
      <c r="K592" s="444"/>
      <c r="L592" s="444"/>
      <c r="M592" s="444"/>
      <c r="N592" s="444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13"/>
      <c r="B593" s="14"/>
      <c r="C593" s="14"/>
      <c r="D593" s="14"/>
      <c r="E593" s="444"/>
      <c r="F593" s="444"/>
      <c r="G593" s="444"/>
      <c r="H593" s="444"/>
      <c r="I593" s="444"/>
      <c r="J593" s="444"/>
      <c r="K593" s="444"/>
      <c r="L593" s="444"/>
      <c r="M593" s="444"/>
      <c r="N593" s="444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13"/>
      <c r="B594" s="14"/>
      <c r="C594" s="14"/>
      <c r="D594" s="14"/>
      <c r="E594" s="444"/>
      <c r="F594" s="444"/>
      <c r="G594" s="444"/>
      <c r="H594" s="444"/>
      <c r="I594" s="444"/>
      <c r="J594" s="444"/>
      <c r="K594" s="444"/>
      <c r="L594" s="444"/>
      <c r="M594" s="444"/>
      <c r="N594" s="444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13"/>
      <c r="B595" s="14"/>
      <c r="C595" s="14"/>
      <c r="D595" s="14"/>
      <c r="E595" s="444"/>
      <c r="F595" s="444"/>
      <c r="G595" s="444"/>
      <c r="H595" s="444"/>
      <c r="I595" s="444"/>
      <c r="J595" s="444"/>
      <c r="K595" s="444"/>
      <c r="L595" s="444"/>
      <c r="M595" s="444"/>
      <c r="N595" s="444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13"/>
      <c r="B596" s="14"/>
      <c r="C596" s="14"/>
      <c r="D596" s="14"/>
      <c r="E596" s="444"/>
      <c r="F596" s="444"/>
      <c r="G596" s="444"/>
      <c r="H596" s="444"/>
      <c r="I596" s="444"/>
      <c r="J596" s="444"/>
      <c r="K596" s="444"/>
      <c r="L596" s="444"/>
      <c r="M596" s="444"/>
      <c r="N596" s="444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13"/>
      <c r="B597" s="14"/>
      <c r="C597" s="14"/>
      <c r="D597" s="14"/>
      <c r="E597" s="444"/>
      <c r="F597" s="444"/>
      <c r="G597" s="444"/>
      <c r="H597" s="444"/>
      <c r="I597" s="444"/>
      <c r="J597" s="444"/>
      <c r="K597" s="444"/>
      <c r="L597" s="444"/>
      <c r="M597" s="444"/>
      <c r="N597" s="444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13"/>
      <c r="B598" s="14"/>
      <c r="C598" s="14"/>
      <c r="D598" s="14"/>
      <c r="E598" s="444"/>
      <c r="F598" s="444"/>
      <c r="G598" s="444"/>
      <c r="H598" s="444"/>
      <c r="I598" s="444"/>
      <c r="J598" s="444"/>
      <c r="K598" s="444"/>
      <c r="L598" s="444"/>
      <c r="M598" s="444"/>
      <c r="N598" s="444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13"/>
      <c r="B599" s="14"/>
      <c r="C599" s="14"/>
      <c r="D599" s="14"/>
      <c r="E599" s="444"/>
      <c r="F599" s="444"/>
      <c r="G599" s="444"/>
      <c r="H599" s="444"/>
      <c r="I599" s="444"/>
      <c r="J599" s="444"/>
      <c r="K599" s="444"/>
      <c r="L599" s="444"/>
      <c r="M599" s="444"/>
      <c r="N599" s="444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13"/>
      <c r="B600" s="14"/>
      <c r="C600" s="14"/>
      <c r="D600" s="14"/>
      <c r="E600" s="444"/>
      <c r="F600" s="444"/>
      <c r="G600" s="444"/>
      <c r="H600" s="444"/>
      <c r="I600" s="444"/>
      <c r="J600" s="444"/>
      <c r="K600" s="444"/>
      <c r="L600" s="444"/>
      <c r="M600" s="444"/>
      <c r="N600" s="444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13"/>
      <c r="B601" s="14"/>
      <c r="C601" s="14"/>
      <c r="D601" s="14"/>
      <c r="E601" s="444"/>
      <c r="F601" s="444"/>
      <c r="G601" s="444"/>
      <c r="H601" s="444"/>
      <c r="I601" s="444"/>
      <c r="J601" s="444"/>
      <c r="K601" s="444"/>
      <c r="L601" s="444"/>
      <c r="M601" s="444"/>
      <c r="N601" s="444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13"/>
      <c r="B602" s="14"/>
      <c r="C602" s="14"/>
      <c r="D602" s="14"/>
      <c r="E602" s="444"/>
      <c r="F602" s="444"/>
      <c r="G602" s="444"/>
      <c r="H602" s="444"/>
      <c r="I602" s="444"/>
      <c r="J602" s="444"/>
      <c r="K602" s="444"/>
      <c r="L602" s="444"/>
      <c r="M602" s="444"/>
      <c r="N602" s="444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13"/>
      <c r="B603" s="14"/>
      <c r="C603" s="14"/>
      <c r="D603" s="14"/>
      <c r="E603" s="444"/>
      <c r="F603" s="444"/>
      <c r="G603" s="444"/>
      <c r="H603" s="444"/>
      <c r="I603" s="444"/>
      <c r="J603" s="444"/>
      <c r="K603" s="444"/>
      <c r="L603" s="444"/>
      <c r="M603" s="444"/>
      <c r="N603" s="444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13"/>
      <c r="B604" s="14"/>
      <c r="C604" s="14"/>
      <c r="D604" s="14"/>
      <c r="E604" s="444"/>
      <c r="F604" s="444"/>
      <c r="G604" s="444"/>
      <c r="H604" s="444"/>
      <c r="I604" s="444"/>
      <c r="J604" s="444"/>
      <c r="K604" s="444"/>
      <c r="L604" s="444"/>
      <c r="M604" s="444"/>
      <c r="N604" s="444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13"/>
      <c r="B605" s="14"/>
      <c r="C605" s="14"/>
      <c r="D605" s="14"/>
      <c r="E605" s="444"/>
      <c r="F605" s="444"/>
      <c r="G605" s="444"/>
      <c r="H605" s="444"/>
      <c r="I605" s="444"/>
      <c r="J605" s="444"/>
      <c r="K605" s="444"/>
      <c r="L605" s="444"/>
      <c r="M605" s="444"/>
      <c r="N605" s="444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13"/>
      <c r="B606" s="14"/>
      <c r="C606" s="14"/>
      <c r="D606" s="14"/>
      <c r="E606" s="444"/>
      <c r="F606" s="444"/>
      <c r="G606" s="444"/>
      <c r="H606" s="444"/>
      <c r="I606" s="444"/>
      <c r="J606" s="444"/>
      <c r="K606" s="444"/>
      <c r="L606" s="444"/>
      <c r="M606" s="444"/>
      <c r="N606" s="444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13"/>
      <c r="B607" s="14"/>
      <c r="C607" s="14"/>
      <c r="D607" s="14"/>
      <c r="E607" s="444"/>
      <c r="F607" s="444"/>
      <c r="G607" s="444"/>
      <c r="H607" s="444"/>
      <c r="I607" s="444"/>
      <c r="J607" s="444"/>
      <c r="K607" s="444"/>
      <c r="L607" s="444"/>
      <c r="M607" s="444"/>
      <c r="N607" s="444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13"/>
      <c r="B608" s="14"/>
      <c r="C608" s="14"/>
      <c r="D608" s="14"/>
      <c r="E608" s="444"/>
      <c r="F608" s="444"/>
      <c r="G608" s="444"/>
      <c r="H608" s="444"/>
      <c r="I608" s="444"/>
      <c r="J608" s="444"/>
      <c r="K608" s="444"/>
      <c r="L608" s="444"/>
      <c r="M608" s="444"/>
      <c r="N608" s="444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13"/>
      <c r="B609" s="14"/>
      <c r="C609" s="14"/>
      <c r="D609" s="14"/>
      <c r="E609" s="444"/>
      <c r="F609" s="444"/>
      <c r="G609" s="444"/>
      <c r="H609" s="444"/>
      <c r="I609" s="444"/>
      <c r="J609" s="444"/>
      <c r="K609" s="444"/>
      <c r="L609" s="444"/>
      <c r="M609" s="444"/>
      <c r="N609" s="444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13"/>
      <c r="B610" s="14"/>
      <c r="C610" s="14"/>
      <c r="D610" s="14"/>
      <c r="E610" s="444"/>
      <c r="F610" s="444"/>
      <c r="G610" s="444"/>
      <c r="H610" s="444"/>
      <c r="I610" s="444"/>
      <c r="J610" s="444"/>
      <c r="K610" s="444"/>
      <c r="L610" s="444"/>
      <c r="M610" s="444"/>
      <c r="N610" s="444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13"/>
      <c r="B611" s="14"/>
      <c r="C611" s="14"/>
      <c r="D611" s="14"/>
      <c r="E611" s="444"/>
      <c r="F611" s="444"/>
      <c r="G611" s="444"/>
      <c r="H611" s="444"/>
      <c r="I611" s="444"/>
      <c r="J611" s="444"/>
      <c r="K611" s="444"/>
      <c r="L611" s="444"/>
      <c r="M611" s="444"/>
      <c r="N611" s="444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13"/>
      <c r="B612" s="14"/>
      <c r="C612" s="14"/>
      <c r="D612" s="14"/>
      <c r="E612" s="444"/>
      <c r="F612" s="444"/>
      <c r="G612" s="444"/>
      <c r="H612" s="444"/>
      <c r="I612" s="444"/>
      <c r="J612" s="444"/>
      <c r="K612" s="444"/>
      <c r="L612" s="444"/>
      <c r="M612" s="444"/>
      <c r="N612" s="444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13"/>
      <c r="B613" s="14"/>
      <c r="C613" s="14"/>
      <c r="D613" s="14"/>
      <c r="E613" s="444"/>
      <c r="F613" s="444"/>
      <c r="G613" s="444"/>
      <c r="H613" s="444"/>
      <c r="I613" s="444"/>
      <c r="J613" s="444"/>
      <c r="K613" s="444"/>
      <c r="L613" s="444"/>
      <c r="M613" s="444"/>
      <c r="N613" s="444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13"/>
      <c r="B614" s="14"/>
      <c r="C614" s="14"/>
      <c r="D614" s="14"/>
      <c r="E614" s="444"/>
      <c r="F614" s="444"/>
      <c r="G614" s="444"/>
      <c r="H614" s="444"/>
      <c r="I614" s="444"/>
      <c r="J614" s="444"/>
      <c r="K614" s="444"/>
      <c r="L614" s="444"/>
      <c r="M614" s="444"/>
      <c r="N614" s="444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13"/>
      <c r="B615" s="14"/>
      <c r="C615" s="14"/>
      <c r="D615" s="14"/>
      <c r="E615" s="444"/>
      <c r="F615" s="444"/>
      <c r="G615" s="444"/>
      <c r="H615" s="444"/>
      <c r="I615" s="444"/>
      <c r="J615" s="444"/>
      <c r="K615" s="444"/>
      <c r="L615" s="444"/>
      <c r="M615" s="444"/>
      <c r="N615" s="444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13"/>
      <c r="B616" s="14"/>
      <c r="C616" s="14"/>
      <c r="D616" s="14"/>
      <c r="E616" s="444"/>
      <c r="F616" s="444"/>
      <c r="G616" s="444"/>
      <c r="H616" s="444"/>
      <c r="I616" s="444"/>
      <c r="J616" s="444"/>
      <c r="K616" s="444"/>
      <c r="L616" s="444"/>
      <c r="M616" s="444"/>
      <c r="N616" s="444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13"/>
      <c r="B617" s="14"/>
      <c r="C617" s="14"/>
      <c r="D617" s="14"/>
      <c r="E617" s="444"/>
      <c r="F617" s="444"/>
      <c r="G617" s="444"/>
      <c r="H617" s="444"/>
      <c r="I617" s="444"/>
      <c r="J617" s="444"/>
      <c r="K617" s="444"/>
      <c r="L617" s="444"/>
      <c r="M617" s="444"/>
      <c r="N617" s="444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13"/>
      <c r="B618" s="14"/>
      <c r="C618" s="14"/>
      <c r="D618" s="14"/>
      <c r="E618" s="444"/>
      <c r="F618" s="444"/>
      <c r="G618" s="444"/>
      <c r="H618" s="444"/>
      <c r="I618" s="444"/>
      <c r="J618" s="444"/>
      <c r="K618" s="444"/>
      <c r="L618" s="444"/>
      <c r="M618" s="444"/>
      <c r="N618" s="444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13"/>
      <c r="B619" s="14"/>
      <c r="C619" s="14"/>
      <c r="D619" s="14"/>
      <c r="E619" s="444"/>
      <c r="F619" s="444"/>
      <c r="G619" s="444"/>
      <c r="H619" s="444"/>
      <c r="I619" s="444"/>
      <c r="J619" s="444"/>
      <c r="K619" s="444"/>
      <c r="L619" s="444"/>
      <c r="M619" s="444"/>
      <c r="N619" s="444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13"/>
      <c r="B620" s="14"/>
      <c r="C620" s="14"/>
      <c r="D620" s="14"/>
      <c r="E620" s="444"/>
      <c r="F620" s="444"/>
      <c r="G620" s="444"/>
      <c r="H620" s="444"/>
      <c r="I620" s="444"/>
      <c r="J620" s="444"/>
      <c r="K620" s="444"/>
      <c r="L620" s="444"/>
      <c r="M620" s="444"/>
      <c r="N620" s="444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13"/>
      <c r="B621" s="14"/>
      <c r="C621" s="14"/>
      <c r="D621" s="14"/>
      <c r="E621" s="444"/>
      <c r="F621" s="444"/>
      <c r="G621" s="444"/>
      <c r="H621" s="444"/>
      <c r="I621" s="444"/>
      <c r="J621" s="444"/>
      <c r="K621" s="444"/>
      <c r="L621" s="444"/>
      <c r="M621" s="444"/>
      <c r="N621" s="444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13"/>
      <c r="B622" s="14"/>
      <c r="C622" s="14"/>
      <c r="D622" s="14"/>
      <c r="E622" s="444"/>
      <c r="F622" s="444"/>
      <c r="G622" s="444"/>
      <c r="H622" s="444"/>
      <c r="I622" s="444"/>
      <c r="J622" s="444"/>
      <c r="K622" s="444"/>
      <c r="L622" s="444"/>
      <c r="M622" s="444"/>
      <c r="N622" s="444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13"/>
      <c r="B623" s="14"/>
      <c r="C623" s="14"/>
      <c r="D623" s="14"/>
      <c r="E623" s="444"/>
      <c r="F623" s="444"/>
      <c r="G623" s="444"/>
      <c r="H623" s="444"/>
      <c r="I623" s="444"/>
      <c r="J623" s="444"/>
      <c r="K623" s="444"/>
      <c r="L623" s="444"/>
      <c r="M623" s="444"/>
      <c r="N623" s="444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13"/>
      <c r="B624" s="14"/>
      <c r="C624" s="14"/>
      <c r="D624" s="14"/>
      <c r="E624" s="444"/>
      <c r="F624" s="444"/>
      <c r="G624" s="444"/>
      <c r="H624" s="444"/>
      <c r="I624" s="444"/>
      <c r="J624" s="444"/>
      <c r="K624" s="444"/>
      <c r="L624" s="444"/>
      <c r="M624" s="444"/>
      <c r="N624" s="444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13"/>
      <c r="B625" s="14"/>
      <c r="C625" s="14"/>
      <c r="D625" s="14"/>
      <c r="E625" s="444"/>
      <c r="F625" s="444"/>
      <c r="G625" s="444"/>
      <c r="H625" s="444"/>
      <c r="I625" s="444"/>
      <c r="J625" s="444"/>
      <c r="K625" s="444"/>
      <c r="L625" s="444"/>
      <c r="M625" s="444"/>
      <c r="N625" s="444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13"/>
      <c r="B626" s="14"/>
      <c r="C626" s="14"/>
      <c r="D626" s="14"/>
      <c r="E626" s="444"/>
      <c r="F626" s="444"/>
      <c r="G626" s="444"/>
      <c r="H626" s="444"/>
      <c r="I626" s="444"/>
      <c r="J626" s="444"/>
      <c r="K626" s="444"/>
      <c r="L626" s="444"/>
      <c r="M626" s="444"/>
      <c r="N626" s="444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13"/>
      <c r="B627" s="14"/>
      <c r="C627" s="14"/>
      <c r="D627" s="14"/>
      <c r="E627" s="444"/>
      <c r="F627" s="444"/>
      <c r="G627" s="444"/>
      <c r="H627" s="444"/>
      <c r="I627" s="444"/>
      <c r="J627" s="444"/>
      <c r="K627" s="444"/>
      <c r="L627" s="444"/>
      <c r="M627" s="444"/>
      <c r="N627" s="444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13"/>
      <c r="B628" s="14"/>
      <c r="C628" s="14"/>
      <c r="D628" s="14"/>
      <c r="E628" s="444"/>
      <c r="F628" s="444"/>
      <c r="G628" s="444"/>
      <c r="H628" s="444"/>
      <c r="I628" s="444"/>
      <c r="J628" s="444"/>
      <c r="K628" s="444"/>
      <c r="L628" s="444"/>
      <c r="M628" s="444"/>
      <c r="N628" s="444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13"/>
      <c r="B629" s="14"/>
      <c r="C629" s="14"/>
      <c r="D629" s="14"/>
      <c r="E629" s="444"/>
      <c r="F629" s="444"/>
      <c r="G629" s="444"/>
      <c r="H629" s="444"/>
      <c r="I629" s="444"/>
      <c r="J629" s="444"/>
      <c r="K629" s="444"/>
      <c r="L629" s="444"/>
      <c r="M629" s="444"/>
      <c r="N629" s="444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13"/>
      <c r="B630" s="14"/>
      <c r="C630" s="14"/>
      <c r="D630" s="14"/>
      <c r="E630" s="444"/>
      <c r="F630" s="444"/>
      <c r="G630" s="444"/>
      <c r="H630" s="444"/>
      <c r="I630" s="444"/>
      <c r="J630" s="444"/>
      <c r="K630" s="444"/>
      <c r="L630" s="444"/>
      <c r="M630" s="444"/>
      <c r="N630" s="444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13"/>
      <c r="B631" s="14"/>
      <c r="C631" s="14"/>
      <c r="D631" s="14"/>
      <c r="E631" s="444"/>
      <c r="F631" s="444"/>
      <c r="G631" s="444"/>
      <c r="H631" s="444"/>
      <c r="I631" s="444"/>
      <c r="J631" s="444"/>
      <c r="K631" s="444"/>
      <c r="L631" s="444"/>
      <c r="M631" s="444"/>
      <c r="N631" s="444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13"/>
      <c r="B632" s="14"/>
      <c r="C632" s="14"/>
      <c r="D632" s="14"/>
      <c r="E632" s="444"/>
      <c r="F632" s="444"/>
      <c r="G632" s="444"/>
      <c r="H632" s="444"/>
      <c r="I632" s="444"/>
      <c r="J632" s="444"/>
      <c r="K632" s="444"/>
      <c r="L632" s="444"/>
      <c r="M632" s="444"/>
      <c r="N632" s="444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13"/>
      <c r="B633" s="14"/>
      <c r="C633" s="14"/>
      <c r="D633" s="14"/>
      <c r="E633" s="444"/>
      <c r="F633" s="444"/>
      <c r="G633" s="444"/>
      <c r="H633" s="444"/>
      <c r="I633" s="444"/>
      <c r="J633" s="444"/>
      <c r="K633" s="444"/>
      <c r="L633" s="444"/>
      <c r="M633" s="444"/>
      <c r="N633" s="444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13"/>
      <c r="B634" s="14"/>
      <c r="C634" s="14"/>
      <c r="D634" s="14"/>
      <c r="E634" s="444"/>
      <c r="F634" s="444"/>
      <c r="G634" s="444"/>
      <c r="H634" s="444"/>
      <c r="I634" s="444"/>
      <c r="J634" s="444"/>
      <c r="K634" s="444"/>
      <c r="L634" s="444"/>
      <c r="M634" s="444"/>
      <c r="N634" s="444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13"/>
      <c r="B635" s="14"/>
      <c r="C635" s="14"/>
      <c r="D635" s="14"/>
      <c r="E635" s="444"/>
      <c r="F635" s="444"/>
      <c r="G635" s="444"/>
      <c r="H635" s="444"/>
      <c r="I635" s="444"/>
      <c r="J635" s="444"/>
      <c r="K635" s="444"/>
      <c r="L635" s="444"/>
      <c r="M635" s="444"/>
      <c r="N635" s="444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13"/>
      <c r="B636" s="14"/>
      <c r="C636" s="14"/>
      <c r="D636" s="14"/>
      <c r="E636" s="444"/>
      <c r="F636" s="444"/>
      <c r="G636" s="444"/>
      <c r="H636" s="444"/>
      <c r="I636" s="444"/>
      <c r="J636" s="444"/>
      <c r="K636" s="444"/>
      <c r="L636" s="444"/>
      <c r="M636" s="444"/>
      <c r="N636" s="444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13"/>
      <c r="B637" s="14"/>
      <c r="C637" s="14"/>
      <c r="D637" s="14"/>
      <c r="E637" s="444"/>
      <c r="F637" s="444"/>
      <c r="G637" s="444"/>
      <c r="H637" s="444"/>
      <c r="I637" s="444"/>
      <c r="J637" s="444"/>
      <c r="K637" s="444"/>
      <c r="L637" s="444"/>
      <c r="M637" s="444"/>
      <c r="N637" s="444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13"/>
      <c r="B638" s="14"/>
      <c r="C638" s="14"/>
      <c r="D638" s="14"/>
      <c r="E638" s="444"/>
      <c r="F638" s="444"/>
      <c r="G638" s="444"/>
      <c r="H638" s="444"/>
      <c r="I638" s="444"/>
      <c r="J638" s="444"/>
      <c r="K638" s="444"/>
      <c r="L638" s="444"/>
      <c r="M638" s="444"/>
      <c r="N638" s="444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13"/>
      <c r="B639" s="14"/>
      <c r="C639" s="14"/>
      <c r="D639" s="14"/>
      <c r="E639" s="444"/>
      <c r="F639" s="444"/>
      <c r="G639" s="444"/>
      <c r="H639" s="444"/>
      <c r="I639" s="444"/>
      <c r="J639" s="444"/>
      <c r="K639" s="444"/>
      <c r="L639" s="444"/>
      <c r="M639" s="444"/>
      <c r="N639" s="444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13"/>
      <c r="B640" s="14"/>
      <c r="C640" s="14"/>
      <c r="D640" s="14"/>
      <c r="E640" s="444"/>
      <c r="F640" s="444"/>
      <c r="G640" s="444"/>
      <c r="H640" s="444"/>
      <c r="I640" s="444"/>
      <c r="J640" s="444"/>
      <c r="K640" s="444"/>
      <c r="L640" s="444"/>
      <c r="M640" s="444"/>
      <c r="N640" s="444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13"/>
      <c r="B641" s="14"/>
      <c r="C641" s="14"/>
      <c r="D641" s="14"/>
      <c r="E641" s="444"/>
      <c r="F641" s="444"/>
      <c r="G641" s="444"/>
      <c r="H641" s="444"/>
      <c r="I641" s="444"/>
      <c r="J641" s="444"/>
      <c r="K641" s="444"/>
      <c r="L641" s="444"/>
      <c r="M641" s="444"/>
      <c r="N641" s="444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13"/>
      <c r="B642" s="14"/>
      <c r="C642" s="14"/>
      <c r="D642" s="14"/>
      <c r="E642" s="444"/>
      <c r="F642" s="444"/>
      <c r="G642" s="444"/>
      <c r="H642" s="444"/>
      <c r="I642" s="444"/>
      <c r="J642" s="444"/>
      <c r="K642" s="444"/>
      <c r="L642" s="444"/>
      <c r="M642" s="444"/>
      <c r="N642" s="444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13"/>
      <c r="B643" s="14"/>
      <c r="C643" s="14"/>
      <c r="D643" s="14"/>
      <c r="E643" s="444"/>
      <c r="F643" s="444"/>
      <c r="G643" s="444"/>
      <c r="H643" s="444"/>
      <c r="I643" s="444"/>
      <c r="J643" s="444"/>
      <c r="K643" s="444"/>
      <c r="L643" s="444"/>
      <c r="M643" s="444"/>
      <c r="N643" s="444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13"/>
      <c r="B644" s="14"/>
      <c r="C644" s="14"/>
      <c r="D644" s="14"/>
      <c r="E644" s="444"/>
      <c r="F644" s="444"/>
      <c r="G644" s="444"/>
      <c r="H644" s="444"/>
      <c r="I644" s="444"/>
      <c r="J644" s="444"/>
      <c r="K644" s="444"/>
      <c r="L644" s="444"/>
      <c r="M644" s="444"/>
      <c r="N644" s="444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13"/>
      <c r="B645" s="14"/>
      <c r="C645" s="14"/>
      <c r="D645" s="14"/>
      <c r="E645" s="444"/>
      <c r="F645" s="444"/>
      <c r="G645" s="444"/>
      <c r="H645" s="444"/>
      <c r="I645" s="444"/>
      <c r="J645" s="444"/>
      <c r="K645" s="444"/>
      <c r="L645" s="444"/>
      <c r="M645" s="444"/>
      <c r="N645" s="444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13"/>
      <c r="B646" s="14"/>
      <c r="C646" s="14"/>
      <c r="D646" s="14"/>
      <c r="E646" s="444"/>
      <c r="F646" s="444"/>
      <c r="G646" s="444"/>
      <c r="H646" s="444"/>
      <c r="I646" s="444"/>
      <c r="J646" s="444"/>
      <c r="K646" s="444"/>
      <c r="L646" s="444"/>
      <c r="M646" s="444"/>
      <c r="N646" s="444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13"/>
      <c r="B647" s="14"/>
      <c r="C647" s="14"/>
      <c r="D647" s="14"/>
      <c r="E647" s="444"/>
      <c r="F647" s="444"/>
      <c r="G647" s="444"/>
      <c r="H647" s="444"/>
      <c r="I647" s="444"/>
      <c r="J647" s="444"/>
      <c r="K647" s="444"/>
      <c r="L647" s="444"/>
      <c r="M647" s="444"/>
      <c r="N647" s="444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13"/>
      <c r="B648" s="14"/>
      <c r="C648" s="14"/>
      <c r="D648" s="14"/>
      <c r="E648" s="444"/>
      <c r="F648" s="444"/>
      <c r="G648" s="444"/>
      <c r="H648" s="444"/>
      <c r="I648" s="444"/>
      <c r="J648" s="444"/>
      <c r="K648" s="444"/>
      <c r="L648" s="444"/>
      <c r="M648" s="444"/>
      <c r="N648" s="444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13"/>
      <c r="B649" s="14"/>
      <c r="C649" s="14"/>
      <c r="D649" s="14"/>
      <c r="E649" s="444"/>
      <c r="F649" s="444"/>
      <c r="G649" s="444"/>
      <c r="H649" s="444"/>
      <c r="I649" s="444"/>
      <c r="J649" s="444"/>
      <c r="K649" s="444"/>
      <c r="L649" s="444"/>
      <c r="M649" s="444"/>
      <c r="N649" s="444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13"/>
      <c r="B650" s="14"/>
      <c r="C650" s="14"/>
      <c r="D650" s="14"/>
      <c r="E650" s="444"/>
      <c r="F650" s="444"/>
      <c r="G650" s="444"/>
      <c r="H650" s="444"/>
      <c r="I650" s="444"/>
      <c r="J650" s="444"/>
      <c r="K650" s="444"/>
      <c r="L650" s="444"/>
      <c r="M650" s="444"/>
      <c r="N650" s="444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13"/>
      <c r="B651" s="14"/>
      <c r="C651" s="14"/>
      <c r="D651" s="14"/>
      <c r="E651" s="444"/>
      <c r="F651" s="444"/>
      <c r="G651" s="444"/>
      <c r="H651" s="444"/>
      <c r="I651" s="444"/>
      <c r="J651" s="444"/>
      <c r="K651" s="444"/>
      <c r="L651" s="444"/>
      <c r="M651" s="444"/>
      <c r="N651" s="444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13"/>
      <c r="B652" s="14"/>
      <c r="C652" s="14"/>
      <c r="D652" s="14"/>
      <c r="E652" s="444"/>
      <c r="F652" s="444"/>
      <c r="G652" s="444"/>
      <c r="H652" s="444"/>
      <c r="I652" s="444"/>
      <c r="J652" s="444"/>
      <c r="K652" s="444"/>
      <c r="L652" s="444"/>
      <c r="M652" s="444"/>
      <c r="N652" s="444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13"/>
      <c r="B653" s="14"/>
      <c r="C653" s="14"/>
      <c r="D653" s="14"/>
      <c r="E653" s="444"/>
      <c r="F653" s="444"/>
      <c r="G653" s="444"/>
      <c r="H653" s="444"/>
      <c r="I653" s="444"/>
      <c r="J653" s="444"/>
      <c r="K653" s="444"/>
      <c r="L653" s="444"/>
      <c r="M653" s="444"/>
      <c r="N653" s="444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13"/>
      <c r="B654" s="14"/>
      <c r="C654" s="14"/>
      <c r="D654" s="14"/>
      <c r="E654" s="444"/>
      <c r="F654" s="444"/>
      <c r="G654" s="444"/>
      <c r="H654" s="444"/>
      <c r="I654" s="444"/>
      <c r="J654" s="444"/>
      <c r="K654" s="444"/>
      <c r="L654" s="444"/>
      <c r="M654" s="444"/>
      <c r="N654" s="444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13"/>
      <c r="B655" s="14"/>
      <c r="C655" s="14"/>
      <c r="D655" s="14"/>
      <c r="E655" s="444"/>
      <c r="F655" s="444"/>
      <c r="G655" s="444"/>
      <c r="H655" s="444"/>
      <c r="I655" s="444"/>
      <c r="J655" s="444"/>
      <c r="K655" s="444"/>
      <c r="L655" s="444"/>
      <c r="M655" s="444"/>
      <c r="N655" s="444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13"/>
      <c r="B656" s="14"/>
      <c r="C656" s="14"/>
      <c r="D656" s="14"/>
      <c r="E656" s="444"/>
      <c r="F656" s="444"/>
      <c r="G656" s="444"/>
      <c r="H656" s="444"/>
      <c r="I656" s="444"/>
      <c r="J656" s="444"/>
      <c r="K656" s="444"/>
      <c r="L656" s="444"/>
      <c r="M656" s="444"/>
      <c r="N656" s="444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13"/>
      <c r="B657" s="14"/>
      <c r="C657" s="14"/>
      <c r="D657" s="14"/>
      <c r="E657" s="444"/>
      <c r="F657" s="444"/>
      <c r="G657" s="444"/>
      <c r="H657" s="444"/>
      <c r="I657" s="444"/>
      <c r="J657" s="444"/>
      <c r="K657" s="444"/>
      <c r="L657" s="444"/>
      <c r="M657" s="444"/>
      <c r="N657" s="444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13"/>
      <c r="B658" s="14"/>
      <c r="C658" s="14"/>
      <c r="D658" s="14"/>
      <c r="E658" s="444"/>
      <c r="F658" s="444"/>
      <c r="G658" s="444"/>
      <c r="H658" s="444"/>
      <c r="I658" s="444"/>
      <c r="J658" s="444"/>
      <c r="K658" s="444"/>
      <c r="L658" s="444"/>
      <c r="M658" s="444"/>
      <c r="N658" s="444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13"/>
      <c r="B659" s="14"/>
      <c r="C659" s="14"/>
      <c r="D659" s="14"/>
      <c r="E659" s="444"/>
      <c r="F659" s="444"/>
      <c r="G659" s="444"/>
      <c r="H659" s="444"/>
      <c r="I659" s="444"/>
      <c r="J659" s="444"/>
      <c r="K659" s="444"/>
      <c r="L659" s="444"/>
      <c r="M659" s="444"/>
      <c r="N659" s="444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13"/>
      <c r="B660" s="14"/>
      <c r="C660" s="14"/>
      <c r="D660" s="14"/>
      <c r="E660" s="444"/>
      <c r="F660" s="444"/>
      <c r="G660" s="444"/>
      <c r="H660" s="444"/>
      <c r="I660" s="444"/>
      <c r="J660" s="444"/>
      <c r="K660" s="444"/>
      <c r="L660" s="444"/>
      <c r="M660" s="444"/>
      <c r="N660" s="444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13"/>
      <c r="B661" s="14"/>
      <c r="C661" s="14"/>
      <c r="D661" s="14"/>
      <c r="E661" s="444"/>
      <c r="F661" s="444"/>
      <c r="G661" s="444"/>
      <c r="H661" s="444"/>
      <c r="I661" s="444"/>
      <c r="J661" s="444"/>
      <c r="K661" s="444"/>
      <c r="L661" s="444"/>
      <c r="M661" s="444"/>
      <c r="N661" s="444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13"/>
      <c r="B662" s="14"/>
      <c r="C662" s="14"/>
      <c r="D662" s="14"/>
      <c r="E662" s="444"/>
      <c r="F662" s="444"/>
      <c r="G662" s="444"/>
      <c r="H662" s="444"/>
      <c r="I662" s="444"/>
      <c r="J662" s="444"/>
      <c r="K662" s="444"/>
      <c r="L662" s="444"/>
      <c r="M662" s="444"/>
      <c r="N662" s="444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13"/>
      <c r="B663" s="14"/>
      <c r="C663" s="14"/>
      <c r="D663" s="14"/>
      <c r="E663" s="444"/>
      <c r="F663" s="444"/>
      <c r="G663" s="444"/>
      <c r="H663" s="444"/>
      <c r="I663" s="444"/>
      <c r="J663" s="444"/>
      <c r="K663" s="444"/>
      <c r="L663" s="444"/>
      <c r="M663" s="444"/>
      <c r="N663" s="444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13"/>
      <c r="B664" s="14"/>
      <c r="C664" s="14"/>
      <c r="D664" s="14"/>
      <c r="E664" s="444"/>
      <c r="F664" s="444"/>
      <c r="G664" s="444"/>
      <c r="H664" s="444"/>
      <c r="I664" s="444"/>
      <c r="J664" s="444"/>
      <c r="K664" s="444"/>
      <c r="L664" s="444"/>
      <c r="M664" s="444"/>
      <c r="N664" s="444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13"/>
      <c r="B665" s="14"/>
      <c r="C665" s="14"/>
      <c r="D665" s="14"/>
      <c r="E665" s="444"/>
      <c r="F665" s="444"/>
      <c r="G665" s="444"/>
      <c r="H665" s="444"/>
      <c r="I665" s="444"/>
      <c r="J665" s="444"/>
      <c r="K665" s="444"/>
      <c r="L665" s="444"/>
      <c r="M665" s="444"/>
      <c r="N665" s="444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13"/>
      <c r="B666" s="14"/>
      <c r="C666" s="14"/>
      <c r="D666" s="14"/>
      <c r="E666" s="444"/>
      <c r="F666" s="444"/>
      <c r="G666" s="444"/>
      <c r="H666" s="444"/>
      <c r="I666" s="444"/>
      <c r="J666" s="444"/>
      <c r="K666" s="444"/>
      <c r="L666" s="444"/>
      <c r="M666" s="444"/>
      <c r="N666" s="444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13"/>
      <c r="B667" s="14"/>
      <c r="C667" s="14"/>
      <c r="D667" s="14"/>
      <c r="E667" s="444"/>
      <c r="F667" s="444"/>
      <c r="G667" s="444"/>
      <c r="H667" s="444"/>
      <c r="I667" s="444"/>
      <c r="J667" s="444"/>
      <c r="K667" s="444"/>
      <c r="L667" s="444"/>
      <c r="M667" s="444"/>
      <c r="N667" s="444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13"/>
      <c r="B668" s="14"/>
      <c r="C668" s="14"/>
      <c r="D668" s="14"/>
      <c r="E668" s="444"/>
      <c r="F668" s="444"/>
      <c r="G668" s="444"/>
      <c r="H668" s="444"/>
      <c r="I668" s="444"/>
      <c r="J668" s="444"/>
      <c r="K668" s="444"/>
      <c r="L668" s="444"/>
      <c r="M668" s="444"/>
      <c r="N668" s="444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13"/>
      <c r="B669" s="14"/>
      <c r="C669" s="14"/>
      <c r="D669" s="14"/>
      <c r="E669" s="444"/>
      <c r="F669" s="444"/>
      <c r="G669" s="444"/>
      <c r="H669" s="444"/>
      <c r="I669" s="444"/>
      <c r="J669" s="444"/>
      <c r="K669" s="444"/>
      <c r="L669" s="444"/>
      <c r="M669" s="444"/>
      <c r="N669" s="444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13"/>
      <c r="B670" s="14"/>
      <c r="C670" s="14"/>
      <c r="D670" s="14"/>
      <c r="E670" s="444"/>
      <c r="F670" s="444"/>
      <c r="G670" s="444"/>
      <c r="H670" s="444"/>
      <c r="I670" s="444"/>
      <c r="J670" s="444"/>
      <c r="K670" s="444"/>
      <c r="L670" s="444"/>
      <c r="M670" s="444"/>
      <c r="N670" s="444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13"/>
      <c r="B671" s="14"/>
      <c r="C671" s="14"/>
      <c r="D671" s="14"/>
      <c r="E671" s="444"/>
      <c r="F671" s="444"/>
      <c r="G671" s="444"/>
      <c r="H671" s="444"/>
      <c r="I671" s="444"/>
      <c r="J671" s="444"/>
      <c r="K671" s="444"/>
      <c r="L671" s="444"/>
      <c r="M671" s="444"/>
      <c r="N671" s="444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13"/>
      <c r="B672" s="14"/>
      <c r="C672" s="14"/>
      <c r="D672" s="14"/>
      <c r="E672" s="444"/>
      <c r="F672" s="444"/>
      <c r="G672" s="444"/>
      <c r="H672" s="444"/>
      <c r="I672" s="444"/>
      <c r="J672" s="444"/>
      <c r="K672" s="444"/>
      <c r="L672" s="444"/>
      <c r="M672" s="444"/>
      <c r="N672" s="444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13"/>
      <c r="B673" s="14"/>
      <c r="C673" s="14"/>
      <c r="D673" s="14"/>
      <c r="E673" s="444"/>
      <c r="F673" s="444"/>
      <c r="G673" s="444"/>
      <c r="H673" s="444"/>
      <c r="I673" s="444"/>
      <c r="J673" s="444"/>
      <c r="K673" s="444"/>
      <c r="L673" s="444"/>
      <c r="M673" s="444"/>
      <c r="N673" s="444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13"/>
      <c r="B674" s="14"/>
      <c r="C674" s="14"/>
      <c r="D674" s="14"/>
      <c r="E674" s="444"/>
      <c r="F674" s="444"/>
      <c r="G674" s="444"/>
      <c r="H674" s="444"/>
      <c r="I674" s="444"/>
      <c r="J674" s="444"/>
      <c r="K674" s="444"/>
      <c r="L674" s="444"/>
      <c r="M674" s="444"/>
      <c r="N674" s="444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13"/>
      <c r="B675" s="14"/>
      <c r="C675" s="14"/>
      <c r="D675" s="14"/>
      <c r="E675" s="444"/>
      <c r="F675" s="444"/>
      <c r="G675" s="444"/>
      <c r="H675" s="444"/>
      <c r="I675" s="444"/>
      <c r="J675" s="444"/>
      <c r="K675" s="444"/>
      <c r="L675" s="444"/>
      <c r="M675" s="444"/>
      <c r="N675" s="444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13"/>
      <c r="B676" s="14"/>
      <c r="C676" s="14"/>
      <c r="D676" s="14"/>
      <c r="E676" s="444"/>
      <c r="F676" s="444"/>
      <c r="G676" s="444"/>
      <c r="H676" s="444"/>
      <c r="I676" s="444"/>
      <c r="J676" s="444"/>
      <c r="K676" s="444"/>
      <c r="L676" s="444"/>
      <c r="M676" s="444"/>
      <c r="N676" s="444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13"/>
      <c r="B677" s="14"/>
      <c r="C677" s="14"/>
      <c r="D677" s="14"/>
      <c r="E677" s="444"/>
      <c r="F677" s="444"/>
      <c r="G677" s="444"/>
      <c r="H677" s="444"/>
      <c r="I677" s="444"/>
      <c r="J677" s="444"/>
      <c r="K677" s="444"/>
      <c r="L677" s="444"/>
      <c r="M677" s="444"/>
      <c r="N677" s="444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13"/>
      <c r="B678" s="14"/>
      <c r="C678" s="14"/>
      <c r="D678" s="14"/>
      <c r="E678" s="444"/>
      <c r="F678" s="444"/>
      <c r="G678" s="444"/>
      <c r="H678" s="444"/>
      <c r="I678" s="444"/>
      <c r="J678" s="444"/>
      <c r="K678" s="444"/>
      <c r="L678" s="444"/>
      <c r="M678" s="444"/>
      <c r="N678" s="444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13"/>
      <c r="B679" s="14"/>
      <c r="C679" s="14"/>
      <c r="D679" s="14"/>
      <c r="E679" s="444"/>
      <c r="F679" s="444"/>
      <c r="G679" s="444"/>
      <c r="H679" s="444"/>
      <c r="I679" s="444"/>
      <c r="J679" s="444"/>
      <c r="K679" s="444"/>
      <c r="L679" s="444"/>
      <c r="M679" s="444"/>
      <c r="N679" s="444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13"/>
      <c r="B680" s="14"/>
      <c r="C680" s="14"/>
      <c r="D680" s="14"/>
      <c r="E680" s="444"/>
      <c r="F680" s="444"/>
      <c r="G680" s="444"/>
      <c r="H680" s="444"/>
      <c r="I680" s="444"/>
      <c r="J680" s="444"/>
      <c r="K680" s="444"/>
      <c r="L680" s="444"/>
      <c r="M680" s="444"/>
      <c r="N680" s="444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13"/>
      <c r="B681" s="14"/>
      <c r="C681" s="14"/>
      <c r="D681" s="14"/>
      <c r="E681" s="444"/>
      <c r="F681" s="444"/>
      <c r="G681" s="444"/>
      <c r="H681" s="444"/>
      <c r="I681" s="444"/>
      <c r="J681" s="444"/>
      <c r="K681" s="444"/>
      <c r="L681" s="444"/>
      <c r="M681" s="444"/>
      <c r="N681" s="444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13"/>
      <c r="B682" s="14"/>
      <c r="C682" s="14"/>
      <c r="D682" s="14"/>
      <c r="E682" s="444"/>
      <c r="F682" s="444"/>
      <c r="G682" s="444"/>
      <c r="H682" s="444"/>
      <c r="I682" s="444"/>
      <c r="J682" s="444"/>
      <c r="K682" s="444"/>
      <c r="L682" s="444"/>
      <c r="M682" s="444"/>
      <c r="N682" s="444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13"/>
      <c r="B683" s="14"/>
      <c r="C683" s="14"/>
      <c r="D683" s="14"/>
      <c r="E683" s="444"/>
      <c r="F683" s="444"/>
      <c r="G683" s="444"/>
      <c r="H683" s="444"/>
      <c r="I683" s="444"/>
      <c r="J683" s="444"/>
      <c r="K683" s="444"/>
      <c r="L683" s="444"/>
      <c r="M683" s="444"/>
      <c r="N683" s="444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13"/>
      <c r="B684" s="14"/>
      <c r="C684" s="14"/>
      <c r="D684" s="14"/>
      <c r="E684" s="444"/>
      <c r="F684" s="444"/>
      <c r="G684" s="444"/>
      <c r="H684" s="444"/>
      <c r="I684" s="444"/>
      <c r="J684" s="444"/>
      <c r="K684" s="444"/>
      <c r="L684" s="444"/>
      <c r="M684" s="444"/>
      <c r="N684" s="444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13"/>
      <c r="B685" s="14"/>
      <c r="C685" s="14"/>
      <c r="D685" s="14"/>
      <c r="E685" s="444"/>
      <c r="F685" s="444"/>
      <c r="G685" s="444"/>
      <c r="H685" s="444"/>
      <c r="I685" s="444"/>
      <c r="J685" s="444"/>
      <c r="K685" s="444"/>
      <c r="L685" s="444"/>
      <c r="M685" s="444"/>
      <c r="N685" s="444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13"/>
      <c r="B686" s="14"/>
      <c r="C686" s="14"/>
      <c r="D686" s="14"/>
      <c r="E686" s="444"/>
      <c r="F686" s="444"/>
      <c r="G686" s="444"/>
      <c r="H686" s="444"/>
      <c r="I686" s="444"/>
      <c r="J686" s="444"/>
      <c r="K686" s="444"/>
      <c r="L686" s="444"/>
      <c r="M686" s="444"/>
      <c r="N686" s="444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13"/>
      <c r="B687" s="14"/>
      <c r="C687" s="14"/>
      <c r="D687" s="14"/>
      <c r="E687" s="444"/>
      <c r="F687" s="444"/>
      <c r="G687" s="444"/>
      <c r="H687" s="444"/>
      <c r="I687" s="444"/>
      <c r="J687" s="444"/>
      <c r="K687" s="444"/>
      <c r="L687" s="444"/>
      <c r="M687" s="444"/>
      <c r="N687" s="444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13"/>
      <c r="B688" s="14"/>
      <c r="C688" s="14"/>
      <c r="D688" s="14"/>
      <c r="E688" s="444"/>
      <c r="F688" s="444"/>
      <c r="G688" s="444"/>
      <c r="H688" s="444"/>
      <c r="I688" s="444"/>
      <c r="J688" s="444"/>
      <c r="K688" s="444"/>
      <c r="L688" s="444"/>
      <c r="M688" s="444"/>
      <c r="N688" s="444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13"/>
      <c r="B689" s="14"/>
      <c r="C689" s="14"/>
      <c r="D689" s="14"/>
      <c r="E689" s="444"/>
      <c r="F689" s="444"/>
      <c r="G689" s="444"/>
      <c r="H689" s="444"/>
      <c r="I689" s="444"/>
      <c r="J689" s="444"/>
      <c r="K689" s="444"/>
      <c r="L689" s="444"/>
      <c r="M689" s="444"/>
      <c r="N689" s="444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13"/>
      <c r="B690" s="14"/>
      <c r="C690" s="14"/>
      <c r="D690" s="14"/>
      <c r="E690" s="444"/>
      <c r="F690" s="444"/>
      <c r="G690" s="444"/>
      <c r="H690" s="444"/>
      <c r="I690" s="444"/>
      <c r="J690" s="444"/>
      <c r="K690" s="444"/>
      <c r="L690" s="444"/>
      <c r="M690" s="444"/>
      <c r="N690" s="444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13"/>
      <c r="B691" s="14"/>
      <c r="C691" s="14"/>
      <c r="D691" s="14"/>
      <c r="E691" s="444"/>
      <c r="F691" s="444"/>
      <c r="G691" s="444"/>
      <c r="H691" s="444"/>
      <c r="I691" s="444"/>
      <c r="J691" s="444"/>
      <c r="K691" s="444"/>
      <c r="L691" s="444"/>
      <c r="M691" s="444"/>
      <c r="N691" s="444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13"/>
      <c r="B692" s="14"/>
      <c r="C692" s="14"/>
      <c r="D692" s="14"/>
      <c r="E692" s="444"/>
      <c r="F692" s="444"/>
      <c r="G692" s="444"/>
      <c r="H692" s="444"/>
      <c r="I692" s="444"/>
      <c r="J692" s="444"/>
      <c r="K692" s="444"/>
      <c r="L692" s="444"/>
      <c r="M692" s="444"/>
      <c r="N692" s="444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13"/>
      <c r="B693" s="14"/>
      <c r="C693" s="14"/>
      <c r="D693" s="14"/>
      <c r="E693" s="444"/>
      <c r="F693" s="444"/>
      <c r="G693" s="444"/>
      <c r="H693" s="444"/>
      <c r="I693" s="444"/>
      <c r="J693" s="444"/>
      <c r="K693" s="444"/>
      <c r="L693" s="444"/>
      <c r="M693" s="444"/>
      <c r="N693" s="444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13"/>
      <c r="B694" s="14"/>
      <c r="C694" s="14"/>
      <c r="D694" s="14"/>
      <c r="E694" s="444"/>
      <c r="F694" s="444"/>
      <c r="G694" s="444"/>
      <c r="H694" s="444"/>
      <c r="I694" s="444"/>
      <c r="J694" s="444"/>
      <c r="K694" s="444"/>
      <c r="L694" s="444"/>
      <c r="M694" s="444"/>
      <c r="N694" s="444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13"/>
      <c r="B695" s="14"/>
      <c r="C695" s="14"/>
      <c r="D695" s="14"/>
      <c r="E695" s="444"/>
      <c r="F695" s="444"/>
      <c r="G695" s="444"/>
      <c r="H695" s="444"/>
      <c r="I695" s="444"/>
      <c r="J695" s="444"/>
      <c r="K695" s="444"/>
      <c r="L695" s="444"/>
      <c r="M695" s="444"/>
      <c r="N695" s="444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13"/>
      <c r="B696" s="14"/>
      <c r="C696" s="14"/>
      <c r="D696" s="14"/>
      <c r="E696" s="444"/>
      <c r="F696" s="444"/>
      <c r="G696" s="444"/>
      <c r="H696" s="444"/>
      <c r="I696" s="444"/>
      <c r="J696" s="444"/>
      <c r="K696" s="444"/>
      <c r="L696" s="444"/>
      <c r="M696" s="444"/>
      <c r="N696" s="444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13"/>
      <c r="B697" s="14"/>
      <c r="C697" s="14"/>
      <c r="D697" s="14"/>
      <c r="E697" s="444"/>
      <c r="F697" s="444"/>
      <c r="G697" s="444"/>
      <c r="H697" s="444"/>
      <c r="I697" s="444"/>
      <c r="J697" s="444"/>
      <c r="K697" s="444"/>
      <c r="L697" s="444"/>
      <c r="M697" s="444"/>
      <c r="N697" s="444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13"/>
      <c r="B698" s="14"/>
      <c r="C698" s="14"/>
      <c r="D698" s="14"/>
      <c r="E698" s="444"/>
      <c r="F698" s="444"/>
      <c r="G698" s="444"/>
      <c r="H698" s="444"/>
      <c r="I698" s="444"/>
      <c r="J698" s="444"/>
      <c r="K698" s="444"/>
      <c r="L698" s="444"/>
      <c r="M698" s="444"/>
      <c r="N698" s="444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13"/>
      <c r="B699" s="14"/>
      <c r="C699" s="14"/>
      <c r="D699" s="14"/>
      <c r="E699" s="444"/>
      <c r="F699" s="444"/>
      <c r="G699" s="444"/>
      <c r="H699" s="444"/>
      <c r="I699" s="444"/>
      <c r="J699" s="444"/>
      <c r="K699" s="444"/>
      <c r="L699" s="444"/>
      <c r="M699" s="444"/>
      <c r="N699" s="444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13"/>
      <c r="B700" s="14"/>
      <c r="C700" s="14"/>
      <c r="D700" s="14"/>
      <c r="E700" s="444"/>
      <c r="F700" s="444"/>
      <c r="G700" s="444"/>
      <c r="H700" s="444"/>
      <c r="I700" s="444"/>
      <c r="J700" s="444"/>
      <c r="K700" s="444"/>
      <c r="L700" s="444"/>
      <c r="M700" s="444"/>
      <c r="N700" s="444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13"/>
      <c r="B701" s="14"/>
      <c r="C701" s="14"/>
      <c r="D701" s="14"/>
      <c r="E701" s="444"/>
      <c r="F701" s="444"/>
      <c r="G701" s="444"/>
      <c r="H701" s="444"/>
      <c r="I701" s="444"/>
      <c r="J701" s="444"/>
      <c r="K701" s="444"/>
      <c r="L701" s="444"/>
      <c r="M701" s="444"/>
      <c r="N701" s="444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13"/>
      <c r="B702" s="14"/>
      <c r="C702" s="14"/>
      <c r="D702" s="14"/>
      <c r="E702" s="444"/>
      <c r="F702" s="444"/>
      <c r="G702" s="444"/>
      <c r="H702" s="444"/>
      <c r="I702" s="444"/>
      <c r="J702" s="444"/>
      <c r="K702" s="444"/>
      <c r="L702" s="444"/>
      <c r="M702" s="444"/>
      <c r="N702" s="444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13"/>
      <c r="B703" s="14"/>
      <c r="C703" s="14"/>
      <c r="D703" s="14"/>
      <c r="E703" s="444"/>
      <c r="F703" s="444"/>
      <c r="G703" s="444"/>
      <c r="H703" s="444"/>
      <c r="I703" s="444"/>
      <c r="J703" s="444"/>
      <c r="K703" s="444"/>
      <c r="L703" s="444"/>
      <c r="M703" s="444"/>
      <c r="N703" s="444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13"/>
      <c r="B704" s="14"/>
      <c r="C704" s="14"/>
      <c r="D704" s="14"/>
      <c r="E704" s="444"/>
      <c r="F704" s="444"/>
      <c r="G704" s="444"/>
      <c r="H704" s="444"/>
      <c r="I704" s="444"/>
      <c r="J704" s="444"/>
      <c r="K704" s="444"/>
      <c r="L704" s="444"/>
      <c r="M704" s="444"/>
      <c r="N704" s="444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13"/>
      <c r="B705" s="14"/>
      <c r="C705" s="14"/>
      <c r="D705" s="14"/>
      <c r="E705" s="444"/>
      <c r="F705" s="444"/>
      <c r="G705" s="444"/>
      <c r="H705" s="444"/>
      <c r="I705" s="444"/>
      <c r="J705" s="444"/>
      <c r="K705" s="444"/>
      <c r="L705" s="444"/>
      <c r="M705" s="444"/>
      <c r="N705" s="444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13"/>
      <c r="B706" s="14"/>
      <c r="C706" s="14"/>
      <c r="D706" s="14"/>
      <c r="E706" s="444"/>
      <c r="F706" s="444"/>
      <c r="G706" s="444"/>
      <c r="H706" s="444"/>
      <c r="I706" s="444"/>
      <c r="J706" s="444"/>
      <c r="K706" s="444"/>
      <c r="L706" s="444"/>
      <c r="M706" s="444"/>
      <c r="N706" s="444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13"/>
      <c r="B707" s="14"/>
      <c r="C707" s="14"/>
      <c r="D707" s="14"/>
      <c r="E707" s="444"/>
      <c r="F707" s="444"/>
      <c r="G707" s="444"/>
      <c r="H707" s="444"/>
      <c r="I707" s="444"/>
      <c r="J707" s="444"/>
      <c r="K707" s="444"/>
      <c r="L707" s="444"/>
      <c r="M707" s="444"/>
      <c r="N707" s="444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13"/>
      <c r="B708" s="14"/>
      <c r="C708" s="14"/>
      <c r="D708" s="14"/>
      <c r="E708" s="444"/>
      <c r="F708" s="444"/>
      <c r="G708" s="444"/>
      <c r="H708" s="444"/>
      <c r="I708" s="444"/>
      <c r="J708" s="444"/>
      <c r="K708" s="444"/>
      <c r="L708" s="444"/>
      <c r="M708" s="444"/>
      <c r="N708" s="444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13"/>
      <c r="B709" s="14"/>
      <c r="C709" s="14"/>
      <c r="D709" s="14"/>
      <c r="E709" s="444"/>
      <c r="F709" s="444"/>
      <c r="G709" s="444"/>
      <c r="H709" s="444"/>
      <c r="I709" s="444"/>
      <c r="J709" s="444"/>
      <c r="K709" s="444"/>
      <c r="L709" s="444"/>
      <c r="M709" s="444"/>
      <c r="N709" s="444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13"/>
      <c r="B710" s="14"/>
      <c r="C710" s="14"/>
      <c r="D710" s="14"/>
      <c r="E710" s="444"/>
      <c r="F710" s="444"/>
      <c r="G710" s="444"/>
      <c r="H710" s="444"/>
      <c r="I710" s="444"/>
      <c r="J710" s="444"/>
      <c r="K710" s="444"/>
      <c r="L710" s="444"/>
      <c r="M710" s="444"/>
      <c r="N710" s="444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13"/>
      <c r="B711" s="14"/>
      <c r="C711" s="14"/>
      <c r="D711" s="14"/>
      <c r="E711" s="444"/>
      <c r="F711" s="444"/>
      <c r="G711" s="444"/>
      <c r="H711" s="444"/>
      <c r="I711" s="444"/>
      <c r="J711" s="444"/>
      <c r="K711" s="444"/>
      <c r="L711" s="444"/>
      <c r="M711" s="444"/>
      <c r="N711" s="444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13"/>
      <c r="B712" s="14"/>
      <c r="C712" s="14"/>
      <c r="D712" s="14"/>
      <c r="E712" s="444"/>
      <c r="F712" s="444"/>
      <c r="G712" s="444"/>
      <c r="H712" s="444"/>
      <c r="I712" s="444"/>
      <c r="J712" s="444"/>
      <c r="K712" s="444"/>
      <c r="L712" s="444"/>
      <c r="M712" s="444"/>
      <c r="N712" s="444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13"/>
      <c r="B713" s="14"/>
      <c r="C713" s="14"/>
      <c r="D713" s="14"/>
      <c r="E713" s="444"/>
      <c r="F713" s="444"/>
      <c r="G713" s="444"/>
      <c r="H713" s="444"/>
      <c r="I713" s="444"/>
      <c r="J713" s="444"/>
      <c r="K713" s="444"/>
      <c r="L713" s="444"/>
      <c r="M713" s="444"/>
      <c r="N713" s="444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13"/>
      <c r="B714" s="14"/>
      <c r="C714" s="14"/>
      <c r="D714" s="14"/>
      <c r="E714" s="444"/>
      <c r="F714" s="444"/>
      <c r="G714" s="444"/>
      <c r="H714" s="444"/>
      <c r="I714" s="444"/>
      <c r="J714" s="444"/>
      <c r="K714" s="444"/>
      <c r="L714" s="444"/>
      <c r="M714" s="444"/>
      <c r="N714" s="444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13"/>
      <c r="B715" s="14"/>
      <c r="C715" s="14"/>
      <c r="D715" s="14"/>
      <c r="E715" s="444"/>
      <c r="F715" s="444"/>
      <c r="G715" s="444"/>
      <c r="H715" s="444"/>
      <c r="I715" s="444"/>
      <c r="J715" s="444"/>
      <c r="K715" s="444"/>
      <c r="L715" s="444"/>
      <c r="M715" s="444"/>
      <c r="N715" s="444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13"/>
      <c r="B716" s="14"/>
      <c r="C716" s="14"/>
      <c r="D716" s="14"/>
      <c r="E716" s="444"/>
      <c r="F716" s="444"/>
      <c r="G716" s="444"/>
      <c r="H716" s="444"/>
      <c r="I716" s="444"/>
      <c r="J716" s="444"/>
      <c r="K716" s="444"/>
      <c r="L716" s="444"/>
      <c r="M716" s="444"/>
      <c r="N716" s="444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13"/>
      <c r="B717" s="14"/>
      <c r="C717" s="14"/>
      <c r="D717" s="14"/>
      <c r="E717" s="444"/>
      <c r="F717" s="444"/>
      <c r="G717" s="444"/>
      <c r="H717" s="444"/>
      <c r="I717" s="444"/>
      <c r="J717" s="444"/>
      <c r="K717" s="444"/>
      <c r="L717" s="444"/>
      <c r="M717" s="444"/>
      <c r="N717" s="444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13"/>
      <c r="B718" s="14"/>
      <c r="C718" s="14"/>
      <c r="D718" s="14"/>
      <c r="E718" s="444"/>
      <c r="F718" s="444"/>
      <c r="G718" s="444"/>
      <c r="H718" s="444"/>
      <c r="I718" s="444"/>
      <c r="J718" s="444"/>
      <c r="K718" s="444"/>
      <c r="L718" s="444"/>
      <c r="M718" s="444"/>
      <c r="N718" s="444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13"/>
      <c r="B719" s="14"/>
      <c r="C719" s="14"/>
      <c r="D719" s="14"/>
      <c r="E719" s="444"/>
      <c r="F719" s="444"/>
      <c r="G719" s="444"/>
      <c r="H719" s="444"/>
      <c r="I719" s="444"/>
      <c r="J719" s="444"/>
      <c r="K719" s="444"/>
      <c r="L719" s="444"/>
      <c r="M719" s="444"/>
      <c r="N719" s="444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13"/>
      <c r="B720" s="14"/>
      <c r="C720" s="14"/>
      <c r="D720" s="14"/>
      <c r="E720" s="444"/>
      <c r="F720" s="444"/>
      <c r="G720" s="444"/>
      <c r="H720" s="444"/>
      <c r="I720" s="444"/>
      <c r="J720" s="444"/>
      <c r="K720" s="444"/>
      <c r="L720" s="444"/>
      <c r="M720" s="444"/>
      <c r="N720" s="444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13"/>
      <c r="B721" s="14"/>
      <c r="C721" s="14"/>
      <c r="D721" s="14"/>
      <c r="E721" s="444"/>
      <c r="F721" s="444"/>
      <c r="G721" s="444"/>
      <c r="H721" s="444"/>
      <c r="I721" s="444"/>
      <c r="J721" s="444"/>
      <c r="K721" s="444"/>
      <c r="L721" s="444"/>
      <c r="M721" s="444"/>
      <c r="N721" s="444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13"/>
      <c r="B722" s="14"/>
      <c r="C722" s="14"/>
      <c r="D722" s="14"/>
      <c r="E722" s="444"/>
      <c r="F722" s="444"/>
      <c r="G722" s="444"/>
      <c r="H722" s="444"/>
      <c r="I722" s="444"/>
      <c r="J722" s="444"/>
      <c r="K722" s="444"/>
      <c r="L722" s="444"/>
      <c r="M722" s="444"/>
      <c r="N722" s="444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13"/>
      <c r="B723" s="14"/>
      <c r="C723" s="14"/>
      <c r="D723" s="14"/>
      <c r="E723" s="444"/>
      <c r="F723" s="444"/>
      <c r="G723" s="444"/>
      <c r="H723" s="444"/>
      <c r="I723" s="444"/>
      <c r="J723" s="444"/>
      <c r="K723" s="444"/>
      <c r="L723" s="444"/>
      <c r="M723" s="444"/>
      <c r="N723" s="444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13"/>
      <c r="B724" s="14"/>
      <c r="C724" s="14"/>
      <c r="D724" s="14"/>
      <c r="E724" s="444"/>
      <c r="F724" s="444"/>
      <c r="G724" s="444"/>
      <c r="H724" s="444"/>
      <c r="I724" s="444"/>
      <c r="J724" s="444"/>
      <c r="K724" s="444"/>
      <c r="L724" s="444"/>
      <c r="M724" s="444"/>
      <c r="N724" s="444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13"/>
      <c r="B725" s="14"/>
      <c r="C725" s="14"/>
      <c r="D725" s="14"/>
      <c r="E725" s="444"/>
      <c r="F725" s="444"/>
      <c r="G725" s="444"/>
      <c r="H725" s="444"/>
      <c r="I725" s="444"/>
      <c r="J725" s="444"/>
      <c r="K725" s="444"/>
      <c r="L725" s="444"/>
      <c r="M725" s="444"/>
      <c r="N725" s="444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13"/>
      <c r="B726" s="14"/>
      <c r="C726" s="14"/>
      <c r="D726" s="14"/>
      <c r="E726" s="444"/>
      <c r="F726" s="444"/>
      <c r="G726" s="444"/>
      <c r="H726" s="444"/>
      <c r="I726" s="444"/>
      <c r="J726" s="444"/>
      <c r="K726" s="444"/>
      <c r="L726" s="444"/>
      <c r="M726" s="444"/>
      <c r="N726" s="444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13"/>
      <c r="B727" s="14"/>
      <c r="C727" s="14"/>
      <c r="D727" s="14"/>
      <c r="E727" s="444"/>
      <c r="F727" s="444"/>
      <c r="G727" s="444"/>
      <c r="H727" s="444"/>
      <c r="I727" s="444"/>
      <c r="J727" s="444"/>
      <c r="K727" s="444"/>
      <c r="L727" s="444"/>
      <c r="M727" s="444"/>
      <c r="N727" s="444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13"/>
      <c r="B728" s="14"/>
      <c r="C728" s="14"/>
      <c r="D728" s="14"/>
      <c r="E728" s="444"/>
      <c r="F728" s="444"/>
      <c r="G728" s="444"/>
      <c r="H728" s="444"/>
      <c r="I728" s="444"/>
      <c r="J728" s="444"/>
      <c r="K728" s="444"/>
      <c r="L728" s="444"/>
      <c r="M728" s="444"/>
      <c r="N728" s="444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13"/>
      <c r="B729" s="14"/>
      <c r="C729" s="14"/>
      <c r="D729" s="14"/>
      <c r="E729" s="444"/>
      <c r="F729" s="444"/>
      <c r="G729" s="444"/>
      <c r="H729" s="444"/>
      <c r="I729" s="444"/>
      <c r="J729" s="444"/>
      <c r="K729" s="444"/>
      <c r="L729" s="444"/>
      <c r="M729" s="444"/>
      <c r="N729" s="444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13"/>
      <c r="B730" s="14"/>
      <c r="C730" s="14"/>
      <c r="D730" s="14"/>
      <c r="E730" s="444"/>
      <c r="F730" s="444"/>
      <c r="G730" s="444"/>
      <c r="H730" s="444"/>
      <c r="I730" s="444"/>
      <c r="J730" s="444"/>
      <c r="K730" s="444"/>
      <c r="L730" s="444"/>
      <c r="M730" s="444"/>
      <c r="N730" s="444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13"/>
      <c r="B731" s="14"/>
      <c r="C731" s="14"/>
      <c r="D731" s="14"/>
      <c r="E731" s="444"/>
      <c r="F731" s="444"/>
      <c r="G731" s="444"/>
      <c r="H731" s="444"/>
      <c r="I731" s="444"/>
      <c r="J731" s="444"/>
      <c r="K731" s="444"/>
      <c r="L731" s="444"/>
      <c r="M731" s="444"/>
      <c r="N731" s="444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13"/>
      <c r="B732" s="14"/>
      <c r="C732" s="14"/>
      <c r="D732" s="14"/>
      <c r="E732" s="444"/>
      <c r="F732" s="444"/>
      <c r="G732" s="444"/>
      <c r="H732" s="444"/>
      <c r="I732" s="444"/>
      <c r="J732" s="444"/>
      <c r="K732" s="444"/>
      <c r="L732" s="444"/>
      <c r="M732" s="444"/>
      <c r="N732" s="444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13"/>
      <c r="B733" s="14"/>
      <c r="C733" s="14"/>
      <c r="D733" s="14"/>
      <c r="E733" s="444"/>
      <c r="F733" s="444"/>
      <c r="G733" s="444"/>
      <c r="H733" s="444"/>
      <c r="I733" s="444"/>
      <c r="J733" s="444"/>
      <c r="K733" s="444"/>
      <c r="L733" s="444"/>
      <c r="M733" s="444"/>
      <c r="N733" s="444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13"/>
      <c r="B734" s="14"/>
      <c r="C734" s="14"/>
      <c r="D734" s="14"/>
      <c r="E734" s="444"/>
      <c r="F734" s="444"/>
      <c r="G734" s="444"/>
      <c r="H734" s="444"/>
      <c r="I734" s="444"/>
      <c r="J734" s="444"/>
      <c r="K734" s="444"/>
      <c r="L734" s="444"/>
      <c r="M734" s="444"/>
      <c r="N734" s="444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13"/>
      <c r="B735" s="14"/>
      <c r="C735" s="14"/>
      <c r="D735" s="14"/>
      <c r="E735" s="444"/>
      <c r="F735" s="444"/>
      <c r="G735" s="444"/>
      <c r="H735" s="444"/>
      <c r="I735" s="444"/>
      <c r="J735" s="444"/>
      <c r="K735" s="444"/>
      <c r="L735" s="444"/>
      <c r="M735" s="444"/>
      <c r="N735" s="444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13"/>
      <c r="B736" s="14"/>
      <c r="C736" s="14"/>
      <c r="D736" s="14"/>
      <c r="E736" s="444"/>
      <c r="F736" s="444"/>
      <c r="G736" s="444"/>
      <c r="H736" s="444"/>
      <c r="I736" s="444"/>
      <c r="J736" s="444"/>
      <c r="K736" s="444"/>
      <c r="L736" s="444"/>
      <c r="M736" s="444"/>
      <c r="N736" s="444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13"/>
      <c r="B737" s="14"/>
      <c r="C737" s="14"/>
      <c r="D737" s="14"/>
      <c r="E737" s="444"/>
      <c r="F737" s="444"/>
      <c r="G737" s="444"/>
      <c r="H737" s="444"/>
      <c r="I737" s="444"/>
      <c r="J737" s="444"/>
      <c r="K737" s="444"/>
      <c r="L737" s="444"/>
      <c r="M737" s="444"/>
      <c r="N737" s="444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13"/>
      <c r="B738" s="14"/>
      <c r="C738" s="14"/>
      <c r="D738" s="14"/>
      <c r="E738" s="444"/>
      <c r="F738" s="444"/>
      <c r="G738" s="444"/>
      <c r="H738" s="444"/>
      <c r="I738" s="444"/>
      <c r="J738" s="444"/>
      <c r="K738" s="444"/>
      <c r="L738" s="444"/>
      <c r="M738" s="444"/>
      <c r="N738" s="444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13"/>
      <c r="B739" s="14"/>
      <c r="C739" s="14"/>
      <c r="D739" s="14"/>
      <c r="E739" s="444"/>
      <c r="F739" s="444"/>
      <c r="G739" s="444"/>
      <c r="H739" s="444"/>
      <c r="I739" s="444"/>
      <c r="J739" s="444"/>
      <c r="K739" s="444"/>
      <c r="L739" s="444"/>
      <c r="M739" s="444"/>
      <c r="N739" s="444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13"/>
      <c r="B740" s="14"/>
      <c r="C740" s="14"/>
      <c r="D740" s="14"/>
      <c r="E740" s="444"/>
      <c r="F740" s="444"/>
      <c r="G740" s="444"/>
      <c r="H740" s="444"/>
      <c r="I740" s="444"/>
      <c r="J740" s="444"/>
      <c r="K740" s="444"/>
      <c r="L740" s="444"/>
      <c r="M740" s="444"/>
      <c r="N740" s="444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13"/>
      <c r="B741" s="14"/>
      <c r="C741" s="14"/>
      <c r="D741" s="14"/>
      <c r="E741" s="444"/>
      <c r="F741" s="444"/>
      <c r="G741" s="444"/>
      <c r="H741" s="444"/>
      <c r="I741" s="444"/>
      <c r="J741" s="444"/>
      <c r="K741" s="444"/>
      <c r="L741" s="444"/>
      <c r="M741" s="444"/>
      <c r="N741" s="444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13"/>
      <c r="B742" s="14"/>
      <c r="C742" s="14"/>
      <c r="D742" s="14"/>
      <c r="E742" s="444"/>
      <c r="F742" s="444"/>
      <c r="G742" s="444"/>
      <c r="H742" s="444"/>
      <c r="I742" s="444"/>
      <c r="J742" s="444"/>
      <c r="K742" s="444"/>
      <c r="L742" s="444"/>
      <c r="M742" s="444"/>
      <c r="N742" s="444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13"/>
      <c r="B743" s="14"/>
      <c r="C743" s="14"/>
      <c r="D743" s="14"/>
      <c r="E743" s="444"/>
      <c r="F743" s="444"/>
      <c r="G743" s="444"/>
      <c r="H743" s="444"/>
      <c r="I743" s="444"/>
      <c r="J743" s="444"/>
      <c r="K743" s="444"/>
      <c r="L743" s="444"/>
      <c r="M743" s="444"/>
      <c r="N743" s="444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13"/>
      <c r="B744" s="14"/>
      <c r="C744" s="14"/>
      <c r="D744" s="14"/>
      <c r="E744" s="444"/>
      <c r="F744" s="444"/>
      <c r="G744" s="444"/>
      <c r="H744" s="444"/>
      <c r="I744" s="444"/>
      <c r="J744" s="444"/>
      <c r="K744" s="444"/>
      <c r="L744" s="444"/>
      <c r="M744" s="444"/>
      <c r="N744" s="444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13"/>
      <c r="B745" s="14"/>
      <c r="C745" s="14"/>
      <c r="D745" s="14"/>
      <c r="E745" s="444"/>
      <c r="F745" s="444"/>
      <c r="G745" s="444"/>
      <c r="H745" s="444"/>
      <c r="I745" s="444"/>
      <c r="J745" s="444"/>
      <c r="K745" s="444"/>
      <c r="L745" s="444"/>
      <c r="M745" s="444"/>
      <c r="N745" s="444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13"/>
      <c r="B746" s="14"/>
      <c r="C746" s="14"/>
      <c r="D746" s="14"/>
      <c r="E746" s="444"/>
      <c r="F746" s="444"/>
      <c r="G746" s="444"/>
      <c r="H746" s="444"/>
      <c r="I746" s="444"/>
      <c r="J746" s="444"/>
      <c r="K746" s="444"/>
      <c r="L746" s="444"/>
      <c r="M746" s="444"/>
      <c r="N746" s="444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13"/>
      <c r="B747" s="14"/>
      <c r="C747" s="14"/>
      <c r="D747" s="14"/>
      <c r="E747" s="444"/>
      <c r="F747" s="444"/>
      <c r="G747" s="444"/>
      <c r="H747" s="444"/>
      <c r="I747" s="444"/>
      <c r="J747" s="444"/>
      <c r="K747" s="444"/>
      <c r="L747" s="444"/>
      <c r="M747" s="444"/>
      <c r="N747" s="444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13"/>
      <c r="B748" s="14"/>
      <c r="C748" s="14"/>
      <c r="D748" s="14"/>
      <c r="E748" s="444"/>
      <c r="F748" s="444"/>
      <c r="G748" s="444"/>
      <c r="H748" s="444"/>
      <c r="I748" s="444"/>
      <c r="J748" s="444"/>
      <c r="K748" s="444"/>
      <c r="L748" s="444"/>
      <c r="M748" s="444"/>
      <c r="N748" s="444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13"/>
      <c r="B749" s="14"/>
      <c r="C749" s="14"/>
      <c r="D749" s="14"/>
      <c r="E749" s="444"/>
      <c r="F749" s="444"/>
      <c r="G749" s="444"/>
      <c r="H749" s="444"/>
      <c r="I749" s="444"/>
      <c r="J749" s="444"/>
      <c r="K749" s="444"/>
      <c r="L749" s="444"/>
      <c r="M749" s="444"/>
      <c r="N749" s="444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13"/>
      <c r="B750" s="14"/>
      <c r="C750" s="14"/>
      <c r="D750" s="14"/>
      <c r="E750" s="444"/>
      <c r="F750" s="444"/>
      <c r="G750" s="444"/>
      <c r="H750" s="444"/>
      <c r="I750" s="444"/>
      <c r="J750" s="444"/>
      <c r="K750" s="444"/>
      <c r="L750" s="444"/>
      <c r="M750" s="444"/>
      <c r="N750" s="444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13"/>
      <c r="B751" s="14"/>
      <c r="C751" s="14"/>
      <c r="D751" s="14"/>
      <c r="E751" s="444"/>
      <c r="F751" s="444"/>
      <c r="G751" s="444"/>
      <c r="H751" s="444"/>
      <c r="I751" s="444"/>
      <c r="J751" s="444"/>
      <c r="K751" s="444"/>
      <c r="L751" s="444"/>
      <c r="M751" s="444"/>
      <c r="N751" s="444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13"/>
      <c r="B752" s="14"/>
      <c r="C752" s="14"/>
      <c r="D752" s="14"/>
      <c r="E752" s="444"/>
      <c r="F752" s="444"/>
      <c r="G752" s="444"/>
      <c r="H752" s="444"/>
      <c r="I752" s="444"/>
      <c r="J752" s="444"/>
      <c r="K752" s="444"/>
      <c r="L752" s="444"/>
      <c r="M752" s="444"/>
      <c r="N752" s="444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13"/>
      <c r="B753" s="14"/>
      <c r="C753" s="14"/>
      <c r="D753" s="14"/>
      <c r="E753" s="444"/>
      <c r="F753" s="444"/>
      <c r="G753" s="444"/>
      <c r="H753" s="444"/>
      <c r="I753" s="444"/>
      <c r="J753" s="444"/>
      <c r="K753" s="444"/>
      <c r="L753" s="444"/>
      <c r="M753" s="444"/>
      <c r="N753" s="444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13"/>
      <c r="B754" s="14"/>
      <c r="C754" s="14"/>
      <c r="D754" s="14"/>
      <c r="E754" s="444"/>
      <c r="F754" s="444"/>
      <c r="G754" s="444"/>
      <c r="H754" s="444"/>
      <c r="I754" s="444"/>
      <c r="J754" s="444"/>
      <c r="K754" s="444"/>
      <c r="L754" s="444"/>
      <c r="M754" s="444"/>
      <c r="N754" s="444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13"/>
      <c r="B755" s="14"/>
      <c r="C755" s="14"/>
      <c r="D755" s="14"/>
      <c r="E755" s="444"/>
      <c r="F755" s="444"/>
      <c r="G755" s="444"/>
      <c r="H755" s="444"/>
      <c r="I755" s="444"/>
      <c r="J755" s="444"/>
      <c r="K755" s="444"/>
      <c r="L755" s="444"/>
      <c r="M755" s="444"/>
      <c r="N755" s="444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13"/>
      <c r="B756" s="14"/>
      <c r="C756" s="14"/>
      <c r="D756" s="14"/>
      <c r="E756" s="444"/>
      <c r="F756" s="444"/>
      <c r="G756" s="444"/>
      <c r="H756" s="444"/>
      <c r="I756" s="444"/>
      <c r="J756" s="444"/>
      <c r="K756" s="444"/>
      <c r="L756" s="444"/>
      <c r="M756" s="444"/>
      <c r="N756" s="444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13"/>
      <c r="B757" s="14"/>
      <c r="C757" s="14"/>
      <c r="D757" s="14"/>
      <c r="E757" s="444"/>
      <c r="F757" s="444"/>
      <c r="G757" s="444"/>
      <c r="H757" s="444"/>
      <c r="I757" s="444"/>
      <c r="J757" s="444"/>
      <c r="K757" s="444"/>
      <c r="L757" s="444"/>
      <c r="M757" s="444"/>
      <c r="N757" s="444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13"/>
      <c r="B758" s="14"/>
      <c r="C758" s="14"/>
      <c r="D758" s="14"/>
      <c r="E758" s="444"/>
      <c r="F758" s="444"/>
      <c r="G758" s="444"/>
      <c r="H758" s="444"/>
      <c r="I758" s="444"/>
      <c r="J758" s="444"/>
      <c r="K758" s="444"/>
      <c r="L758" s="444"/>
      <c r="M758" s="444"/>
      <c r="N758" s="444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13"/>
      <c r="B759" s="14"/>
      <c r="C759" s="14"/>
      <c r="D759" s="14"/>
      <c r="E759" s="444"/>
      <c r="F759" s="444"/>
      <c r="G759" s="444"/>
      <c r="H759" s="444"/>
      <c r="I759" s="444"/>
      <c r="J759" s="444"/>
      <c r="K759" s="444"/>
      <c r="L759" s="444"/>
      <c r="M759" s="444"/>
      <c r="N759" s="444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13"/>
      <c r="B760" s="14"/>
      <c r="C760" s="14"/>
      <c r="D760" s="14"/>
      <c r="E760" s="444"/>
      <c r="F760" s="444"/>
      <c r="G760" s="444"/>
      <c r="H760" s="444"/>
      <c r="I760" s="444"/>
      <c r="J760" s="444"/>
      <c r="K760" s="444"/>
      <c r="L760" s="444"/>
      <c r="M760" s="444"/>
      <c r="N760" s="444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13"/>
      <c r="B761" s="14"/>
      <c r="C761" s="14"/>
      <c r="D761" s="14"/>
      <c r="E761" s="444"/>
      <c r="F761" s="444"/>
      <c r="G761" s="444"/>
      <c r="H761" s="444"/>
      <c r="I761" s="444"/>
      <c r="J761" s="444"/>
      <c r="K761" s="444"/>
      <c r="L761" s="444"/>
      <c r="M761" s="444"/>
      <c r="N761" s="444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13"/>
      <c r="B762" s="14"/>
      <c r="C762" s="14"/>
      <c r="D762" s="14"/>
      <c r="E762" s="444"/>
      <c r="F762" s="444"/>
      <c r="G762" s="444"/>
      <c r="H762" s="444"/>
      <c r="I762" s="444"/>
      <c r="J762" s="444"/>
      <c r="K762" s="444"/>
      <c r="L762" s="444"/>
      <c r="M762" s="444"/>
      <c r="N762" s="444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13"/>
      <c r="B763" s="14"/>
      <c r="C763" s="14"/>
      <c r="D763" s="14"/>
      <c r="E763" s="444"/>
      <c r="F763" s="444"/>
      <c r="G763" s="444"/>
      <c r="H763" s="444"/>
      <c r="I763" s="444"/>
      <c r="J763" s="444"/>
      <c r="K763" s="444"/>
      <c r="L763" s="444"/>
      <c r="M763" s="444"/>
      <c r="N763" s="444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13"/>
      <c r="B764" s="14"/>
      <c r="C764" s="14"/>
      <c r="D764" s="14"/>
      <c r="E764" s="444"/>
      <c r="F764" s="444"/>
      <c r="G764" s="444"/>
      <c r="H764" s="444"/>
      <c r="I764" s="444"/>
      <c r="J764" s="444"/>
      <c r="K764" s="444"/>
      <c r="L764" s="444"/>
      <c r="M764" s="444"/>
      <c r="N764" s="444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13"/>
      <c r="B765" s="14"/>
      <c r="C765" s="14"/>
      <c r="D765" s="14"/>
      <c r="E765" s="444"/>
      <c r="F765" s="444"/>
      <c r="G765" s="444"/>
      <c r="H765" s="444"/>
      <c r="I765" s="444"/>
      <c r="J765" s="444"/>
      <c r="K765" s="444"/>
      <c r="L765" s="444"/>
      <c r="M765" s="444"/>
      <c r="N765" s="444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13"/>
      <c r="B766" s="14"/>
      <c r="C766" s="14"/>
      <c r="D766" s="14"/>
      <c r="E766" s="444"/>
      <c r="F766" s="444"/>
      <c r="G766" s="444"/>
      <c r="H766" s="444"/>
      <c r="I766" s="444"/>
      <c r="J766" s="444"/>
      <c r="K766" s="444"/>
      <c r="L766" s="444"/>
      <c r="M766" s="444"/>
      <c r="N766" s="444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13"/>
      <c r="B767" s="14"/>
      <c r="C767" s="14"/>
      <c r="D767" s="14"/>
      <c r="E767" s="444"/>
      <c r="F767" s="444"/>
      <c r="G767" s="444"/>
      <c r="H767" s="444"/>
      <c r="I767" s="444"/>
      <c r="J767" s="444"/>
      <c r="K767" s="444"/>
      <c r="L767" s="444"/>
      <c r="M767" s="444"/>
      <c r="N767" s="444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13"/>
      <c r="B768" s="14"/>
      <c r="C768" s="14"/>
      <c r="D768" s="14"/>
      <c r="E768" s="444"/>
      <c r="F768" s="444"/>
      <c r="G768" s="444"/>
      <c r="H768" s="444"/>
      <c r="I768" s="444"/>
      <c r="J768" s="444"/>
      <c r="K768" s="444"/>
      <c r="L768" s="444"/>
      <c r="M768" s="444"/>
      <c r="N768" s="444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13"/>
      <c r="B769" s="14"/>
      <c r="C769" s="14"/>
      <c r="D769" s="14"/>
      <c r="E769" s="444"/>
      <c r="F769" s="444"/>
      <c r="G769" s="444"/>
      <c r="H769" s="444"/>
      <c r="I769" s="444"/>
      <c r="J769" s="444"/>
      <c r="K769" s="444"/>
      <c r="L769" s="444"/>
      <c r="M769" s="444"/>
      <c r="N769" s="444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13"/>
      <c r="B770" s="14"/>
      <c r="C770" s="14"/>
      <c r="D770" s="14"/>
      <c r="E770" s="444"/>
      <c r="F770" s="444"/>
      <c r="G770" s="444"/>
      <c r="H770" s="444"/>
      <c r="I770" s="444"/>
      <c r="J770" s="444"/>
      <c r="K770" s="444"/>
      <c r="L770" s="444"/>
      <c r="M770" s="444"/>
      <c r="N770" s="444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13"/>
      <c r="B771" s="14"/>
      <c r="C771" s="14"/>
      <c r="D771" s="14"/>
      <c r="E771" s="444"/>
      <c r="F771" s="444"/>
      <c r="G771" s="444"/>
      <c r="H771" s="444"/>
      <c r="I771" s="444"/>
      <c r="J771" s="444"/>
      <c r="K771" s="444"/>
      <c r="L771" s="444"/>
      <c r="M771" s="444"/>
      <c r="N771" s="444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13"/>
      <c r="B772" s="14"/>
      <c r="C772" s="14"/>
      <c r="D772" s="14"/>
      <c r="E772" s="444"/>
      <c r="F772" s="444"/>
      <c r="G772" s="444"/>
      <c r="H772" s="444"/>
      <c r="I772" s="444"/>
      <c r="J772" s="444"/>
      <c r="K772" s="444"/>
      <c r="L772" s="444"/>
      <c r="M772" s="444"/>
      <c r="N772" s="444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13"/>
      <c r="B773" s="14"/>
      <c r="C773" s="14"/>
      <c r="D773" s="14"/>
      <c r="E773" s="444"/>
      <c r="F773" s="444"/>
      <c r="G773" s="444"/>
      <c r="H773" s="444"/>
      <c r="I773" s="444"/>
      <c r="J773" s="444"/>
      <c r="K773" s="444"/>
      <c r="L773" s="444"/>
      <c r="M773" s="444"/>
      <c r="N773" s="444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13"/>
      <c r="B774" s="14"/>
      <c r="C774" s="14"/>
      <c r="D774" s="14"/>
      <c r="E774" s="444"/>
      <c r="F774" s="444"/>
      <c r="G774" s="444"/>
      <c r="H774" s="444"/>
      <c r="I774" s="444"/>
      <c r="J774" s="444"/>
      <c r="K774" s="444"/>
      <c r="L774" s="444"/>
      <c r="M774" s="444"/>
      <c r="N774" s="444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13"/>
      <c r="B775" s="14"/>
      <c r="C775" s="14"/>
      <c r="D775" s="14"/>
      <c r="E775" s="444"/>
      <c r="F775" s="444"/>
      <c r="G775" s="444"/>
      <c r="H775" s="444"/>
      <c r="I775" s="444"/>
      <c r="J775" s="444"/>
      <c r="K775" s="444"/>
      <c r="L775" s="444"/>
      <c r="M775" s="444"/>
      <c r="N775" s="444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13"/>
      <c r="B776" s="14"/>
      <c r="C776" s="14"/>
      <c r="D776" s="14"/>
      <c r="E776" s="444"/>
      <c r="F776" s="444"/>
      <c r="G776" s="444"/>
      <c r="H776" s="444"/>
      <c r="I776" s="444"/>
      <c r="J776" s="444"/>
      <c r="K776" s="444"/>
      <c r="L776" s="444"/>
      <c r="M776" s="444"/>
      <c r="N776" s="444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13"/>
      <c r="B777" s="14"/>
      <c r="C777" s="14"/>
      <c r="D777" s="14"/>
      <c r="E777" s="444"/>
      <c r="F777" s="444"/>
      <c r="G777" s="444"/>
      <c r="H777" s="444"/>
      <c r="I777" s="444"/>
      <c r="J777" s="444"/>
      <c r="K777" s="444"/>
      <c r="L777" s="444"/>
      <c r="M777" s="444"/>
      <c r="N777" s="444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13"/>
      <c r="B778" s="14"/>
      <c r="C778" s="14"/>
      <c r="D778" s="14"/>
      <c r="E778" s="444"/>
      <c r="F778" s="444"/>
      <c r="G778" s="444"/>
      <c r="H778" s="444"/>
      <c r="I778" s="444"/>
      <c r="J778" s="444"/>
      <c r="K778" s="444"/>
      <c r="L778" s="444"/>
      <c r="M778" s="444"/>
      <c r="N778" s="444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13"/>
      <c r="B779" s="14"/>
      <c r="C779" s="14"/>
      <c r="D779" s="14"/>
      <c r="E779" s="444"/>
      <c r="F779" s="444"/>
      <c r="G779" s="444"/>
      <c r="H779" s="444"/>
      <c r="I779" s="444"/>
      <c r="J779" s="444"/>
      <c r="K779" s="444"/>
      <c r="L779" s="444"/>
      <c r="M779" s="444"/>
      <c r="N779" s="444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13"/>
      <c r="B780" s="14"/>
      <c r="C780" s="14"/>
      <c r="D780" s="14"/>
      <c r="E780" s="444"/>
      <c r="F780" s="444"/>
      <c r="G780" s="444"/>
      <c r="H780" s="444"/>
      <c r="I780" s="444"/>
      <c r="J780" s="444"/>
      <c r="K780" s="444"/>
      <c r="L780" s="444"/>
      <c r="M780" s="444"/>
      <c r="N780" s="444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13"/>
      <c r="B781" s="14"/>
      <c r="C781" s="14"/>
      <c r="D781" s="14"/>
      <c r="E781" s="444"/>
      <c r="F781" s="444"/>
      <c r="G781" s="444"/>
      <c r="H781" s="444"/>
      <c r="I781" s="444"/>
      <c r="J781" s="444"/>
      <c r="K781" s="444"/>
      <c r="L781" s="444"/>
      <c r="M781" s="444"/>
      <c r="N781" s="444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13"/>
      <c r="B782" s="14"/>
      <c r="C782" s="14"/>
      <c r="D782" s="14"/>
      <c r="E782" s="444"/>
      <c r="F782" s="444"/>
      <c r="G782" s="444"/>
      <c r="H782" s="444"/>
      <c r="I782" s="444"/>
      <c r="J782" s="444"/>
      <c r="K782" s="444"/>
      <c r="L782" s="444"/>
      <c r="M782" s="444"/>
      <c r="N782" s="444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13"/>
      <c r="B783" s="14"/>
      <c r="C783" s="14"/>
      <c r="D783" s="14"/>
      <c r="E783" s="444"/>
      <c r="F783" s="444"/>
      <c r="G783" s="444"/>
      <c r="H783" s="444"/>
      <c r="I783" s="444"/>
      <c r="J783" s="444"/>
      <c r="K783" s="444"/>
      <c r="L783" s="444"/>
      <c r="M783" s="444"/>
      <c r="N783" s="444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13"/>
      <c r="B784" s="14"/>
      <c r="C784" s="14"/>
      <c r="D784" s="14"/>
      <c r="E784" s="444"/>
      <c r="F784" s="444"/>
      <c r="G784" s="444"/>
      <c r="H784" s="444"/>
      <c r="I784" s="444"/>
      <c r="J784" s="444"/>
      <c r="K784" s="444"/>
      <c r="L784" s="444"/>
      <c r="M784" s="444"/>
      <c r="N784" s="444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13"/>
      <c r="B785" s="14"/>
      <c r="C785" s="14"/>
      <c r="D785" s="14"/>
      <c r="E785" s="444"/>
      <c r="F785" s="444"/>
      <c r="G785" s="444"/>
      <c r="H785" s="444"/>
      <c r="I785" s="444"/>
      <c r="J785" s="444"/>
      <c r="K785" s="444"/>
      <c r="L785" s="444"/>
      <c r="M785" s="444"/>
      <c r="N785" s="444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13"/>
      <c r="B786" s="14"/>
      <c r="C786" s="14"/>
      <c r="D786" s="14"/>
      <c r="E786" s="444"/>
      <c r="F786" s="444"/>
      <c r="G786" s="444"/>
      <c r="H786" s="444"/>
      <c r="I786" s="444"/>
      <c r="J786" s="444"/>
      <c r="K786" s="444"/>
      <c r="L786" s="444"/>
      <c r="M786" s="444"/>
      <c r="N786" s="444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13"/>
      <c r="B787" s="14"/>
      <c r="C787" s="14"/>
      <c r="D787" s="14"/>
      <c r="E787" s="444"/>
      <c r="F787" s="444"/>
      <c r="G787" s="444"/>
      <c r="H787" s="444"/>
      <c r="I787" s="444"/>
      <c r="J787" s="444"/>
      <c r="K787" s="444"/>
      <c r="L787" s="444"/>
      <c r="M787" s="444"/>
      <c r="N787" s="444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13"/>
      <c r="B788" s="14"/>
      <c r="C788" s="14"/>
      <c r="D788" s="14"/>
      <c r="E788" s="444"/>
      <c r="F788" s="444"/>
      <c r="G788" s="444"/>
      <c r="H788" s="444"/>
      <c r="I788" s="444"/>
      <c r="J788" s="444"/>
      <c r="K788" s="444"/>
      <c r="L788" s="444"/>
      <c r="M788" s="444"/>
      <c r="N788" s="444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13"/>
      <c r="B789" s="14"/>
      <c r="C789" s="14"/>
      <c r="D789" s="14"/>
      <c r="E789" s="444"/>
      <c r="F789" s="444"/>
      <c r="G789" s="444"/>
      <c r="H789" s="444"/>
      <c r="I789" s="444"/>
      <c r="J789" s="444"/>
      <c r="K789" s="444"/>
      <c r="L789" s="444"/>
      <c r="M789" s="444"/>
      <c r="N789" s="444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13"/>
      <c r="B790" s="14"/>
      <c r="C790" s="14"/>
      <c r="D790" s="14"/>
      <c r="E790" s="444"/>
      <c r="F790" s="444"/>
      <c r="G790" s="444"/>
      <c r="H790" s="444"/>
      <c r="I790" s="444"/>
      <c r="J790" s="444"/>
      <c r="K790" s="444"/>
      <c r="L790" s="444"/>
      <c r="M790" s="444"/>
      <c r="N790" s="444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13"/>
      <c r="B791" s="14"/>
      <c r="C791" s="14"/>
      <c r="D791" s="14"/>
      <c r="E791" s="444"/>
      <c r="F791" s="444"/>
      <c r="G791" s="444"/>
      <c r="H791" s="444"/>
      <c r="I791" s="444"/>
      <c r="J791" s="444"/>
      <c r="K791" s="444"/>
      <c r="L791" s="444"/>
      <c r="M791" s="444"/>
      <c r="N791" s="444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13"/>
      <c r="B792" s="14"/>
      <c r="C792" s="14"/>
      <c r="D792" s="14"/>
      <c r="E792" s="444"/>
      <c r="F792" s="444"/>
      <c r="G792" s="444"/>
      <c r="H792" s="444"/>
      <c r="I792" s="444"/>
      <c r="J792" s="444"/>
      <c r="K792" s="444"/>
      <c r="L792" s="444"/>
      <c r="M792" s="444"/>
      <c r="N792" s="444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13"/>
      <c r="B793" s="14"/>
      <c r="C793" s="14"/>
      <c r="D793" s="14"/>
      <c r="E793" s="444"/>
      <c r="F793" s="444"/>
      <c r="G793" s="444"/>
      <c r="H793" s="444"/>
      <c r="I793" s="444"/>
      <c r="J793" s="444"/>
      <c r="K793" s="444"/>
      <c r="L793" s="444"/>
      <c r="M793" s="444"/>
      <c r="N793" s="444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13"/>
      <c r="B794" s="14"/>
      <c r="C794" s="14"/>
      <c r="D794" s="14"/>
      <c r="E794" s="444"/>
      <c r="F794" s="444"/>
      <c r="G794" s="444"/>
      <c r="H794" s="444"/>
      <c r="I794" s="444"/>
      <c r="J794" s="444"/>
      <c r="K794" s="444"/>
      <c r="L794" s="444"/>
      <c r="M794" s="444"/>
      <c r="N794" s="444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13"/>
      <c r="B795" s="14"/>
      <c r="C795" s="14"/>
      <c r="D795" s="14"/>
      <c r="E795" s="444"/>
      <c r="F795" s="444"/>
      <c r="G795" s="444"/>
      <c r="H795" s="444"/>
      <c r="I795" s="444"/>
      <c r="J795" s="444"/>
      <c r="K795" s="444"/>
      <c r="L795" s="444"/>
      <c r="M795" s="444"/>
      <c r="N795" s="444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13"/>
      <c r="B796" s="14"/>
      <c r="C796" s="14"/>
      <c r="D796" s="14"/>
      <c r="E796" s="444"/>
      <c r="F796" s="444"/>
      <c r="G796" s="444"/>
      <c r="H796" s="444"/>
      <c r="I796" s="444"/>
      <c r="J796" s="444"/>
      <c r="K796" s="444"/>
      <c r="L796" s="444"/>
      <c r="M796" s="444"/>
      <c r="N796" s="444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13"/>
      <c r="B797" s="14"/>
      <c r="C797" s="14"/>
      <c r="D797" s="14"/>
      <c r="E797" s="444"/>
      <c r="F797" s="444"/>
      <c r="G797" s="444"/>
      <c r="H797" s="444"/>
      <c r="I797" s="444"/>
      <c r="J797" s="444"/>
      <c r="K797" s="444"/>
      <c r="L797" s="444"/>
      <c r="M797" s="444"/>
      <c r="N797" s="444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13"/>
      <c r="B798" s="14"/>
      <c r="C798" s="14"/>
      <c r="D798" s="14"/>
      <c r="E798" s="444"/>
      <c r="F798" s="444"/>
      <c r="G798" s="444"/>
      <c r="H798" s="444"/>
      <c r="I798" s="444"/>
      <c r="J798" s="444"/>
      <c r="K798" s="444"/>
      <c r="L798" s="444"/>
      <c r="M798" s="444"/>
      <c r="N798" s="444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13"/>
      <c r="B799" s="14"/>
      <c r="C799" s="14"/>
      <c r="D799" s="14"/>
      <c r="E799" s="444"/>
      <c r="F799" s="444"/>
      <c r="G799" s="444"/>
      <c r="H799" s="444"/>
      <c r="I799" s="444"/>
      <c r="J799" s="444"/>
      <c r="K799" s="444"/>
      <c r="L799" s="444"/>
      <c r="M799" s="444"/>
      <c r="N799" s="444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13"/>
      <c r="B800" s="14"/>
      <c r="C800" s="14"/>
      <c r="D800" s="14"/>
      <c r="E800" s="444"/>
      <c r="F800" s="444"/>
      <c r="G800" s="444"/>
      <c r="H800" s="444"/>
      <c r="I800" s="444"/>
      <c r="J800" s="444"/>
      <c r="K800" s="444"/>
      <c r="L800" s="444"/>
      <c r="M800" s="444"/>
      <c r="N800" s="444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13"/>
      <c r="B801" s="14"/>
      <c r="C801" s="14"/>
      <c r="D801" s="14"/>
      <c r="E801" s="444"/>
      <c r="F801" s="444"/>
      <c r="G801" s="444"/>
      <c r="H801" s="444"/>
      <c r="I801" s="444"/>
      <c r="J801" s="444"/>
      <c r="K801" s="444"/>
      <c r="L801" s="444"/>
      <c r="M801" s="444"/>
      <c r="N801" s="444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13"/>
      <c r="B802" s="14"/>
      <c r="C802" s="14"/>
      <c r="D802" s="14"/>
      <c r="E802" s="444"/>
      <c r="F802" s="444"/>
      <c r="G802" s="444"/>
      <c r="H802" s="444"/>
      <c r="I802" s="444"/>
      <c r="J802" s="444"/>
      <c r="K802" s="444"/>
      <c r="L802" s="444"/>
      <c r="M802" s="444"/>
      <c r="N802" s="444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13"/>
      <c r="B803" s="14"/>
      <c r="C803" s="14"/>
      <c r="D803" s="14"/>
      <c r="E803" s="444"/>
      <c r="F803" s="444"/>
      <c r="G803" s="444"/>
      <c r="H803" s="444"/>
      <c r="I803" s="444"/>
      <c r="J803" s="444"/>
      <c r="K803" s="444"/>
      <c r="L803" s="444"/>
      <c r="M803" s="444"/>
      <c r="N803" s="444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13"/>
      <c r="B804" s="14"/>
      <c r="C804" s="14"/>
      <c r="D804" s="14"/>
      <c r="E804" s="444"/>
      <c r="F804" s="444"/>
      <c r="G804" s="444"/>
      <c r="H804" s="444"/>
      <c r="I804" s="444"/>
      <c r="J804" s="444"/>
      <c r="K804" s="444"/>
      <c r="L804" s="444"/>
      <c r="M804" s="444"/>
      <c r="N804" s="444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13"/>
      <c r="B805" s="14"/>
      <c r="C805" s="14"/>
      <c r="D805" s="14"/>
      <c r="E805" s="444"/>
      <c r="F805" s="444"/>
      <c r="G805" s="444"/>
      <c r="H805" s="444"/>
      <c r="I805" s="444"/>
      <c r="J805" s="444"/>
      <c r="K805" s="444"/>
      <c r="L805" s="444"/>
      <c r="M805" s="444"/>
      <c r="N805" s="444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13"/>
      <c r="B806" s="14"/>
      <c r="C806" s="14"/>
      <c r="D806" s="14"/>
      <c r="E806" s="444"/>
      <c r="F806" s="444"/>
      <c r="G806" s="444"/>
      <c r="H806" s="444"/>
      <c r="I806" s="444"/>
      <c r="J806" s="444"/>
      <c r="K806" s="444"/>
      <c r="L806" s="444"/>
      <c r="M806" s="444"/>
      <c r="N806" s="444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13"/>
      <c r="B807" s="14"/>
      <c r="C807" s="14"/>
      <c r="D807" s="14"/>
      <c r="E807" s="444"/>
      <c r="F807" s="444"/>
      <c r="G807" s="444"/>
      <c r="H807" s="444"/>
      <c r="I807" s="444"/>
      <c r="J807" s="444"/>
      <c r="K807" s="444"/>
      <c r="L807" s="444"/>
      <c r="M807" s="444"/>
      <c r="N807" s="444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13"/>
      <c r="B808" s="14"/>
      <c r="C808" s="14"/>
      <c r="D808" s="14"/>
      <c r="E808" s="444"/>
      <c r="F808" s="444"/>
      <c r="G808" s="444"/>
      <c r="H808" s="444"/>
      <c r="I808" s="444"/>
      <c r="J808" s="444"/>
      <c r="K808" s="444"/>
      <c r="L808" s="444"/>
      <c r="M808" s="444"/>
      <c r="N808" s="444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13"/>
      <c r="B809" s="14"/>
      <c r="C809" s="14"/>
      <c r="D809" s="14"/>
      <c r="E809" s="444"/>
      <c r="F809" s="444"/>
      <c r="G809" s="444"/>
      <c r="H809" s="444"/>
      <c r="I809" s="444"/>
      <c r="J809" s="444"/>
      <c r="K809" s="444"/>
      <c r="L809" s="444"/>
      <c r="M809" s="444"/>
      <c r="N809" s="444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13"/>
      <c r="B810" s="14"/>
      <c r="C810" s="14"/>
      <c r="D810" s="14"/>
      <c r="E810" s="444"/>
      <c r="F810" s="444"/>
      <c r="G810" s="444"/>
      <c r="H810" s="444"/>
      <c r="I810" s="444"/>
      <c r="J810" s="444"/>
      <c r="K810" s="444"/>
      <c r="L810" s="444"/>
      <c r="M810" s="444"/>
      <c r="N810" s="444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13"/>
      <c r="B811" s="14"/>
      <c r="C811" s="14"/>
      <c r="D811" s="14"/>
      <c r="E811" s="444"/>
      <c r="F811" s="444"/>
      <c r="G811" s="444"/>
      <c r="H811" s="444"/>
      <c r="I811" s="444"/>
      <c r="J811" s="444"/>
      <c r="K811" s="444"/>
      <c r="L811" s="444"/>
      <c r="M811" s="444"/>
      <c r="N811" s="444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13"/>
      <c r="B812" s="14"/>
      <c r="C812" s="14"/>
      <c r="D812" s="14"/>
      <c r="E812" s="444"/>
      <c r="F812" s="444"/>
      <c r="G812" s="444"/>
      <c r="H812" s="444"/>
      <c r="I812" s="444"/>
      <c r="J812" s="444"/>
      <c r="K812" s="444"/>
      <c r="L812" s="444"/>
      <c r="M812" s="444"/>
      <c r="N812" s="444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13"/>
      <c r="B813" s="14"/>
      <c r="C813" s="14"/>
      <c r="D813" s="14"/>
      <c r="E813" s="444"/>
      <c r="F813" s="444"/>
      <c r="G813" s="444"/>
      <c r="H813" s="444"/>
      <c r="I813" s="444"/>
      <c r="J813" s="444"/>
      <c r="K813" s="444"/>
      <c r="L813" s="444"/>
      <c r="M813" s="444"/>
      <c r="N813" s="444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13"/>
      <c r="B814" s="14"/>
      <c r="C814" s="14"/>
      <c r="D814" s="14"/>
      <c r="E814" s="444"/>
      <c r="F814" s="444"/>
      <c r="G814" s="444"/>
      <c r="H814" s="444"/>
      <c r="I814" s="444"/>
      <c r="J814" s="444"/>
      <c r="K814" s="444"/>
      <c r="L814" s="444"/>
      <c r="M814" s="444"/>
      <c r="N814" s="444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13"/>
      <c r="B815" s="14"/>
      <c r="C815" s="14"/>
      <c r="D815" s="14"/>
      <c r="E815" s="444"/>
      <c r="F815" s="444"/>
      <c r="G815" s="444"/>
      <c r="H815" s="444"/>
      <c r="I815" s="444"/>
      <c r="J815" s="444"/>
      <c r="K815" s="444"/>
      <c r="L815" s="444"/>
      <c r="M815" s="444"/>
      <c r="N815" s="444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13"/>
      <c r="B816" s="14"/>
      <c r="C816" s="14"/>
      <c r="D816" s="14"/>
      <c r="E816" s="444"/>
      <c r="F816" s="444"/>
      <c r="G816" s="444"/>
      <c r="H816" s="444"/>
      <c r="I816" s="444"/>
      <c r="J816" s="444"/>
      <c r="K816" s="444"/>
      <c r="L816" s="444"/>
      <c r="M816" s="444"/>
      <c r="N816" s="444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13"/>
      <c r="B817" s="14"/>
      <c r="C817" s="14"/>
      <c r="D817" s="14"/>
      <c r="E817" s="444"/>
      <c r="F817" s="444"/>
      <c r="G817" s="444"/>
      <c r="H817" s="444"/>
      <c r="I817" s="444"/>
      <c r="J817" s="444"/>
      <c r="K817" s="444"/>
      <c r="L817" s="444"/>
      <c r="M817" s="444"/>
      <c r="N817" s="444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13"/>
      <c r="B818" s="14"/>
      <c r="C818" s="14"/>
      <c r="D818" s="14"/>
      <c r="E818" s="444"/>
      <c r="F818" s="444"/>
      <c r="G818" s="444"/>
      <c r="H818" s="444"/>
      <c r="I818" s="444"/>
      <c r="J818" s="444"/>
      <c r="K818" s="444"/>
      <c r="L818" s="444"/>
      <c r="M818" s="444"/>
      <c r="N818" s="444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13"/>
      <c r="B819" s="14"/>
      <c r="C819" s="14"/>
      <c r="D819" s="14"/>
      <c r="E819" s="444"/>
      <c r="F819" s="444"/>
      <c r="G819" s="444"/>
      <c r="H819" s="444"/>
      <c r="I819" s="444"/>
      <c r="J819" s="444"/>
      <c r="K819" s="444"/>
      <c r="L819" s="444"/>
      <c r="M819" s="444"/>
      <c r="N819" s="444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13"/>
      <c r="B820" s="14"/>
      <c r="C820" s="14"/>
      <c r="D820" s="14"/>
      <c r="E820" s="444"/>
      <c r="F820" s="444"/>
      <c r="G820" s="444"/>
      <c r="H820" s="444"/>
      <c r="I820" s="444"/>
      <c r="J820" s="444"/>
      <c r="K820" s="444"/>
      <c r="L820" s="444"/>
      <c r="M820" s="444"/>
      <c r="N820" s="444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13"/>
      <c r="B821" s="14"/>
      <c r="C821" s="14"/>
      <c r="D821" s="14"/>
      <c r="E821" s="444"/>
      <c r="F821" s="444"/>
      <c r="G821" s="444"/>
      <c r="H821" s="444"/>
      <c r="I821" s="444"/>
      <c r="J821" s="444"/>
      <c r="K821" s="444"/>
      <c r="L821" s="444"/>
      <c r="M821" s="444"/>
      <c r="N821" s="444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13"/>
      <c r="B822" s="14"/>
      <c r="C822" s="14"/>
      <c r="D822" s="14"/>
      <c r="E822" s="444"/>
      <c r="F822" s="444"/>
      <c r="G822" s="444"/>
      <c r="H822" s="444"/>
      <c r="I822" s="444"/>
      <c r="J822" s="444"/>
      <c r="K822" s="444"/>
      <c r="L822" s="444"/>
      <c r="M822" s="444"/>
      <c r="N822" s="444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13"/>
      <c r="B823" s="14"/>
      <c r="C823" s="14"/>
      <c r="D823" s="14"/>
      <c r="E823" s="444"/>
      <c r="F823" s="444"/>
      <c r="G823" s="444"/>
      <c r="H823" s="444"/>
      <c r="I823" s="444"/>
      <c r="J823" s="444"/>
      <c r="K823" s="444"/>
      <c r="L823" s="444"/>
      <c r="M823" s="444"/>
      <c r="N823" s="444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13"/>
      <c r="B824" s="14"/>
      <c r="C824" s="14"/>
      <c r="D824" s="14"/>
      <c r="E824" s="444"/>
      <c r="F824" s="444"/>
      <c r="G824" s="444"/>
      <c r="H824" s="444"/>
      <c r="I824" s="444"/>
      <c r="J824" s="444"/>
      <c r="K824" s="444"/>
      <c r="L824" s="444"/>
      <c r="M824" s="444"/>
      <c r="N824" s="444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13"/>
      <c r="B825" s="14"/>
      <c r="C825" s="14"/>
      <c r="D825" s="14"/>
      <c r="E825" s="444"/>
      <c r="F825" s="444"/>
      <c r="G825" s="444"/>
      <c r="H825" s="444"/>
      <c r="I825" s="444"/>
      <c r="J825" s="444"/>
      <c r="K825" s="444"/>
      <c r="L825" s="444"/>
      <c r="M825" s="444"/>
      <c r="N825" s="444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13"/>
      <c r="B826" s="14"/>
      <c r="C826" s="14"/>
      <c r="D826" s="14"/>
      <c r="E826" s="444"/>
      <c r="F826" s="444"/>
      <c r="G826" s="444"/>
      <c r="H826" s="444"/>
      <c r="I826" s="444"/>
      <c r="J826" s="444"/>
      <c r="K826" s="444"/>
      <c r="L826" s="444"/>
      <c r="M826" s="444"/>
      <c r="N826" s="444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13"/>
      <c r="B827" s="14"/>
      <c r="C827" s="14"/>
      <c r="D827" s="14"/>
      <c r="E827" s="444"/>
      <c r="F827" s="444"/>
      <c r="G827" s="444"/>
      <c r="H827" s="444"/>
      <c r="I827" s="444"/>
      <c r="J827" s="444"/>
      <c r="K827" s="444"/>
      <c r="L827" s="444"/>
      <c r="M827" s="444"/>
      <c r="N827" s="444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13"/>
      <c r="B828" s="14"/>
      <c r="C828" s="14"/>
      <c r="D828" s="14"/>
      <c r="E828" s="444"/>
      <c r="F828" s="444"/>
      <c r="G828" s="444"/>
      <c r="H828" s="444"/>
      <c r="I828" s="444"/>
      <c r="J828" s="444"/>
      <c r="K828" s="444"/>
      <c r="L828" s="444"/>
      <c r="M828" s="444"/>
      <c r="N828" s="444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13"/>
      <c r="B829" s="14"/>
      <c r="C829" s="14"/>
      <c r="D829" s="14"/>
      <c r="E829" s="444"/>
      <c r="F829" s="444"/>
      <c r="G829" s="444"/>
      <c r="H829" s="444"/>
      <c r="I829" s="444"/>
      <c r="J829" s="444"/>
      <c r="K829" s="444"/>
      <c r="L829" s="444"/>
      <c r="M829" s="444"/>
      <c r="N829" s="444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13"/>
      <c r="B830" s="14"/>
      <c r="C830" s="14"/>
      <c r="D830" s="14"/>
      <c r="E830" s="444"/>
      <c r="F830" s="444"/>
      <c r="G830" s="444"/>
      <c r="H830" s="444"/>
      <c r="I830" s="444"/>
      <c r="J830" s="444"/>
      <c r="K830" s="444"/>
      <c r="L830" s="444"/>
      <c r="M830" s="444"/>
      <c r="N830" s="444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13"/>
      <c r="B831" s="14"/>
      <c r="C831" s="14"/>
      <c r="D831" s="14"/>
      <c r="E831" s="444"/>
      <c r="F831" s="444"/>
      <c r="G831" s="444"/>
      <c r="H831" s="444"/>
      <c r="I831" s="444"/>
      <c r="J831" s="444"/>
      <c r="K831" s="444"/>
      <c r="L831" s="444"/>
      <c r="M831" s="444"/>
      <c r="N831" s="444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13"/>
      <c r="B832" s="14"/>
      <c r="C832" s="14"/>
      <c r="D832" s="14"/>
      <c r="E832" s="444"/>
      <c r="F832" s="444"/>
      <c r="G832" s="444"/>
      <c r="H832" s="444"/>
      <c r="I832" s="444"/>
      <c r="J832" s="444"/>
      <c r="K832" s="444"/>
      <c r="L832" s="444"/>
      <c r="M832" s="444"/>
      <c r="N832" s="444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13"/>
      <c r="B833" s="14"/>
      <c r="C833" s="14"/>
      <c r="D833" s="14"/>
      <c r="E833" s="444"/>
      <c r="F833" s="444"/>
      <c r="G833" s="444"/>
      <c r="H833" s="444"/>
      <c r="I833" s="444"/>
      <c r="J833" s="444"/>
      <c r="K833" s="444"/>
      <c r="L833" s="444"/>
      <c r="M833" s="444"/>
      <c r="N833" s="444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13"/>
      <c r="B834" s="14"/>
      <c r="C834" s="14"/>
      <c r="D834" s="14"/>
      <c r="E834" s="444"/>
      <c r="F834" s="444"/>
      <c r="G834" s="444"/>
      <c r="H834" s="444"/>
      <c r="I834" s="444"/>
      <c r="J834" s="444"/>
      <c r="K834" s="444"/>
      <c r="L834" s="444"/>
      <c r="M834" s="444"/>
      <c r="N834" s="444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13"/>
      <c r="B835" s="14"/>
      <c r="C835" s="14"/>
      <c r="D835" s="14"/>
      <c r="E835" s="444"/>
      <c r="F835" s="444"/>
      <c r="G835" s="444"/>
      <c r="H835" s="444"/>
      <c r="I835" s="444"/>
      <c r="J835" s="444"/>
      <c r="K835" s="444"/>
      <c r="L835" s="444"/>
      <c r="M835" s="444"/>
      <c r="N835" s="444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13"/>
      <c r="B836" s="14"/>
      <c r="C836" s="14"/>
      <c r="D836" s="14"/>
      <c r="E836" s="444"/>
      <c r="F836" s="444"/>
      <c r="G836" s="444"/>
      <c r="H836" s="444"/>
      <c r="I836" s="444"/>
      <c r="J836" s="444"/>
      <c r="K836" s="444"/>
      <c r="L836" s="444"/>
      <c r="M836" s="444"/>
      <c r="N836" s="444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13"/>
      <c r="B837" s="14"/>
      <c r="C837" s="14"/>
      <c r="D837" s="14"/>
      <c r="E837" s="444"/>
      <c r="F837" s="444"/>
      <c r="G837" s="444"/>
      <c r="H837" s="444"/>
      <c r="I837" s="444"/>
      <c r="J837" s="444"/>
      <c r="K837" s="444"/>
      <c r="L837" s="444"/>
      <c r="M837" s="444"/>
      <c r="N837" s="444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13"/>
      <c r="B838" s="14"/>
      <c r="C838" s="14"/>
      <c r="D838" s="14"/>
      <c r="E838" s="444"/>
      <c r="F838" s="444"/>
      <c r="G838" s="444"/>
      <c r="H838" s="444"/>
      <c r="I838" s="444"/>
      <c r="J838" s="444"/>
      <c r="K838" s="444"/>
      <c r="L838" s="444"/>
      <c r="M838" s="444"/>
      <c r="N838" s="444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13"/>
      <c r="B839" s="14"/>
      <c r="C839" s="14"/>
      <c r="D839" s="14"/>
      <c r="E839" s="444"/>
      <c r="F839" s="444"/>
      <c r="G839" s="444"/>
      <c r="H839" s="444"/>
      <c r="I839" s="444"/>
      <c r="J839" s="444"/>
      <c r="K839" s="444"/>
      <c r="L839" s="444"/>
      <c r="M839" s="444"/>
      <c r="N839" s="444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13"/>
      <c r="B840" s="14"/>
      <c r="C840" s="14"/>
      <c r="D840" s="14"/>
      <c r="E840" s="444"/>
      <c r="F840" s="444"/>
      <c r="G840" s="444"/>
      <c r="H840" s="444"/>
      <c r="I840" s="444"/>
      <c r="J840" s="444"/>
      <c r="K840" s="444"/>
      <c r="L840" s="444"/>
      <c r="M840" s="444"/>
      <c r="N840" s="444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13"/>
      <c r="B841" s="14"/>
      <c r="C841" s="14"/>
      <c r="D841" s="14"/>
      <c r="E841" s="444"/>
      <c r="F841" s="444"/>
      <c r="G841" s="444"/>
      <c r="H841" s="444"/>
      <c r="I841" s="444"/>
      <c r="J841" s="444"/>
      <c r="K841" s="444"/>
      <c r="L841" s="444"/>
      <c r="M841" s="444"/>
      <c r="N841" s="444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13"/>
      <c r="B842" s="14"/>
      <c r="C842" s="14"/>
      <c r="D842" s="14"/>
      <c r="E842" s="444"/>
      <c r="F842" s="444"/>
      <c r="G842" s="444"/>
      <c r="H842" s="444"/>
      <c r="I842" s="444"/>
      <c r="J842" s="444"/>
      <c r="K842" s="444"/>
      <c r="L842" s="444"/>
      <c r="M842" s="444"/>
      <c r="N842" s="444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13"/>
      <c r="B843" s="14"/>
      <c r="C843" s="14"/>
      <c r="D843" s="14"/>
      <c r="E843" s="444"/>
      <c r="F843" s="444"/>
      <c r="G843" s="444"/>
      <c r="H843" s="444"/>
      <c r="I843" s="444"/>
      <c r="J843" s="444"/>
      <c r="K843" s="444"/>
      <c r="L843" s="444"/>
      <c r="M843" s="444"/>
      <c r="N843" s="444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13"/>
      <c r="B844" s="14"/>
      <c r="C844" s="14"/>
      <c r="D844" s="14"/>
      <c r="E844" s="444"/>
      <c r="F844" s="444"/>
      <c r="G844" s="444"/>
      <c r="H844" s="444"/>
      <c r="I844" s="444"/>
      <c r="J844" s="444"/>
      <c r="K844" s="444"/>
      <c r="L844" s="444"/>
      <c r="M844" s="444"/>
      <c r="N844" s="444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13"/>
      <c r="B845" s="14"/>
      <c r="C845" s="14"/>
      <c r="D845" s="14"/>
      <c r="E845" s="444"/>
      <c r="F845" s="444"/>
      <c r="G845" s="444"/>
      <c r="H845" s="444"/>
      <c r="I845" s="444"/>
      <c r="J845" s="444"/>
      <c r="K845" s="444"/>
      <c r="L845" s="444"/>
      <c r="M845" s="444"/>
      <c r="N845" s="444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13"/>
      <c r="B846" s="14"/>
      <c r="C846" s="14"/>
      <c r="D846" s="14"/>
      <c r="E846" s="444"/>
      <c r="F846" s="444"/>
      <c r="G846" s="444"/>
      <c r="H846" s="444"/>
      <c r="I846" s="444"/>
      <c r="J846" s="444"/>
      <c r="K846" s="444"/>
      <c r="L846" s="444"/>
      <c r="M846" s="444"/>
      <c r="N846" s="444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13"/>
      <c r="B847" s="14"/>
      <c r="C847" s="14"/>
      <c r="D847" s="14"/>
      <c r="E847" s="444"/>
      <c r="F847" s="444"/>
      <c r="G847" s="444"/>
      <c r="H847" s="444"/>
      <c r="I847" s="444"/>
      <c r="J847" s="444"/>
      <c r="K847" s="444"/>
      <c r="L847" s="444"/>
      <c r="M847" s="444"/>
      <c r="N847" s="444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13"/>
      <c r="B848" s="14"/>
      <c r="C848" s="14"/>
      <c r="D848" s="14"/>
      <c r="E848" s="444"/>
      <c r="F848" s="444"/>
      <c r="G848" s="444"/>
      <c r="H848" s="444"/>
      <c r="I848" s="444"/>
      <c r="J848" s="444"/>
      <c r="K848" s="444"/>
      <c r="L848" s="444"/>
      <c r="M848" s="444"/>
      <c r="N848" s="444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13"/>
      <c r="B849" s="14"/>
      <c r="C849" s="14"/>
      <c r="D849" s="14"/>
      <c r="E849" s="444"/>
      <c r="F849" s="444"/>
      <c r="G849" s="444"/>
      <c r="H849" s="444"/>
      <c r="I849" s="444"/>
      <c r="J849" s="444"/>
      <c r="K849" s="444"/>
      <c r="L849" s="444"/>
      <c r="M849" s="444"/>
      <c r="N849" s="444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13"/>
      <c r="B850" s="14"/>
      <c r="C850" s="14"/>
      <c r="D850" s="14"/>
      <c r="E850" s="444"/>
      <c r="F850" s="444"/>
      <c r="G850" s="444"/>
      <c r="H850" s="444"/>
      <c r="I850" s="444"/>
      <c r="J850" s="444"/>
      <c r="K850" s="444"/>
      <c r="L850" s="444"/>
      <c r="M850" s="444"/>
      <c r="N850" s="444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13"/>
      <c r="B851" s="14"/>
      <c r="C851" s="14"/>
      <c r="D851" s="14"/>
      <c r="E851" s="444"/>
      <c r="F851" s="444"/>
      <c r="G851" s="444"/>
      <c r="H851" s="444"/>
      <c r="I851" s="444"/>
      <c r="J851" s="444"/>
      <c r="K851" s="444"/>
      <c r="L851" s="444"/>
      <c r="M851" s="444"/>
      <c r="N851" s="444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13"/>
      <c r="B852" s="14"/>
      <c r="C852" s="14"/>
      <c r="D852" s="14"/>
      <c r="E852" s="444"/>
      <c r="F852" s="444"/>
      <c r="G852" s="444"/>
      <c r="H852" s="444"/>
      <c r="I852" s="444"/>
      <c r="J852" s="444"/>
      <c r="K852" s="444"/>
      <c r="L852" s="444"/>
      <c r="M852" s="444"/>
      <c r="N852" s="444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13"/>
      <c r="B853" s="14"/>
      <c r="C853" s="14"/>
      <c r="D853" s="14"/>
      <c r="E853" s="444"/>
      <c r="F853" s="444"/>
      <c r="G853" s="444"/>
      <c r="H853" s="444"/>
      <c r="I853" s="444"/>
      <c r="J853" s="444"/>
      <c r="K853" s="444"/>
      <c r="L853" s="444"/>
      <c r="M853" s="444"/>
      <c r="N853" s="444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13"/>
      <c r="B854" s="14"/>
      <c r="C854" s="14"/>
      <c r="D854" s="14"/>
      <c r="E854" s="444"/>
      <c r="F854" s="444"/>
      <c r="G854" s="444"/>
      <c r="H854" s="444"/>
      <c r="I854" s="444"/>
      <c r="J854" s="444"/>
      <c r="K854" s="444"/>
      <c r="L854" s="444"/>
      <c r="M854" s="444"/>
      <c r="N854" s="444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13"/>
      <c r="B855" s="14"/>
      <c r="C855" s="14"/>
      <c r="D855" s="14"/>
      <c r="E855" s="444"/>
      <c r="F855" s="444"/>
      <c r="G855" s="444"/>
      <c r="H855" s="444"/>
      <c r="I855" s="444"/>
      <c r="J855" s="444"/>
      <c r="K855" s="444"/>
      <c r="L855" s="444"/>
      <c r="M855" s="444"/>
      <c r="N855" s="444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13"/>
      <c r="B856" s="14"/>
      <c r="C856" s="14"/>
      <c r="D856" s="14"/>
      <c r="E856" s="444"/>
      <c r="F856" s="444"/>
      <c r="G856" s="444"/>
      <c r="H856" s="444"/>
      <c r="I856" s="444"/>
      <c r="J856" s="444"/>
      <c r="K856" s="444"/>
      <c r="L856" s="444"/>
      <c r="M856" s="444"/>
      <c r="N856" s="444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13"/>
      <c r="B857" s="14"/>
      <c r="C857" s="14"/>
      <c r="D857" s="14"/>
      <c r="E857" s="444"/>
      <c r="F857" s="444"/>
      <c r="G857" s="444"/>
      <c r="H857" s="444"/>
      <c r="I857" s="444"/>
      <c r="J857" s="444"/>
      <c r="K857" s="444"/>
      <c r="L857" s="444"/>
      <c r="M857" s="444"/>
      <c r="N857" s="444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13"/>
      <c r="B858" s="14"/>
      <c r="C858" s="14"/>
      <c r="D858" s="14"/>
      <c r="E858" s="444"/>
      <c r="F858" s="444"/>
      <c r="G858" s="444"/>
      <c r="H858" s="444"/>
      <c r="I858" s="444"/>
      <c r="J858" s="444"/>
      <c r="K858" s="444"/>
      <c r="L858" s="444"/>
      <c r="M858" s="444"/>
      <c r="N858" s="444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13"/>
      <c r="B859" s="14"/>
      <c r="C859" s="14"/>
      <c r="D859" s="14"/>
      <c r="E859" s="444"/>
      <c r="F859" s="444"/>
      <c r="G859" s="444"/>
      <c r="H859" s="444"/>
      <c r="I859" s="444"/>
      <c r="J859" s="444"/>
      <c r="K859" s="444"/>
      <c r="L859" s="444"/>
      <c r="M859" s="444"/>
      <c r="N859" s="444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13"/>
      <c r="B860" s="14"/>
      <c r="C860" s="14"/>
      <c r="D860" s="14"/>
      <c r="E860" s="444"/>
      <c r="F860" s="444"/>
      <c r="G860" s="444"/>
      <c r="H860" s="444"/>
      <c r="I860" s="444"/>
      <c r="J860" s="444"/>
      <c r="K860" s="444"/>
      <c r="L860" s="444"/>
      <c r="M860" s="444"/>
      <c r="N860" s="444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13"/>
      <c r="B861" s="14"/>
      <c r="C861" s="14"/>
      <c r="D861" s="14"/>
      <c r="E861" s="444"/>
      <c r="F861" s="444"/>
      <c r="G861" s="444"/>
      <c r="H861" s="444"/>
      <c r="I861" s="444"/>
      <c r="J861" s="444"/>
      <c r="K861" s="444"/>
      <c r="L861" s="444"/>
      <c r="M861" s="444"/>
      <c r="N861" s="444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13"/>
      <c r="B862" s="14"/>
      <c r="C862" s="14"/>
      <c r="D862" s="14"/>
      <c r="E862" s="444"/>
      <c r="F862" s="444"/>
      <c r="G862" s="444"/>
      <c r="H862" s="444"/>
      <c r="I862" s="444"/>
      <c r="J862" s="444"/>
      <c r="K862" s="444"/>
      <c r="L862" s="444"/>
      <c r="M862" s="444"/>
      <c r="N862" s="444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13"/>
      <c r="B863" s="14"/>
      <c r="C863" s="14"/>
      <c r="D863" s="14"/>
      <c r="E863" s="444"/>
      <c r="F863" s="444"/>
      <c r="G863" s="444"/>
      <c r="H863" s="444"/>
      <c r="I863" s="444"/>
      <c r="J863" s="444"/>
      <c r="K863" s="444"/>
      <c r="L863" s="444"/>
      <c r="M863" s="444"/>
      <c r="N863" s="444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13"/>
      <c r="B864" s="14"/>
      <c r="C864" s="14"/>
      <c r="D864" s="14"/>
      <c r="E864" s="444"/>
      <c r="F864" s="444"/>
      <c r="G864" s="444"/>
      <c r="H864" s="444"/>
      <c r="I864" s="444"/>
      <c r="J864" s="444"/>
      <c r="K864" s="444"/>
      <c r="L864" s="444"/>
      <c r="M864" s="444"/>
      <c r="N864" s="444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13"/>
      <c r="B865" s="14"/>
      <c r="C865" s="14"/>
      <c r="D865" s="14"/>
      <c r="E865" s="444"/>
      <c r="F865" s="444"/>
      <c r="G865" s="444"/>
      <c r="H865" s="444"/>
      <c r="I865" s="444"/>
      <c r="J865" s="444"/>
      <c r="K865" s="444"/>
      <c r="L865" s="444"/>
      <c r="M865" s="444"/>
      <c r="N865" s="444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13"/>
      <c r="B866" s="14"/>
      <c r="C866" s="14"/>
      <c r="D866" s="14"/>
      <c r="E866" s="444"/>
      <c r="F866" s="444"/>
      <c r="G866" s="444"/>
      <c r="H866" s="444"/>
      <c r="I866" s="444"/>
      <c r="J866" s="444"/>
      <c r="K866" s="444"/>
      <c r="L866" s="444"/>
      <c r="M866" s="444"/>
      <c r="N866" s="444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13"/>
      <c r="B867" s="14"/>
      <c r="C867" s="14"/>
      <c r="D867" s="14"/>
      <c r="E867" s="444"/>
      <c r="F867" s="444"/>
      <c r="G867" s="444"/>
      <c r="H867" s="444"/>
      <c r="I867" s="444"/>
      <c r="J867" s="444"/>
      <c r="K867" s="444"/>
      <c r="L867" s="444"/>
      <c r="M867" s="444"/>
      <c r="N867" s="444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13"/>
      <c r="B868" s="14"/>
      <c r="C868" s="14"/>
      <c r="D868" s="14"/>
      <c r="E868" s="444"/>
      <c r="F868" s="444"/>
      <c r="G868" s="444"/>
      <c r="H868" s="444"/>
      <c r="I868" s="444"/>
      <c r="J868" s="444"/>
      <c r="K868" s="444"/>
      <c r="L868" s="444"/>
      <c r="M868" s="444"/>
      <c r="N868" s="444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13"/>
      <c r="B869" s="14"/>
      <c r="C869" s="14"/>
      <c r="D869" s="14"/>
      <c r="E869" s="444"/>
      <c r="F869" s="444"/>
      <c r="G869" s="444"/>
      <c r="H869" s="444"/>
      <c r="I869" s="444"/>
      <c r="J869" s="444"/>
      <c r="K869" s="444"/>
      <c r="L869" s="444"/>
      <c r="M869" s="444"/>
      <c r="N869" s="444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13"/>
      <c r="B870" s="14"/>
      <c r="C870" s="14"/>
      <c r="D870" s="14"/>
      <c r="E870" s="444"/>
      <c r="F870" s="444"/>
      <c r="G870" s="444"/>
      <c r="H870" s="444"/>
      <c r="I870" s="444"/>
      <c r="J870" s="444"/>
      <c r="K870" s="444"/>
      <c r="L870" s="444"/>
      <c r="M870" s="444"/>
      <c r="N870" s="444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13"/>
      <c r="B871" s="14"/>
      <c r="C871" s="14"/>
      <c r="D871" s="14"/>
      <c r="E871" s="444"/>
      <c r="F871" s="444"/>
      <c r="G871" s="444"/>
      <c r="H871" s="444"/>
      <c r="I871" s="444"/>
      <c r="J871" s="444"/>
      <c r="K871" s="444"/>
      <c r="L871" s="444"/>
      <c r="M871" s="444"/>
      <c r="N871" s="444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13"/>
      <c r="B872" s="14"/>
      <c r="C872" s="14"/>
      <c r="D872" s="14"/>
      <c r="E872" s="444"/>
      <c r="F872" s="444"/>
      <c r="G872" s="444"/>
      <c r="H872" s="444"/>
      <c r="I872" s="444"/>
      <c r="J872" s="444"/>
      <c r="K872" s="444"/>
      <c r="L872" s="444"/>
      <c r="M872" s="444"/>
      <c r="N872" s="444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13"/>
      <c r="B873" s="14"/>
      <c r="C873" s="14"/>
      <c r="D873" s="14"/>
      <c r="E873" s="444"/>
      <c r="F873" s="444"/>
      <c r="G873" s="444"/>
      <c r="H873" s="444"/>
      <c r="I873" s="444"/>
      <c r="J873" s="444"/>
      <c r="K873" s="444"/>
      <c r="L873" s="444"/>
      <c r="M873" s="444"/>
      <c r="N873" s="444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13"/>
      <c r="B874" s="14"/>
      <c r="C874" s="14"/>
      <c r="D874" s="14"/>
      <c r="E874" s="444"/>
      <c r="F874" s="444"/>
      <c r="G874" s="444"/>
      <c r="H874" s="444"/>
      <c r="I874" s="444"/>
      <c r="J874" s="444"/>
      <c r="K874" s="444"/>
      <c r="L874" s="444"/>
      <c r="M874" s="444"/>
      <c r="N874" s="444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13"/>
      <c r="B875" s="14"/>
      <c r="C875" s="14"/>
      <c r="D875" s="14"/>
      <c r="E875" s="444"/>
      <c r="F875" s="444"/>
      <c r="G875" s="444"/>
      <c r="H875" s="444"/>
      <c r="I875" s="444"/>
      <c r="J875" s="444"/>
      <c r="K875" s="444"/>
      <c r="L875" s="444"/>
      <c r="M875" s="444"/>
      <c r="N875" s="444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13"/>
      <c r="B876" s="14"/>
      <c r="C876" s="14"/>
      <c r="D876" s="14"/>
      <c r="E876" s="444"/>
      <c r="F876" s="444"/>
      <c r="G876" s="444"/>
      <c r="H876" s="444"/>
      <c r="I876" s="444"/>
      <c r="J876" s="444"/>
      <c r="K876" s="444"/>
      <c r="L876" s="444"/>
      <c r="M876" s="444"/>
      <c r="N876" s="444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13"/>
      <c r="B877" s="14"/>
      <c r="C877" s="14"/>
      <c r="D877" s="14"/>
      <c r="E877" s="444"/>
      <c r="F877" s="444"/>
      <c r="G877" s="444"/>
      <c r="H877" s="444"/>
      <c r="I877" s="444"/>
      <c r="J877" s="444"/>
      <c r="K877" s="444"/>
      <c r="L877" s="444"/>
      <c r="M877" s="444"/>
      <c r="N877" s="444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13"/>
      <c r="B878" s="14"/>
      <c r="C878" s="14"/>
      <c r="D878" s="14"/>
      <c r="E878" s="444"/>
      <c r="F878" s="444"/>
      <c r="G878" s="444"/>
      <c r="H878" s="444"/>
      <c r="I878" s="444"/>
      <c r="J878" s="444"/>
      <c r="K878" s="444"/>
      <c r="L878" s="444"/>
      <c r="M878" s="444"/>
      <c r="N878" s="444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13"/>
      <c r="B879" s="14"/>
      <c r="C879" s="14"/>
      <c r="D879" s="14"/>
      <c r="E879" s="444"/>
      <c r="F879" s="444"/>
      <c r="G879" s="444"/>
      <c r="H879" s="444"/>
      <c r="I879" s="444"/>
      <c r="J879" s="444"/>
      <c r="K879" s="444"/>
      <c r="L879" s="444"/>
      <c r="M879" s="444"/>
      <c r="N879" s="444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13"/>
      <c r="B880" s="14"/>
      <c r="C880" s="14"/>
      <c r="D880" s="14"/>
      <c r="E880" s="444"/>
      <c r="F880" s="444"/>
      <c r="G880" s="444"/>
      <c r="H880" s="444"/>
      <c r="I880" s="444"/>
      <c r="J880" s="444"/>
      <c r="K880" s="444"/>
      <c r="L880" s="444"/>
      <c r="M880" s="444"/>
      <c r="N880" s="444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13"/>
      <c r="B881" s="14"/>
      <c r="C881" s="14"/>
      <c r="D881" s="14"/>
      <c r="E881" s="444"/>
      <c r="F881" s="444"/>
      <c r="G881" s="444"/>
      <c r="H881" s="444"/>
      <c r="I881" s="444"/>
      <c r="J881" s="444"/>
      <c r="K881" s="444"/>
      <c r="L881" s="444"/>
      <c r="M881" s="444"/>
      <c r="N881" s="444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13"/>
      <c r="B882" s="14"/>
      <c r="C882" s="14"/>
      <c r="D882" s="14"/>
      <c r="E882" s="444"/>
      <c r="F882" s="444"/>
      <c r="G882" s="444"/>
      <c r="H882" s="444"/>
      <c r="I882" s="444"/>
      <c r="J882" s="444"/>
      <c r="K882" s="444"/>
      <c r="L882" s="444"/>
      <c r="M882" s="444"/>
      <c r="N882" s="444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13"/>
      <c r="B883" s="14"/>
      <c r="C883" s="14"/>
      <c r="D883" s="14"/>
      <c r="E883" s="444"/>
      <c r="F883" s="444"/>
      <c r="G883" s="444"/>
      <c r="H883" s="444"/>
      <c r="I883" s="444"/>
      <c r="J883" s="444"/>
      <c r="K883" s="444"/>
      <c r="L883" s="444"/>
      <c r="M883" s="444"/>
      <c r="N883" s="444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13"/>
      <c r="B884" s="14"/>
      <c r="C884" s="14"/>
      <c r="D884" s="14"/>
      <c r="E884" s="444"/>
      <c r="F884" s="444"/>
      <c r="G884" s="444"/>
      <c r="H884" s="444"/>
      <c r="I884" s="444"/>
      <c r="J884" s="444"/>
      <c r="K884" s="444"/>
      <c r="L884" s="444"/>
      <c r="M884" s="444"/>
      <c r="N884" s="444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13"/>
      <c r="B885" s="14"/>
      <c r="C885" s="14"/>
      <c r="D885" s="14"/>
      <c r="E885" s="444"/>
      <c r="F885" s="444"/>
      <c r="G885" s="444"/>
      <c r="H885" s="444"/>
      <c r="I885" s="444"/>
      <c r="J885" s="444"/>
      <c r="K885" s="444"/>
      <c r="L885" s="444"/>
      <c r="M885" s="444"/>
      <c r="N885" s="444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13"/>
      <c r="B886" s="14"/>
      <c r="C886" s="14"/>
      <c r="D886" s="14"/>
      <c r="E886" s="444"/>
      <c r="F886" s="444"/>
      <c r="G886" s="444"/>
      <c r="H886" s="444"/>
      <c r="I886" s="444"/>
      <c r="J886" s="444"/>
      <c r="K886" s="444"/>
      <c r="L886" s="444"/>
      <c r="M886" s="444"/>
      <c r="N886" s="444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13"/>
      <c r="B887" s="14"/>
      <c r="C887" s="14"/>
      <c r="D887" s="14"/>
      <c r="E887" s="444"/>
      <c r="F887" s="444"/>
      <c r="G887" s="444"/>
      <c r="H887" s="444"/>
      <c r="I887" s="444"/>
      <c r="J887" s="444"/>
      <c r="K887" s="444"/>
      <c r="L887" s="444"/>
      <c r="M887" s="444"/>
      <c r="N887" s="444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13"/>
      <c r="B888" s="14"/>
      <c r="C888" s="14"/>
      <c r="D888" s="14"/>
      <c r="E888" s="444"/>
      <c r="F888" s="444"/>
      <c r="G888" s="444"/>
      <c r="H888" s="444"/>
      <c r="I888" s="444"/>
      <c r="J888" s="444"/>
      <c r="K888" s="444"/>
      <c r="L888" s="444"/>
      <c r="M888" s="444"/>
      <c r="N888" s="444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13"/>
      <c r="B889" s="14"/>
      <c r="C889" s="14"/>
      <c r="D889" s="14"/>
      <c r="E889" s="444"/>
      <c r="F889" s="444"/>
      <c r="G889" s="444"/>
      <c r="H889" s="444"/>
      <c r="I889" s="444"/>
      <c r="J889" s="444"/>
      <c r="K889" s="444"/>
      <c r="L889" s="444"/>
      <c r="M889" s="444"/>
      <c r="N889" s="444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13"/>
      <c r="B890" s="14"/>
      <c r="C890" s="14"/>
      <c r="D890" s="14"/>
      <c r="E890" s="444"/>
      <c r="F890" s="444"/>
      <c r="G890" s="444"/>
      <c r="H890" s="444"/>
      <c r="I890" s="444"/>
      <c r="J890" s="444"/>
      <c r="K890" s="444"/>
      <c r="L890" s="444"/>
      <c r="M890" s="444"/>
      <c r="N890" s="444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13"/>
      <c r="B891" s="14"/>
      <c r="C891" s="14"/>
      <c r="D891" s="14"/>
      <c r="E891" s="444"/>
      <c r="F891" s="444"/>
      <c r="G891" s="444"/>
      <c r="H891" s="444"/>
      <c r="I891" s="444"/>
      <c r="J891" s="444"/>
      <c r="K891" s="444"/>
      <c r="L891" s="444"/>
      <c r="M891" s="444"/>
      <c r="N891" s="444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13"/>
      <c r="B892" s="14"/>
      <c r="C892" s="14"/>
      <c r="D892" s="14"/>
      <c r="E892" s="444"/>
      <c r="F892" s="444"/>
      <c r="G892" s="444"/>
      <c r="H892" s="444"/>
      <c r="I892" s="444"/>
      <c r="J892" s="444"/>
      <c r="K892" s="444"/>
      <c r="L892" s="444"/>
      <c r="M892" s="444"/>
      <c r="N892" s="444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13"/>
      <c r="B893" s="14"/>
      <c r="C893" s="14"/>
      <c r="D893" s="14"/>
      <c r="E893" s="444"/>
      <c r="F893" s="444"/>
      <c r="G893" s="444"/>
      <c r="H893" s="444"/>
      <c r="I893" s="444"/>
      <c r="J893" s="444"/>
      <c r="K893" s="444"/>
      <c r="L893" s="444"/>
      <c r="M893" s="444"/>
      <c r="N893" s="444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13"/>
      <c r="B894" s="14"/>
      <c r="C894" s="14"/>
      <c r="D894" s="14"/>
      <c r="E894" s="444"/>
      <c r="F894" s="444"/>
      <c r="G894" s="444"/>
      <c r="H894" s="444"/>
      <c r="I894" s="444"/>
      <c r="J894" s="444"/>
      <c r="K894" s="444"/>
      <c r="L894" s="444"/>
      <c r="M894" s="444"/>
      <c r="N894" s="444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13"/>
      <c r="B895" s="14"/>
      <c r="C895" s="14"/>
      <c r="D895" s="14"/>
      <c r="E895" s="444"/>
      <c r="F895" s="444"/>
      <c r="G895" s="444"/>
      <c r="H895" s="444"/>
      <c r="I895" s="444"/>
      <c r="J895" s="444"/>
      <c r="K895" s="444"/>
      <c r="L895" s="444"/>
      <c r="M895" s="444"/>
      <c r="N895" s="444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13"/>
      <c r="B896" s="14"/>
      <c r="C896" s="14"/>
      <c r="D896" s="14"/>
      <c r="E896" s="444"/>
      <c r="F896" s="444"/>
      <c r="G896" s="444"/>
      <c r="H896" s="444"/>
      <c r="I896" s="444"/>
      <c r="J896" s="444"/>
      <c r="K896" s="444"/>
      <c r="L896" s="444"/>
      <c r="M896" s="444"/>
      <c r="N896" s="444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13"/>
      <c r="B897" s="14"/>
      <c r="C897" s="14"/>
      <c r="D897" s="14"/>
      <c r="E897" s="444"/>
      <c r="F897" s="444"/>
      <c r="G897" s="444"/>
      <c r="H897" s="444"/>
      <c r="I897" s="444"/>
      <c r="J897" s="444"/>
      <c r="K897" s="444"/>
      <c r="L897" s="444"/>
      <c r="M897" s="444"/>
      <c r="N897" s="444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13"/>
      <c r="B898" s="14"/>
      <c r="C898" s="14"/>
      <c r="D898" s="14"/>
      <c r="E898" s="444"/>
      <c r="F898" s="444"/>
      <c r="G898" s="444"/>
      <c r="H898" s="444"/>
      <c r="I898" s="444"/>
      <c r="J898" s="444"/>
      <c r="K898" s="444"/>
      <c r="L898" s="444"/>
      <c r="M898" s="444"/>
      <c r="N898" s="444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13"/>
      <c r="B899" s="14"/>
      <c r="C899" s="14"/>
      <c r="D899" s="14"/>
      <c r="E899" s="444"/>
      <c r="F899" s="444"/>
      <c r="G899" s="444"/>
      <c r="H899" s="444"/>
      <c r="I899" s="444"/>
      <c r="J899" s="444"/>
      <c r="K899" s="444"/>
      <c r="L899" s="444"/>
      <c r="M899" s="444"/>
      <c r="N899" s="444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13"/>
      <c r="B900" s="14"/>
      <c r="C900" s="14"/>
      <c r="D900" s="14"/>
      <c r="E900" s="444"/>
      <c r="F900" s="444"/>
      <c r="G900" s="444"/>
      <c r="H900" s="444"/>
      <c r="I900" s="444"/>
      <c r="J900" s="444"/>
      <c r="K900" s="444"/>
      <c r="L900" s="444"/>
      <c r="M900" s="444"/>
      <c r="N900" s="444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13"/>
      <c r="B901" s="14"/>
      <c r="C901" s="14"/>
      <c r="D901" s="14"/>
      <c r="E901" s="444"/>
      <c r="F901" s="444"/>
      <c r="G901" s="444"/>
      <c r="H901" s="444"/>
      <c r="I901" s="444"/>
      <c r="J901" s="444"/>
      <c r="K901" s="444"/>
      <c r="L901" s="444"/>
      <c r="M901" s="444"/>
      <c r="N901" s="444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13"/>
      <c r="B902" s="14"/>
      <c r="C902" s="14"/>
      <c r="D902" s="14"/>
      <c r="E902" s="444"/>
      <c r="F902" s="444"/>
      <c r="G902" s="444"/>
      <c r="H902" s="444"/>
      <c r="I902" s="444"/>
      <c r="J902" s="444"/>
      <c r="K902" s="444"/>
      <c r="L902" s="444"/>
      <c r="M902" s="444"/>
      <c r="N902" s="444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13"/>
      <c r="B903" s="14"/>
      <c r="C903" s="14"/>
      <c r="D903" s="14"/>
      <c r="E903" s="444"/>
      <c r="F903" s="444"/>
      <c r="G903" s="444"/>
      <c r="H903" s="444"/>
      <c r="I903" s="444"/>
      <c r="J903" s="444"/>
      <c r="K903" s="444"/>
      <c r="L903" s="444"/>
      <c r="M903" s="444"/>
      <c r="N903" s="444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13"/>
      <c r="B904" s="14"/>
      <c r="C904" s="14"/>
      <c r="D904" s="14"/>
      <c r="E904" s="444"/>
      <c r="F904" s="444"/>
      <c r="G904" s="444"/>
      <c r="H904" s="444"/>
      <c r="I904" s="444"/>
      <c r="J904" s="444"/>
      <c r="K904" s="444"/>
      <c r="L904" s="444"/>
      <c r="M904" s="444"/>
      <c r="N904" s="444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13"/>
      <c r="B905" s="14"/>
      <c r="C905" s="14"/>
      <c r="D905" s="14"/>
      <c r="E905" s="444"/>
      <c r="F905" s="444"/>
      <c r="G905" s="444"/>
      <c r="H905" s="444"/>
      <c r="I905" s="444"/>
      <c r="J905" s="444"/>
      <c r="K905" s="444"/>
      <c r="L905" s="444"/>
      <c r="M905" s="444"/>
      <c r="N905" s="444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13"/>
      <c r="B906" s="14"/>
      <c r="C906" s="14"/>
      <c r="D906" s="14"/>
      <c r="E906" s="444"/>
      <c r="F906" s="444"/>
      <c r="G906" s="444"/>
      <c r="H906" s="444"/>
      <c r="I906" s="444"/>
      <c r="J906" s="444"/>
      <c r="K906" s="444"/>
      <c r="L906" s="444"/>
      <c r="M906" s="444"/>
      <c r="N906" s="444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13"/>
      <c r="B907" s="14"/>
      <c r="C907" s="14"/>
      <c r="D907" s="14"/>
      <c r="E907" s="444"/>
      <c r="F907" s="444"/>
      <c r="G907" s="444"/>
      <c r="H907" s="444"/>
      <c r="I907" s="444"/>
      <c r="J907" s="444"/>
      <c r="K907" s="444"/>
      <c r="L907" s="444"/>
      <c r="M907" s="444"/>
      <c r="N907" s="444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13"/>
      <c r="B908" s="14"/>
      <c r="C908" s="14"/>
      <c r="D908" s="14"/>
      <c r="E908" s="444"/>
      <c r="F908" s="444"/>
      <c r="G908" s="444"/>
      <c r="H908" s="444"/>
      <c r="I908" s="444"/>
      <c r="J908" s="444"/>
      <c r="K908" s="444"/>
      <c r="L908" s="444"/>
      <c r="M908" s="444"/>
      <c r="N908" s="444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13"/>
      <c r="B909" s="14"/>
      <c r="C909" s="14"/>
      <c r="D909" s="14"/>
      <c r="E909" s="444"/>
      <c r="F909" s="444"/>
      <c r="G909" s="444"/>
      <c r="H909" s="444"/>
      <c r="I909" s="444"/>
      <c r="J909" s="444"/>
      <c r="K909" s="444"/>
      <c r="L909" s="444"/>
      <c r="M909" s="444"/>
      <c r="N909" s="444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13"/>
      <c r="B910" s="14"/>
      <c r="C910" s="14"/>
      <c r="D910" s="14"/>
      <c r="E910" s="444"/>
      <c r="F910" s="444"/>
      <c r="G910" s="444"/>
      <c r="H910" s="444"/>
      <c r="I910" s="444"/>
      <c r="J910" s="444"/>
      <c r="K910" s="444"/>
      <c r="L910" s="444"/>
      <c r="M910" s="444"/>
      <c r="N910" s="444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13"/>
      <c r="B911" s="14"/>
      <c r="C911" s="14"/>
      <c r="D911" s="14"/>
      <c r="E911" s="444"/>
      <c r="F911" s="444"/>
      <c r="G911" s="444"/>
      <c r="H911" s="444"/>
      <c r="I911" s="444"/>
      <c r="J911" s="444"/>
      <c r="K911" s="444"/>
      <c r="L911" s="444"/>
      <c r="M911" s="444"/>
      <c r="N911" s="444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13"/>
      <c r="B912" s="14"/>
      <c r="C912" s="14"/>
      <c r="D912" s="14"/>
      <c r="E912" s="444"/>
      <c r="F912" s="444"/>
      <c r="G912" s="444"/>
      <c r="H912" s="444"/>
      <c r="I912" s="444"/>
      <c r="J912" s="444"/>
      <c r="K912" s="444"/>
      <c r="L912" s="444"/>
      <c r="M912" s="444"/>
      <c r="N912" s="444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13"/>
      <c r="B913" s="14"/>
      <c r="C913" s="14"/>
      <c r="D913" s="14"/>
      <c r="E913" s="444"/>
      <c r="F913" s="444"/>
      <c r="G913" s="444"/>
      <c r="H913" s="444"/>
      <c r="I913" s="444"/>
      <c r="J913" s="444"/>
      <c r="K913" s="444"/>
      <c r="L913" s="444"/>
      <c r="M913" s="444"/>
      <c r="N913" s="444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13"/>
      <c r="B914" s="14"/>
      <c r="C914" s="14"/>
      <c r="D914" s="14"/>
      <c r="E914" s="444"/>
      <c r="F914" s="444"/>
      <c r="G914" s="444"/>
      <c r="H914" s="444"/>
      <c r="I914" s="444"/>
      <c r="J914" s="444"/>
      <c r="K914" s="444"/>
      <c r="L914" s="444"/>
      <c r="M914" s="444"/>
      <c r="N914" s="444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13"/>
      <c r="B915" s="14"/>
      <c r="C915" s="14"/>
      <c r="D915" s="14"/>
      <c r="E915" s="444"/>
      <c r="F915" s="444"/>
      <c r="G915" s="444"/>
      <c r="H915" s="444"/>
      <c r="I915" s="444"/>
      <c r="J915" s="444"/>
      <c r="K915" s="444"/>
      <c r="L915" s="444"/>
      <c r="M915" s="444"/>
      <c r="N915" s="444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13"/>
      <c r="B916" s="14"/>
      <c r="C916" s="14"/>
      <c r="D916" s="14"/>
      <c r="E916" s="444"/>
      <c r="F916" s="444"/>
      <c r="G916" s="444"/>
      <c r="H916" s="444"/>
      <c r="I916" s="444"/>
      <c r="J916" s="444"/>
      <c r="K916" s="444"/>
      <c r="L916" s="444"/>
      <c r="M916" s="444"/>
      <c r="N916" s="444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13"/>
      <c r="B917" s="14"/>
      <c r="C917" s="14"/>
      <c r="D917" s="14"/>
      <c r="E917" s="444"/>
      <c r="F917" s="444"/>
      <c r="G917" s="444"/>
      <c r="H917" s="444"/>
      <c r="I917" s="444"/>
      <c r="J917" s="444"/>
      <c r="K917" s="444"/>
      <c r="L917" s="444"/>
      <c r="M917" s="444"/>
      <c r="N917" s="444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13"/>
      <c r="B918" s="14"/>
      <c r="C918" s="14"/>
      <c r="D918" s="14"/>
      <c r="E918" s="444"/>
      <c r="F918" s="444"/>
      <c r="G918" s="444"/>
      <c r="H918" s="444"/>
      <c r="I918" s="444"/>
      <c r="J918" s="444"/>
      <c r="K918" s="444"/>
      <c r="L918" s="444"/>
      <c r="M918" s="444"/>
      <c r="N918" s="444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13"/>
      <c r="B919" s="14"/>
      <c r="C919" s="14"/>
      <c r="D919" s="14"/>
      <c r="E919" s="444"/>
      <c r="F919" s="444"/>
      <c r="G919" s="444"/>
      <c r="H919" s="444"/>
      <c r="I919" s="444"/>
      <c r="J919" s="444"/>
      <c r="K919" s="444"/>
      <c r="L919" s="444"/>
      <c r="M919" s="444"/>
      <c r="N919" s="444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13"/>
      <c r="B920" s="14"/>
      <c r="C920" s="14"/>
      <c r="D920" s="14"/>
      <c r="E920" s="444"/>
      <c r="F920" s="444"/>
      <c r="G920" s="444"/>
      <c r="H920" s="444"/>
      <c r="I920" s="444"/>
      <c r="J920" s="444"/>
      <c r="K920" s="444"/>
      <c r="L920" s="444"/>
      <c r="M920" s="444"/>
      <c r="N920" s="444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13"/>
      <c r="B921" s="14"/>
      <c r="C921" s="14"/>
      <c r="D921" s="14"/>
      <c r="E921" s="444"/>
      <c r="F921" s="444"/>
      <c r="G921" s="444"/>
      <c r="H921" s="444"/>
      <c r="I921" s="444"/>
      <c r="J921" s="444"/>
      <c r="K921" s="444"/>
      <c r="L921" s="444"/>
      <c r="M921" s="444"/>
      <c r="N921" s="444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13"/>
      <c r="B922" s="14"/>
      <c r="C922" s="14"/>
      <c r="D922" s="14"/>
      <c r="E922" s="444"/>
      <c r="F922" s="444"/>
      <c r="G922" s="444"/>
      <c r="H922" s="444"/>
      <c r="I922" s="444"/>
      <c r="J922" s="444"/>
      <c r="K922" s="444"/>
      <c r="L922" s="444"/>
      <c r="M922" s="444"/>
      <c r="N922" s="444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13"/>
      <c r="B923" s="14"/>
      <c r="C923" s="14"/>
      <c r="D923" s="14"/>
      <c r="E923" s="444"/>
      <c r="F923" s="444"/>
      <c r="G923" s="444"/>
      <c r="H923" s="444"/>
      <c r="I923" s="444"/>
      <c r="J923" s="444"/>
      <c r="K923" s="444"/>
      <c r="L923" s="444"/>
      <c r="M923" s="444"/>
      <c r="N923" s="444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13"/>
      <c r="B924" s="14"/>
      <c r="C924" s="14"/>
      <c r="D924" s="14"/>
      <c r="E924" s="444"/>
      <c r="F924" s="444"/>
      <c r="G924" s="444"/>
      <c r="H924" s="444"/>
      <c r="I924" s="444"/>
      <c r="J924" s="444"/>
      <c r="K924" s="444"/>
      <c r="L924" s="444"/>
      <c r="M924" s="444"/>
      <c r="N924" s="444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13"/>
      <c r="B925" s="14"/>
      <c r="C925" s="14"/>
      <c r="D925" s="14"/>
      <c r="E925" s="444"/>
      <c r="F925" s="444"/>
      <c r="G925" s="444"/>
      <c r="H925" s="444"/>
      <c r="I925" s="444"/>
      <c r="J925" s="444"/>
      <c r="K925" s="444"/>
      <c r="L925" s="444"/>
      <c r="M925" s="444"/>
      <c r="N925" s="444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13"/>
      <c r="B926" s="14"/>
      <c r="C926" s="14"/>
      <c r="D926" s="14"/>
      <c r="E926" s="444"/>
      <c r="F926" s="444"/>
      <c r="G926" s="444"/>
      <c r="H926" s="444"/>
      <c r="I926" s="444"/>
      <c r="J926" s="444"/>
      <c r="K926" s="444"/>
      <c r="L926" s="444"/>
      <c r="M926" s="444"/>
      <c r="N926" s="444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13"/>
      <c r="B927" s="14"/>
      <c r="C927" s="14"/>
      <c r="D927" s="14"/>
      <c r="E927" s="444"/>
      <c r="F927" s="444"/>
      <c r="G927" s="444"/>
      <c r="H927" s="444"/>
      <c r="I927" s="444"/>
      <c r="J927" s="444"/>
      <c r="K927" s="444"/>
      <c r="L927" s="444"/>
      <c r="M927" s="444"/>
      <c r="N927" s="444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13"/>
      <c r="B928" s="14"/>
      <c r="C928" s="14"/>
      <c r="D928" s="14"/>
      <c r="E928" s="444"/>
      <c r="F928" s="444"/>
      <c r="G928" s="444"/>
      <c r="H928" s="444"/>
      <c r="I928" s="444"/>
      <c r="J928" s="444"/>
      <c r="K928" s="444"/>
      <c r="L928" s="444"/>
      <c r="M928" s="444"/>
      <c r="N928" s="444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13"/>
      <c r="B929" s="14"/>
      <c r="C929" s="14"/>
      <c r="D929" s="14"/>
      <c r="E929" s="444"/>
      <c r="F929" s="444"/>
      <c r="G929" s="444"/>
      <c r="H929" s="444"/>
      <c r="I929" s="444"/>
      <c r="J929" s="444"/>
      <c r="K929" s="444"/>
      <c r="L929" s="444"/>
      <c r="M929" s="444"/>
      <c r="N929" s="444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13"/>
      <c r="B930" s="14"/>
      <c r="C930" s="14"/>
      <c r="D930" s="14"/>
      <c r="E930" s="444"/>
      <c r="F930" s="444"/>
      <c r="G930" s="444"/>
      <c r="H930" s="444"/>
      <c r="I930" s="444"/>
      <c r="J930" s="444"/>
      <c r="K930" s="444"/>
      <c r="L930" s="444"/>
      <c r="M930" s="444"/>
      <c r="N930" s="444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13"/>
      <c r="B931" s="14"/>
      <c r="C931" s="14"/>
      <c r="D931" s="14"/>
      <c r="E931" s="444"/>
      <c r="F931" s="444"/>
      <c r="G931" s="444"/>
      <c r="H931" s="444"/>
      <c r="I931" s="444"/>
      <c r="J931" s="444"/>
      <c r="K931" s="444"/>
      <c r="L931" s="444"/>
      <c r="M931" s="444"/>
      <c r="N931" s="444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13"/>
      <c r="B932" s="14"/>
      <c r="C932" s="14"/>
      <c r="D932" s="14"/>
      <c r="E932" s="444"/>
      <c r="F932" s="444"/>
      <c r="G932" s="444"/>
      <c r="H932" s="444"/>
      <c r="I932" s="444"/>
      <c r="J932" s="444"/>
      <c r="K932" s="444"/>
      <c r="L932" s="444"/>
      <c r="M932" s="444"/>
      <c r="N932" s="444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13"/>
      <c r="B933" s="14"/>
      <c r="C933" s="14"/>
      <c r="D933" s="14"/>
      <c r="E933" s="444"/>
      <c r="F933" s="444"/>
      <c r="G933" s="444"/>
      <c r="H933" s="444"/>
      <c r="I933" s="444"/>
      <c r="J933" s="444"/>
      <c r="K933" s="444"/>
      <c r="L933" s="444"/>
      <c r="M933" s="444"/>
      <c r="N933" s="444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13"/>
      <c r="B934" s="14"/>
      <c r="C934" s="14"/>
      <c r="D934" s="14"/>
      <c r="E934" s="444"/>
      <c r="F934" s="444"/>
      <c r="G934" s="444"/>
      <c r="H934" s="444"/>
      <c r="I934" s="444"/>
      <c r="J934" s="444"/>
      <c r="K934" s="444"/>
      <c r="L934" s="444"/>
      <c r="M934" s="444"/>
      <c r="N934" s="444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13"/>
      <c r="B935" s="14"/>
      <c r="C935" s="14"/>
      <c r="D935" s="14"/>
      <c r="E935" s="444"/>
      <c r="F935" s="444"/>
      <c r="G935" s="444"/>
      <c r="H935" s="444"/>
      <c r="I935" s="444"/>
      <c r="J935" s="444"/>
      <c r="K935" s="444"/>
      <c r="L935" s="444"/>
      <c r="M935" s="444"/>
      <c r="N935" s="444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13"/>
      <c r="B936" s="14"/>
      <c r="C936" s="14"/>
      <c r="D936" s="14"/>
      <c r="E936" s="444"/>
      <c r="F936" s="444"/>
      <c r="G936" s="444"/>
      <c r="H936" s="444"/>
      <c r="I936" s="444"/>
      <c r="J936" s="444"/>
      <c r="K936" s="444"/>
      <c r="L936" s="444"/>
      <c r="M936" s="444"/>
      <c r="N936" s="444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13"/>
      <c r="B937" s="14"/>
      <c r="C937" s="14"/>
      <c r="D937" s="14"/>
      <c r="E937" s="444"/>
      <c r="F937" s="444"/>
      <c r="G937" s="444"/>
      <c r="H937" s="444"/>
      <c r="I937" s="444"/>
      <c r="J937" s="444"/>
      <c r="K937" s="444"/>
      <c r="L937" s="444"/>
      <c r="M937" s="444"/>
      <c r="N937" s="444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13"/>
      <c r="B938" s="14"/>
      <c r="C938" s="14"/>
      <c r="D938" s="14"/>
      <c r="E938" s="444"/>
      <c r="F938" s="444"/>
      <c r="G938" s="444"/>
      <c r="H938" s="444"/>
      <c r="I938" s="444"/>
      <c r="J938" s="444"/>
      <c r="K938" s="444"/>
      <c r="L938" s="444"/>
      <c r="M938" s="444"/>
      <c r="N938" s="444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13"/>
      <c r="B939" s="14"/>
      <c r="C939" s="14"/>
      <c r="D939" s="14"/>
      <c r="E939" s="444"/>
      <c r="F939" s="444"/>
      <c r="G939" s="444"/>
      <c r="H939" s="444"/>
      <c r="I939" s="444"/>
      <c r="J939" s="444"/>
      <c r="K939" s="444"/>
      <c r="L939" s="444"/>
      <c r="M939" s="444"/>
      <c r="N939" s="444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13"/>
      <c r="B940" s="14"/>
      <c r="C940" s="14"/>
      <c r="D940" s="14"/>
      <c r="E940" s="444"/>
      <c r="F940" s="444"/>
      <c r="G940" s="444"/>
      <c r="H940" s="444"/>
      <c r="I940" s="444"/>
      <c r="J940" s="444"/>
      <c r="K940" s="444"/>
      <c r="L940" s="444"/>
      <c r="M940" s="444"/>
      <c r="N940" s="444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13"/>
      <c r="B941" s="14"/>
      <c r="C941" s="14"/>
      <c r="D941" s="14"/>
      <c r="E941" s="444"/>
      <c r="F941" s="444"/>
      <c r="G941" s="444"/>
      <c r="H941" s="444"/>
      <c r="I941" s="444"/>
      <c r="J941" s="444"/>
      <c r="K941" s="444"/>
      <c r="L941" s="444"/>
      <c r="M941" s="444"/>
      <c r="N941" s="444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13"/>
      <c r="B942" s="14"/>
      <c r="C942" s="14"/>
      <c r="D942" s="14"/>
      <c r="E942" s="444"/>
      <c r="F942" s="444"/>
      <c r="G942" s="444"/>
      <c r="H942" s="444"/>
      <c r="I942" s="444"/>
      <c r="J942" s="444"/>
      <c r="K942" s="444"/>
      <c r="L942" s="444"/>
      <c r="M942" s="444"/>
      <c r="N942" s="444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13"/>
      <c r="B943" s="14"/>
      <c r="C943" s="14"/>
      <c r="D943" s="14"/>
      <c r="E943" s="444"/>
      <c r="F943" s="444"/>
      <c r="G943" s="444"/>
      <c r="H943" s="444"/>
      <c r="I943" s="444"/>
      <c r="J943" s="444"/>
      <c r="K943" s="444"/>
      <c r="L943" s="444"/>
      <c r="M943" s="444"/>
      <c r="N943" s="444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13"/>
      <c r="B944" s="14"/>
      <c r="C944" s="14"/>
      <c r="D944" s="14"/>
      <c r="E944" s="444"/>
      <c r="F944" s="444"/>
      <c r="G944" s="444"/>
      <c r="H944" s="444"/>
      <c r="I944" s="444"/>
      <c r="J944" s="444"/>
      <c r="K944" s="444"/>
      <c r="L944" s="444"/>
      <c r="M944" s="444"/>
      <c r="N944" s="444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13"/>
      <c r="B945" s="14"/>
      <c r="C945" s="14"/>
      <c r="D945" s="14"/>
      <c r="E945" s="444"/>
      <c r="F945" s="444"/>
      <c r="G945" s="444"/>
      <c r="H945" s="444"/>
      <c r="I945" s="444"/>
      <c r="J945" s="444"/>
      <c r="K945" s="444"/>
      <c r="L945" s="444"/>
      <c r="M945" s="444"/>
      <c r="N945" s="444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13"/>
      <c r="B946" s="14"/>
      <c r="C946" s="14"/>
      <c r="D946" s="14"/>
      <c r="E946" s="444"/>
      <c r="F946" s="444"/>
      <c r="G946" s="444"/>
      <c r="H946" s="444"/>
      <c r="I946" s="444"/>
      <c r="J946" s="444"/>
      <c r="K946" s="444"/>
      <c r="L946" s="444"/>
      <c r="M946" s="444"/>
      <c r="N946" s="444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13"/>
      <c r="B947" s="14"/>
      <c r="C947" s="14"/>
      <c r="D947" s="14"/>
      <c r="E947" s="444"/>
      <c r="F947" s="444"/>
      <c r="G947" s="444"/>
      <c r="H947" s="444"/>
      <c r="I947" s="444"/>
      <c r="J947" s="444"/>
      <c r="K947" s="444"/>
      <c r="L947" s="444"/>
      <c r="M947" s="444"/>
      <c r="N947" s="444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13"/>
      <c r="B948" s="14"/>
      <c r="C948" s="14"/>
      <c r="D948" s="14"/>
      <c r="E948" s="444"/>
      <c r="F948" s="444"/>
      <c r="G948" s="444"/>
      <c r="H948" s="444"/>
      <c r="I948" s="444"/>
      <c r="J948" s="444"/>
      <c r="K948" s="444"/>
      <c r="L948" s="444"/>
      <c r="M948" s="444"/>
      <c r="N948" s="444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13"/>
      <c r="B949" s="14"/>
      <c r="C949" s="14"/>
      <c r="D949" s="14"/>
      <c r="E949" s="444"/>
      <c r="F949" s="444"/>
      <c r="G949" s="444"/>
      <c r="H949" s="444"/>
      <c r="I949" s="444"/>
      <c r="J949" s="444"/>
      <c r="K949" s="444"/>
      <c r="L949" s="444"/>
      <c r="M949" s="444"/>
      <c r="N949" s="444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13"/>
      <c r="B950" s="14"/>
      <c r="C950" s="14"/>
      <c r="D950" s="14"/>
      <c r="E950" s="444"/>
      <c r="F950" s="444"/>
      <c r="G950" s="444"/>
      <c r="H950" s="444"/>
      <c r="I950" s="444"/>
      <c r="J950" s="444"/>
      <c r="K950" s="444"/>
      <c r="L950" s="444"/>
      <c r="M950" s="444"/>
      <c r="N950" s="444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13"/>
      <c r="B951" s="14"/>
      <c r="C951" s="14"/>
      <c r="D951" s="14"/>
      <c r="E951" s="444"/>
      <c r="F951" s="444"/>
      <c r="G951" s="444"/>
      <c r="H951" s="444"/>
      <c r="I951" s="444"/>
      <c r="J951" s="444"/>
      <c r="K951" s="444"/>
      <c r="L951" s="444"/>
      <c r="M951" s="444"/>
      <c r="N951" s="444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13"/>
      <c r="B952" s="14"/>
      <c r="C952" s="14"/>
      <c r="D952" s="14"/>
      <c r="E952" s="444"/>
      <c r="F952" s="444"/>
      <c r="G952" s="444"/>
      <c r="H952" s="444"/>
      <c r="I952" s="444"/>
      <c r="J952" s="444"/>
      <c r="K952" s="444"/>
      <c r="L952" s="444"/>
      <c r="M952" s="444"/>
      <c r="N952" s="444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13"/>
      <c r="B953" s="14"/>
      <c r="C953" s="14"/>
      <c r="D953" s="14"/>
      <c r="E953" s="444"/>
      <c r="F953" s="444"/>
      <c r="G953" s="444"/>
      <c r="H953" s="444"/>
      <c r="I953" s="444"/>
      <c r="J953" s="444"/>
      <c r="K953" s="444"/>
      <c r="L953" s="444"/>
      <c r="M953" s="444"/>
      <c r="N953" s="444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13"/>
      <c r="B954" s="14"/>
      <c r="C954" s="14"/>
      <c r="D954" s="14"/>
      <c r="E954" s="444"/>
      <c r="F954" s="444"/>
      <c r="G954" s="444"/>
      <c r="H954" s="444"/>
      <c r="I954" s="444"/>
      <c r="J954" s="444"/>
      <c r="K954" s="444"/>
      <c r="L954" s="444"/>
      <c r="M954" s="444"/>
      <c r="N954" s="444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13"/>
      <c r="B955" s="14"/>
      <c r="C955" s="14"/>
      <c r="D955" s="14"/>
      <c r="E955" s="444"/>
      <c r="F955" s="444"/>
      <c r="G955" s="444"/>
      <c r="H955" s="444"/>
      <c r="I955" s="444"/>
      <c r="J955" s="444"/>
      <c r="K955" s="444"/>
      <c r="L955" s="444"/>
      <c r="M955" s="444"/>
      <c r="N955" s="444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13"/>
      <c r="B956" s="14"/>
      <c r="C956" s="14"/>
      <c r="D956" s="14"/>
      <c r="E956" s="444"/>
      <c r="F956" s="444"/>
      <c r="G956" s="444"/>
      <c r="H956" s="444"/>
      <c r="I956" s="444"/>
      <c r="J956" s="444"/>
      <c r="K956" s="444"/>
      <c r="L956" s="444"/>
      <c r="M956" s="444"/>
      <c r="N956" s="444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13"/>
      <c r="B957" s="14"/>
      <c r="C957" s="14"/>
      <c r="D957" s="14"/>
      <c r="E957" s="444"/>
      <c r="F957" s="444"/>
      <c r="G957" s="444"/>
      <c r="H957" s="444"/>
      <c r="I957" s="444"/>
      <c r="J957" s="444"/>
      <c r="K957" s="444"/>
      <c r="L957" s="444"/>
      <c r="M957" s="444"/>
      <c r="N957" s="444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13"/>
      <c r="B958" s="14"/>
      <c r="C958" s="14"/>
      <c r="D958" s="14"/>
      <c r="E958" s="444"/>
      <c r="F958" s="444"/>
      <c r="G958" s="444"/>
      <c r="H958" s="444"/>
      <c r="I958" s="444"/>
      <c r="J958" s="444"/>
      <c r="K958" s="444"/>
      <c r="L958" s="444"/>
      <c r="M958" s="444"/>
      <c r="N958" s="444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13"/>
      <c r="B959" s="14"/>
      <c r="C959" s="14"/>
      <c r="D959" s="14"/>
      <c r="E959" s="444"/>
      <c r="F959" s="444"/>
      <c r="G959" s="444"/>
      <c r="H959" s="444"/>
      <c r="I959" s="444"/>
      <c r="J959" s="444"/>
      <c r="K959" s="444"/>
      <c r="L959" s="444"/>
      <c r="M959" s="444"/>
      <c r="N959" s="444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13"/>
      <c r="B960" s="14"/>
      <c r="C960" s="14"/>
      <c r="D960" s="14"/>
      <c r="E960" s="444"/>
      <c r="F960" s="444"/>
      <c r="G960" s="444"/>
      <c r="H960" s="444"/>
      <c r="I960" s="444"/>
      <c r="J960" s="444"/>
      <c r="K960" s="444"/>
      <c r="L960" s="444"/>
      <c r="M960" s="444"/>
      <c r="N960" s="444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13"/>
      <c r="B961" s="14"/>
      <c r="C961" s="14"/>
      <c r="D961" s="14"/>
      <c r="E961" s="444"/>
      <c r="F961" s="444"/>
      <c r="G961" s="444"/>
      <c r="H961" s="444"/>
      <c r="I961" s="444"/>
      <c r="J961" s="444"/>
      <c r="K961" s="444"/>
      <c r="L961" s="444"/>
      <c r="M961" s="444"/>
      <c r="N961" s="444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13"/>
      <c r="B962" s="14"/>
      <c r="C962" s="14"/>
      <c r="D962" s="14"/>
      <c r="E962" s="444"/>
      <c r="F962" s="444"/>
      <c r="G962" s="444"/>
      <c r="H962" s="444"/>
      <c r="I962" s="444"/>
      <c r="J962" s="444"/>
      <c r="K962" s="444"/>
      <c r="L962" s="444"/>
      <c r="M962" s="444"/>
      <c r="N962" s="444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13"/>
      <c r="B963" s="14"/>
      <c r="C963" s="14"/>
      <c r="D963" s="14"/>
      <c r="E963" s="444"/>
      <c r="F963" s="444"/>
      <c r="G963" s="444"/>
      <c r="H963" s="444"/>
      <c r="I963" s="444"/>
      <c r="J963" s="444"/>
      <c r="K963" s="444"/>
      <c r="L963" s="444"/>
      <c r="M963" s="444"/>
      <c r="N963" s="444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13"/>
      <c r="B964" s="14"/>
      <c r="C964" s="14"/>
      <c r="D964" s="14"/>
      <c r="E964" s="444"/>
      <c r="F964" s="444"/>
      <c r="G964" s="444"/>
      <c r="H964" s="444"/>
      <c r="I964" s="444"/>
      <c r="J964" s="444"/>
      <c r="K964" s="444"/>
      <c r="L964" s="444"/>
      <c r="M964" s="444"/>
      <c r="N964" s="444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13"/>
      <c r="B965" s="14"/>
      <c r="C965" s="14"/>
      <c r="D965" s="14"/>
      <c r="E965" s="444"/>
      <c r="F965" s="444"/>
      <c r="G965" s="444"/>
      <c r="H965" s="444"/>
      <c r="I965" s="444"/>
      <c r="J965" s="444"/>
      <c r="K965" s="444"/>
      <c r="L965" s="444"/>
      <c r="M965" s="444"/>
      <c r="N965" s="444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13"/>
      <c r="B966" s="14"/>
      <c r="C966" s="14"/>
      <c r="D966" s="14"/>
      <c r="E966" s="444"/>
      <c r="F966" s="444"/>
      <c r="G966" s="444"/>
      <c r="H966" s="444"/>
      <c r="I966" s="444"/>
      <c r="J966" s="444"/>
      <c r="K966" s="444"/>
      <c r="L966" s="444"/>
      <c r="M966" s="444"/>
      <c r="N966" s="444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13"/>
      <c r="B967" s="14"/>
      <c r="C967" s="14"/>
      <c r="D967" s="14"/>
      <c r="E967" s="444"/>
      <c r="F967" s="444"/>
      <c r="G967" s="444"/>
      <c r="H967" s="444"/>
      <c r="I967" s="444"/>
      <c r="J967" s="444"/>
      <c r="K967" s="444"/>
      <c r="L967" s="444"/>
      <c r="M967" s="444"/>
      <c r="N967" s="444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13"/>
      <c r="B968" s="14"/>
      <c r="C968" s="14"/>
      <c r="D968" s="14"/>
      <c r="E968" s="444"/>
      <c r="F968" s="444"/>
      <c r="G968" s="444"/>
      <c r="H968" s="444"/>
      <c r="I968" s="444"/>
      <c r="J968" s="444"/>
      <c r="K968" s="444"/>
      <c r="L968" s="444"/>
      <c r="M968" s="444"/>
      <c r="N968" s="444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13"/>
      <c r="B969" s="14"/>
      <c r="C969" s="14"/>
      <c r="D969" s="14"/>
      <c r="E969" s="444"/>
      <c r="F969" s="444"/>
      <c r="G969" s="444"/>
      <c r="H969" s="444"/>
      <c r="I969" s="444"/>
      <c r="J969" s="444"/>
      <c r="K969" s="444"/>
      <c r="L969" s="444"/>
      <c r="M969" s="444"/>
      <c r="N969" s="444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13"/>
      <c r="B970" s="14"/>
      <c r="C970" s="14"/>
      <c r="D970" s="14"/>
      <c r="E970" s="444"/>
      <c r="F970" s="444"/>
      <c r="G970" s="444"/>
      <c r="H970" s="444"/>
      <c r="I970" s="444"/>
      <c r="J970" s="444"/>
      <c r="K970" s="444"/>
      <c r="L970" s="444"/>
      <c r="M970" s="444"/>
      <c r="N970" s="444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13"/>
      <c r="B971" s="14"/>
      <c r="C971" s="14"/>
      <c r="D971" s="14"/>
      <c r="E971" s="444"/>
      <c r="F971" s="444"/>
      <c r="G971" s="444"/>
      <c r="H971" s="444"/>
      <c r="I971" s="444"/>
      <c r="J971" s="444"/>
      <c r="K971" s="444"/>
      <c r="L971" s="444"/>
      <c r="M971" s="444"/>
      <c r="N971" s="444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13"/>
      <c r="B972" s="14"/>
      <c r="C972" s="14"/>
      <c r="D972" s="14"/>
      <c r="E972" s="444"/>
      <c r="F972" s="444"/>
      <c r="G972" s="444"/>
      <c r="H972" s="444"/>
      <c r="I972" s="444"/>
      <c r="J972" s="444"/>
      <c r="K972" s="444"/>
      <c r="L972" s="444"/>
      <c r="M972" s="444"/>
      <c r="N972" s="444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13"/>
      <c r="B973" s="14"/>
      <c r="C973" s="14"/>
      <c r="D973" s="14"/>
      <c r="E973" s="444"/>
      <c r="F973" s="444"/>
      <c r="G973" s="444"/>
      <c r="H973" s="444"/>
      <c r="I973" s="444"/>
      <c r="J973" s="444"/>
      <c r="K973" s="444"/>
      <c r="L973" s="444"/>
      <c r="M973" s="444"/>
      <c r="N973" s="444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13"/>
      <c r="B974" s="14"/>
      <c r="C974" s="14"/>
      <c r="D974" s="14"/>
      <c r="E974" s="444"/>
      <c r="F974" s="444"/>
      <c r="G974" s="444"/>
      <c r="H974" s="444"/>
      <c r="I974" s="444"/>
      <c r="J974" s="444"/>
      <c r="K974" s="444"/>
      <c r="L974" s="444"/>
      <c r="M974" s="444"/>
      <c r="N974" s="444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13"/>
      <c r="B975" s="14"/>
      <c r="C975" s="14"/>
      <c r="D975" s="14"/>
      <c r="E975" s="444"/>
      <c r="F975" s="444"/>
      <c r="G975" s="444"/>
      <c r="H975" s="444"/>
      <c r="I975" s="444"/>
      <c r="J975" s="444"/>
      <c r="K975" s="444"/>
      <c r="L975" s="444"/>
      <c r="M975" s="444"/>
      <c r="N975" s="444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13"/>
      <c r="B976" s="14"/>
      <c r="C976" s="14"/>
      <c r="D976" s="14"/>
      <c r="E976" s="444"/>
      <c r="F976" s="444"/>
      <c r="G976" s="444"/>
      <c r="H976" s="444"/>
      <c r="I976" s="444"/>
      <c r="J976" s="444"/>
      <c r="K976" s="444"/>
      <c r="L976" s="444"/>
      <c r="M976" s="444"/>
      <c r="N976" s="444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13"/>
      <c r="B977" s="14"/>
      <c r="C977" s="14"/>
      <c r="D977" s="14"/>
      <c r="E977" s="444"/>
      <c r="F977" s="444"/>
      <c r="G977" s="444"/>
      <c r="H977" s="444"/>
      <c r="I977" s="444"/>
      <c r="J977" s="444"/>
      <c r="K977" s="444"/>
      <c r="L977" s="444"/>
      <c r="M977" s="444"/>
      <c r="N977" s="444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13"/>
      <c r="B978" s="14"/>
      <c r="C978" s="14"/>
      <c r="D978" s="14"/>
      <c r="E978" s="444"/>
      <c r="F978" s="444"/>
      <c r="G978" s="444"/>
      <c r="H978" s="444"/>
      <c r="I978" s="444"/>
      <c r="J978" s="444"/>
      <c r="K978" s="444"/>
      <c r="L978" s="444"/>
      <c r="M978" s="444"/>
      <c r="N978" s="444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13"/>
      <c r="B979" s="14"/>
      <c r="C979" s="14"/>
      <c r="D979" s="14"/>
      <c r="E979" s="444"/>
      <c r="F979" s="444"/>
      <c r="G979" s="444"/>
      <c r="H979" s="444"/>
      <c r="I979" s="444"/>
      <c r="J979" s="444"/>
      <c r="K979" s="444"/>
      <c r="L979" s="444"/>
      <c r="M979" s="444"/>
      <c r="N979" s="444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13"/>
      <c r="B980" s="14"/>
      <c r="C980" s="14"/>
      <c r="D980" s="14"/>
      <c r="E980" s="444"/>
      <c r="F980" s="444"/>
      <c r="G980" s="444"/>
      <c r="H980" s="444"/>
      <c r="I980" s="444"/>
      <c r="J980" s="444"/>
      <c r="K980" s="444"/>
      <c r="L980" s="444"/>
      <c r="M980" s="444"/>
      <c r="N980" s="444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13"/>
      <c r="B981" s="14"/>
      <c r="C981" s="14"/>
      <c r="D981" s="14"/>
      <c r="E981" s="444"/>
      <c r="F981" s="444"/>
      <c r="G981" s="444"/>
      <c r="H981" s="444"/>
      <c r="I981" s="444"/>
      <c r="J981" s="444"/>
      <c r="K981" s="444"/>
      <c r="L981" s="444"/>
      <c r="M981" s="444"/>
      <c r="N981" s="444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13"/>
      <c r="B982" s="14"/>
      <c r="C982" s="14"/>
      <c r="D982" s="14"/>
      <c r="E982" s="444"/>
      <c r="F982" s="444"/>
      <c r="G982" s="444"/>
      <c r="H982" s="444"/>
      <c r="I982" s="444"/>
      <c r="J982" s="444"/>
      <c r="K982" s="444"/>
      <c r="L982" s="444"/>
      <c r="M982" s="444"/>
      <c r="N982" s="444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13"/>
      <c r="B983" s="14"/>
      <c r="C983" s="14"/>
      <c r="D983" s="14"/>
      <c r="E983" s="444"/>
      <c r="F983" s="444"/>
      <c r="G983" s="444"/>
      <c r="H983" s="444"/>
      <c r="I983" s="444"/>
      <c r="J983" s="444"/>
      <c r="K983" s="444"/>
      <c r="L983" s="444"/>
      <c r="M983" s="444"/>
      <c r="N983" s="444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13"/>
      <c r="B984" s="14"/>
      <c r="C984" s="14"/>
      <c r="D984" s="14"/>
      <c r="E984" s="444"/>
      <c r="F984" s="444"/>
      <c r="G984" s="444"/>
      <c r="H984" s="444"/>
      <c r="I984" s="444"/>
      <c r="J984" s="444"/>
      <c r="K984" s="444"/>
      <c r="L984" s="444"/>
      <c r="M984" s="444"/>
      <c r="N984" s="444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13"/>
      <c r="B985" s="14"/>
      <c r="C985" s="14"/>
      <c r="D985" s="14"/>
      <c r="E985" s="444"/>
      <c r="F985" s="444"/>
      <c r="G985" s="444"/>
      <c r="H985" s="444"/>
      <c r="I985" s="444"/>
      <c r="J985" s="444"/>
      <c r="K985" s="444"/>
      <c r="L985" s="444"/>
      <c r="M985" s="444"/>
      <c r="N985" s="444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13"/>
      <c r="B986" s="14"/>
      <c r="C986" s="14"/>
      <c r="D986" s="14"/>
      <c r="E986" s="444"/>
      <c r="F986" s="444"/>
      <c r="G986" s="444"/>
      <c r="H986" s="444"/>
      <c r="I986" s="444"/>
      <c r="J986" s="444"/>
      <c r="K986" s="444"/>
      <c r="L986" s="444"/>
      <c r="M986" s="444"/>
      <c r="N986" s="444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13"/>
      <c r="B987" s="14"/>
      <c r="C987" s="14"/>
      <c r="D987" s="14"/>
      <c r="E987" s="444"/>
      <c r="F987" s="444"/>
      <c r="G987" s="444"/>
      <c r="H987" s="444"/>
      <c r="I987" s="444"/>
      <c r="J987" s="444"/>
      <c r="K987" s="444"/>
      <c r="L987" s="444"/>
      <c r="M987" s="444"/>
      <c r="N987" s="444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13"/>
      <c r="B988" s="14"/>
      <c r="C988" s="14"/>
      <c r="D988" s="14"/>
      <c r="E988" s="444"/>
      <c r="F988" s="444"/>
      <c r="G988" s="444"/>
      <c r="H988" s="444"/>
      <c r="I988" s="444"/>
      <c r="J988" s="444"/>
      <c r="K988" s="444"/>
      <c r="L988" s="444"/>
      <c r="M988" s="444"/>
      <c r="N988" s="444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13"/>
      <c r="B989" s="14"/>
      <c r="C989" s="14"/>
      <c r="D989" s="14"/>
      <c r="E989" s="444"/>
      <c r="F989" s="444"/>
      <c r="G989" s="444"/>
      <c r="H989" s="444"/>
      <c r="I989" s="444"/>
      <c r="J989" s="444"/>
      <c r="K989" s="444"/>
      <c r="L989" s="444"/>
      <c r="M989" s="444"/>
      <c r="N989" s="444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13"/>
      <c r="B990" s="14"/>
      <c r="C990" s="14"/>
      <c r="D990" s="14"/>
      <c r="E990" s="444"/>
      <c r="F990" s="444"/>
      <c r="G990" s="444"/>
      <c r="H990" s="444"/>
      <c r="I990" s="444"/>
      <c r="J990" s="444"/>
      <c r="K990" s="444"/>
      <c r="L990" s="444"/>
      <c r="M990" s="444"/>
      <c r="N990" s="444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13"/>
      <c r="B991" s="14"/>
      <c r="C991" s="14"/>
      <c r="D991" s="14"/>
      <c r="E991" s="444"/>
      <c r="F991" s="444"/>
      <c r="G991" s="444"/>
      <c r="H991" s="444"/>
      <c r="I991" s="444"/>
      <c r="J991" s="444"/>
      <c r="K991" s="444"/>
      <c r="L991" s="444"/>
      <c r="M991" s="444"/>
      <c r="N991" s="444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13"/>
      <c r="B992" s="14"/>
      <c r="C992" s="14"/>
      <c r="D992" s="14"/>
      <c r="E992" s="444"/>
      <c r="F992" s="444"/>
      <c r="G992" s="444"/>
      <c r="H992" s="444"/>
      <c r="I992" s="444"/>
      <c r="J992" s="444"/>
      <c r="K992" s="444"/>
      <c r="L992" s="444"/>
      <c r="M992" s="444"/>
      <c r="N992" s="444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13"/>
      <c r="B993" s="14"/>
      <c r="C993" s="14"/>
      <c r="D993" s="14"/>
      <c r="E993" s="444"/>
      <c r="F993" s="444"/>
      <c r="G993" s="444"/>
      <c r="H993" s="444"/>
      <c r="I993" s="444"/>
      <c r="J993" s="444"/>
      <c r="K993" s="444"/>
      <c r="L993" s="444"/>
      <c r="M993" s="444"/>
      <c r="N993" s="444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13"/>
      <c r="B994" s="14"/>
      <c r="C994" s="14"/>
      <c r="D994" s="14"/>
      <c r="E994" s="444"/>
      <c r="F994" s="444"/>
      <c r="G994" s="444"/>
      <c r="H994" s="444"/>
      <c r="I994" s="444"/>
      <c r="J994" s="444"/>
      <c r="K994" s="444"/>
      <c r="L994" s="444"/>
      <c r="M994" s="444"/>
      <c r="N994" s="444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13"/>
      <c r="B995" s="14"/>
      <c r="C995" s="14"/>
      <c r="D995" s="14"/>
      <c r="E995" s="444"/>
      <c r="F995" s="444"/>
      <c r="G995" s="444"/>
      <c r="H995" s="444"/>
      <c r="I995" s="444"/>
      <c r="J995" s="444"/>
      <c r="K995" s="444"/>
      <c r="L995" s="444"/>
      <c r="M995" s="444"/>
      <c r="N995" s="444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13"/>
      <c r="B996" s="14"/>
      <c r="C996" s="14"/>
      <c r="D996" s="14"/>
      <c r="E996" s="444"/>
      <c r="F996" s="444"/>
      <c r="G996" s="444"/>
      <c r="H996" s="444"/>
      <c r="I996" s="444"/>
      <c r="J996" s="444"/>
      <c r="K996" s="444"/>
      <c r="L996" s="444"/>
      <c r="M996" s="444"/>
      <c r="N996" s="444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13"/>
      <c r="B997" s="14"/>
      <c r="C997" s="14"/>
      <c r="D997" s="14"/>
      <c r="E997" s="444"/>
      <c r="F997" s="444"/>
      <c r="G997" s="444"/>
      <c r="H997" s="444"/>
      <c r="I997" s="444"/>
      <c r="J997" s="444"/>
      <c r="K997" s="444"/>
      <c r="L997" s="444"/>
      <c r="M997" s="444"/>
      <c r="N997" s="444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13"/>
      <c r="B998" s="14"/>
      <c r="C998" s="14"/>
      <c r="D998" s="14"/>
      <c r="E998" s="444"/>
      <c r="F998" s="444"/>
      <c r="G998" s="444"/>
      <c r="H998" s="444"/>
      <c r="I998" s="444"/>
      <c r="J998" s="444"/>
      <c r="K998" s="444"/>
      <c r="L998" s="444"/>
      <c r="M998" s="444"/>
      <c r="N998" s="444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13"/>
      <c r="B999" s="14"/>
      <c r="C999" s="14"/>
      <c r="D999" s="14"/>
      <c r="E999" s="444"/>
      <c r="F999" s="444"/>
      <c r="G999" s="444"/>
      <c r="H999" s="444"/>
      <c r="I999" s="444"/>
      <c r="J999" s="444"/>
      <c r="K999" s="444"/>
      <c r="L999" s="444"/>
      <c r="M999" s="444"/>
      <c r="N999" s="444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13"/>
      <c r="B1000" s="14"/>
      <c r="C1000" s="14"/>
      <c r="D1000" s="14"/>
      <c r="E1000" s="444"/>
      <c r="F1000" s="444"/>
      <c r="G1000" s="444"/>
      <c r="H1000" s="444"/>
      <c r="I1000" s="444"/>
      <c r="J1000" s="444"/>
      <c r="K1000" s="444"/>
      <c r="L1000" s="444"/>
      <c r="M1000" s="444"/>
      <c r="N1000" s="444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spans="1:26" ht="15.75" customHeight="1" x14ac:dyDescent="0.2">
      <c r="A1001" s="13"/>
      <c r="B1001" s="14"/>
      <c r="C1001" s="14"/>
      <c r="D1001" s="14"/>
      <c r="E1001" s="444"/>
      <c r="F1001" s="444"/>
      <c r="G1001" s="444"/>
      <c r="H1001" s="444"/>
      <c r="I1001" s="444"/>
      <c r="J1001" s="444"/>
      <c r="K1001" s="444"/>
      <c r="L1001" s="444"/>
      <c r="M1001" s="444"/>
      <c r="N1001" s="444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spans="1:26" ht="15.75" customHeight="1" x14ac:dyDescent="0.2">
      <c r="A1002" s="13"/>
      <c r="B1002" s="14"/>
      <c r="C1002" s="14"/>
      <c r="D1002" s="14"/>
      <c r="E1002" s="444"/>
      <c r="F1002" s="444"/>
      <c r="G1002" s="444"/>
      <c r="H1002" s="444"/>
      <c r="I1002" s="444"/>
      <c r="J1002" s="444"/>
      <c r="K1002" s="444"/>
      <c r="L1002" s="444"/>
      <c r="M1002" s="444"/>
      <c r="N1002" s="444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  <row r="1003" spans="1:26" ht="15.75" customHeight="1" x14ac:dyDescent="0.2">
      <c r="A1003" s="13"/>
      <c r="B1003" s="14"/>
      <c r="C1003" s="14"/>
      <c r="D1003" s="14"/>
      <c r="E1003" s="444"/>
      <c r="F1003" s="444"/>
      <c r="G1003" s="444"/>
      <c r="H1003" s="444"/>
      <c r="I1003" s="444"/>
      <c r="J1003" s="444"/>
      <c r="K1003" s="444"/>
      <c r="L1003" s="444"/>
      <c r="M1003" s="444"/>
      <c r="N1003" s="444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</row>
    <row r="1004" spans="1:26" ht="15.75" customHeight="1" x14ac:dyDescent="0.2">
      <c r="A1004" s="13"/>
      <c r="B1004" s="14"/>
      <c r="C1004" s="14"/>
      <c r="D1004" s="14"/>
      <c r="E1004" s="444"/>
      <c r="F1004" s="444"/>
      <c r="G1004" s="444"/>
      <c r="H1004" s="444"/>
      <c r="I1004" s="444"/>
      <c r="J1004" s="444"/>
      <c r="K1004" s="444"/>
      <c r="L1004" s="444"/>
      <c r="M1004" s="444"/>
      <c r="N1004" s="444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</row>
    <row r="1005" spans="1:26" ht="15.75" customHeight="1" x14ac:dyDescent="0.2">
      <c r="A1005" s="13"/>
      <c r="B1005" s="14"/>
      <c r="C1005" s="14"/>
      <c r="D1005" s="14"/>
      <c r="E1005" s="444"/>
      <c r="F1005" s="444"/>
      <c r="G1005" s="444"/>
      <c r="H1005" s="444"/>
      <c r="I1005" s="444"/>
      <c r="J1005" s="444"/>
      <c r="K1005" s="444"/>
      <c r="L1005" s="444"/>
      <c r="M1005" s="444"/>
      <c r="N1005" s="444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</row>
    <row r="1006" spans="1:26" ht="15.75" customHeight="1" x14ac:dyDescent="0.2">
      <c r="A1006" s="13"/>
      <c r="B1006" s="14"/>
      <c r="C1006" s="14"/>
      <c r="D1006" s="14"/>
      <c r="E1006" s="444"/>
      <c r="F1006" s="444"/>
      <c r="G1006" s="444"/>
      <c r="H1006" s="444"/>
      <c r="I1006" s="444"/>
      <c r="J1006" s="444"/>
      <c r="K1006" s="444"/>
      <c r="L1006" s="444"/>
      <c r="M1006" s="444"/>
      <c r="N1006" s="444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</row>
    <row r="1007" spans="1:26" ht="15.75" customHeight="1" x14ac:dyDescent="0.2">
      <c r="A1007" s="13"/>
      <c r="B1007" s="14"/>
      <c r="C1007" s="14"/>
      <c r="D1007" s="14"/>
      <c r="E1007" s="444"/>
      <c r="F1007" s="444"/>
      <c r="G1007" s="444"/>
      <c r="H1007" s="444"/>
      <c r="I1007" s="444"/>
      <c r="J1007" s="444"/>
      <c r="K1007" s="444"/>
      <c r="L1007" s="444"/>
      <c r="M1007" s="444"/>
      <c r="N1007" s="444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</row>
    <row r="1008" spans="1:26" ht="15.75" customHeight="1" x14ac:dyDescent="0.2">
      <c r="A1008" s="13"/>
      <c r="B1008" s="14"/>
      <c r="C1008" s="14"/>
      <c r="D1008" s="14"/>
      <c r="E1008" s="444"/>
      <c r="F1008" s="444"/>
      <c r="G1008" s="444"/>
      <c r="H1008" s="444"/>
      <c r="I1008" s="444"/>
      <c r="J1008" s="444"/>
      <c r="K1008" s="444"/>
      <c r="L1008" s="444"/>
      <c r="M1008" s="444"/>
      <c r="N1008" s="444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</row>
    <row r="1009" spans="1:26" ht="15.75" customHeight="1" x14ac:dyDescent="0.2">
      <c r="A1009" s="13"/>
      <c r="B1009" s="14"/>
      <c r="C1009" s="14"/>
      <c r="D1009" s="14"/>
      <c r="E1009" s="444"/>
      <c r="F1009" s="444"/>
      <c r="G1009" s="444"/>
      <c r="H1009" s="444"/>
      <c r="I1009" s="444"/>
      <c r="J1009" s="444"/>
      <c r="K1009" s="444"/>
      <c r="L1009" s="444"/>
      <c r="M1009" s="444"/>
      <c r="N1009" s="444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</row>
    <row r="1010" spans="1:26" ht="15.75" customHeight="1" x14ac:dyDescent="0.2">
      <c r="A1010" s="13"/>
      <c r="B1010" s="14"/>
      <c r="C1010" s="14"/>
      <c r="D1010" s="14"/>
      <c r="E1010" s="444"/>
      <c r="F1010" s="444"/>
      <c r="G1010" s="444"/>
      <c r="H1010" s="444"/>
      <c r="I1010" s="444"/>
      <c r="J1010" s="444"/>
      <c r="K1010" s="444"/>
      <c r="L1010" s="444"/>
      <c r="M1010" s="444"/>
      <c r="N1010" s="444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</row>
    <row r="1011" spans="1:26" ht="15.75" customHeight="1" x14ac:dyDescent="0.2">
      <c r="A1011" s="13"/>
      <c r="B1011" s="14"/>
      <c r="C1011" s="14"/>
      <c r="D1011" s="14"/>
      <c r="E1011" s="444"/>
      <c r="F1011" s="444"/>
      <c r="G1011" s="444"/>
      <c r="H1011" s="444"/>
      <c r="I1011" s="444"/>
      <c r="J1011" s="444"/>
      <c r="K1011" s="444"/>
      <c r="L1011" s="444"/>
      <c r="M1011" s="444"/>
      <c r="N1011" s="444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</row>
    <row r="1012" spans="1:26" ht="15.75" customHeight="1" x14ac:dyDescent="0.2">
      <c r="A1012" s="13"/>
      <c r="B1012" s="14"/>
      <c r="C1012" s="14"/>
      <c r="D1012" s="14"/>
      <c r="E1012" s="444"/>
      <c r="F1012" s="444"/>
      <c r="G1012" s="444"/>
      <c r="H1012" s="444"/>
      <c r="I1012" s="444"/>
      <c r="J1012" s="444"/>
      <c r="K1012" s="444"/>
      <c r="L1012" s="444"/>
      <c r="M1012" s="444"/>
      <c r="N1012" s="444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</row>
  </sheetData>
  <printOptions horizontalCentered="1" verticalCentered="1"/>
  <pageMargins left="0.25" right="0.25" top="0.75" bottom="0.75" header="0.3" footer="0.3"/>
  <pageSetup fitToHeight="0" orientation="landscape" r:id="rId1"/>
  <headerFooter>
    <oddHeader>&amp;A</oddHeader>
    <oddFooter>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E1000"/>
  <sheetViews>
    <sheetView topLeftCell="A4" workbookViewId="0"/>
  </sheetViews>
  <sheetFormatPr defaultColWidth="12.5703125" defaultRowHeight="15" customHeight="1" outlineLevelCol="1" x14ac:dyDescent="0.2"/>
  <cols>
    <col min="2" max="2" width="30" customWidth="1" collapsed="1"/>
    <col min="3" max="3" width="3.5703125" hidden="1" customWidth="1" outlineLevel="1"/>
    <col min="4" max="4" width="12.140625" hidden="1" customWidth="1" outlineLevel="1"/>
    <col min="5" max="5" width="12.5703125" hidden="1" outlineLevel="1"/>
    <col min="6" max="6" width="12.28515625" hidden="1" customWidth="1" outlineLevel="1"/>
    <col min="7" max="7" width="11.5703125" hidden="1" customWidth="1" outlineLevel="1"/>
    <col min="8" max="10" width="12" hidden="1" customWidth="1" outlineLevel="1"/>
    <col min="11" max="11" width="3.5703125" hidden="1" customWidth="1" outlineLevel="1"/>
    <col min="12" max="12" width="12" customWidth="1"/>
    <col min="13" max="13" width="13.85546875" customWidth="1"/>
    <col min="14" max="15" width="12.140625" customWidth="1"/>
    <col min="16" max="17" width="12.42578125" customWidth="1"/>
    <col min="18" max="18" width="11.7109375" customWidth="1"/>
    <col min="19" max="19" width="12" customWidth="1"/>
    <col min="20" max="20" width="11.85546875" customWidth="1"/>
    <col min="21" max="21" width="10.5703125" customWidth="1"/>
    <col min="22" max="22" width="3" customWidth="1"/>
    <col min="24" max="24" width="11.28515625" customWidth="1"/>
  </cols>
  <sheetData>
    <row r="1" spans="1:31" ht="15.75" hidden="1" customHeight="1" x14ac:dyDescent="0.25">
      <c r="A1" s="5"/>
      <c r="B1" s="5"/>
      <c r="C1" s="15"/>
      <c r="D1" s="16"/>
      <c r="E1" s="17" t="s">
        <v>48</v>
      </c>
      <c r="F1" s="17" t="s">
        <v>542</v>
      </c>
      <c r="G1" s="16"/>
      <c r="H1" s="18"/>
      <c r="I1" s="16"/>
      <c r="J1" s="16"/>
      <c r="K1" s="15"/>
      <c r="L1" s="7"/>
      <c r="M1" s="7"/>
      <c r="N1" s="7"/>
      <c r="O1" s="7"/>
      <c r="P1" s="7"/>
      <c r="Q1" s="7"/>
      <c r="R1" s="7"/>
      <c r="S1" s="7"/>
    </row>
    <row r="2" spans="1:31" ht="15.75" hidden="1" customHeight="1" x14ac:dyDescent="0.2">
      <c r="A2" s="5"/>
      <c r="B2" s="5"/>
      <c r="C2" s="15"/>
      <c r="D2" s="16"/>
      <c r="E2" s="16" t="s">
        <v>157</v>
      </c>
      <c r="F2" s="16"/>
      <c r="G2" s="16"/>
      <c r="H2" s="18"/>
      <c r="I2" s="16"/>
      <c r="J2" s="16"/>
      <c r="K2" s="15"/>
      <c r="L2" s="7"/>
      <c r="M2" s="7"/>
      <c r="N2" s="7"/>
      <c r="O2" s="7"/>
      <c r="P2" s="7"/>
      <c r="Q2" s="7"/>
      <c r="R2" s="7"/>
      <c r="S2" s="7"/>
    </row>
    <row r="3" spans="1:31" ht="15.75" hidden="1" customHeight="1" x14ac:dyDescent="0.25">
      <c r="A3" s="5"/>
      <c r="B3" s="5"/>
      <c r="C3" s="15"/>
      <c r="D3" s="16"/>
      <c r="E3" s="16"/>
      <c r="F3" s="16"/>
      <c r="G3" s="16"/>
      <c r="H3" s="18"/>
      <c r="I3" s="16"/>
      <c r="J3" s="16"/>
      <c r="K3" s="15"/>
      <c r="L3" s="7"/>
      <c r="M3" s="7"/>
      <c r="N3" s="7"/>
      <c r="O3" s="7"/>
      <c r="P3" s="7"/>
      <c r="Q3" s="7"/>
      <c r="R3" s="7"/>
      <c r="S3" s="7"/>
      <c r="W3" s="19"/>
      <c r="X3" s="20"/>
    </row>
    <row r="4" spans="1:31" ht="28.5" customHeight="1" x14ac:dyDescent="0.25">
      <c r="A4" s="1" t="s">
        <v>543</v>
      </c>
      <c r="B4" s="5"/>
      <c r="C4" s="15"/>
      <c r="D4" s="16"/>
      <c r="E4" s="16"/>
      <c r="F4" s="16"/>
      <c r="G4" s="16"/>
      <c r="H4" s="18"/>
      <c r="I4" s="16"/>
      <c r="J4" s="16"/>
      <c r="K4" s="15"/>
      <c r="L4" s="7"/>
      <c r="M4" s="7"/>
      <c r="N4" s="7"/>
      <c r="O4" s="7"/>
      <c r="P4" s="7"/>
      <c r="Q4" s="7"/>
      <c r="R4" s="7"/>
      <c r="S4" s="7"/>
      <c r="T4" s="206"/>
      <c r="W4" s="19"/>
      <c r="X4" s="20"/>
    </row>
    <row r="5" spans="1:31" ht="50.25" customHeight="1" x14ac:dyDescent="0.2">
      <c r="A5" s="3" t="s">
        <v>50</v>
      </c>
      <c r="B5" s="3" t="s">
        <v>51</v>
      </c>
      <c r="C5" s="21"/>
      <c r="D5" s="22" t="s">
        <v>52</v>
      </c>
      <c r="E5" s="23" t="s">
        <v>53</v>
      </c>
      <c r="F5" s="23" t="s">
        <v>54</v>
      </c>
      <c r="G5" s="23" t="s">
        <v>55</v>
      </c>
      <c r="H5" s="100" t="s">
        <v>56</v>
      </c>
      <c r="I5" s="23" t="s">
        <v>57</v>
      </c>
      <c r="J5" s="129" t="s">
        <v>58</v>
      </c>
      <c r="K5" s="130"/>
      <c r="L5" s="27" t="s">
        <v>59</v>
      </c>
      <c r="M5" s="27" t="s">
        <v>60</v>
      </c>
      <c r="N5" s="27" t="s">
        <v>61</v>
      </c>
      <c r="O5" s="27" t="s">
        <v>62</v>
      </c>
      <c r="P5" s="27" t="s">
        <v>63</v>
      </c>
      <c r="Q5" s="27" t="s">
        <v>64</v>
      </c>
      <c r="R5" s="27" t="s">
        <v>65</v>
      </c>
      <c r="S5" s="27" t="s">
        <v>66</v>
      </c>
      <c r="T5" s="207"/>
      <c r="U5" s="28"/>
      <c r="V5" s="19"/>
      <c r="X5" s="28"/>
      <c r="Y5" s="28"/>
      <c r="Z5" s="28"/>
      <c r="AA5" s="28"/>
      <c r="AB5" s="28"/>
      <c r="AC5" s="28"/>
      <c r="AD5" s="28"/>
      <c r="AE5" s="28"/>
    </row>
    <row r="6" spans="1:31" ht="15.75" customHeight="1" x14ac:dyDescent="0.25">
      <c r="A6" s="30" t="s">
        <v>544</v>
      </c>
      <c r="B6" s="30" t="s">
        <v>68</v>
      </c>
      <c r="C6" s="31"/>
      <c r="D6" s="32">
        <v>0</v>
      </c>
      <c r="E6" s="32" t="e">
        <f>D6*#REF!</f>
        <v>#REF!</v>
      </c>
      <c r="F6" s="32" t="e">
        <f>D6*#REF!</f>
        <v>#REF!</v>
      </c>
      <c r="G6" s="32" t="e">
        <f>(D6*#REF!)*#REF!</f>
        <v>#REF!</v>
      </c>
      <c r="H6" s="131">
        <f t="shared" ref="H6:H25" si="0">IFERROR(((Q6-G6)/G6),0)</f>
        <v>0</v>
      </c>
      <c r="I6" s="32" t="e">
        <f t="shared" ref="I6:I24" si="1">Q6-G6</f>
        <v>#REF!</v>
      </c>
      <c r="J6" s="32">
        <v>-43500</v>
      </c>
      <c r="K6" s="31"/>
      <c r="L6" s="35">
        <v>181858</v>
      </c>
      <c r="M6" s="35">
        <v>238810.79</v>
      </c>
      <c r="N6" s="35">
        <v>255692</v>
      </c>
      <c r="O6" s="35">
        <v>194218</v>
      </c>
      <c r="P6" s="32">
        <f t="shared" ref="P6:P9" si="2">O6/20*26</f>
        <v>252483.4</v>
      </c>
      <c r="Q6" s="32">
        <v>267500</v>
      </c>
      <c r="R6" s="108">
        <v>229800</v>
      </c>
      <c r="S6" s="35">
        <f t="shared" ref="S6:S24" si="3">R6-Q6</f>
        <v>-37700</v>
      </c>
    </row>
    <row r="7" spans="1:31" ht="15.75" customHeight="1" x14ac:dyDescent="0.25">
      <c r="A7" s="30" t="s">
        <v>545</v>
      </c>
      <c r="B7" s="30" t="s">
        <v>70</v>
      </c>
      <c r="C7" s="31"/>
      <c r="D7" s="32">
        <v>0</v>
      </c>
      <c r="E7" s="32" t="e">
        <f>D7*#REF!</f>
        <v>#REF!</v>
      </c>
      <c r="F7" s="32" t="e">
        <f>D7*#REF!</f>
        <v>#REF!</v>
      </c>
      <c r="G7" s="32" t="e">
        <f>(D7*#REF!)*#REF!</f>
        <v>#REF!</v>
      </c>
      <c r="H7" s="131">
        <f t="shared" si="0"/>
        <v>0</v>
      </c>
      <c r="I7" s="32" t="e">
        <f t="shared" si="1"/>
        <v>#REF!</v>
      </c>
      <c r="J7" s="16"/>
      <c r="K7" s="31"/>
      <c r="L7" s="35">
        <v>94</v>
      </c>
      <c r="M7" s="35">
        <v>9.93</v>
      </c>
      <c r="N7" s="35">
        <v>1000</v>
      </c>
      <c r="O7" s="35">
        <v>22.68</v>
      </c>
      <c r="P7" s="32">
        <f t="shared" si="2"/>
        <v>29.483999999999998</v>
      </c>
      <c r="Q7" s="32">
        <v>1000</v>
      </c>
      <c r="R7" s="35">
        <v>1000</v>
      </c>
      <c r="S7" s="35">
        <f t="shared" si="3"/>
        <v>0</v>
      </c>
    </row>
    <row r="8" spans="1:31" ht="15.75" customHeight="1" x14ac:dyDescent="0.25">
      <c r="A8" s="30" t="s">
        <v>546</v>
      </c>
      <c r="B8" s="30" t="s">
        <v>108</v>
      </c>
      <c r="C8" s="31"/>
      <c r="D8" s="32">
        <v>0</v>
      </c>
      <c r="E8" s="32" t="e">
        <f>D8*#REF!</f>
        <v>#REF!</v>
      </c>
      <c r="F8" s="32" t="e">
        <f>D8*#REF!</f>
        <v>#REF!</v>
      </c>
      <c r="G8" s="32" t="e">
        <f>(D8*#REF!)*#REF!</f>
        <v>#REF!</v>
      </c>
      <c r="H8" s="131">
        <f t="shared" si="0"/>
        <v>0</v>
      </c>
      <c r="I8" s="32" t="e">
        <f t="shared" si="1"/>
        <v>#REF!</v>
      </c>
      <c r="J8" s="16"/>
      <c r="K8" s="31"/>
      <c r="L8" s="35">
        <v>9229</v>
      </c>
      <c r="M8" s="35">
        <v>0</v>
      </c>
      <c r="N8" s="35">
        <v>0</v>
      </c>
      <c r="O8" s="35">
        <v>0</v>
      </c>
      <c r="P8" s="32">
        <f t="shared" si="2"/>
        <v>0</v>
      </c>
      <c r="Q8" s="32">
        <v>0</v>
      </c>
      <c r="R8" s="35">
        <v>0</v>
      </c>
      <c r="S8" s="35">
        <f t="shared" si="3"/>
        <v>0</v>
      </c>
    </row>
    <row r="9" spans="1:31" ht="15.75" customHeight="1" x14ac:dyDescent="0.25">
      <c r="A9" s="30" t="s">
        <v>547</v>
      </c>
      <c r="B9" s="30" t="s">
        <v>72</v>
      </c>
      <c r="C9" s="31"/>
      <c r="D9" s="32">
        <v>0</v>
      </c>
      <c r="E9" s="32" t="e">
        <f>D9*#REF!</f>
        <v>#REF!</v>
      </c>
      <c r="F9" s="32" t="e">
        <f>D9*#REF!</f>
        <v>#REF!</v>
      </c>
      <c r="G9" s="32" t="e">
        <f>(D9*#REF!)*#REF!</f>
        <v>#REF!</v>
      </c>
      <c r="H9" s="131">
        <f t="shared" si="0"/>
        <v>0</v>
      </c>
      <c r="I9" s="32" t="e">
        <f t="shared" si="1"/>
        <v>#REF!</v>
      </c>
      <c r="J9" s="16"/>
      <c r="K9" s="31"/>
      <c r="L9" s="35">
        <v>75470</v>
      </c>
      <c r="M9" s="35">
        <v>94981.09</v>
      </c>
      <c r="N9" s="35">
        <v>111809</v>
      </c>
      <c r="O9" s="35">
        <v>81453.55</v>
      </c>
      <c r="P9" s="32">
        <f t="shared" si="2"/>
        <v>105889.61500000001</v>
      </c>
      <c r="Q9" s="32">
        <v>112400</v>
      </c>
      <c r="R9" s="108">
        <v>102200</v>
      </c>
      <c r="S9" s="35">
        <f t="shared" si="3"/>
        <v>-10200</v>
      </c>
    </row>
    <row r="10" spans="1:31" ht="15.75" customHeight="1" x14ac:dyDescent="0.25">
      <c r="A10" s="30" t="s">
        <v>548</v>
      </c>
      <c r="B10" s="30" t="s">
        <v>549</v>
      </c>
      <c r="C10" s="31"/>
      <c r="D10" s="32">
        <v>53697</v>
      </c>
      <c r="E10" s="32" t="e">
        <f>D10*#REF!</f>
        <v>#REF!</v>
      </c>
      <c r="F10" s="32" t="e">
        <f>D10*#REF!</f>
        <v>#REF!</v>
      </c>
      <c r="G10" s="32" t="e">
        <f>(D10*#REF!)*#REF!</f>
        <v>#REF!</v>
      </c>
      <c r="H10" s="134">
        <f t="shared" si="0"/>
        <v>0</v>
      </c>
      <c r="I10" s="32" t="e">
        <f t="shared" si="1"/>
        <v>#REF!</v>
      </c>
      <c r="J10" s="16"/>
      <c r="K10" s="31"/>
      <c r="L10" s="35">
        <v>62971</v>
      </c>
      <c r="M10" s="35">
        <v>64769</v>
      </c>
      <c r="N10" s="35">
        <v>68100</v>
      </c>
      <c r="O10" s="35">
        <v>66033.429999999993</v>
      </c>
      <c r="P10" s="38">
        <f>N10</f>
        <v>68100</v>
      </c>
      <c r="Q10" s="32">
        <v>70143</v>
      </c>
      <c r="R10" s="35">
        <v>70143</v>
      </c>
      <c r="S10" s="35">
        <f t="shared" si="3"/>
        <v>0</v>
      </c>
    </row>
    <row r="11" spans="1:31" ht="15.75" customHeight="1" x14ac:dyDescent="0.25">
      <c r="A11" s="30" t="s">
        <v>550</v>
      </c>
      <c r="B11" s="30" t="s">
        <v>74</v>
      </c>
      <c r="C11" s="31"/>
      <c r="D11" s="32">
        <v>0</v>
      </c>
      <c r="E11" s="32" t="e">
        <f>D11*#REF!</f>
        <v>#REF!</v>
      </c>
      <c r="F11" s="32" t="e">
        <f>D11*#REF!</f>
        <v>#REF!</v>
      </c>
      <c r="G11" s="32" t="e">
        <f>(D11*#REF!)*#REF!</f>
        <v>#REF!</v>
      </c>
      <c r="H11" s="131">
        <f t="shared" si="0"/>
        <v>0</v>
      </c>
      <c r="I11" s="32" t="e">
        <f t="shared" si="1"/>
        <v>#REF!</v>
      </c>
      <c r="J11" s="32">
        <v>-3000</v>
      </c>
      <c r="K11" s="31"/>
      <c r="L11" s="35">
        <v>5001</v>
      </c>
      <c r="M11" s="35">
        <v>2051</v>
      </c>
      <c r="N11" s="35">
        <v>4500</v>
      </c>
      <c r="O11" s="35">
        <v>0</v>
      </c>
      <c r="P11" s="32">
        <f t="shared" ref="P11:P12" si="4">O11/9*12</f>
        <v>0</v>
      </c>
      <c r="Q11" s="32">
        <v>3000</v>
      </c>
      <c r="R11" s="35">
        <v>0</v>
      </c>
      <c r="S11" s="35">
        <f t="shared" si="3"/>
        <v>-3000</v>
      </c>
    </row>
    <row r="12" spans="1:31" ht="15.75" customHeight="1" x14ac:dyDescent="0.25">
      <c r="A12" s="30" t="s">
        <v>551</v>
      </c>
      <c r="B12" s="30" t="s">
        <v>76</v>
      </c>
      <c r="C12" s="31"/>
      <c r="D12" s="32">
        <v>0</v>
      </c>
      <c r="E12" s="32" t="e">
        <f>D12*#REF!</f>
        <v>#REF!</v>
      </c>
      <c r="F12" s="32" t="e">
        <f>D12*#REF!</f>
        <v>#REF!</v>
      </c>
      <c r="G12" s="32" t="e">
        <f>(D12*#REF!)*#REF!</f>
        <v>#REF!</v>
      </c>
      <c r="H12" s="131">
        <f t="shared" si="0"/>
        <v>0</v>
      </c>
      <c r="I12" s="32" t="e">
        <f t="shared" si="1"/>
        <v>#REF!</v>
      </c>
      <c r="J12" s="32">
        <v>-2000</v>
      </c>
      <c r="K12" s="31"/>
      <c r="L12" s="35">
        <v>396</v>
      </c>
      <c r="M12" s="35">
        <v>341.02</v>
      </c>
      <c r="N12" s="35">
        <v>2000</v>
      </c>
      <c r="O12" s="35">
        <v>23.08</v>
      </c>
      <c r="P12" s="32">
        <f t="shared" si="4"/>
        <v>30.773333333333333</v>
      </c>
      <c r="Q12" s="32">
        <v>2000</v>
      </c>
      <c r="R12" s="35">
        <v>0</v>
      </c>
      <c r="S12" s="35">
        <f t="shared" si="3"/>
        <v>-2000</v>
      </c>
    </row>
    <row r="13" spans="1:31" ht="15.75" customHeight="1" x14ac:dyDescent="0.25">
      <c r="A13" s="30" t="s">
        <v>552</v>
      </c>
      <c r="B13" s="30" t="s">
        <v>80</v>
      </c>
      <c r="C13" s="31"/>
      <c r="D13" s="32">
        <v>0</v>
      </c>
      <c r="E13" s="32" t="e">
        <f>D13*#REF!</f>
        <v>#REF!</v>
      </c>
      <c r="F13" s="32" t="e">
        <f>D13*#REF!</f>
        <v>#REF!</v>
      </c>
      <c r="G13" s="32" t="e">
        <f>(D13*#REF!)*#REF!</f>
        <v>#REF!</v>
      </c>
      <c r="H13" s="131">
        <f t="shared" si="0"/>
        <v>0</v>
      </c>
      <c r="I13" s="32" t="e">
        <f t="shared" si="1"/>
        <v>#REF!</v>
      </c>
      <c r="J13" s="32">
        <v>-1250</v>
      </c>
      <c r="K13" s="31"/>
      <c r="L13" s="35">
        <v>2389</v>
      </c>
      <c r="M13" s="35">
        <v>5130.83</v>
      </c>
      <c r="N13" s="35">
        <v>1300</v>
      </c>
      <c r="O13" s="35">
        <v>1472.45</v>
      </c>
      <c r="P13" s="38">
        <f>O13</f>
        <v>1472.45</v>
      </c>
      <c r="Q13" s="32">
        <v>2250</v>
      </c>
      <c r="R13" s="35">
        <v>1000</v>
      </c>
      <c r="S13" s="35">
        <f t="shared" si="3"/>
        <v>-1250</v>
      </c>
    </row>
    <row r="14" spans="1:31" ht="15.75" customHeight="1" x14ac:dyDescent="0.25">
      <c r="A14" s="30" t="s">
        <v>553</v>
      </c>
      <c r="B14" s="30" t="s">
        <v>115</v>
      </c>
      <c r="C14" s="31"/>
      <c r="D14" s="32">
        <v>0</v>
      </c>
      <c r="E14" s="32" t="e">
        <f>D14*#REF!</f>
        <v>#REF!</v>
      </c>
      <c r="F14" s="32" t="e">
        <f>D14*#REF!</f>
        <v>#REF!</v>
      </c>
      <c r="G14" s="32" t="e">
        <f>(D14*#REF!)*#REF!</f>
        <v>#REF!</v>
      </c>
      <c r="H14" s="131">
        <f t="shared" si="0"/>
        <v>0</v>
      </c>
      <c r="I14" s="32" t="e">
        <f t="shared" si="1"/>
        <v>#REF!</v>
      </c>
      <c r="J14" s="32">
        <v>-2000</v>
      </c>
      <c r="K14" s="31"/>
      <c r="L14" s="35">
        <v>-107</v>
      </c>
      <c r="M14" s="35">
        <v>1313.64</v>
      </c>
      <c r="N14" s="35">
        <v>6800</v>
      </c>
      <c r="O14" s="35">
        <v>5256.61</v>
      </c>
      <c r="P14" s="38">
        <f>N14</f>
        <v>6800</v>
      </c>
      <c r="Q14" s="32">
        <v>3500</v>
      </c>
      <c r="R14" s="35">
        <v>1500</v>
      </c>
      <c r="S14" s="35">
        <f t="shared" si="3"/>
        <v>-2000</v>
      </c>
    </row>
    <row r="15" spans="1:31" ht="15.75" customHeight="1" x14ac:dyDescent="0.25">
      <c r="A15" s="30" t="s">
        <v>554</v>
      </c>
      <c r="B15" s="30" t="s">
        <v>555</v>
      </c>
      <c r="C15" s="31"/>
      <c r="D15" s="32">
        <v>0</v>
      </c>
      <c r="E15" s="32" t="e">
        <f>D15*#REF!</f>
        <v>#REF!</v>
      </c>
      <c r="F15" s="32" t="e">
        <f>D15*#REF!</f>
        <v>#REF!</v>
      </c>
      <c r="G15" s="32" t="e">
        <f>(D15*#REF!)*#REF!</f>
        <v>#REF!</v>
      </c>
      <c r="H15" s="131">
        <f t="shared" si="0"/>
        <v>0</v>
      </c>
      <c r="I15" s="32" t="e">
        <f t="shared" si="1"/>
        <v>#REF!</v>
      </c>
      <c r="J15" s="16"/>
      <c r="K15" s="31"/>
      <c r="L15" s="35">
        <v>0</v>
      </c>
      <c r="M15" s="35">
        <v>0</v>
      </c>
      <c r="N15" s="35">
        <v>0</v>
      </c>
      <c r="O15" s="35">
        <v>0</v>
      </c>
      <c r="P15" s="32">
        <f t="shared" ref="P15:P17" si="5">O15/9*12</f>
        <v>0</v>
      </c>
      <c r="Q15" s="32">
        <v>0</v>
      </c>
      <c r="R15" s="35">
        <v>0</v>
      </c>
      <c r="S15" s="35">
        <f t="shared" si="3"/>
        <v>0</v>
      </c>
    </row>
    <row r="16" spans="1:31" ht="15.75" customHeight="1" x14ac:dyDescent="0.25">
      <c r="A16" s="30" t="s">
        <v>556</v>
      </c>
      <c r="B16" s="30" t="s">
        <v>84</v>
      </c>
      <c r="C16" s="31"/>
      <c r="D16" s="32">
        <v>0</v>
      </c>
      <c r="E16" s="32" t="e">
        <f>D16*#REF!</f>
        <v>#REF!</v>
      </c>
      <c r="F16" s="32" t="e">
        <f>D16*#REF!</f>
        <v>#REF!</v>
      </c>
      <c r="G16" s="32" t="e">
        <f>(D16*#REF!)*#REF!</f>
        <v>#REF!</v>
      </c>
      <c r="H16" s="131">
        <f t="shared" si="0"/>
        <v>0</v>
      </c>
      <c r="I16" s="32" t="e">
        <f t="shared" si="1"/>
        <v>#REF!</v>
      </c>
      <c r="J16" s="16"/>
      <c r="K16" s="31"/>
      <c r="L16" s="35">
        <v>3007</v>
      </c>
      <c r="M16" s="35">
        <v>1140</v>
      </c>
      <c r="N16" s="35">
        <v>1700</v>
      </c>
      <c r="O16" s="35">
        <v>765</v>
      </c>
      <c r="P16" s="32">
        <f t="shared" si="5"/>
        <v>1020</v>
      </c>
      <c r="Q16" s="32">
        <v>1700</v>
      </c>
      <c r="R16" s="35">
        <v>1700</v>
      </c>
      <c r="S16" s="35">
        <f t="shared" si="3"/>
        <v>0</v>
      </c>
    </row>
    <row r="17" spans="1:31" ht="15.75" customHeight="1" x14ac:dyDescent="0.25">
      <c r="A17" s="30" t="s">
        <v>557</v>
      </c>
      <c r="B17" s="30" t="s">
        <v>210</v>
      </c>
      <c r="C17" s="31"/>
      <c r="D17" s="32">
        <v>0</v>
      </c>
      <c r="E17" s="32" t="e">
        <f>D17*#REF!</f>
        <v>#REF!</v>
      </c>
      <c r="F17" s="32" t="e">
        <f>D17*#REF!</f>
        <v>#REF!</v>
      </c>
      <c r="G17" s="32" t="e">
        <f>(D17*#REF!)*#REF!</f>
        <v>#REF!</v>
      </c>
      <c r="H17" s="131">
        <f t="shared" si="0"/>
        <v>0</v>
      </c>
      <c r="I17" s="32" t="e">
        <f t="shared" si="1"/>
        <v>#REF!</v>
      </c>
      <c r="J17" s="16"/>
      <c r="K17" s="31"/>
      <c r="L17" s="35">
        <v>21600</v>
      </c>
      <c r="M17" s="35">
        <v>21624.959999999999</v>
      </c>
      <c r="N17" s="35">
        <v>0</v>
      </c>
      <c r="O17" s="35">
        <v>0</v>
      </c>
      <c r="P17" s="32">
        <f t="shared" si="5"/>
        <v>0</v>
      </c>
      <c r="Q17" s="32">
        <v>500</v>
      </c>
      <c r="R17" s="35">
        <v>500</v>
      </c>
      <c r="S17" s="35">
        <f t="shared" si="3"/>
        <v>0</v>
      </c>
    </row>
    <row r="18" spans="1:31" ht="15.75" customHeight="1" x14ac:dyDescent="0.25">
      <c r="A18" s="30" t="s">
        <v>558</v>
      </c>
      <c r="B18" s="30" t="s">
        <v>559</v>
      </c>
      <c r="C18" s="31"/>
      <c r="D18" s="32">
        <v>0</v>
      </c>
      <c r="E18" s="32" t="e">
        <f>D18*#REF!</f>
        <v>#REF!</v>
      </c>
      <c r="F18" s="32" t="e">
        <f>D18*#REF!</f>
        <v>#REF!</v>
      </c>
      <c r="G18" s="32" t="e">
        <f>(D18*#REF!)*#REF!</f>
        <v>#REF!</v>
      </c>
      <c r="H18" s="131">
        <f t="shared" si="0"/>
        <v>0</v>
      </c>
      <c r="I18" s="32" t="e">
        <f t="shared" si="1"/>
        <v>#REF!</v>
      </c>
      <c r="J18" s="32">
        <v>-600</v>
      </c>
      <c r="K18" s="31"/>
      <c r="L18" s="35">
        <v>0</v>
      </c>
      <c r="M18" s="35">
        <v>0</v>
      </c>
      <c r="N18" s="35">
        <v>21600</v>
      </c>
      <c r="O18" s="35">
        <v>16200</v>
      </c>
      <c r="P18" s="38">
        <f t="shared" ref="P18:P19" si="6">N18</f>
        <v>21600</v>
      </c>
      <c r="Q18" s="32">
        <v>22248</v>
      </c>
      <c r="R18" s="35">
        <v>21648</v>
      </c>
      <c r="S18" s="35">
        <f t="shared" si="3"/>
        <v>-600</v>
      </c>
    </row>
    <row r="19" spans="1:31" ht="15.75" customHeight="1" x14ac:dyDescent="0.25">
      <c r="A19" s="30" t="s">
        <v>560</v>
      </c>
      <c r="B19" s="30" t="s">
        <v>86</v>
      </c>
      <c r="C19" s="31"/>
      <c r="D19" s="32">
        <v>494982</v>
      </c>
      <c r="E19" s="32" t="e">
        <f>D19*#REF!</f>
        <v>#REF!</v>
      </c>
      <c r="F19" s="32" t="e">
        <f>D19*#REF!</f>
        <v>#REF!</v>
      </c>
      <c r="G19" s="32" t="e">
        <f>(D19*#REF!)*#REF!</f>
        <v>#REF!</v>
      </c>
      <c r="H19" s="131">
        <f t="shared" si="0"/>
        <v>0</v>
      </c>
      <c r="I19" s="32" t="e">
        <f t="shared" si="1"/>
        <v>#REF!</v>
      </c>
      <c r="J19" s="32">
        <v>-254480</v>
      </c>
      <c r="K19" s="31"/>
      <c r="L19" s="35">
        <v>793162</v>
      </c>
      <c r="M19" s="35">
        <v>1187610.3500000001</v>
      </c>
      <c r="N19" s="35">
        <v>1231900</v>
      </c>
      <c r="O19" s="35">
        <v>909639.2</v>
      </c>
      <c r="P19" s="38">
        <f t="shared" si="6"/>
        <v>1231900</v>
      </c>
      <c r="Q19" s="32">
        <v>1263480</v>
      </c>
      <c r="R19" s="35">
        <v>1008999.96</v>
      </c>
      <c r="S19" s="35">
        <f t="shared" si="3"/>
        <v>-254480.04000000004</v>
      </c>
    </row>
    <row r="20" spans="1:31" ht="15.75" customHeight="1" x14ac:dyDescent="0.25">
      <c r="A20" s="30" t="s">
        <v>561</v>
      </c>
      <c r="B20" s="30" t="s">
        <v>88</v>
      </c>
      <c r="C20" s="31"/>
      <c r="D20" s="32">
        <v>0</v>
      </c>
      <c r="E20" s="32" t="e">
        <f>D20*#REF!</f>
        <v>#REF!</v>
      </c>
      <c r="F20" s="32" t="e">
        <f>D20*#REF!</f>
        <v>#REF!</v>
      </c>
      <c r="G20" s="32" t="e">
        <f>(D20*#REF!)*#REF!</f>
        <v>#REF!</v>
      </c>
      <c r="H20" s="131">
        <f t="shared" si="0"/>
        <v>0</v>
      </c>
      <c r="I20" s="32" t="e">
        <f t="shared" si="1"/>
        <v>#REF!</v>
      </c>
      <c r="J20" s="16"/>
      <c r="K20" s="31"/>
      <c r="L20" s="35">
        <v>8000</v>
      </c>
      <c r="M20" s="35">
        <v>9408</v>
      </c>
      <c r="N20" s="35">
        <v>14000</v>
      </c>
      <c r="O20" s="35">
        <v>7622</v>
      </c>
      <c r="P20" s="32">
        <f>O20/9*12</f>
        <v>10162.666666666668</v>
      </c>
      <c r="Q20" s="32">
        <v>14000</v>
      </c>
      <c r="R20" s="35">
        <v>14000</v>
      </c>
      <c r="S20" s="35">
        <f t="shared" si="3"/>
        <v>0</v>
      </c>
    </row>
    <row r="21" spans="1:31" ht="15.75" customHeight="1" x14ac:dyDescent="0.25">
      <c r="A21" s="30" t="s">
        <v>562</v>
      </c>
      <c r="B21" s="30" t="s">
        <v>90</v>
      </c>
      <c r="C21" s="31"/>
      <c r="D21" s="32">
        <v>0</v>
      </c>
      <c r="E21" s="32" t="e">
        <f>D21*#REF!</f>
        <v>#REF!</v>
      </c>
      <c r="F21" s="32" t="e">
        <f>D21*#REF!</f>
        <v>#REF!</v>
      </c>
      <c r="G21" s="32" t="e">
        <f>(D21*#REF!)*#REF!</f>
        <v>#REF!</v>
      </c>
      <c r="H21" s="131">
        <f t="shared" si="0"/>
        <v>0</v>
      </c>
      <c r="I21" s="32" t="e">
        <f t="shared" si="1"/>
        <v>#REF!</v>
      </c>
      <c r="J21" s="32">
        <v>-6200</v>
      </c>
      <c r="K21" s="31"/>
      <c r="L21" s="35">
        <v>65</v>
      </c>
      <c r="M21" s="35">
        <v>780</v>
      </c>
      <c r="N21" s="35">
        <v>6000</v>
      </c>
      <c r="O21" s="35">
        <v>4261.57</v>
      </c>
      <c r="P21" s="38">
        <f>N21</f>
        <v>6000</v>
      </c>
      <c r="Q21" s="32">
        <v>6200</v>
      </c>
      <c r="R21" s="35">
        <v>0</v>
      </c>
      <c r="S21" s="35">
        <f t="shared" si="3"/>
        <v>-6200</v>
      </c>
    </row>
    <row r="22" spans="1:31" ht="15.75" customHeight="1" x14ac:dyDescent="0.25">
      <c r="A22" s="30" t="s">
        <v>563</v>
      </c>
      <c r="B22" s="30" t="s">
        <v>564</v>
      </c>
      <c r="C22" s="31"/>
      <c r="D22" s="32">
        <v>0</v>
      </c>
      <c r="E22" s="32" t="e">
        <f>D22*#REF!</f>
        <v>#REF!</v>
      </c>
      <c r="F22" s="32" t="e">
        <f>D22*#REF!</f>
        <v>#REF!</v>
      </c>
      <c r="G22" s="32" t="e">
        <f>(D22*#REF!)*#REF!</f>
        <v>#REF!</v>
      </c>
      <c r="H22" s="131">
        <f t="shared" si="0"/>
        <v>0</v>
      </c>
      <c r="I22" s="32" t="e">
        <f t="shared" si="1"/>
        <v>#REF!</v>
      </c>
      <c r="J22" s="32">
        <v>-5000</v>
      </c>
      <c r="K22" s="31"/>
      <c r="L22" s="35">
        <v>437</v>
      </c>
      <c r="M22" s="35">
        <v>0</v>
      </c>
      <c r="N22" s="35">
        <v>1000</v>
      </c>
      <c r="O22" s="35">
        <v>0</v>
      </c>
      <c r="P22" s="32">
        <f>O22/9*12</f>
        <v>0</v>
      </c>
      <c r="Q22" s="32">
        <v>5000</v>
      </c>
      <c r="R22" s="35">
        <v>0</v>
      </c>
      <c r="S22" s="35">
        <f t="shared" si="3"/>
        <v>-5000</v>
      </c>
    </row>
    <row r="23" spans="1:31" ht="15.75" customHeight="1" x14ac:dyDescent="0.25">
      <c r="A23" s="30" t="s">
        <v>565</v>
      </c>
      <c r="B23" s="30" t="s">
        <v>92</v>
      </c>
      <c r="C23" s="31"/>
      <c r="D23" s="32">
        <v>0</v>
      </c>
      <c r="E23" s="32" t="e">
        <f>D23*#REF!</f>
        <v>#REF!</v>
      </c>
      <c r="F23" s="32" t="e">
        <f>D23*#REF!</f>
        <v>#REF!</v>
      </c>
      <c r="G23" s="32" t="e">
        <f>(D23*#REF!)*#REF!</f>
        <v>#REF!</v>
      </c>
      <c r="H23" s="131">
        <f t="shared" si="0"/>
        <v>0</v>
      </c>
      <c r="I23" s="32" t="e">
        <f t="shared" si="1"/>
        <v>#REF!</v>
      </c>
      <c r="J23" s="32">
        <v>-1800</v>
      </c>
      <c r="K23" s="31"/>
      <c r="L23" s="35">
        <v>1739</v>
      </c>
      <c r="M23" s="35">
        <v>1600.97</v>
      </c>
      <c r="N23" s="35">
        <v>1800</v>
      </c>
      <c r="O23" s="35">
        <v>2339.9699999999998</v>
      </c>
      <c r="P23" s="38">
        <f>O23</f>
        <v>2339.9699999999998</v>
      </c>
      <c r="Q23" s="32">
        <v>1800</v>
      </c>
      <c r="R23" s="35">
        <v>0</v>
      </c>
      <c r="S23" s="35">
        <f t="shared" si="3"/>
        <v>-1800</v>
      </c>
    </row>
    <row r="24" spans="1:31" ht="15.75" customHeight="1" x14ac:dyDescent="0.25">
      <c r="A24" s="30" t="s">
        <v>566</v>
      </c>
      <c r="B24" s="30" t="s">
        <v>94</v>
      </c>
      <c r="C24" s="31"/>
      <c r="D24" s="32">
        <v>0</v>
      </c>
      <c r="E24" s="32" t="e">
        <f>D24*#REF!</f>
        <v>#REF!</v>
      </c>
      <c r="F24" s="32" t="e">
        <f>D24*#REF!</f>
        <v>#REF!</v>
      </c>
      <c r="G24" s="32" t="e">
        <f>(D24*#REF!)*#REF!</f>
        <v>#REF!</v>
      </c>
      <c r="H24" s="131">
        <f t="shared" si="0"/>
        <v>0</v>
      </c>
      <c r="I24" s="32" t="e">
        <f t="shared" si="1"/>
        <v>#REF!</v>
      </c>
      <c r="J24" s="16"/>
      <c r="K24" s="31"/>
      <c r="L24" s="35">
        <v>0</v>
      </c>
      <c r="M24" s="35">
        <v>0</v>
      </c>
      <c r="N24" s="35">
        <v>0</v>
      </c>
      <c r="O24" s="35">
        <v>540</v>
      </c>
      <c r="P24" s="32">
        <f>O24/9*12</f>
        <v>720</v>
      </c>
      <c r="Q24" s="32">
        <v>0</v>
      </c>
      <c r="R24" s="35">
        <v>0</v>
      </c>
      <c r="S24" s="35">
        <f t="shared" si="3"/>
        <v>0</v>
      </c>
    </row>
    <row r="25" spans="1:31" ht="15.75" customHeight="1" x14ac:dyDescent="0.25">
      <c r="A25" s="47" t="s">
        <v>567</v>
      </c>
      <c r="B25" s="135"/>
      <c r="C25" s="136"/>
      <c r="D25" s="111">
        <f t="shared" ref="D25:G25" si="7">SUM(D6:D24)</f>
        <v>548679</v>
      </c>
      <c r="E25" s="111" t="e">
        <f t="shared" si="7"/>
        <v>#REF!</v>
      </c>
      <c r="F25" s="111" t="e">
        <f t="shared" si="7"/>
        <v>#REF!</v>
      </c>
      <c r="G25" s="111" t="e">
        <f t="shared" si="7"/>
        <v>#REF!</v>
      </c>
      <c r="H25" s="137">
        <f t="shared" si="0"/>
        <v>0</v>
      </c>
      <c r="I25" s="111" t="e">
        <f t="shared" ref="I25:J25" si="8">SUM(I6:I24)</f>
        <v>#REF!</v>
      </c>
      <c r="J25" s="111">
        <f t="shared" si="8"/>
        <v>-319830</v>
      </c>
      <c r="K25" s="136"/>
      <c r="L25" s="110">
        <f t="shared" ref="L25:S25" si="9">SUM(L6:L24)</f>
        <v>1165311</v>
      </c>
      <c r="M25" s="110">
        <f t="shared" si="9"/>
        <v>1629571.58</v>
      </c>
      <c r="N25" s="110">
        <f t="shared" si="9"/>
        <v>1729201</v>
      </c>
      <c r="O25" s="110">
        <f t="shared" si="9"/>
        <v>1289847.54</v>
      </c>
      <c r="P25" s="111">
        <f t="shared" si="9"/>
        <v>1708548.3590000002</v>
      </c>
      <c r="Q25" s="111">
        <f t="shared" si="9"/>
        <v>1776721</v>
      </c>
      <c r="R25" s="110">
        <f t="shared" si="9"/>
        <v>1452490.96</v>
      </c>
      <c r="S25" s="110">
        <f t="shared" si="9"/>
        <v>-324230.04000000004</v>
      </c>
      <c r="V25" s="44"/>
      <c r="W25" s="44"/>
      <c r="X25" s="44"/>
      <c r="Y25" s="44"/>
      <c r="Z25" s="44"/>
      <c r="AA25" s="44"/>
      <c r="AB25" s="44"/>
      <c r="AC25" s="44"/>
      <c r="AD25" s="44"/>
      <c r="AE25" s="44"/>
    </row>
    <row r="26" spans="1:31" ht="15.75" customHeight="1" x14ac:dyDescent="0.25">
      <c r="A26" s="30"/>
      <c r="B26" s="30"/>
      <c r="C26" s="139"/>
      <c r="D26" s="140"/>
      <c r="E26" s="140"/>
      <c r="F26" s="140"/>
      <c r="G26" s="140"/>
      <c r="H26" s="141"/>
      <c r="I26" s="140"/>
      <c r="J26" s="140"/>
      <c r="K26" s="139"/>
      <c r="L26" s="176"/>
      <c r="M26" s="176"/>
      <c r="N26" s="176"/>
      <c r="O26" s="176"/>
      <c r="P26" s="176"/>
      <c r="Q26" s="176"/>
      <c r="R26" s="176"/>
      <c r="S26" s="176"/>
    </row>
    <row r="27" spans="1:31" ht="15.75" customHeight="1" x14ac:dyDescent="0.25">
      <c r="A27" s="30" t="s">
        <v>184</v>
      </c>
      <c r="B27" s="30"/>
      <c r="C27" s="139"/>
      <c r="D27" s="140"/>
      <c r="E27" s="140"/>
      <c r="F27" s="140"/>
      <c r="G27" s="140"/>
      <c r="H27" s="141"/>
      <c r="I27" s="140"/>
      <c r="J27" s="140"/>
      <c r="K27" s="139"/>
      <c r="L27" s="176"/>
      <c r="M27" s="176"/>
      <c r="N27" s="176"/>
      <c r="O27" s="176"/>
      <c r="P27" s="176"/>
      <c r="Q27" s="176"/>
      <c r="R27" s="176"/>
      <c r="S27" s="176"/>
    </row>
    <row r="28" spans="1:31" ht="15.75" customHeight="1" x14ac:dyDescent="0.25">
      <c r="A28" s="30" t="s">
        <v>568</v>
      </c>
      <c r="B28" s="30" t="s">
        <v>569</v>
      </c>
      <c r="C28" s="31"/>
      <c r="D28" s="32">
        <v>-58675</v>
      </c>
      <c r="E28" s="32" t="e">
        <f>D28*#REF!</f>
        <v>#REF!</v>
      </c>
      <c r="F28" s="32" t="e">
        <f>D28*#REF!</f>
        <v>#REF!</v>
      </c>
      <c r="G28" s="32" t="e">
        <f>(D28*#REF!)*#REF!</f>
        <v>#REF!</v>
      </c>
      <c r="H28" s="131">
        <f t="shared" ref="H28:H31" si="10">IFERROR(((Q28-G28)/G28),0)</f>
        <v>0</v>
      </c>
      <c r="I28" s="32" t="e">
        <f t="shared" ref="I28:I30" si="11">Q28-G28</f>
        <v>#REF!</v>
      </c>
      <c r="J28" s="16"/>
      <c r="K28" s="31"/>
      <c r="L28" s="35">
        <v>-243916.21</v>
      </c>
      <c r="M28" s="35">
        <v>-381487.02</v>
      </c>
      <c r="N28" s="35">
        <v>-349500</v>
      </c>
      <c r="O28" s="35">
        <v>-178675.45</v>
      </c>
      <c r="P28" s="38">
        <f>O28/2*4</f>
        <v>-357350.9</v>
      </c>
      <c r="Q28" s="32">
        <v>-354000</v>
      </c>
      <c r="R28" s="35">
        <v>-354000</v>
      </c>
      <c r="S28" s="35">
        <f t="shared" ref="S28:S30" si="12">R28-Q28</f>
        <v>0</v>
      </c>
      <c r="W28" s="51"/>
    </row>
    <row r="29" spans="1:31" ht="15.75" customHeight="1" x14ac:dyDescent="0.25">
      <c r="A29" s="30" t="s">
        <v>570</v>
      </c>
      <c r="B29" s="30" t="s">
        <v>571</v>
      </c>
      <c r="C29" s="31"/>
      <c r="D29" s="32">
        <v>0</v>
      </c>
      <c r="E29" s="32" t="e">
        <f>D29*#REF!</f>
        <v>#REF!</v>
      </c>
      <c r="F29" s="32" t="e">
        <f>D29*#REF!</f>
        <v>#REF!</v>
      </c>
      <c r="G29" s="32" t="e">
        <f>(D29*#REF!)*#REF!</f>
        <v>#REF!</v>
      </c>
      <c r="H29" s="131">
        <f t="shared" si="10"/>
        <v>0</v>
      </c>
      <c r="I29" s="32" t="e">
        <f t="shared" si="11"/>
        <v>#REF!</v>
      </c>
      <c r="J29" s="16"/>
      <c r="K29" s="31"/>
      <c r="L29" s="35">
        <v>-6475.11</v>
      </c>
      <c r="M29" s="35">
        <v>-1523.93</v>
      </c>
      <c r="N29" s="35">
        <v>-7000</v>
      </c>
      <c r="O29" s="35">
        <v>-253.63</v>
      </c>
      <c r="P29" s="32">
        <f t="shared" ref="P29:P30" si="13">O29/9*12</f>
        <v>-338.17333333333335</v>
      </c>
      <c r="Q29" s="32">
        <v>-1500</v>
      </c>
      <c r="R29" s="35">
        <v>-1500</v>
      </c>
      <c r="S29" s="35">
        <f t="shared" si="12"/>
        <v>0</v>
      </c>
    </row>
    <row r="30" spans="1:31" ht="15.75" customHeight="1" x14ac:dyDescent="0.25">
      <c r="A30" s="30" t="s">
        <v>572</v>
      </c>
      <c r="B30" s="30" t="s">
        <v>573</v>
      </c>
      <c r="C30" s="31"/>
      <c r="D30" s="32">
        <v>0</v>
      </c>
      <c r="E30" s="32" t="e">
        <f>D30*#REF!</f>
        <v>#REF!</v>
      </c>
      <c r="F30" s="32" t="e">
        <f>D30*#REF!</f>
        <v>#REF!</v>
      </c>
      <c r="G30" s="32" t="e">
        <f>(D30*#REF!)*#REF!</f>
        <v>#REF!</v>
      </c>
      <c r="H30" s="131">
        <f t="shared" si="10"/>
        <v>0</v>
      </c>
      <c r="I30" s="32" t="e">
        <f t="shared" si="11"/>
        <v>#REF!</v>
      </c>
      <c r="J30" s="16"/>
      <c r="K30" s="31"/>
      <c r="L30" s="35">
        <v>-99093</v>
      </c>
      <c r="M30" s="35">
        <v>-102936.65</v>
      </c>
      <c r="N30" s="35">
        <v>-100000</v>
      </c>
      <c r="O30" s="35">
        <v>-76807.149999999994</v>
      </c>
      <c r="P30" s="38">
        <f t="shared" si="13"/>
        <v>-102409.53333333333</v>
      </c>
      <c r="Q30" s="32">
        <v>-100000</v>
      </c>
      <c r="R30" s="35">
        <v>-100000</v>
      </c>
      <c r="S30" s="35">
        <f t="shared" si="12"/>
        <v>0</v>
      </c>
    </row>
    <row r="31" spans="1:31" ht="15.75" customHeight="1" x14ac:dyDescent="0.25">
      <c r="A31" s="144" t="s">
        <v>189</v>
      </c>
      <c r="B31" s="144"/>
      <c r="C31" s="136"/>
      <c r="D31" s="111">
        <f t="shared" ref="D31:G31" si="14">SUM(D27:D30)</f>
        <v>-58675</v>
      </c>
      <c r="E31" s="111" t="e">
        <f t="shared" si="14"/>
        <v>#REF!</v>
      </c>
      <c r="F31" s="111" t="e">
        <f t="shared" si="14"/>
        <v>#REF!</v>
      </c>
      <c r="G31" s="111" t="e">
        <f t="shared" si="14"/>
        <v>#REF!</v>
      </c>
      <c r="H31" s="137">
        <f t="shared" si="10"/>
        <v>0</v>
      </c>
      <c r="I31" s="111" t="e">
        <f t="shared" ref="I31:J31" si="15">SUM(I27:I30)</f>
        <v>#REF!</v>
      </c>
      <c r="J31" s="111">
        <f t="shared" si="15"/>
        <v>0</v>
      </c>
      <c r="K31" s="136"/>
      <c r="L31" s="110">
        <f t="shared" ref="L31:S31" si="16">SUM(L27:L30)</f>
        <v>-349484.31999999995</v>
      </c>
      <c r="M31" s="110">
        <f t="shared" si="16"/>
        <v>-485947.6</v>
      </c>
      <c r="N31" s="110">
        <f t="shared" si="16"/>
        <v>-456500</v>
      </c>
      <c r="O31" s="110">
        <f t="shared" si="16"/>
        <v>-255736.23</v>
      </c>
      <c r="P31" s="111">
        <f t="shared" si="16"/>
        <v>-460098.60666666669</v>
      </c>
      <c r="Q31" s="111">
        <f t="shared" si="16"/>
        <v>-455500</v>
      </c>
      <c r="R31" s="110">
        <f t="shared" si="16"/>
        <v>-455500</v>
      </c>
      <c r="S31" s="110">
        <f t="shared" si="16"/>
        <v>0</v>
      </c>
    </row>
    <row r="32" spans="1:31" ht="15.75" customHeight="1" x14ac:dyDescent="0.25">
      <c r="A32" s="30"/>
      <c r="B32" s="30"/>
      <c r="C32" s="139"/>
      <c r="D32" s="140"/>
      <c r="E32" s="140"/>
      <c r="F32" s="140"/>
      <c r="G32" s="140"/>
      <c r="H32" s="141"/>
      <c r="I32" s="140"/>
      <c r="J32" s="140"/>
      <c r="K32" s="139"/>
      <c r="L32" s="176"/>
      <c r="M32" s="176"/>
      <c r="N32" s="176"/>
      <c r="O32" s="176"/>
      <c r="P32" s="176"/>
      <c r="Q32" s="176"/>
      <c r="R32" s="176"/>
      <c r="S32" s="176"/>
    </row>
    <row r="33" spans="1:31" ht="15.75" customHeight="1" x14ac:dyDescent="0.25">
      <c r="A33" s="144" t="s">
        <v>190</v>
      </c>
      <c r="B33" s="30"/>
      <c r="C33" s="136"/>
      <c r="D33" s="111">
        <f t="shared" ref="D33:G33" si="17">D31+D25</f>
        <v>490004</v>
      </c>
      <c r="E33" s="111" t="e">
        <f t="shared" si="17"/>
        <v>#REF!</v>
      </c>
      <c r="F33" s="111" t="e">
        <f t="shared" si="17"/>
        <v>#REF!</v>
      </c>
      <c r="G33" s="111" t="e">
        <f t="shared" si="17"/>
        <v>#REF!</v>
      </c>
      <c r="H33" s="137">
        <f>IFERROR(((Q33-G33)/G33),0)</f>
        <v>0</v>
      </c>
      <c r="I33" s="111" t="e">
        <f>Q33-G33</f>
        <v>#REF!</v>
      </c>
      <c r="J33" s="111">
        <f>SUM(J32)</f>
        <v>0</v>
      </c>
      <c r="K33" s="136"/>
      <c r="L33" s="110">
        <f t="shared" ref="L33:S33" si="18">L31+L25</f>
        <v>815826.68</v>
      </c>
      <c r="M33" s="110">
        <f t="shared" si="18"/>
        <v>1143623.98</v>
      </c>
      <c r="N33" s="110">
        <f t="shared" si="18"/>
        <v>1272701</v>
      </c>
      <c r="O33" s="110">
        <f t="shared" si="18"/>
        <v>1034111.31</v>
      </c>
      <c r="P33" s="111">
        <f t="shared" si="18"/>
        <v>1248449.7523333335</v>
      </c>
      <c r="Q33" s="111">
        <f t="shared" si="18"/>
        <v>1321221</v>
      </c>
      <c r="R33" s="110">
        <f t="shared" si="18"/>
        <v>996990.96</v>
      </c>
      <c r="S33" s="110">
        <f t="shared" si="18"/>
        <v>-324230.04000000004</v>
      </c>
    </row>
    <row r="34" spans="1:31" ht="15.75" customHeight="1" x14ac:dyDescent="0.2">
      <c r="C34" s="60"/>
      <c r="D34" s="54"/>
      <c r="E34" s="54"/>
      <c r="F34" s="54"/>
      <c r="G34" s="54"/>
      <c r="I34" s="54"/>
      <c r="J34" s="54"/>
      <c r="K34" s="60"/>
      <c r="L34" s="54"/>
      <c r="M34" s="54"/>
      <c r="N34" s="54"/>
      <c r="O34" s="54"/>
      <c r="P34" s="54"/>
      <c r="Q34" s="54"/>
      <c r="R34" s="54"/>
      <c r="S34" s="54"/>
    </row>
    <row r="35" spans="1:31" ht="15.75" customHeight="1" x14ac:dyDescent="0.2">
      <c r="C35" s="60"/>
      <c r="D35" s="54"/>
      <c r="E35" s="54"/>
      <c r="F35" s="54"/>
      <c r="G35" s="54"/>
      <c r="I35" s="54"/>
      <c r="J35" s="54"/>
      <c r="K35" s="60"/>
      <c r="L35" s="277" t="s">
        <v>102</v>
      </c>
      <c r="M35" s="277" t="s">
        <v>59</v>
      </c>
      <c r="N35" s="277" t="s">
        <v>60</v>
      </c>
      <c r="O35" s="277" t="s">
        <v>61</v>
      </c>
      <c r="P35" s="277" t="s">
        <v>62</v>
      </c>
      <c r="Q35" s="277" t="s">
        <v>63</v>
      </c>
      <c r="R35" s="277" t="s">
        <v>64</v>
      </c>
      <c r="S35" s="277" t="s">
        <v>65</v>
      </c>
    </row>
    <row r="36" spans="1:31" ht="15.75" customHeight="1" x14ac:dyDescent="0.2">
      <c r="A36" s="56"/>
      <c r="B36" s="57"/>
      <c r="C36" s="58"/>
      <c r="D36" s="59"/>
      <c r="E36" s="59"/>
      <c r="F36" s="54"/>
      <c r="G36" s="54"/>
      <c r="I36" s="54"/>
      <c r="J36" s="54"/>
      <c r="K36" s="60"/>
      <c r="L36" s="278" t="s">
        <v>103</v>
      </c>
      <c r="M36" s="279">
        <f t="shared" ref="M36:S36" si="19">L25</f>
        <v>1165311</v>
      </c>
      <c r="N36" s="279">
        <f t="shared" si="19"/>
        <v>1629571.58</v>
      </c>
      <c r="O36" s="279">
        <f t="shared" si="19"/>
        <v>1729201</v>
      </c>
      <c r="P36" s="279">
        <f t="shared" si="19"/>
        <v>1289847.54</v>
      </c>
      <c r="Q36" s="279">
        <f t="shared" si="19"/>
        <v>1708548.3590000002</v>
      </c>
      <c r="R36" s="279">
        <f t="shared" si="19"/>
        <v>1776721</v>
      </c>
      <c r="S36" s="279">
        <f t="shared" si="19"/>
        <v>1452490.96</v>
      </c>
      <c r="Y36" s="56"/>
      <c r="Z36" s="56"/>
      <c r="AA36" s="56"/>
      <c r="AB36" s="56"/>
      <c r="AC36" s="56"/>
      <c r="AD36" s="56"/>
      <c r="AE36" s="56"/>
    </row>
    <row r="37" spans="1:31" ht="15.75" customHeight="1" x14ac:dyDescent="0.2">
      <c r="B37" s="62"/>
      <c r="C37" s="60"/>
      <c r="D37" s="54"/>
      <c r="E37" s="54"/>
      <c r="F37" s="54"/>
      <c r="G37" s="54"/>
      <c r="I37" s="54"/>
      <c r="J37" s="54"/>
      <c r="K37" s="60"/>
      <c r="L37" s="54"/>
      <c r="M37" s="54"/>
      <c r="N37" s="54"/>
      <c r="O37" s="54"/>
      <c r="P37" s="55"/>
      <c r="Q37" s="54"/>
      <c r="R37" s="54"/>
      <c r="S37" s="54"/>
    </row>
    <row r="38" spans="1:31" ht="15.75" customHeight="1" x14ac:dyDescent="0.2">
      <c r="C38" s="60"/>
      <c r="D38" s="54"/>
      <c r="E38" s="54"/>
      <c r="F38" s="54"/>
      <c r="G38" s="54"/>
      <c r="I38" s="54"/>
      <c r="J38" s="54"/>
      <c r="K38" s="60"/>
      <c r="L38" s="54"/>
      <c r="M38" s="54"/>
      <c r="N38" s="54"/>
      <c r="O38" s="54"/>
      <c r="P38" s="54"/>
      <c r="Q38" s="54"/>
      <c r="R38" s="54"/>
      <c r="S38" s="54"/>
    </row>
    <row r="39" spans="1:31" ht="15.75" customHeight="1" x14ac:dyDescent="0.2">
      <c r="C39" s="60"/>
      <c r="D39" s="54"/>
      <c r="E39" s="54"/>
      <c r="F39" s="54"/>
      <c r="G39" s="54"/>
      <c r="I39" s="54"/>
      <c r="J39" s="54"/>
      <c r="K39" s="60"/>
      <c r="L39" s="54"/>
      <c r="M39" s="54"/>
      <c r="N39" s="54"/>
      <c r="O39" s="54"/>
      <c r="P39" s="54"/>
      <c r="Q39" s="54"/>
      <c r="R39" s="54"/>
      <c r="S39" s="54"/>
    </row>
    <row r="40" spans="1:31" ht="15.75" customHeight="1" x14ac:dyDescent="0.2">
      <c r="C40" s="60"/>
      <c r="D40" s="54"/>
      <c r="E40" s="54"/>
      <c r="F40" s="54"/>
      <c r="G40" s="54"/>
      <c r="I40" s="54"/>
      <c r="J40" s="54"/>
      <c r="K40" s="60"/>
      <c r="L40" s="54"/>
      <c r="M40" s="54"/>
      <c r="N40" s="54"/>
      <c r="O40" s="54"/>
      <c r="P40" s="54"/>
      <c r="Q40" s="54"/>
      <c r="R40" s="54"/>
      <c r="S40" s="54"/>
    </row>
    <row r="41" spans="1:31" ht="15.75" customHeight="1" x14ac:dyDescent="0.2">
      <c r="C41" s="60"/>
      <c r="D41" s="54"/>
      <c r="E41" s="54"/>
      <c r="F41" s="54"/>
      <c r="G41" s="54"/>
      <c r="I41" s="54"/>
      <c r="J41" s="54"/>
      <c r="K41" s="60"/>
      <c r="L41" s="54"/>
      <c r="M41" s="54"/>
      <c r="N41" s="54"/>
      <c r="O41" s="54"/>
      <c r="P41" s="54"/>
      <c r="Q41" s="54"/>
      <c r="R41" s="54"/>
      <c r="S41" s="54"/>
    </row>
    <row r="42" spans="1:31" ht="15.75" customHeight="1" x14ac:dyDescent="0.2">
      <c r="C42" s="60"/>
      <c r="D42" s="54"/>
      <c r="E42" s="54"/>
      <c r="F42" s="54"/>
      <c r="G42" s="54"/>
      <c r="I42" s="54"/>
      <c r="J42" s="54"/>
      <c r="K42" s="60"/>
      <c r="L42" s="54"/>
      <c r="M42" s="54"/>
      <c r="N42" s="54"/>
      <c r="O42" s="54"/>
      <c r="P42" s="54"/>
      <c r="Q42" s="54"/>
      <c r="R42" s="54"/>
      <c r="S42" s="54"/>
    </row>
    <row r="43" spans="1:31" ht="15.75" customHeight="1" x14ac:dyDescent="0.2">
      <c r="C43" s="60"/>
      <c r="D43" s="54"/>
      <c r="E43" s="54"/>
      <c r="F43" s="54"/>
      <c r="G43" s="54"/>
      <c r="I43" s="54"/>
      <c r="J43" s="54"/>
      <c r="K43" s="60"/>
      <c r="L43" s="54"/>
      <c r="M43" s="54"/>
      <c r="N43" s="54"/>
      <c r="O43" s="54"/>
      <c r="P43" s="54"/>
      <c r="Q43" s="54"/>
      <c r="R43" s="54"/>
      <c r="S43" s="54"/>
    </row>
    <row r="44" spans="1:31" ht="15.75" customHeight="1" x14ac:dyDescent="0.2">
      <c r="C44" s="60"/>
      <c r="D44" s="54"/>
      <c r="E44" s="54"/>
      <c r="F44" s="54"/>
      <c r="G44" s="54"/>
      <c r="I44" s="54"/>
      <c r="J44" s="54"/>
      <c r="K44" s="60"/>
      <c r="L44" s="54"/>
      <c r="M44" s="54"/>
      <c r="N44" s="54"/>
      <c r="O44" s="54"/>
      <c r="P44" s="54"/>
      <c r="Q44" s="54"/>
      <c r="R44" s="54"/>
      <c r="S44" s="54"/>
    </row>
    <row r="45" spans="1:31" ht="15.75" customHeight="1" x14ac:dyDescent="0.2">
      <c r="C45" s="60"/>
      <c r="D45" s="54"/>
      <c r="E45" s="54"/>
      <c r="F45" s="54"/>
      <c r="G45" s="54"/>
      <c r="I45" s="54"/>
      <c r="J45" s="54"/>
      <c r="K45" s="60"/>
      <c r="L45" s="54"/>
      <c r="M45" s="54"/>
      <c r="N45" s="54"/>
      <c r="O45" s="54"/>
      <c r="P45" s="54"/>
      <c r="Q45" s="54"/>
      <c r="R45" s="54"/>
      <c r="S45" s="54"/>
    </row>
    <row r="46" spans="1:31" ht="15.75" customHeight="1" x14ac:dyDescent="0.2">
      <c r="C46" s="60"/>
      <c r="D46" s="54"/>
      <c r="E46" s="54"/>
      <c r="F46" s="54"/>
      <c r="G46" s="54"/>
      <c r="I46" s="54"/>
      <c r="J46" s="54"/>
      <c r="K46" s="60"/>
      <c r="L46" s="54"/>
      <c r="M46" s="54"/>
      <c r="N46" s="54"/>
      <c r="O46" s="54"/>
      <c r="P46" s="54"/>
      <c r="Q46" s="54"/>
      <c r="R46" s="54"/>
      <c r="S46" s="54"/>
    </row>
    <row r="47" spans="1:31" ht="15.75" customHeight="1" x14ac:dyDescent="0.2">
      <c r="C47" s="60"/>
      <c r="D47" s="54"/>
      <c r="E47" s="54"/>
      <c r="F47" s="54"/>
      <c r="G47" s="54"/>
      <c r="I47" s="54"/>
      <c r="J47" s="54"/>
      <c r="K47" s="60"/>
      <c r="L47" s="54"/>
      <c r="M47" s="54"/>
      <c r="N47" s="54"/>
      <c r="O47" s="54"/>
      <c r="P47" s="54"/>
      <c r="Q47" s="54"/>
      <c r="R47" s="54"/>
      <c r="S47" s="54"/>
    </row>
    <row r="48" spans="1:31" ht="15.75" customHeight="1" x14ac:dyDescent="0.2">
      <c r="C48" s="60"/>
      <c r="D48" s="54"/>
      <c r="E48" s="54"/>
      <c r="F48" s="54"/>
      <c r="G48" s="54"/>
      <c r="I48" s="54"/>
      <c r="J48" s="54"/>
      <c r="K48" s="60"/>
      <c r="L48" s="54"/>
      <c r="M48" s="54"/>
      <c r="N48" s="54"/>
      <c r="O48" s="54"/>
      <c r="P48" s="54"/>
      <c r="Q48" s="54"/>
      <c r="R48" s="54"/>
      <c r="S48" s="54"/>
    </row>
    <row r="49" spans="3:19" ht="15.75" customHeight="1" x14ac:dyDescent="0.2">
      <c r="C49" s="60"/>
      <c r="D49" s="54"/>
      <c r="E49" s="54"/>
      <c r="F49" s="54"/>
      <c r="G49" s="54"/>
      <c r="I49" s="54"/>
      <c r="J49" s="54"/>
      <c r="K49" s="60"/>
      <c r="L49" s="54"/>
      <c r="M49" s="54"/>
      <c r="N49" s="54"/>
      <c r="O49" s="54"/>
      <c r="P49" s="54"/>
      <c r="Q49" s="54"/>
      <c r="R49" s="54"/>
      <c r="S49" s="54"/>
    </row>
    <row r="50" spans="3:19" ht="15.75" customHeight="1" x14ac:dyDescent="0.2">
      <c r="C50" s="60"/>
      <c r="D50" s="54"/>
      <c r="E50" s="54"/>
      <c r="F50" s="54"/>
      <c r="G50" s="54"/>
      <c r="I50" s="54"/>
      <c r="J50" s="54"/>
      <c r="K50" s="60"/>
      <c r="L50" s="54"/>
      <c r="M50" s="54"/>
      <c r="N50" s="54"/>
      <c r="O50" s="54"/>
      <c r="P50" s="54"/>
      <c r="Q50" s="54"/>
      <c r="R50" s="54"/>
      <c r="S50" s="54"/>
    </row>
    <row r="51" spans="3:19" ht="15.75" customHeight="1" x14ac:dyDescent="0.2">
      <c r="C51" s="60"/>
      <c r="D51" s="54"/>
      <c r="E51" s="54"/>
      <c r="F51" s="54"/>
      <c r="G51" s="54"/>
      <c r="I51" s="54"/>
      <c r="J51" s="54"/>
      <c r="K51" s="60"/>
      <c r="L51" s="54"/>
      <c r="M51" s="54"/>
      <c r="N51" s="54"/>
      <c r="O51" s="54"/>
      <c r="P51" s="54"/>
      <c r="Q51" s="54"/>
      <c r="R51" s="54"/>
      <c r="S51" s="54"/>
    </row>
    <row r="52" spans="3:19" ht="15.75" customHeight="1" x14ac:dyDescent="0.2">
      <c r="C52" s="60"/>
      <c r="D52" s="54"/>
      <c r="E52" s="54"/>
      <c r="F52" s="54"/>
      <c r="G52" s="54"/>
      <c r="I52" s="54"/>
      <c r="J52" s="54"/>
      <c r="K52" s="60"/>
      <c r="L52" s="54"/>
      <c r="M52" s="54"/>
      <c r="N52" s="54"/>
      <c r="O52" s="54"/>
      <c r="P52" s="54"/>
      <c r="Q52" s="54"/>
      <c r="R52" s="54"/>
      <c r="S52" s="54"/>
    </row>
    <row r="53" spans="3:19" ht="15.75" customHeight="1" x14ac:dyDescent="0.2">
      <c r="C53" s="60"/>
      <c r="D53" s="54"/>
      <c r="E53" s="54"/>
      <c r="F53" s="54"/>
      <c r="G53" s="54"/>
      <c r="I53" s="54"/>
      <c r="J53" s="54"/>
      <c r="K53" s="60"/>
      <c r="L53" s="54"/>
      <c r="M53" s="54"/>
      <c r="N53" s="54"/>
      <c r="O53" s="54"/>
      <c r="P53" s="54"/>
      <c r="Q53" s="54"/>
      <c r="R53" s="54"/>
      <c r="S53" s="54"/>
    </row>
    <row r="54" spans="3:19" ht="15.75" customHeight="1" x14ac:dyDescent="0.2">
      <c r="C54" s="60"/>
      <c r="D54" s="54"/>
      <c r="E54" s="54"/>
      <c r="F54" s="54"/>
      <c r="G54" s="54"/>
      <c r="I54" s="54"/>
      <c r="J54" s="54"/>
      <c r="K54" s="60"/>
      <c r="L54" s="54"/>
      <c r="M54" s="54"/>
      <c r="N54" s="54"/>
      <c r="O54" s="54"/>
      <c r="P54" s="54"/>
      <c r="Q54" s="54"/>
      <c r="R54" s="54"/>
      <c r="S54" s="54"/>
    </row>
    <row r="55" spans="3:19" ht="15.75" customHeight="1" x14ac:dyDescent="0.2">
      <c r="C55" s="60"/>
      <c r="D55" s="54"/>
      <c r="E55" s="54"/>
      <c r="F55" s="54"/>
      <c r="G55" s="54"/>
      <c r="I55" s="54"/>
      <c r="J55" s="54"/>
      <c r="K55" s="60"/>
      <c r="L55" s="54"/>
      <c r="M55" s="54"/>
      <c r="N55" s="54"/>
      <c r="O55" s="54"/>
      <c r="P55" s="54"/>
      <c r="Q55" s="54"/>
      <c r="R55" s="54"/>
      <c r="S55" s="54"/>
    </row>
    <row r="56" spans="3:19" ht="15.75" customHeight="1" x14ac:dyDescent="0.2">
      <c r="C56" s="60"/>
      <c r="D56" s="54"/>
      <c r="E56" s="54"/>
      <c r="F56" s="54"/>
      <c r="G56" s="54"/>
      <c r="I56" s="54"/>
      <c r="J56" s="54"/>
      <c r="K56" s="60"/>
      <c r="L56" s="54"/>
      <c r="M56" s="54"/>
      <c r="N56" s="54"/>
      <c r="O56" s="54"/>
      <c r="P56" s="54"/>
      <c r="Q56" s="54"/>
      <c r="R56" s="54"/>
      <c r="S56" s="54"/>
    </row>
    <row r="57" spans="3:19" ht="15.75" customHeight="1" x14ac:dyDescent="0.2">
      <c r="C57" s="60"/>
      <c r="D57" s="54"/>
      <c r="E57" s="54"/>
      <c r="F57" s="54"/>
      <c r="G57" s="54"/>
      <c r="I57" s="54"/>
      <c r="J57" s="54"/>
      <c r="K57" s="60"/>
      <c r="L57" s="54"/>
      <c r="M57" s="54"/>
      <c r="N57" s="54"/>
      <c r="O57" s="54"/>
      <c r="P57" s="54"/>
      <c r="Q57" s="54"/>
      <c r="R57" s="54"/>
      <c r="S57" s="54"/>
    </row>
    <row r="58" spans="3:19" ht="15.75" customHeight="1" x14ac:dyDescent="0.2">
      <c r="C58" s="60"/>
      <c r="D58" s="54"/>
      <c r="E58" s="54"/>
      <c r="F58" s="54"/>
      <c r="G58" s="54"/>
      <c r="I58" s="54"/>
      <c r="J58" s="54"/>
      <c r="K58" s="60"/>
      <c r="L58" s="54"/>
      <c r="M58" s="54"/>
      <c r="N58" s="54"/>
      <c r="O58" s="54"/>
      <c r="P58" s="54"/>
      <c r="Q58" s="54"/>
      <c r="R58" s="54"/>
      <c r="S58" s="54"/>
    </row>
    <row r="59" spans="3:19" ht="15.75" customHeight="1" x14ac:dyDescent="0.2">
      <c r="C59" s="60"/>
      <c r="D59" s="54"/>
      <c r="E59" s="54"/>
      <c r="F59" s="54"/>
      <c r="G59" s="54"/>
      <c r="I59" s="54"/>
      <c r="J59" s="54"/>
      <c r="K59" s="60"/>
      <c r="L59" s="54"/>
      <c r="M59" s="54"/>
      <c r="N59" s="54"/>
      <c r="O59" s="54"/>
      <c r="P59" s="54"/>
      <c r="Q59" s="54"/>
      <c r="R59" s="54"/>
      <c r="S59" s="54"/>
    </row>
    <row r="60" spans="3:19" ht="15.75" customHeight="1" x14ac:dyDescent="0.2">
      <c r="C60" s="60"/>
      <c r="D60" s="54"/>
      <c r="E60" s="54"/>
      <c r="F60" s="54"/>
      <c r="G60" s="54"/>
      <c r="I60" s="54"/>
      <c r="J60" s="54"/>
      <c r="K60" s="60"/>
      <c r="L60" s="54"/>
      <c r="M60" s="54"/>
      <c r="N60" s="54"/>
      <c r="O60" s="54"/>
      <c r="P60" s="54"/>
      <c r="Q60" s="54"/>
      <c r="R60" s="54"/>
      <c r="S60" s="54"/>
    </row>
    <row r="61" spans="3:19" ht="15.75" customHeight="1" x14ac:dyDescent="0.2">
      <c r="C61" s="60"/>
      <c r="D61" s="54"/>
      <c r="E61" s="54"/>
      <c r="F61" s="54"/>
      <c r="G61" s="54"/>
      <c r="I61" s="54"/>
      <c r="J61" s="54"/>
      <c r="K61" s="60"/>
      <c r="L61" s="54"/>
      <c r="M61" s="54"/>
      <c r="N61" s="54"/>
      <c r="O61" s="54"/>
      <c r="P61" s="54"/>
      <c r="Q61" s="54"/>
      <c r="R61" s="54"/>
      <c r="S61" s="54"/>
    </row>
    <row r="62" spans="3:19" ht="15.75" customHeight="1" x14ac:dyDescent="0.2">
      <c r="C62" s="60"/>
      <c r="D62" s="54"/>
      <c r="E62" s="54"/>
      <c r="F62" s="54"/>
      <c r="G62" s="54"/>
      <c r="I62" s="54"/>
      <c r="J62" s="54"/>
      <c r="K62" s="60"/>
      <c r="L62" s="54"/>
      <c r="M62" s="54"/>
      <c r="N62" s="54"/>
      <c r="O62" s="54"/>
      <c r="P62" s="54"/>
      <c r="Q62" s="54"/>
      <c r="R62" s="54"/>
      <c r="S62" s="54"/>
    </row>
    <row r="63" spans="3:19" ht="15.75" customHeight="1" x14ac:dyDescent="0.2">
      <c r="C63" s="60"/>
      <c r="D63" s="54"/>
      <c r="E63" s="54"/>
      <c r="F63" s="54"/>
      <c r="G63" s="54"/>
      <c r="I63" s="54"/>
      <c r="J63" s="54"/>
      <c r="K63" s="60"/>
      <c r="L63" s="54"/>
      <c r="M63" s="54"/>
      <c r="N63" s="54"/>
      <c r="O63" s="54"/>
      <c r="P63" s="54"/>
      <c r="Q63" s="54"/>
      <c r="R63" s="54"/>
      <c r="S63" s="54"/>
    </row>
    <row r="64" spans="3:19" ht="15.75" customHeight="1" x14ac:dyDescent="0.2">
      <c r="C64" s="60"/>
      <c r="D64" s="54"/>
      <c r="E64" s="54"/>
      <c r="F64" s="54"/>
      <c r="G64" s="54"/>
      <c r="I64" s="54"/>
      <c r="J64" s="54"/>
      <c r="K64" s="60"/>
      <c r="L64" s="54"/>
      <c r="M64" s="54"/>
      <c r="N64" s="54"/>
      <c r="O64" s="54"/>
      <c r="P64" s="54"/>
      <c r="Q64" s="54"/>
      <c r="R64" s="54"/>
      <c r="S64" s="54"/>
    </row>
    <row r="65" spans="3:19" ht="15.75" customHeight="1" x14ac:dyDescent="0.2">
      <c r="C65" s="60"/>
      <c r="D65" s="54"/>
      <c r="E65" s="54"/>
      <c r="F65" s="54"/>
      <c r="G65" s="54"/>
      <c r="I65" s="54"/>
      <c r="J65" s="54"/>
      <c r="K65" s="60"/>
      <c r="L65" s="54"/>
      <c r="M65" s="54"/>
      <c r="N65" s="54"/>
      <c r="O65" s="54"/>
      <c r="P65" s="54"/>
      <c r="Q65" s="54"/>
      <c r="R65" s="54"/>
      <c r="S65" s="54"/>
    </row>
    <row r="66" spans="3:19" ht="15.75" customHeight="1" x14ac:dyDescent="0.2">
      <c r="C66" s="60"/>
      <c r="D66" s="54"/>
      <c r="E66" s="54"/>
      <c r="F66" s="54"/>
      <c r="G66" s="54"/>
      <c r="I66" s="54"/>
      <c r="J66" s="54"/>
      <c r="K66" s="60"/>
      <c r="L66" s="54"/>
      <c r="M66" s="54"/>
      <c r="N66" s="54"/>
      <c r="O66" s="54"/>
      <c r="P66" s="54"/>
      <c r="Q66" s="54"/>
      <c r="R66" s="54"/>
      <c r="S66" s="54"/>
    </row>
    <row r="67" spans="3:19" ht="15.75" customHeight="1" x14ac:dyDescent="0.2">
      <c r="C67" s="60"/>
      <c r="D67" s="54"/>
      <c r="E67" s="54"/>
      <c r="F67" s="54"/>
      <c r="G67" s="54"/>
      <c r="I67" s="54"/>
      <c r="J67" s="54"/>
      <c r="K67" s="60"/>
      <c r="L67" s="54"/>
      <c r="M67" s="54"/>
      <c r="N67" s="54"/>
      <c r="O67" s="54"/>
      <c r="P67" s="54"/>
      <c r="Q67" s="54"/>
      <c r="R67" s="54"/>
      <c r="S67" s="54"/>
    </row>
    <row r="68" spans="3:19" ht="15.75" customHeight="1" x14ac:dyDescent="0.2">
      <c r="C68" s="60"/>
      <c r="D68" s="54"/>
      <c r="E68" s="54"/>
      <c r="F68" s="54"/>
      <c r="G68" s="54"/>
      <c r="I68" s="54"/>
      <c r="J68" s="54"/>
      <c r="K68" s="60"/>
      <c r="L68" s="54"/>
      <c r="M68" s="54"/>
      <c r="N68" s="54"/>
      <c r="O68" s="54"/>
      <c r="P68" s="54"/>
      <c r="Q68" s="54"/>
      <c r="R68" s="54"/>
      <c r="S68" s="54"/>
    </row>
    <row r="69" spans="3:19" ht="15.75" customHeight="1" x14ac:dyDescent="0.2">
      <c r="C69" s="60"/>
      <c r="D69" s="54"/>
      <c r="E69" s="54"/>
      <c r="F69" s="54"/>
      <c r="G69" s="54"/>
      <c r="I69" s="54"/>
      <c r="J69" s="54"/>
      <c r="K69" s="60"/>
      <c r="L69" s="54"/>
      <c r="M69" s="54"/>
      <c r="N69" s="54"/>
      <c r="O69" s="54"/>
      <c r="P69" s="54"/>
      <c r="Q69" s="54"/>
      <c r="R69" s="54"/>
      <c r="S69" s="54"/>
    </row>
    <row r="70" spans="3:19" ht="15.75" customHeight="1" x14ac:dyDescent="0.2">
      <c r="C70" s="60"/>
      <c r="D70" s="54"/>
      <c r="E70" s="54"/>
      <c r="F70" s="54"/>
      <c r="G70" s="54"/>
      <c r="I70" s="54"/>
      <c r="J70" s="54"/>
      <c r="K70" s="60"/>
      <c r="L70" s="54"/>
      <c r="M70" s="54"/>
      <c r="N70" s="54"/>
      <c r="O70" s="54"/>
      <c r="P70" s="54"/>
      <c r="Q70" s="54"/>
      <c r="R70" s="54"/>
      <c r="S70" s="54"/>
    </row>
    <row r="71" spans="3:19" ht="15.75" customHeight="1" x14ac:dyDescent="0.2">
      <c r="C71" s="60"/>
      <c r="D71" s="54"/>
      <c r="E71" s="54"/>
      <c r="F71" s="54"/>
      <c r="G71" s="54"/>
      <c r="I71" s="54"/>
      <c r="J71" s="54"/>
      <c r="K71" s="60"/>
      <c r="L71" s="54"/>
      <c r="M71" s="54"/>
      <c r="N71" s="54"/>
      <c r="O71" s="54"/>
      <c r="P71" s="54"/>
      <c r="Q71" s="54"/>
      <c r="R71" s="54"/>
      <c r="S71" s="54"/>
    </row>
    <row r="72" spans="3:19" ht="15.75" customHeight="1" x14ac:dyDescent="0.2">
      <c r="C72" s="60"/>
      <c r="D72" s="54"/>
      <c r="E72" s="54"/>
      <c r="F72" s="54"/>
      <c r="G72" s="54"/>
      <c r="I72" s="54"/>
      <c r="J72" s="54"/>
      <c r="K72" s="60"/>
      <c r="L72" s="54"/>
      <c r="M72" s="54"/>
      <c r="N72" s="54"/>
      <c r="O72" s="54"/>
      <c r="P72" s="54"/>
      <c r="Q72" s="54"/>
      <c r="R72" s="54"/>
      <c r="S72" s="54"/>
    </row>
    <row r="73" spans="3:19" ht="15.75" customHeight="1" x14ac:dyDescent="0.2">
      <c r="C73" s="60"/>
      <c r="D73" s="54"/>
      <c r="E73" s="54"/>
      <c r="F73" s="54"/>
      <c r="G73" s="54"/>
      <c r="I73" s="54"/>
      <c r="J73" s="54"/>
      <c r="K73" s="60"/>
      <c r="L73" s="54"/>
      <c r="M73" s="54"/>
      <c r="N73" s="54"/>
      <c r="O73" s="54"/>
      <c r="P73" s="54"/>
      <c r="Q73" s="54"/>
      <c r="R73" s="54"/>
      <c r="S73" s="54"/>
    </row>
    <row r="74" spans="3:19" ht="15.75" customHeight="1" x14ac:dyDescent="0.2">
      <c r="C74" s="60"/>
      <c r="D74" s="54"/>
      <c r="E74" s="54"/>
      <c r="F74" s="54"/>
      <c r="G74" s="54"/>
      <c r="I74" s="54"/>
      <c r="J74" s="54"/>
      <c r="K74" s="60"/>
      <c r="L74" s="54"/>
      <c r="M74" s="54"/>
      <c r="N74" s="54"/>
      <c r="O74" s="54"/>
      <c r="P74" s="54"/>
      <c r="Q74" s="54"/>
      <c r="R74" s="54"/>
      <c r="S74" s="54"/>
    </row>
    <row r="75" spans="3:19" ht="15.75" customHeight="1" x14ac:dyDescent="0.2">
      <c r="C75" s="60"/>
      <c r="D75" s="54"/>
      <c r="E75" s="54"/>
      <c r="F75" s="54"/>
      <c r="G75" s="54"/>
      <c r="I75" s="54"/>
      <c r="J75" s="54"/>
      <c r="K75" s="60"/>
      <c r="L75" s="54"/>
      <c r="M75" s="54"/>
      <c r="N75" s="54"/>
      <c r="O75" s="54"/>
      <c r="P75" s="54"/>
      <c r="Q75" s="54"/>
      <c r="R75" s="54"/>
      <c r="S75" s="54"/>
    </row>
    <row r="76" spans="3:19" ht="15.75" customHeight="1" x14ac:dyDescent="0.2">
      <c r="C76" s="60"/>
      <c r="D76" s="54"/>
      <c r="E76" s="54"/>
      <c r="F76" s="54"/>
      <c r="G76" s="54"/>
      <c r="I76" s="54"/>
      <c r="J76" s="54"/>
      <c r="K76" s="60"/>
      <c r="L76" s="54"/>
      <c r="M76" s="54"/>
      <c r="N76" s="54"/>
      <c r="O76" s="54"/>
      <c r="P76" s="54"/>
      <c r="Q76" s="54"/>
      <c r="R76" s="54"/>
      <c r="S76" s="54"/>
    </row>
    <row r="77" spans="3:19" ht="15.75" customHeight="1" x14ac:dyDescent="0.2">
      <c r="C77" s="60"/>
      <c r="D77" s="54"/>
      <c r="E77" s="54"/>
      <c r="F77" s="54"/>
      <c r="G77" s="54"/>
      <c r="I77" s="54"/>
      <c r="J77" s="54"/>
      <c r="K77" s="60"/>
      <c r="L77" s="54"/>
      <c r="M77" s="54"/>
      <c r="N77" s="54"/>
      <c r="O77" s="54"/>
      <c r="P77" s="54"/>
      <c r="Q77" s="54"/>
      <c r="R77" s="54"/>
      <c r="S77" s="54"/>
    </row>
    <row r="78" spans="3:19" ht="15.75" customHeight="1" x14ac:dyDescent="0.2">
      <c r="C78" s="60"/>
      <c r="D78" s="54"/>
      <c r="E78" s="54"/>
      <c r="F78" s="54"/>
      <c r="G78" s="54"/>
      <c r="I78" s="54"/>
      <c r="J78" s="54"/>
      <c r="K78" s="60"/>
      <c r="L78" s="54"/>
      <c r="M78" s="54"/>
      <c r="N78" s="54"/>
      <c r="O78" s="54"/>
      <c r="P78" s="54"/>
      <c r="Q78" s="54"/>
      <c r="R78" s="54"/>
      <c r="S78" s="54"/>
    </row>
    <row r="79" spans="3:19" ht="15.75" customHeight="1" x14ac:dyDescent="0.2">
      <c r="C79" s="60"/>
      <c r="D79" s="54"/>
      <c r="E79" s="54"/>
      <c r="F79" s="54"/>
      <c r="G79" s="54"/>
      <c r="I79" s="54"/>
      <c r="J79" s="54"/>
      <c r="K79" s="60"/>
      <c r="L79" s="54"/>
      <c r="M79" s="54"/>
      <c r="N79" s="54"/>
      <c r="O79" s="54"/>
      <c r="P79" s="54"/>
      <c r="Q79" s="54"/>
      <c r="R79" s="54"/>
      <c r="S79" s="54"/>
    </row>
    <row r="80" spans="3:19" ht="15.75" customHeight="1" x14ac:dyDescent="0.2">
      <c r="C80" s="60"/>
      <c r="D80" s="54"/>
      <c r="E80" s="54"/>
      <c r="F80" s="54"/>
      <c r="G80" s="54"/>
      <c r="I80" s="54"/>
      <c r="J80" s="54"/>
      <c r="K80" s="60"/>
      <c r="L80" s="54"/>
      <c r="M80" s="54"/>
      <c r="N80" s="54"/>
      <c r="O80" s="54"/>
      <c r="P80" s="54"/>
      <c r="Q80" s="54"/>
      <c r="R80" s="54"/>
      <c r="S80" s="54"/>
    </row>
    <row r="81" spans="3:19" ht="15.75" customHeight="1" x14ac:dyDescent="0.2">
      <c r="C81" s="60"/>
      <c r="D81" s="54"/>
      <c r="E81" s="54"/>
      <c r="F81" s="54"/>
      <c r="G81" s="54"/>
      <c r="I81" s="54"/>
      <c r="J81" s="54"/>
      <c r="K81" s="60"/>
      <c r="L81" s="54"/>
      <c r="M81" s="54"/>
      <c r="N81" s="54"/>
      <c r="O81" s="54"/>
      <c r="P81" s="54"/>
      <c r="Q81" s="54"/>
      <c r="R81" s="54"/>
      <c r="S81" s="54"/>
    </row>
    <row r="82" spans="3:19" ht="15.75" customHeight="1" x14ac:dyDescent="0.2">
      <c r="C82" s="60"/>
      <c r="D82" s="54"/>
      <c r="E82" s="54"/>
      <c r="F82" s="54"/>
      <c r="G82" s="54"/>
      <c r="I82" s="54"/>
      <c r="J82" s="54"/>
      <c r="K82" s="60"/>
      <c r="L82" s="54"/>
      <c r="M82" s="54"/>
      <c r="N82" s="54"/>
      <c r="O82" s="54"/>
      <c r="P82" s="54"/>
      <c r="Q82" s="54"/>
      <c r="R82" s="54"/>
      <c r="S82" s="54"/>
    </row>
    <row r="83" spans="3:19" ht="15.75" customHeight="1" x14ac:dyDescent="0.2">
      <c r="C83" s="60"/>
      <c r="D83" s="54"/>
      <c r="E83" s="54"/>
      <c r="F83" s="54"/>
      <c r="G83" s="54"/>
      <c r="I83" s="54"/>
      <c r="J83" s="54"/>
      <c r="K83" s="60"/>
      <c r="L83" s="54"/>
      <c r="M83" s="54"/>
      <c r="N83" s="54"/>
      <c r="O83" s="54"/>
      <c r="P83" s="54"/>
      <c r="Q83" s="54"/>
      <c r="R83" s="54"/>
      <c r="S83" s="54"/>
    </row>
    <row r="84" spans="3:19" ht="15.75" customHeight="1" x14ac:dyDescent="0.2">
      <c r="C84" s="60"/>
      <c r="D84" s="54"/>
      <c r="E84" s="54"/>
      <c r="F84" s="54"/>
      <c r="G84" s="54"/>
      <c r="I84" s="54"/>
      <c r="J84" s="54"/>
      <c r="K84" s="60"/>
      <c r="L84" s="54"/>
      <c r="M84" s="54"/>
      <c r="N84" s="54"/>
      <c r="O84" s="54"/>
      <c r="P84" s="54"/>
      <c r="Q84" s="54"/>
      <c r="R84" s="54"/>
      <c r="S84" s="54"/>
    </row>
    <row r="85" spans="3:19" ht="15.75" customHeight="1" x14ac:dyDescent="0.2">
      <c r="C85" s="60"/>
      <c r="D85" s="54"/>
      <c r="E85" s="54"/>
      <c r="F85" s="54"/>
      <c r="G85" s="54"/>
      <c r="I85" s="54"/>
      <c r="J85" s="54"/>
      <c r="K85" s="60"/>
      <c r="L85" s="54"/>
      <c r="M85" s="54"/>
      <c r="N85" s="54"/>
      <c r="O85" s="54"/>
      <c r="P85" s="54"/>
      <c r="Q85" s="54"/>
      <c r="R85" s="54"/>
      <c r="S85" s="54"/>
    </row>
    <row r="86" spans="3:19" ht="15.75" customHeight="1" x14ac:dyDescent="0.2">
      <c r="C86" s="60"/>
      <c r="D86" s="54"/>
      <c r="E86" s="54"/>
      <c r="F86" s="54"/>
      <c r="G86" s="54"/>
      <c r="I86" s="54"/>
      <c r="J86" s="54"/>
      <c r="K86" s="60"/>
      <c r="L86" s="54"/>
      <c r="M86" s="54"/>
      <c r="N86" s="54"/>
      <c r="O86" s="54"/>
      <c r="P86" s="54"/>
      <c r="Q86" s="54"/>
      <c r="R86" s="54"/>
      <c r="S86" s="54"/>
    </row>
    <row r="87" spans="3:19" ht="15.75" customHeight="1" x14ac:dyDescent="0.2">
      <c r="C87" s="60"/>
      <c r="D87" s="54"/>
      <c r="E87" s="54"/>
      <c r="F87" s="54"/>
      <c r="G87" s="54"/>
      <c r="I87" s="54"/>
      <c r="J87" s="54"/>
      <c r="K87" s="60"/>
      <c r="L87" s="54"/>
      <c r="M87" s="54"/>
      <c r="N87" s="54"/>
      <c r="O87" s="54"/>
      <c r="P87" s="54"/>
      <c r="Q87" s="54"/>
      <c r="R87" s="54"/>
      <c r="S87" s="54"/>
    </row>
    <row r="88" spans="3:19" ht="15.75" customHeight="1" x14ac:dyDescent="0.2">
      <c r="C88" s="60"/>
      <c r="D88" s="54"/>
      <c r="E88" s="54"/>
      <c r="F88" s="54"/>
      <c r="G88" s="54"/>
      <c r="I88" s="54"/>
      <c r="J88" s="54"/>
      <c r="K88" s="60"/>
      <c r="L88" s="54"/>
      <c r="M88" s="54"/>
      <c r="N88" s="54"/>
      <c r="O88" s="54"/>
      <c r="P88" s="54"/>
      <c r="Q88" s="54"/>
      <c r="R88" s="54"/>
      <c r="S88" s="54"/>
    </row>
    <row r="89" spans="3:19" ht="15.75" customHeight="1" x14ac:dyDescent="0.2">
      <c r="C89" s="60"/>
      <c r="D89" s="54"/>
      <c r="E89" s="54"/>
      <c r="F89" s="54"/>
      <c r="G89" s="54"/>
      <c r="I89" s="54"/>
      <c r="J89" s="54"/>
      <c r="K89" s="60"/>
      <c r="L89" s="54"/>
      <c r="M89" s="54"/>
      <c r="N89" s="54"/>
      <c r="O89" s="54"/>
      <c r="P89" s="54"/>
      <c r="Q89" s="54"/>
      <c r="R89" s="54"/>
      <c r="S89" s="54"/>
    </row>
    <row r="90" spans="3:19" ht="15.75" customHeight="1" x14ac:dyDescent="0.2">
      <c r="C90" s="60"/>
      <c r="D90" s="54"/>
      <c r="E90" s="54"/>
      <c r="F90" s="54"/>
      <c r="G90" s="54"/>
      <c r="I90" s="54"/>
      <c r="J90" s="54"/>
      <c r="K90" s="60"/>
      <c r="L90" s="54"/>
      <c r="M90" s="54"/>
      <c r="N90" s="54"/>
      <c r="O90" s="54"/>
      <c r="P90" s="54"/>
      <c r="Q90" s="54"/>
      <c r="R90" s="54"/>
      <c r="S90" s="54"/>
    </row>
    <row r="91" spans="3:19" ht="15.75" customHeight="1" x14ac:dyDescent="0.2">
      <c r="C91" s="60"/>
      <c r="D91" s="54"/>
      <c r="E91" s="54"/>
      <c r="F91" s="54"/>
      <c r="G91" s="54"/>
      <c r="I91" s="54"/>
      <c r="J91" s="54"/>
      <c r="K91" s="60"/>
      <c r="L91" s="54"/>
      <c r="M91" s="54"/>
      <c r="N91" s="54"/>
      <c r="O91" s="54"/>
      <c r="P91" s="54"/>
      <c r="Q91" s="54"/>
      <c r="R91" s="54"/>
      <c r="S91" s="54"/>
    </row>
    <row r="92" spans="3:19" ht="15.75" customHeight="1" x14ac:dyDescent="0.2">
      <c r="C92" s="60"/>
      <c r="D92" s="54"/>
      <c r="E92" s="54"/>
      <c r="F92" s="54"/>
      <c r="G92" s="54"/>
      <c r="I92" s="54"/>
      <c r="J92" s="54"/>
      <c r="K92" s="60"/>
      <c r="L92" s="54"/>
      <c r="M92" s="54"/>
      <c r="N92" s="54"/>
      <c r="O92" s="54"/>
      <c r="P92" s="54"/>
      <c r="Q92" s="54"/>
      <c r="R92" s="54"/>
      <c r="S92" s="54"/>
    </row>
    <row r="93" spans="3:19" ht="15.75" customHeight="1" x14ac:dyDescent="0.2">
      <c r="C93" s="60"/>
      <c r="D93" s="54"/>
      <c r="E93" s="54"/>
      <c r="F93" s="54"/>
      <c r="G93" s="54"/>
      <c r="I93" s="54"/>
      <c r="J93" s="54"/>
      <c r="K93" s="60"/>
      <c r="L93" s="54"/>
      <c r="M93" s="54"/>
      <c r="N93" s="54"/>
      <c r="O93" s="54"/>
      <c r="P93" s="54"/>
      <c r="Q93" s="54"/>
      <c r="R93" s="54"/>
      <c r="S93" s="54"/>
    </row>
    <row r="94" spans="3:19" ht="15.75" customHeight="1" x14ac:dyDescent="0.2">
      <c r="C94" s="60"/>
      <c r="D94" s="54"/>
      <c r="E94" s="54"/>
      <c r="F94" s="54"/>
      <c r="G94" s="54"/>
      <c r="I94" s="54"/>
      <c r="J94" s="54"/>
      <c r="K94" s="60"/>
      <c r="L94" s="54"/>
      <c r="M94" s="54"/>
      <c r="N94" s="54"/>
      <c r="O94" s="54"/>
      <c r="P94" s="54"/>
      <c r="Q94" s="54"/>
      <c r="R94" s="54"/>
      <c r="S94" s="54"/>
    </row>
    <row r="95" spans="3:19" ht="15.75" customHeight="1" x14ac:dyDescent="0.2">
      <c r="C95" s="60"/>
      <c r="D95" s="54"/>
      <c r="E95" s="54"/>
      <c r="F95" s="54"/>
      <c r="G95" s="54"/>
      <c r="I95" s="54"/>
      <c r="J95" s="54"/>
      <c r="K95" s="60"/>
      <c r="L95" s="54"/>
      <c r="M95" s="54"/>
      <c r="N95" s="54"/>
      <c r="O95" s="54"/>
      <c r="P95" s="54"/>
      <c r="Q95" s="54"/>
      <c r="R95" s="54"/>
      <c r="S95" s="54"/>
    </row>
    <row r="96" spans="3:19" ht="15.75" customHeight="1" x14ac:dyDescent="0.2">
      <c r="C96" s="60"/>
      <c r="D96" s="54"/>
      <c r="E96" s="54"/>
      <c r="F96" s="54"/>
      <c r="G96" s="54"/>
      <c r="I96" s="54"/>
      <c r="J96" s="54"/>
      <c r="K96" s="60"/>
      <c r="L96" s="54"/>
      <c r="M96" s="54"/>
      <c r="N96" s="54"/>
      <c r="O96" s="54"/>
      <c r="P96" s="54"/>
      <c r="Q96" s="54"/>
      <c r="R96" s="54"/>
      <c r="S96" s="54"/>
    </row>
    <row r="97" spans="3:19" ht="15.75" customHeight="1" x14ac:dyDescent="0.2">
      <c r="C97" s="60"/>
      <c r="D97" s="54"/>
      <c r="E97" s="54"/>
      <c r="F97" s="54"/>
      <c r="G97" s="54"/>
      <c r="I97" s="54"/>
      <c r="J97" s="54"/>
      <c r="K97" s="60"/>
      <c r="L97" s="54"/>
      <c r="M97" s="54"/>
      <c r="N97" s="54"/>
      <c r="O97" s="54"/>
      <c r="P97" s="54"/>
      <c r="Q97" s="54"/>
      <c r="R97" s="54"/>
      <c r="S97" s="54"/>
    </row>
    <row r="98" spans="3:19" ht="15.75" customHeight="1" x14ac:dyDescent="0.2">
      <c r="C98" s="60"/>
      <c r="D98" s="54"/>
      <c r="E98" s="54"/>
      <c r="F98" s="54"/>
      <c r="G98" s="54"/>
      <c r="I98" s="54"/>
      <c r="J98" s="54"/>
      <c r="K98" s="60"/>
      <c r="L98" s="54"/>
      <c r="M98" s="54"/>
      <c r="N98" s="54"/>
      <c r="O98" s="54"/>
      <c r="P98" s="54"/>
      <c r="Q98" s="54"/>
      <c r="R98" s="54"/>
      <c r="S98" s="54"/>
    </row>
    <row r="99" spans="3:19" ht="15.75" customHeight="1" x14ac:dyDescent="0.2">
      <c r="C99" s="60"/>
      <c r="D99" s="54"/>
      <c r="E99" s="54"/>
      <c r="F99" s="54"/>
      <c r="G99" s="54"/>
      <c r="I99" s="54"/>
      <c r="J99" s="54"/>
      <c r="K99" s="60"/>
      <c r="L99" s="54"/>
      <c r="M99" s="54"/>
      <c r="N99" s="54"/>
      <c r="O99" s="54"/>
      <c r="P99" s="54"/>
      <c r="Q99" s="54"/>
      <c r="R99" s="54"/>
      <c r="S99" s="54"/>
    </row>
    <row r="100" spans="3:19" ht="15.75" customHeight="1" x14ac:dyDescent="0.2">
      <c r="C100" s="60"/>
      <c r="D100" s="54"/>
      <c r="E100" s="54"/>
      <c r="F100" s="54"/>
      <c r="G100" s="54"/>
      <c r="I100" s="54"/>
      <c r="J100" s="54"/>
      <c r="K100" s="60"/>
      <c r="L100" s="54"/>
      <c r="M100" s="54"/>
      <c r="N100" s="54"/>
      <c r="O100" s="54"/>
      <c r="P100" s="54"/>
      <c r="Q100" s="54"/>
      <c r="R100" s="54"/>
      <c r="S100" s="54"/>
    </row>
    <row r="101" spans="3:19" ht="15.75" customHeight="1" x14ac:dyDescent="0.2">
      <c r="C101" s="60"/>
      <c r="D101" s="54"/>
      <c r="E101" s="54"/>
      <c r="F101" s="54"/>
      <c r="G101" s="54"/>
      <c r="I101" s="54"/>
      <c r="J101" s="54"/>
      <c r="K101" s="60"/>
      <c r="L101" s="54"/>
      <c r="M101" s="54"/>
      <c r="N101" s="54"/>
      <c r="O101" s="54"/>
      <c r="P101" s="54"/>
      <c r="Q101" s="54"/>
      <c r="R101" s="54"/>
      <c r="S101" s="54"/>
    </row>
    <row r="102" spans="3:19" ht="15.75" customHeight="1" x14ac:dyDescent="0.2">
      <c r="C102" s="60"/>
      <c r="D102" s="54"/>
      <c r="E102" s="54"/>
      <c r="F102" s="54"/>
      <c r="G102" s="54"/>
      <c r="I102" s="54"/>
      <c r="J102" s="54"/>
      <c r="K102" s="60"/>
      <c r="L102" s="54"/>
      <c r="M102" s="54"/>
      <c r="N102" s="54"/>
      <c r="O102" s="54"/>
      <c r="P102" s="54"/>
      <c r="Q102" s="54"/>
      <c r="R102" s="54"/>
      <c r="S102" s="54"/>
    </row>
    <row r="103" spans="3:19" ht="15.75" customHeight="1" x14ac:dyDescent="0.2">
      <c r="C103" s="60"/>
      <c r="D103" s="54"/>
      <c r="E103" s="54"/>
      <c r="F103" s="54"/>
      <c r="G103" s="54"/>
      <c r="I103" s="54"/>
      <c r="J103" s="54"/>
      <c r="K103" s="60"/>
      <c r="L103" s="54"/>
      <c r="M103" s="54"/>
      <c r="N103" s="54"/>
      <c r="O103" s="54"/>
      <c r="P103" s="54"/>
      <c r="Q103" s="54"/>
      <c r="R103" s="54"/>
      <c r="S103" s="54"/>
    </row>
    <row r="104" spans="3:19" ht="15.75" customHeight="1" x14ac:dyDescent="0.2">
      <c r="C104" s="60"/>
      <c r="D104" s="54"/>
      <c r="E104" s="54"/>
      <c r="F104" s="54"/>
      <c r="G104" s="54"/>
      <c r="I104" s="54"/>
      <c r="J104" s="54"/>
      <c r="K104" s="60"/>
      <c r="L104" s="54"/>
      <c r="M104" s="54"/>
      <c r="N104" s="54"/>
      <c r="O104" s="54"/>
      <c r="P104" s="54"/>
      <c r="Q104" s="54"/>
      <c r="R104" s="54"/>
      <c r="S104" s="54"/>
    </row>
    <row r="105" spans="3:19" ht="15.75" customHeight="1" x14ac:dyDescent="0.2">
      <c r="C105" s="60"/>
      <c r="D105" s="54"/>
      <c r="E105" s="54"/>
      <c r="F105" s="54"/>
      <c r="G105" s="54"/>
      <c r="I105" s="54"/>
      <c r="J105" s="54"/>
      <c r="K105" s="60"/>
      <c r="L105" s="54"/>
      <c r="M105" s="54"/>
      <c r="N105" s="54"/>
      <c r="O105" s="54"/>
      <c r="P105" s="54"/>
      <c r="Q105" s="54"/>
      <c r="R105" s="54"/>
      <c r="S105" s="54"/>
    </row>
    <row r="106" spans="3:19" ht="15.75" customHeight="1" x14ac:dyDescent="0.2">
      <c r="C106" s="60"/>
      <c r="D106" s="54"/>
      <c r="E106" s="54"/>
      <c r="F106" s="54"/>
      <c r="G106" s="54"/>
      <c r="I106" s="54"/>
      <c r="J106" s="54"/>
      <c r="K106" s="60"/>
      <c r="L106" s="54"/>
      <c r="M106" s="54"/>
      <c r="N106" s="54"/>
      <c r="O106" s="54"/>
      <c r="P106" s="54"/>
      <c r="Q106" s="54"/>
      <c r="R106" s="54"/>
      <c r="S106" s="54"/>
    </row>
    <row r="107" spans="3:19" ht="15.75" customHeight="1" x14ac:dyDescent="0.2">
      <c r="C107" s="60"/>
      <c r="D107" s="54"/>
      <c r="E107" s="54"/>
      <c r="F107" s="54"/>
      <c r="G107" s="54"/>
      <c r="I107" s="54"/>
      <c r="J107" s="54"/>
      <c r="K107" s="60"/>
      <c r="L107" s="54"/>
      <c r="M107" s="54"/>
      <c r="N107" s="54"/>
      <c r="O107" s="54"/>
      <c r="P107" s="54"/>
      <c r="Q107" s="54"/>
      <c r="R107" s="54"/>
      <c r="S107" s="54"/>
    </row>
    <row r="108" spans="3:19" ht="15.75" customHeight="1" x14ac:dyDescent="0.2">
      <c r="C108" s="60"/>
      <c r="D108" s="54"/>
      <c r="E108" s="54"/>
      <c r="F108" s="54"/>
      <c r="G108" s="54"/>
      <c r="I108" s="54"/>
      <c r="J108" s="54"/>
      <c r="K108" s="60"/>
      <c r="L108" s="54"/>
      <c r="M108" s="54"/>
      <c r="N108" s="54"/>
      <c r="O108" s="54"/>
      <c r="P108" s="54"/>
      <c r="Q108" s="54"/>
      <c r="R108" s="54"/>
      <c r="S108" s="54"/>
    </row>
    <row r="109" spans="3:19" ht="15.75" customHeight="1" x14ac:dyDescent="0.2">
      <c r="C109" s="60"/>
      <c r="D109" s="54"/>
      <c r="E109" s="54"/>
      <c r="F109" s="54"/>
      <c r="G109" s="54"/>
      <c r="I109" s="54"/>
      <c r="J109" s="54"/>
      <c r="K109" s="60"/>
      <c r="L109" s="54"/>
      <c r="M109" s="54"/>
      <c r="N109" s="54"/>
      <c r="O109" s="54"/>
      <c r="P109" s="54"/>
      <c r="Q109" s="54"/>
      <c r="R109" s="54"/>
      <c r="S109" s="54"/>
    </row>
    <row r="110" spans="3:19" ht="15.75" customHeight="1" x14ac:dyDescent="0.2">
      <c r="C110" s="60"/>
      <c r="D110" s="54"/>
      <c r="E110" s="54"/>
      <c r="F110" s="54"/>
      <c r="G110" s="54"/>
      <c r="I110" s="54"/>
      <c r="J110" s="54"/>
      <c r="K110" s="60"/>
      <c r="L110" s="54"/>
      <c r="M110" s="54"/>
      <c r="N110" s="54"/>
      <c r="O110" s="54"/>
      <c r="P110" s="54"/>
      <c r="Q110" s="54"/>
      <c r="R110" s="54"/>
      <c r="S110" s="54"/>
    </row>
    <row r="111" spans="3:19" ht="15.75" customHeight="1" x14ac:dyDescent="0.2">
      <c r="C111" s="60"/>
      <c r="D111" s="54"/>
      <c r="E111" s="54"/>
      <c r="F111" s="54"/>
      <c r="G111" s="54"/>
      <c r="I111" s="54"/>
      <c r="J111" s="54"/>
      <c r="K111" s="60"/>
      <c r="L111" s="54"/>
      <c r="M111" s="54"/>
      <c r="N111" s="54"/>
      <c r="O111" s="54"/>
      <c r="P111" s="54"/>
      <c r="Q111" s="54"/>
      <c r="R111" s="54"/>
      <c r="S111" s="54"/>
    </row>
    <row r="112" spans="3:19" ht="15.75" customHeight="1" x14ac:dyDescent="0.2">
      <c r="C112" s="60"/>
      <c r="D112" s="54"/>
      <c r="E112" s="54"/>
      <c r="F112" s="54"/>
      <c r="G112" s="54"/>
      <c r="I112" s="54"/>
      <c r="J112" s="54"/>
      <c r="K112" s="60"/>
      <c r="L112" s="54"/>
      <c r="M112" s="54"/>
      <c r="N112" s="54"/>
      <c r="O112" s="54"/>
      <c r="P112" s="54"/>
      <c r="Q112" s="54"/>
      <c r="R112" s="54"/>
      <c r="S112" s="54"/>
    </row>
    <row r="113" spans="3:19" ht="15.75" customHeight="1" x14ac:dyDescent="0.2">
      <c r="C113" s="60"/>
      <c r="D113" s="54"/>
      <c r="E113" s="54"/>
      <c r="F113" s="54"/>
      <c r="G113" s="54"/>
      <c r="I113" s="54"/>
      <c r="J113" s="54"/>
      <c r="K113" s="60"/>
      <c r="L113" s="54"/>
      <c r="M113" s="54"/>
      <c r="N113" s="54"/>
      <c r="O113" s="54"/>
      <c r="P113" s="54"/>
      <c r="Q113" s="54"/>
      <c r="R113" s="54"/>
      <c r="S113" s="54"/>
    </row>
    <row r="114" spans="3:19" ht="15.75" customHeight="1" x14ac:dyDescent="0.2">
      <c r="C114" s="60"/>
      <c r="D114" s="54"/>
      <c r="E114" s="54"/>
      <c r="F114" s="54"/>
      <c r="G114" s="54"/>
      <c r="I114" s="54"/>
      <c r="J114" s="54"/>
      <c r="K114" s="60"/>
      <c r="L114" s="54"/>
      <c r="M114" s="54"/>
      <c r="N114" s="54"/>
      <c r="O114" s="54"/>
      <c r="P114" s="54"/>
      <c r="Q114" s="54"/>
      <c r="R114" s="54"/>
      <c r="S114" s="54"/>
    </row>
    <row r="115" spans="3:19" ht="15.75" customHeight="1" x14ac:dyDescent="0.2">
      <c r="C115" s="60"/>
      <c r="D115" s="54"/>
      <c r="E115" s="54"/>
      <c r="F115" s="54"/>
      <c r="G115" s="54"/>
      <c r="I115" s="54"/>
      <c r="J115" s="54"/>
      <c r="K115" s="60"/>
      <c r="L115" s="54"/>
      <c r="M115" s="54"/>
      <c r="N115" s="54"/>
      <c r="O115" s="54"/>
      <c r="P115" s="54"/>
      <c r="Q115" s="54"/>
      <c r="R115" s="54"/>
      <c r="S115" s="54"/>
    </row>
    <row r="116" spans="3:19" ht="15.75" customHeight="1" x14ac:dyDescent="0.2">
      <c r="C116" s="60"/>
      <c r="D116" s="54"/>
      <c r="E116" s="54"/>
      <c r="F116" s="54"/>
      <c r="G116" s="54"/>
      <c r="I116" s="54"/>
      <c r="J116" s="54"/>
      <c r="K116" s="60"/>
      <c r="L116" s="54"/>
      <c r="M116" s="54"/>
      <c r="N116" s="54"/>
      <c r="O116" s="54"/>
      <c r="P116" s="54"/>
      <c r="Q116" s="54"/>
      <c r="R116" s="54"/>
      <c r="S116" s="54"/>
    </row>
    <row r="117" spans="3:19" ht="15.75" customHeight="1" x14ac:dyDescent="0.2">
      <c r="C117" s="60"/>
      <c r="D117" s="54"/>
      <c r="E117" s="54"/>
      <c r="F117" s="54"/>
      <c r="G117" s="54"/>
      <c r="I117" s="54"/>
      <c r="J117" s="54"/>
      <c r="K117" s="60"/>
      <c r="L117" s="54"/>
      <c r="M117" s="54"/>
      <c r="N117" s="54"/>
      <c r="O117" s="54"/>
      <c r="P117" s="54"/>
      <c r="Q117" s="54"/>
      <c r="R117" s="54"/>
      <c r="S117" s="54"/>
    </row>
    <row r="118" spans="3:19" ht="15.75" customHeight="1" x14ac:dyDescent="0.2">
      <c r="C118" s="60"/>
      <c r="D118" s="54"/>
      <c r="E118" s="54"/>
      <c r="F118" s="54"/>
      <c r="G118" s="54"/>
      <c r="I118" s="54"/>
      <c r="J118" s="54"/>
      <c r="K118" s="60"/>
      <c r="L118" s="54"/>
      <c r="M118" s="54"/>
      <c r="N118" s="54"/>
      <c r="O118" s="54"/>
      <c r="P118" s="54"/>
      <c r="Q118" s="54"/>
      <c r="R118" s="54"/>
      <c r="S118" s="54"/>
    </row>
    <row r="119" spans="3:19" ht="15.75" customHeight="1" x14ac:dyDescent="0.2">
      <c r="C119" s="60"/>
      <c r="D119" s="54"/>
      <c r="E119" s="54"/>
      <c r="F119" s="54"/>
      <c r="G119" s="54"/>
      <c r="I119" s="54"/>
      <c r="J119" s="54"/>
      <c r="K119" s="60"/>
      <c r="L119" s="54"/>
      <c r="M119" s="54"/>
      <c r="N119" s="54"/>
      <c r="O119" s="54"/>
      <c r="P119" s="54"/>
      <c r="Q119" s="54"/>
      <c r="R119" s="54"/>
      <c r="S119" s="54"/>
    </row>
    <row r="120" spans="3:19" ht="15.75" customHeight="1" x14ac:dyDescent="0.2">
      <c r="C120" s="60"/>
      <c r="D120" s="54"/>
      <c r="E120" s="54"/>
      <c r="F120" s="54"/>
      <c r="G120" s="54"/>
      <c r="I120" s="54"/>
      <c r="J120" s="54"/>
      <c r="K120" s="60"/>
      <c r="L120" s="54"/>
      <c r="M120" s="54"/>
      <c r="N120" s="54"/>
      <c r="O120" s="54"/>
      <c r="P120" s="54"/>
      <c r="Q120" s="54"/>
      <c r="R120" s="54"/>
      <c r="S120" s="54"/>
    </row>
    <row r="121" spans="3:19" ht="15.75" customHeight="1" x14ac:dyDescent="0.2">
      <c r="C121" s="60"/>
      <c r="D121" s="54"/>
      <c r="E121" s="54"/>
      <c r="F121" s="54"/>
      <c r="G121" s="54"/>
      <c r="I121" s="54"/>
      <c r="J121" s="54"/>
      <c r="K121" s="60"/>
      <c r="L121" s="54"/>
      <c r="M121" s="54"/>
      <c r="N121" s="54"/>
      <c r="O121" s="54"/>
      <c r="P121" s="54"/>
      <c r="Q121" s="54"/>
      <c r="R121" s="54"/>
      <c r="S121" s="54"/>
    </row>
    <row r="122" spans="3:19" ht="15.75" customHeight="1" x14ac:dyDescent="0.2">
      <c r="C122" s="60"/>
      <c r="D122" s="54"/>
      <c r="E122" s="54"/>
      <c r="F122" s="54"/>
      <c r="G122" s="54"/>
      <c r="I122" s="54"/>
      <c r="J122" s="54"/>
      <c r="K122" s="60"/>
      <c r="L122" s="54"/>
      <c r="M122" s="54"/>
      <c r="N122" s="54"/>
      <c r="O122" s="54"/>
      <c r="P122" s="54"/>
      <c r="Q122" s="54"/>
      <c r="R122" s="54"/>
      <c r="S122" s="54"/>
    </row>
    <row r="123" spans="3:19" ht="15.75" customHeight="1" x14ac:dyDescent="0.2">
      <c r="C123" s="60"/>
      <c r="D123" s="54"/>
      <c r="E123" s="54"/>
      <c r="F123" s="54"/>
      <c r="G123" s="54"/>
      <c r="I123" s="54"/>
      <c r="J123" s="54"/>
      <c r="K123" s="60"/>
      <c r="L123" s="54"/>
      <c r="M123" s="54"/>
      <c r="N123" s="54"/>
      <c r="O123" s="54"/>
      <c r="P123" s="54"/>
      <c r="Q123" s="54"/>
      <c r="R123" s="54"/>
      <c r="S123" s="54"/>
    </row>
    <row r="124" spans="3:19" ht="15.75" customHeight="1" x14ac:dyDescent="0.2">
      <c r="C124" s="60"/>
      <c r="D124" s="54"/>
      <c r="E124" s="54"/>
      <c r="F124" s="54"/>
      <c r="G124" s="54"/>
      <c r="I124" s="54"/>
      <c r="J124" s="54"/>
      <c r="K124" s="60"/>
      <c r="L124" s="54"/>
      <c r="M124" s="54"/>
      <c r="N124" s="54"/>
      <c r="O124" s="54"/>
      <c r="P124" s="54"/>
      <c r="Q124" s="54"/>
      <c r="R124" s="54"/>
      <c r="S124" s="54"/>
    </row>
    <row r="125" spans="3:19" ht="15.75" customHeight="1" x14ac:dyDescent="0.2">
      <c r="C125" s="60"/>
      <c r="D125" s="54"/>
      <c r="E125" s="54"/>
      <c r="F125" s="54"/>
      <c r="G125" s="54"/>
      <c r="I125" s="54"/>
      <c r="J125" s="54"/>
      <c r="K125" s="60"/>
      <c r="L125" s="54"/>
      <c r="M125" s="54"/>
      <c r="N125" s="54"/>
      <c r="O125" s="54"/>
      <c r="P125" s="54"/>
      <c r="Q125" s="54"/>
      <c r="R125" s="54"/>
      <c r="S125" s="54"/>
    </row>
    <row r="126" spans="3:19" ht="15.75" customHeight="1" x14ac:dyDescent="0.2">
      <c r="C126" s="60"/>
      <c r="D126" s="54"/>
      <c r="E126" s="54"/>
      <c r="F126" s="54"/>
      <c r="G126" s="54"/>
      <c r="I126" s="54"/>
      <c r="J126" s="54"/>
      <c r="K126" s="60"/>
      <c r="L126" s="54"/>
      <c r="M126" s="54"/>
      <c r="N126" s="54"/>
      <c r="O126" s="54"/>
      <c r="P126" s="54"/>
      <c r="Q126" s="54"/>
      <c r="R126" s="54"/>
      <c r="S126" s="54"/>
    </row>
    <row r="127" spans="3:19" ht="15.75" customHeight="1" x14ac:dyDescent="0.2">
      <c r="C127" s="60"/>
      <c r="D127" s="54"/>
      <c r="E127" s="54"/>
      <c r="F127" s="54"/>
      <c r="G127" s="54"/>
      <c r="I127" s="54"/>
      <c r="J127" s="54"/>
      <c r="K127" s="60"/>
      <c r="L127" s="54"/>
      <c r="M127" s="54"/>
      <c r="N127" s="54"/>
      <c r="O127" s="54"/>
      <c r="P127" s="54"/>
      <c r="Q127" s="54"/>
      <c r="R127" s="54"/>
      <c r="S127" s="54"/>
    </row>
    <row r="128" spans="3:19" ht="15.75" customHeight="1" x14ac:dyDescent="0.2">
      <c r="C128" s="60"/>
      <c r="D128" s="54"/>
      <c r="E128" s="54"/>
      <c r="F128" s="54"/>
      <c r="G128" s="54"/>
      <c r="I128" s="54"/>
      <c r="J128" s="54"/>
      <c r="K128" s="60"/>
      <c r="L128" s="54"/>
      <c r="M128" s="54"/>
      <c r="N128" s="54"/>
      <c r="O128" s="54"/>
      <c r="P128" s="54"/>
      <c r="Q128" s="54"/>
      <c r="R128" s="54"/>
      <c r="S128" s="54"/>
    </row>
    <row r="129" spans="3:19" ht="15.75" customHeight="1" x14ac:dyDescent="0.2">
      <c r="C129" s="60"/>
      <c r="D129" s="54"/>
      <c r="E129" s="54"/>
      <c r="F129" s="54"/>
      <c r="G129" s="54"/>
      <c r="I129" s="54"/>
      <c r="J129" s="54"/>
      <c r="K129" s="60"/>
      <c r="L129" s="54"/>
      <c r="M129" s="54"/>
      <c r="N129" s="54"/>
      <c r="O129" s="54"/>
      <c r="P129" s="54"/>
      <c r="Q129" s="54"/>
      <c r="R129" s="54"/>
      <c r="S129" s="54"/>
    </row>
    <row r="130" spans="3:19" ht="15.75" customHeight="1" x14ac:dyDescent="0.2">
      <c r="C130" s="60"/>
      <c r="D130" s="54"/>
      <c r="E130" s="54"/>
      <c r="F130" s="54"/>
      <c r="G130" s="54"/>
      <c r="I130" s="54"/>
      <c r="J130" s="54"/>
      <c r="K130" s="60"/>
      <c r="L130" s="54"/>
      <c r="M130" s="54"/>
      <c r="N130" s="54"/>
      <c r="O130" s="54"/>
      <c r="P130" s="54"/>
      <c r="Q130" s="54"/>
      <c r="R130" s="54"/>
      <c r="S130" s="54"/>
    </row>
    <row r="131" spans="3:19" ht="15.75" customHeight="1" x14ac:dyDescent="0.2">
      <c r="C131" s="60"/>
      <c r="D131" s="54"/>
      <c r="E131" s="54"/>
      <c r="F131" s="54"/>
      <c r="G131" s="54"/>
      <c r="I131" s="54"/>
      <c r="J131" s="54"/>
      <c r="K131" s="60"/>
      <c r="L131" s="54"/>
      <c r="M131" s="54"/>
      <c r="N131" s="54"/>
      <c r="O131" s="54"/>
      <c r="P131" s="54"/>
      <c r="Q131" s="54"/>
      <c r="R131" s="54"/>
      <c r="S131" s="54"/>
    </row>
    <row r="132" spans="3:19" ht="15.75" customHeight="1" x14ac:dyDescent="0.2">
      <c r="C132" s="60"/>
      <c r="D132" s="54"/>
      <c r="E132" s="54"/>
      <c r="F132" s="54"/>
      <c r="G132" s="54"/>
      <c r="I132" s="54"/>
      <c r="J132" s="54"/>
      <c r="K132" s="60"/>
      <c r="L132" s="54"/>
      <c r="M132" s="54"/>
      <c r="N132" s="54"/>
      <c r="O132" s="54"/>
      <c r="P132" s="54"/>
      <c r="Q132" s="54"/>
      <c r="R132" s="54"/>
      <c r="S132" s="54"/>
    </row>
    <row r="133" spans="3:19" ht="15.75" customHeight="1" x14ac:dyDescent="0.2">
      <c r="C133" s="60"/>
      <c r="D133" s="54"/>
      <c r="E133" s="54"/>
      <c r="F133" s="54"/>
      <c r="G133" s="54"/>
      <c r="I133" s="54"/>
      <c r="J133" s="54"/>
      <c r="K133" s="60"/>
      <c r="L133" s="54"/>
      <c r="M133" s="54"/>
      <c r="N133" s="54"/>
      <c r="O133" s="54"/>
      <c r="P133" s="54"/>
      <c r="Q133" s="54"/>
      <c r="R133" s="54"/>
      <c r="S133" s="54"/>
    </row>
    <row r="134" spans="3:19" ht="15.75" customHeight="1" x14ac:dyDescent="0.2">
      <c r="C134" s="60"/>
      <c r="D134" s="54"/>
      <c r="E134" s="54"/>
      <c r="F134" s="54"/>
      <c r="G134" s="54"/>
      <c r="I134" s="54"/>
      <c r="J134" s="54"/>
      <c r="K134" s="60"/>
      <c r="L134" s="54"/>
      <c r="M134" s="54"/>
      <c r="N134" s="54"/>
      <c r="O134" s="54"/>
      <c r="P134" s="54"/>
      <c r="Q134" s="54"/>
      <c r="R134" s="54"/>
      <c r="S134" s="54"/>
    </row>
    <row r="135" spans="3:19" ht="15.75" customHeight="1" x14ac:dyDescent="0.2">
      <c r="C135" s="60"/>
      <c r="D135" s="54"/>
      <c r="E135" s="54"/>
      <c r="F135" s="54"/>
      <c r="G135" s="54"/>
      <c r="I135" s="54"/>
      <c r="J135" s="54"/>
      <c r="K135" s="60"/>
      <c r="L135" s="54"/>
      <c r="M135" s="54"/>
      <c r="N135" s="54"/>
      <c r="O135" s="54"/>
      <c r="P135" s="54"/>
      <c r="Q135" s="54"/>
      <c r="R135" s="54"/>
      <c r="S135" s="54"/>
    </row>
    <row r="136" spans="3:19" ht="15.75" customHeight="1" x14ac:dyDescent="0.2">
      <c r="C136" s="60"/>
      <c r="D136" s="54"/>
      <c r="E136" s="54"/>
      <c r="F136" s="54"/>
      <c r="G136" s="54"/>
      <c r="I136" s="54"/>
      <c r="J136" s="54"/>
      <c r="K136" s="60"/>
      <c r="L136" s="54"/>
      <c r="M136" s="54"/>
      <c r="N136" s="54"/>
      <c r="O136" s="54"/>
      <c r="P136" s="54"/>
      <c r="Q136" s="54"/>
      <c r="R136" s="54"/>
      <c r="S136" s="54"/>
    </row>
    <row r="137" spans="3:19" ht="15.75" customHeight="1" x14ac:dyDescent="0.2">
      <c r="C137" s="60"/>
      <c r="D137" s="54"/>
      <c r="E137" s="54"/>
      <c r="F137" s="54"/>
      <c r="G137" s="54"/>
      <c r="I137" s="54"/>
      <c r="J137" s="54"/>
      <c r="K137" s="60"/>
      <c r="L137" s="54"/>
      <c r="M137" s="54"/>
      <c r="N137" s="54"/>
      <c r="O137" s="54"/>
      <c r="P137" s="54"/>
      <c r="Q137" s="54"/>
      <c r="R137" s="54"/>
      <c r="S137" s="54"/>
    </row>
    <row r="138" spans="3:19" ht="15.75" customHeight="1" x14ac:dyDescent="0.2">
      <c r="C138" s="60"/>
      <c r="D138" s="54"/>
      <c r="E138" s="54"/>
      <c r="F138" s="54"/>
      <c r="G138" s="54"/>
      <c r="I138" s="54"/>
      <c r="J138" s="54"/>
      <c r="K138" s="60"/>
      <c r="L138" s="54"/>
      <c r="M138" s="54"/>
      <c r="N138" s="54"/>
      <c r="O138" s="54"/>
      <c r="P138" s="54"/>
      <c r="Q138" s="54"/>
      <c r="R138" s="54"/>
      <c r="S138" s="54"/>
    </row>
    <row r="139" spans="3:19" ht="15.75" customHeight="1" x14ac:dyDescent="0.2">
      <c r="C139" s="60"/>
      <c r="D139" s="54"/>
      <c r="E139" s="54"/>
      <c r="F139" s="54"/>
      <c r="G139" s="54"/>
      <c r="I139" s="54"/>
      <c r="J139" s="54"/>
      <c r="K139" s="60"/>
      <c r="L139" s="54"/>
      <c r="M139" s="54"/>
      <c r="N139" s="54"/>
      <c r="O139" s="54"/>
      <c r="P139" s="54"/>
      <c r="Q139" s="54"/>
      <c r="R139" s="54"/>
      <c r="S139" s="54"/>
    </row>
    <row r="140" spans="3:19" ht="15.75" customHeight="1" x14ac:dyDescent="0.2">
      <c r="C140" s="60"/>
      <c r="D140" s="54"/>
      <c r="E140" s="54"/>
      <c r="F140" s="54"/>
      <c r="G140" s="54"/>
      <c r="I140" s="54"/>
      <c r="J140" s="54"/>
      <c r="K140" s="60"/>
      <c r="L140" s="54"/>
      <c r="M140" s="54"/>
      <c r="N140" s="54"/>
      <c r="O140" s="54"/>
      <c r="P140" s="54"/>
      <c r="Q140" s="54"/>
      <c r="R140" s="54"/>
      <c r="S140" s="54"/>
    </row>
    <row r="141" spans="3:19" ht="15.75" customHeight="1" x14ac:dyDescent="0.2">
      <c r="C141" s="60"/>
      <c r="D141" s="54"/>
      <c r="E141" s="54"/>
      <c r="F141" s="54"/>
      <c r="G141" s="54"/>
      <c r="I141" s="54"/>
      <c r="J141" s="54"/>
      <c r="K141" s="60"/>
      <c r="L141" s="54"/>
      <c r="M141" s="54"/>
      <c r="N141" s="54"/>
      <c r="O141" s="54"/>
      <c r="P141" s="54"/>
      <c r="Q141" s="54"/>
      <c r="R141" s="54"/>
      <c r="S141" s="54"/>
    </row>
    <row r="142" spans="3:19" ht="15.75" customHeight="1" x14ac:dyDescent="0.2">
      <c r="C142" s="60"/>
      <c r="D142" s="54"/>
      <c r="E142" s="54"/>
      <c r="F142" s="54"/>
      <c r="G142" s="54"/>
      <c r="I142" s="54"/>
      <c r="J142" s="54"/>
      <c r="K142" s="60"/>
      <c r="L142" s="54"/>
      <c r="M142" s="54"/>
      <c r="N142" s="54"/>
      <c r="O142" s="54"/>
      <c r="P142" s="54"/>
      <c r="Q142" s="54"/>
      <c r="R142" s="54"/>
      <c r="S142" s="54"/>
    </row>
    <row r="143" spans="3:19" ht="15.75" customHeight="1" x14ac:dyDescent="0.2">
      <c r="C143" s="60"/>
      <c r="D143" s="54"/>
      <c r="E143" s="54"/>
      <c r="F143" s="54"/>
      <c r="G143" s="54"/>
      <c r="I143" s="54"/>
      <c r="J143" s="54"/>
      <c r="K143" s="60"/>
      <c r="L143" s="54"/>
      <c r="M143" s="54"/>
      <c r="N143" s="54"/>
      <c r="O143" s="54"/>
      <c r="P143" s="54"/>
      <c r="Q143" s="54"/>
      <c r="R143" s="54"/>
      <c r="S143" s="54"/>
    </row>
    <row r="144" spans="3:19" ht="15.75" customHeight="1" x14ac:dyDescent="0.2">
      <c r="C144" s="60"/>
      <c r="D144" s="54"/>
      <c r="E144" s="54"/>
      <c r="F144" s="54"/>
      <c r="G144" s="54"/>
      <c r="I144" s="54"/>
      <c r="J144" s="54"/>
      <c r="K144" s="60"/>
      <c r="L144" s="54"/>
      <c r="M144" s="54"/>
      <c r="N144" s="54"/>
      <c r="O144" s="54"/>
      <c r="P144" s="54"/>
      <c r="Q144" s="54"/>
      <c r="R144" s="54"/>
      <c r="S144" s="54"/>
    </row>
    <row r="145" spans="3:19" ht="15.75" customHeight="1" x14ac:dyDescent="0.2">
      <c r="C145" s="60"/>
      <c r="D145" s="54"/>
      <c r="E145" s="54"/>
      <c r="F145" s="54"/>
      <c r="G145" s="54"/>
      <c r="I145" s="54"/>
      <c r="J145" s="54"/>
      <c r="K145" s="60"/>
      <c r="L145" s="54"/>
      <c r="M145" s="54"/>
      <c r="N145" s="54"/>
      <c r="O145" s="54"/>
      <c r="P145" s="54"/>
      <c r="Q145" s="54"/>
      <c r="R145" s="54"/>
      <c r="S145" s="54"/>
    </row>
    <row r="146" spans="3:19" ht="15.75" customHeight="1" x14ac:dyDescent="0.2">
      <c r="C146" s="60"/>
      <c r="D146" s="54"/>
      <c r="E146" s="54"/>
      <c r="F146" s="54"/>
      <c r="G146" s="54"/>
      <c r="I146" s="54"/>
      <c r="J146" s="54"/>
      <c r="K146" s="60"/>
      <c r="L146" s="54"/>
      <c r="M146" s="54"/>
      <c r="N146" s="54"/>
      <c r="O146" s="54"/>
      <c r="P146" s="54"/>
      <c r="Q146" s="54"/>
      <c r="R146" s="54"/>
      <c r="S146" s="54"/>
    </row>
    <row r="147" spans="3:19" ht="15.75" customHeight="1" x14ac:dyDescent="0.2">
      <c r="C147" s="60"/>
      <c r="D147" s="54"/>
      <c r="E147" s="54"/>
      <c r="F147" s="54"/>
      <c r="G147" s="54"/>
      <c r="I147" s="54"/>
      <c r="J147" s="54"/>
      <c r="K147" s="60"/>
      <c r="L147" s="54"/>
      <c r="M147" s="54"/>
      <c r="N147" s="54"/>
      <c r="O147" s="54"/>
      <c r="P147" s="54"/>
      <c r="Q147" s="54"/>
      <c r="R147" s="54"/>
      <c r="S147" s="54"/>
    </row>
    <row r="148" spans="3:19" ht="15.75" customHeight="1" x14ac:dyDescent="0.2">
      <c r="C148" s="60"/>
      <c r="D148" s="54"/>
      <c r="E148" s="54"/>
      <c r="F148" s="54"/>
      <c r="G148" s="54"/>
      <c r="I148" s="54"/>
      <c r="J148" s="54"/>
      <c r="K148" s="60"/>
      <c r="L148" s="54"/>
      <c r="M148" s="54"/>
      <c r="N148" s="54"/>
      <c r="O148" s="54"/>
      <c r="P148" s="54"/>
      <c r="Q148" s="54"/>
      <c r="R148" s="54"/>
      <c r="S148" s="54"/>
    </row>
    <row r="149" spans="3:19" ht="15.75" customHeight="1" x14ac:dyDescent="0.2">
      <c r="C149" s="60"/>
      <c r="D149" s="54"/>
      <c r="E149" s="54"/>
      <c r="F149" s="54"/>
      <c r="G149" s="54"/>
      <c r="I149" s="54"/>
      <c r="J149" s="54"/>
      <c r="K149" s="60"/>
      <c r="L149" s="54"/>
      <c r="M149" s="54"/>
      <c r="N149" s="54"/>
      <c r="O149" s="54"/>
      <c r="P149" s="54"/>
      <c r="Q149" s="54"/>
      <c r="R149" s="54"/>
      <c r="S149" s="54"/>
    </row>
    <row r="150" spans="3:19" ht="15.75" customHeight="1" x14ac:dyDescent="0.2">
      <c r="C150" s="60"/>
      <c r="D150" s="54"/>
      <c r="E150" s="54"/>
      <c r="F150" s="54"/>
      <c r="G150" s="54"/>
      <c r="I150" s="54"/>
      <c r="J150" s="54"/>
      <c r="K150" s="60"/>
      <c r="L150" s="54"/>
      <c r="M150" s="54"/>
      <c r="N150" s="54"/>
      <c r="O150" s="54"/>
      <c r="P150" s="54"/>
      <c r="Q150" s="54"/>
      <c r="R150" s="54"/>
      <c r="S150" s="54"/>
    </row>
    <row r="151" spans="3:19" ht="15.75" customHeight="1" x14ac:dyDescent="0.2">
      <c r="C151" s="60"/>
      <c r="D151" s="54"/>
      <c r="E151" s="54"/>
      <c r="F151" s="54"/>
      <c r="G151" s="54"/>
      <c r="I151" s="54"/>
      <c r="J151" s="54"/>
      <c r="K151" s="60"/>
      <c r="L151" s="54"/>
      <c r="M151" s="54"/>
      <c r="N151" s="54"/>
      <c r="O151" s="54"/>
      <c r="P151" s="54"/>
      <c r="Q151" s="54"/>
      <c r="R151" s="54"/>
      <c r="S151" s="54"/>
    </row>
    <row r="152" spans="3:19" ht="15.75" customHeight="1" x14ac:dyDescent="0.2">
      <c r="C152" s="60"/>
      <c r="D152" s="54"/>
      <c r="E152" s="54"/>
      <c r="F152" s="54"/>
      <c r="G152" s="54"/>
      <c r="I152" s="54"/>
      <c r="J152" s="54"/>
      <c r="K152" s="60"/>
      <c r="L152" s="54"/>
      <c r="M152" s="54"/>
      <c r="N152" s="54"/>
      <c r="O152" s="54"/>
      <c r="P152" s="54"/>
      <c r="Q152" s="54"/>
      <c r="R152" s="54"/>
      <c r="S152" s="54"/>
    </row>
    <row r="153" spans="3:19" ht="15.75" customHeight="1" x14ac:dyDescent="0.2">
      <c r="C153" s="60"/>
      <c r="D153" s="54"/>
      <c r="E153" s="54"/>
      <c r="F153" s="54"/>
      <c r="G153" s="54"/>
      <c r="I153" s="54"/>
      <c r="J153" s="54"/>
      <c r="K153" s="60"/>
      <c r="L153" s="54"/>
      <c r="M153" s="54"/>
      <c r="N153" s="54"/>
      <c r="O153" s="54"/>
      <c r="P153" s="54"/>
      <c r="Q153" s="54"/>
      <c r="R153" s="54"/>
      <c r="S153" s="54"/>
    </row>
    <row r="154" spans="3:19" ht="15.75" customHeight="1" x14ac:dyDescent="0.2">
      <c r="C154" s="60"/>
      <c r="D154" s="54"/>
      <c r="E154" s="54"/>
      <c r="F154" s="54"/>
      <c r="G154" s="54"/>
      <c r="I154" s="54"/>
      <c r="J154" s="54"/>
      <c r="K154" s="60"/>
      <c r="L154" s="54"/>
      <c r="M154" s="54"/>
      <c r="N154" s="54"/>
      <c r="O154" s="54"/>
      <c r="P154" s="54"/>
      <c r="Q154" s="54"/>
      <c r="R154" s="54"/>
      <c r="S154" s="54"/>
    </row>
    <row r="155" spans="3:19" ht="15.75" customHeight="1" x14ac:dyDescent="0.2">
      <c r="C155" s="60"/>
      <c r="D155" s="54"/>
      <c r="E155" s="54"/>
      <c r="F155" s="54"/>
      <c r="G155" s="54"/>
      <c r="I155" s="54"/>
      <c r="J155" s="54"/>
      <c r="K155" s="60"/>
      <c r="L155" s="54"/>
      <c r="M155" s="54"/>
      <c r="N155" s="54"/>
      <c r="O155" s="54"/>
      <c r="P155" s="54"/>
      <c r="Q155" s="54"/>
      <c r="R155" s="54"/>
      <c r="S155" s="54"/>
    </row>
    <row r="156" spans="3:19" ht="15.75" customHeight="1" x14ac:dyDescent="0.2">
      <c r="C156" s="60"/>
      <c r="D156" s="54"/>
      <c r="E156" s="54"/>
      <c r="F156" s="54"/>
      <c r="G156" s="54"/>
      <c r="I156" s="54"/>
      <c r="J156" s="54"/>
      <c r="K156" s="60"/>
      <c r="L156" s="54"/>
      <c r="M156" s="54"/>
      <c r="N156" s="54"/>
      <c r="O156" s="54"/>
      <c r="P156" s="54"/>
      <c r="Q156" s="54"/>
      <c r="R156" s="54"/>
      <c r="S156" s="54"/>
    </row>
    <row r="157" spans="3:19" ht="15.75" customHeight="1" x14ac:dyDescent="0.2">
      <c r="C157" s="60"/>
      <c r="D157" s="54"/>
      <c r="E157" s="54"/>
      <c r="F157" s="54"/>
      <c r="G157" s="54"/>
      <c r="I157" s="54"/>
      <c r="J157" s="54"/>
      <c r="K157" s="60"/>
      <c r="L157" s="54"/>
      <c r="M157" s="54"/>
      <c r="N157" s="54"/>
      <c r="O157" s="54"/>
      <c r="P157" s="54"/>
      <c r="Q157" s="54"/>
      <c r="R157" s="54"/>
      <c r="S157" s="54"/>
    </row>
    <row r="158" spans="3:19" ht="15.75" customHeight="1" x14ac:dyDescent="0.2">
      <c r="C158" s="60"/>
      <c r="D158" s="54"/>
      <c r="E158" s="54"/>
      <c r="F158" s="54"/>
      <c r="G158" s="54"/>
      <c r="I158" s="54"/>
      <c r="J158" s="54"/>
      <c r="K158" s="60"/>
      <c r="L158" s="54"/>
      <c r="M158" s="54"/>
      <c r="N158" s="54"/>
      <c r="O158" s="54"/>
      <c r="P158" s="54"/>
      <c r="Q158" s="54"/>
      <c r="R158" s="54"/>
      <c r="S158" s="54"/>
    </row>
    <row r="159" spans="3:19" ht="15.75" customHeight="1" x14ac:dyDescent="0.2">
      <c r="C159" s="60"/>
      <c r="D159" s="54"/>
      <c r="E159" s="54"/>
      <c r="F159" s="54"/>
      <c r="G159" s="54"/>
      <c r="I159" s="54"/>
      <c r="J159" s="54"/>
      <c r="K159" s="60"/>
      <c r="L159" s="54"/>
      <c r="M159" s="54"/>
      <c r="N159" s="54"/>
      <c r="O159" s="54"/>
      <c r="P159" s="54"/>
      <c r="Q159" s="54"/>
      <c r="R159" s="54"/>
      <c r="S159" s="54"/>
    </row>
    <row r="160" spans="3:19" ht="15.75" customHeight="1" x14ac:dyDescent="0.2">
      <c r="C160" s="60"/>
      <c r="D160" s="54"/>
      <c r="E160" s="54"/>
      <c r="F160" s="54"/>
      <c r="G160" s="54"/>
      <c r="I160" s="54"/>
      <c r="J160" s="54"/>
      <c r="K160" s="60"/>
      <c r="L160" s="54"/>
      <c r="M160" s="54"/>
      <c r="N160" s="54"/>
      <c r="O160" s="54"/>
      <c r="P160" s="54"/>
      <c r="Q160" s="54"/>
      <c r="R160" s="54"/>
      <c r="S160" s="54"/>
    </row>
    <row r="161" spans="3:19" ht="15.75" customHeight="1" x14ac:dyDescent="0.2">
      <c r="C161" s="60"/>
      <c r="D161" s="54"/>
      <c r="E161" s="54"/>
      <c r="F161" s="54"/>
      <c r="G161" s="54"/>
      <c r="I161" s="54"/>
      <c r="J161" s="54"/>
      <c r="K161" s="60"/>
      <c r="L161" s="54"/>
      <c r="M161" s="54"/>
      <c r="N161" s="54"/>
      <c r="O161" s="54"/>
      <c r="P161" s="54"/>
      <c r="Q161" s="54"/>
      <c r="R161" s="54"/>
      <c r="S161" s="54"/>
    </row>
    <row r="162" spans="3:19" ht="15.75" customHeight="1" x14ac:dyDescent="0.2">
      <c r="C162" s="60"/>
      <c r="D162" s="54"/>
      <c r="E162" s="54"/>
      <c r="F162" s="54"/>
      <c r="G162" s="54"/>
      <c r="I162" s="54"/>
      <c r="J162" s="54"/>
      <c r="K162" s="60"/>
      <c r="L162" s="54"/>
      <c r="M162" s="54"/>
      <c r="N162" s="54"/>
      <c r="O162" s="54"/>
      <c r="P162" s="54"/>
      <c r="Q162" s="54"/>
      <c r="R162" s="54"/>
      <c r="S162" s="54"/>
    </row>
    <row r="163" spans="3:19" ht="15.75" customHeight="1" x14ac:dyDescent="0.2">
      <c r="C163" s="60"/>
      <c r="D163" s="54"/>
      <c r="E163" s="54"/>
      <c r="F163" s="54"/>
      <c r="G163" s="54"/>
      <c r="I163" s="54"/>
      <c r="J163" s="54"/>
      <c r="K163" s="60"/>
      <c r="L163" s="54"/>
      <c r="M163" s="54"/>
      <c r="N163" s="54"/>
      <c r="O163" s="54"/>
      <c r="P163" s="54"/>
      <c r="Q163" s="54"/>
      <c r="R163" s="54"/>
      <c r="S163" s="54"/>
    </row>
    <row r="164" spans="3:19" ht="15.75" customHeight="1" x14ac:dyDescent="0.2">
      <c r="C164" s="60"/>
      <c r="D164" s="54"/>
      <c r="E164" s="54"/>
      <c r="F164" s="54"/>
      <c r="G164" s="54"/>
      <c r="I164" s="54"/>
      <c r="J164" s="54"/>
      <c r="K164" s="60"/>
      <c r="L164" s="54"/>
      <c r="M164" s="54"/>
      <c r="N164" s="54"/>
      <c r="O164" s="54"/>
      <c r="P164" s="54"/>
      <c r="Q164" s="54"/>
      <c r="R164" s="54"/>
      <c r="S164" s="54"/>
    </row>
    <row r="165" spans="3:19" ht="15.75" customHeight="1" x14ac:dyDescent="0.2">
      <c r="C165" s="60"/>
      <c r="D165" s="54"/>
      <c r="E165" s="54"/>
      <c r="F165" s="54"/>
      <c r="G165" s="54"/>
      <c r="I165" s="54"/>
      <c r="J165" s="54"/>
      <c r="K165" s="60"/>
      <c r="L165" s="54"/>
      <c r="M165" s="54"/>
      <c r="N165" s="54"/>
      <c r="O165" s="54"/>
      <c r="P165" s="54"/>
      <c r="Q165" s="54"/>
      <c r="R165" s="54"/>
      <c r="S165" s="54"/>
    </row>
    <row r="166" spans="3:19" ht="15.75" customHeight="1" x14ac:dyDescent="0.2">
      <c r="C166" s="60"/>
      <c r="D166" s="54"/>
      <c r="E166" s="54"/>
      <c r="F166" s="54"/>
      <c r="G166" s="54"/>
      <c r="I166" s="54"/>
      <c r="J166" s="54"/>
      <c r="K166" s="60"/>
      <c r="L166" s="54"/>
      <c r="M166" s="54"/>
      <c r="N166" s="54"/>
      <c r="O166" s="54"/>
      <c r="P166" s="54"/>
      <c r="Q166" s="54"/>
      <c r="R166" s="54"/>
      <c r="S166" s="54"/>
    </row>
    <row r="167" spans="3:19" ht="15.75" customHeight="1" x14ac:dyDescent="0.2">
      <c r="C167" s="60"/>
      <c r="D167" s="54"/>
      <c r="E167" s="54"/>
      <c r="F167" s="54"/>
      <c r="G167" s="54"/>
      <c r="I167" s="54"/>
      <c r="J167" s="54"/>
      <c r="K167" s="60"/>
      <c r="L167" s="54"/>
      <c r="M167" s="54"/>
      <c r="N167" s="54"/>
      <c r="O167" s="54"/>
      <c r="P167" s="54"/>
      <c r="Q167" s="54"/>
      <c r="R167" s="54"/>
      <c r="S167" s="54"/>
    </row>
    <row r="168" spans="3:19" ht="15.75" customHeight="1" x14ac:dyDescent="0.2">
      <c r="C168" s="60"/>
      <c r="D168" s="54"/>
      <c r="E168" s="54"/>
      <c r="F168" s="54"/>
      <c r="G168" s="54"/>
      <c r="I168" s="54"/>
      <c r="J168" s="54"/>
      <c r="K168" s="60"/>
      <c r="L168" s="54"/>
      <c r="M168" s="54"/>
      <c r="N168" s="54"/>
      <c r="O168" s="54"/>
      <c r="P168" s="54"/>
      <c r="Q168" s="54"/>
      <c r="R168" s="54"/>
      <c r="S168" s="54"/>
    </row>
    <row r="169" spans="3:19" ht="15.75" customHeight="1" x14ac:dyDescent="0.2">
      <c r="C169" s="60"/>
      <c r="D169" s="54"/>
      <c r="E169" s="54"/>
      <c r="F169" s="54"/>
      <c r="G169" s="54"/>
      <c r="I169" s="54"/>
      <c r="J169" s="54"/>
      <c r="K169" s="60"/>
      <c r="L169" s="54"/>
      <c r="M169" s="54"/>
      <c r="N169" s="54"/>
      <c r="O169" s="54"/>
      <c r="P169" s="54"/>
      <c r="Q169" s="54"/>
      <c r="R169" s="54"/>
      <c r="S169" s="54"/>
    </row>
    <row r="170" spans="3:19" ht="15.75" customHeight="1" x14ac:dyDescent="0.2">
      <c r="C170" s="60"/>
      <c r="D170" s="54"/>
      <c r="E170" s="54"/>
      <c r="F170" s="54"/>
      <c r="G170" s="54"/>
      <c r="I170" s="54"/>
      <c r="J170" s="54"/>
      <c r="K170" s="60"/>
      <c r="L170" s="54"/>
      <c r="M170" s="54"/>
      <c r="N170" s="54"/>
      <c r="O170" s="54"/>
      <c r="P170" s="54"/>
      <c r="Q170" s="54"/>
      <c r="R170" s="54"/>
      <c r="S170" s="54"/>
    </row>
    <row r="171" spans="3:19" ht="15.75" customHeight="1" x14ac:dyDescent="0.2">
      <c r="C171" s="60"/>
      <c r="D171" s="54"/>
      <c r="E171" s="54"/>
      <c r="F171" s="54"/>
      <c r="G171" s="54"/>
      <c r="I171" s="54"/>
      <c r="J171" s="54"/>
      <c r="K171" s="60"/>
      <c r="L171" s="54"/>
      <c r="M171" s="54"/>
      <c r="N171" s="54"/>
      <c r="O171" s="54"/>
      <c r="P171" s="54"/>
      <c r="Q171" s="54"/>
      <c r="R171" s="54"/>
      <c r="S171" s="54"/>
    </row>
    <row r="172" spans="3:19" ht="15.75" customHeight="1" x14ac:dyDescent="0.2">
      <c r="C172" s="60"/>
      <c r="D172" s="54"/>
      <c r="E172" s="54"/>
      <c r="F172" s="54"/>
      <c r="G172" s="54"/>
      <c r="I172" s="54"/>
      <c r="J172" s="54"/>
      <c r="K172" s="60"/>
      <c r="L172" s="54"/>
      <c r="M172" s="54"/>
      <c r="N172" s="54"/>
      <c r="O172" s="54"/>
      <c r="P172" s="54"/>
      <c r="Q172" s="54"/>
      <c r="R172" s="54"/>
      <c r="S172" s="54"/>
    </row>
    <row r="173" spans="3:19" ht="15.75" customHeight="1" x14ac:dyDescent="0.2">
      <c r="C173" s="60"/>
      <c r="D173" s="54"/>
      <c r="E173" s="54"/>
      <c r="F173" s="54"/>
      <c r="G173" s="54"/>
      <c r="I173" s="54"/>
      <c r="J173" s="54"/>
      <c r="K173" s="60"/>
      <c r="L173" s="54"/>
      <c r="M173" s="54"/>
      <c r="N173" s="54"/>
      <c r="O173" s="54"/>
      <c r="P173" s="54"/>
      <c r="Q173" s="54"/>
      <c r="R173" s="54"/>
      <c r="S173" s="54"/>
    </row>
    <row r="174" spans="3:19" ht="15.75" customHeight="1" x14ac:dyDescent="0.2">
      <c r="C174" s="60"/>
      <c r="D174" s="54"/>
      <c r="E174" s="54"/>
      <c r="F174" s="54"/>
      <c r="G174" s="54"/>
      <c r="I174" s="54"/>
      <c r="J174" s="54"/>
      <c r="K174" s="60"/>
      <c r="L174" s="54"/>
      <c r="M174" s="54"/>
      <c r="N174" s="54"/>
      <c r="O174" s="54"/>
      <c r="P174" s="54"/>
      <c r="Q174" s="54"/>
      <c r="R174" s="54"/>
      <c r="S174" s="54"/>
    </row>
    <row r="175" spans="3:19" ht="15.75" customHeight="1" x14ac:dyDescent="0.2">
      <c r="C175" s="60"/>
      <c r="D175" s="54"/>
      <c r="E175" s="54"/>
      <c r="F175" s="54"/>
      <c r="G175" s="54"/>
      <c r="I175" s="54"/>
      <c r="J175" s="54"/>
      <c r="K175" s="60"/>
      <c r="L175" s="54"/>
      <c r="M175" s="54"/>
      <c r="N175" s="54"/>
      <c r="O175" s="54"/>
      <c r="P175" s="54"/>
      <c r="Q175" s="54"/>
      <c r="R175" s="54"/>
      <c r="S175" s="54"/>
    </row>
    <row r="176" spans="3:19" ht="15.75" customHeight="1" x14ac:dyDescent="0.2">
      <c r="C176" s="60"/>
      <c r="D176" s="54"/>
      <c r="E176" s="54"/>
      <c r="F176" s="54"/>
      <c r="G176" s="54"/>
      <c r="I176" s="54"/>
      <c r="J176" s="54"/>
      <c r="K176" s="60"/>
      <c r="L176" s="54"/>
      <c r="M176" s="54"/>
      <c r="N176" s="54"/>
      <c r="O176" s="54"/>
      <c r="P176" s="54"/>
      <c r="Q176" s="54"/>
      <c r="R176" s="54"/>
      <c r="S176" s="54"/>
    </row>
    <row r="177" spans="3:19" ht="15.75" customHeight="1" x14ac:dyDescent="0.2">
      <c r="C177" s="60"/>
      <c r="D177" s="54"/>
      <c r="E177" s="54"/>
      <c r="F177" s="54"/>
      <c r="G177" s="54"/>
      <c r="I177" s="54"/>
      <c r="J177" s="54"/>
      <c r="K177" s="60"/>
      <c r="L177" s="54"/>
      <c r="M177" s="54"/>
      <c r="N177" s="54"/>
      <c r="O177" s="54"/>
      <c r="P177" s="54"/>
      <c r="Q177" s="54"/>
      <c r="R177" s="54"/>
      <c r="S177" s="54"/>
    </row>
    <row r="178" spans="3:19" ht="15.75" customHeight="1" x14ac:dyDescent="0.2">
      <c r="C178" s="60"/>
      <c r="D178" s="54"/>
      <c r="E178" s="54"/>
      <c r="F178" s="54"/>
      <c r="G178" s="54"/>
      <c r="I178" s="54"/>
      <c r="J178" s="54"/>
      <c r="K178" s="60"/>
      <c r="L178" s="54"/>
      <c r="M178" s="54"/>
      <c r="N178" s="54"/>
      <c r="O178" s="54"/>
      <c r="P178" s="54"/>
      <c r="Q178" s="54"/>
      <c r="R178" s="54"/>
      <c r="S178" s="54"/>
    </row>
    <row r="179" spans="3:19" ht="15.75" customHeight="1" x14ac:dyDescent="0.2">
      <c r="C179" s="60"/>
      <c r="D179" s="54"/>
      <c r="E179" s="54"/>
      <c r="F179" s="54"/>
      <c r="G179" s="54"/>
      <c r="I179" s="54"/>
      <c r="J179" s="54"/>
      <c r="K179" s="60"/>
      <c r="L179" s="54"/>
      <c r="M179" s="54"/>
      <c r="N179" s="54"/>
      <c r="O179" s="54"/>
      <c r="P179" s="54"/>
      <c r="Q179" s="54"/>
      <c r="R179" s="54"/>
      <c r="S179" s="54"/>
    </row>
    <row r="180" spans="3:19" ht="15.75" customHeight="1" x14ac:dyDescent="0.2">
      <c r="C180" s="60"/>
      <c r="D180" s="54"/>
      <c r="E180" s="54"/>
      <c r="F180" s="54"/>
      <c r="G180" s="54"/>
      <c r="I180" s="54"/>
      <c r="J180" s="54"/>
      <c r="K180" s="60"/>
      <c r="L180" s="54"/>
      <c r="M180" s="54"/>
      <c r="N180" s="54"/>
      <c r="O180" s="54"/>
      <c r="P180" s="54"/>
      <c r="Q180" s="54"/>
      <c r="R180" s="54"/>
      <c r="S180" s="54"/>
    </row>
    <row r="181" spans="3:19" ht="15.75" customHeight="1" x14ac:dyDescent="0.2">
      <c r="C181" s="60"/>
      <c r="D181" s="54"/>
      <c r="E181" s="54"/>
      <c r="F181" s="54"/>
      <c r="G181" s="54"/>
      <c r="I181" s="54"/>
      <c r="J181" s="54"/>
      <c r="K181" s="60"/>
      <c r="L181" s="54"/>
      <c r="M181" s="54"/>
      <c r="N181" s="54"/>
      <c r="O181" s="54"/>
      <c r="P181" s="54"/>
      <c r="Q181" s="54"/>
      <c r="R181" s="54"/>
      <c r="S181" s="54"/>
    </row>
    <row r="182" spans="3:19" ht="15.75" customHeight="1" x14ac:dyDescent="0.2">
      <c r="C182" s="60"/>
      <c r="D182" s="54"/>
      <c r="E182" s="54"/>
      <c r="F182" s="54"/>
      <c r="G182" s="54"/>
      <c r="I182" s="54"/>
      <c r="J182" s="54"/>
      <c r="K182" s="60"/>
      <c r="L182" s="54"/>
      <c r="M182" s="54"/>
      <c r="N182" s="54"/>
      <c r="O182" s="54"/>
      <c r="P182" s="54"/>
      <c r="Q182" s="54"/>
      <c r="R182" s="54"/>
      <c r="S182" s="54"/>
    </row>
    <row r="183" spans="3:19" ht="15.75" customHeight="1" x14ac:dyDescent="0.2">
      <c r="C183" s="60"/>
      <c r="D183" s="54"/>
      <c r="E183" s="54"/>
      <c r="F183" s="54"/>
      <c r="G183" s="54"/>
      <c r="I183" s="54"/>
      <c r="J183" s="54"/>
      <c r="K183" s="60"/>
      <c r="L183" s="54"/>
      <c r="M183" s="54"/>
      <c r="N183" s="54"/>
      <c r="O183" s="54"/>
      <c r="P183" s="54"/>
      <c r="Q183" s="54"/>
      <c r="R183" s="54"/>
      <c r="S183" s="54"/>
    </row>
    <row r="184" spans="3:19" ht="15.75" customHeight="1" x14ac:dyDescent="0.2">
      <c r="C184" s="60"/>
      <c r="D184" s="54"/>
      <c r="E184" s="54"/>
      <c r="F184" s="54"/>
      <c r="G184" s="54"/>
      <c r="I184" s="54"/>
      <c r="J184" s="54"/>
      <c r="K184" s="60"/>
      <c r="L184" s="54"/>
      <c r="M184" s="54"/>
      <c r="N184" s="54"/>
      <c r="O184" s="54"/>
      <c r="P184" s="54"/>
      <c r="Q184" s="54"/>
      <c r="R184" s="54"/>
      <c r="S184" s="54"/>
    </row>
    <row r="185" spans="3:19" ht="15.75" customHeight="1" x14ac:dyDescent="0.2">
      <c r="C185" s="60"/>
      <c r="D185" s="54"/>
      <c r="E185" s="54"/>
      <c r="F185" s="54"/>
      <c r="G185" s="54"/>
      <c r="I185" s="54"/>
      <c r="J185" s="54"/>
      <c r="K185" s="60"/>
      <c r="L185" s="54"/>
      <c r="M185" s="54"/>
      <c r="N185" s="54"/>
      <c r="O185" s="54"/>
      <c r="P185" s="54"/>
      <c r="Q185" s="54"/>
      <c r="R185" s="54"/>
      <c r="S185" s="54"/>
    </row>
    <row r="186" spans="3:19" ht="15.75" customHeight="1" x14ac:dyDescent="0.2">
      <c r="C186" s="60"/>
      <c r="D186" s="54"/>
      <c r="E186" s="54"/>
      <c r="F186" s="54"/>
      <c r="G186" s="54"/>
      <c r="I186" s="54"/>
      <c r="J186" s="54"/>
      <c r="K186" s="60"/>
      <c r="L186" s="54"/>
      <c r="M186" s="54"/>
      <c r="N186" s="54"/>
      <c r="O186" s="54"/>
      <c r="P186" s="54"/>
      <c r="Q186" s="54"/>
      <c r="R186" s="54"/>
      <c r="S186" s="54"/>
    </row>
    <row r="187" spans="3:19" ht="15.75" customHeight="1" x14ac:dyDescent="0.2">
      <c r="C187" s="60"/>
      <c r="D187" s="54"/>
      <c r="E187" s="54"/>
      <c r="F187" s="54"/>
      <c r="G187" s="54"/>
      <c r="I187" s="54"/>
      <c r="J187" s="54"/>
      <c r="K187" s="60"/>
      <c r="L187" s="54"/>
      <c r="M187" s="54"/>
      <c r="N187" s="54"/>
      <c r="O187" s="54"/>
      <c r="P187" s="54"/>
      <c r="Q187" s="54"/>
      <c r="R187" s="54"/>
      <c r="S187" s="54"/>
    </row>
    <row r="188" spans="3:19" ht="15.75" customHeight="1" x14ac:dyDescent="0.2">
      <c r="C188" s="60"/>
      <c r="D188" s="54"/>
      <c r="E188" s="54"/>
      <c r="F188" s="54"/>
      <c r="G188" s="54"/>
      <c r="I188" s="54"/>
      <c r="J188" s="54"/>
      <c r="K188" s="60"/>
      <c r="L188" s="54"/>
      <c r="M188" s="54"/>
      <c r="N188" s="54"/>
      <c r="O188" s="54"/>
      <c r="P188" s="54"/>
      <c r="Q188" s="54"/>
      <c r="R188" s="54"/>
      <c r="S188" s="54"/>
    </row>
    <row r="189" spans="3:19" ht="15.75" customHeight="1" x14ac:dyDescent="0.2">
      <c r="C189" s="60"/>
      <c r="D189" s="54"/>
      <c r="E189" s="54"/>
      <c r="F189" s="54"/>
      <c r="G189" s="54"/>
      <c r="I189" s="54"/>
      <c r="J189" s="54"/>
      <c r="K189" s="60"/>
      <c r="L189" s="54"/>
      <c r="M189" s="54"/>
      <c r="N189" s="54"/>
      <c r="O189" s="54"/>
      <c r="P189" s="54"/>
      <c r="Q189" s="54"/>
      <c r="R189" s="54"/>
      <c r="S189" s="54"/>
    </row>
    <row r="190" spans="3:19" ht="15.75" customHeight="1" x14ac:dyDescent="0.2">
      <c r="C190" s="60"/>
      <c r="D190" s="54"/>
      <c r="E190" s="54"/>
      <c r="F190" s="54"/>
      <c r="G190" s="54"/>
      <c r="I190" s="54"/>
      <c r="J190" s="54"/>
      <c r="K190" s="60"/>
      <c r="L190" s="54"/>
      <c r="M190" s="54"/>
      <c r="N190" s="54"/>
      <c r="O190" s="54"/>
      <c r="P190" s="54"/>
      <c r="Q190" s="54"/>
      <c r="R190" s="54"/>
      <c r="S190" s="54"/>
    </row>
    <row r="191" spans="3:19" ht="15.75" customHeight="1" x14ac:dyDescent="0.2">
      <c r="C191" s="60"/>
      <c r="D191" s="54"/>
      <c r="E191" s="54"/>
      <c r="F191" s="54"/>
      <c r="G191" s="54"/>
      <c r="I191" s="54"/>
      <c r="J191" s="54"/>
      <c r="K191" s="60"/>
      <c r="L191" s="54"/>
      <c r="M191" s="54"/>
      <c r="N191" s="54"/>
      <c r="O191" s="54"/>
      <c r="P191" s="54"/>
      <c r="Q191" s="54"/>
      <c r="R191" s="54"/>
      <c r="S191" s="54"/>
    </row>
    <row r="192" spans="3:19" ht="15.75" customHeight="1" x14ac:dyDescent="0.2">
      <c r="C192" s="60"/>
      <c r="D192" s="54"/>
      <c r="E192" s="54"/>
      <c r="F192" s="54"/>
      <c r="G192" s="54"/>
      <c r="I192" s="54"/>
      <c r="J192" s="54"/>
      <c r="K192" s="60"/>
      <c r="L192" s="54"/>
      <c r="M192" s="54"/>
      <c r="N192" s="54"/>
      <c r="O192" s="54"/>
      <c r="P192" s="54"/>
      <c r="Q192" s="54"/>
      <c r="R192" s="54"/>
      <c r="S192" s="54"/>
    </row>
    <row r="193" spans="3:19" ht="15.75" customHeight="1" x14ac:dyDescent="0.2">
      <c r="C193" s="60"/>
      <c r="D193" s="54"/>
      <c r="E193" s="54"/>
      <c r="F193" s="54"/>
      <c r="G193" s="54"/>
      <c r="I193" s="54"/>
      <c r="J193" s="54"/>
      <c r="K193" s="60"/>
      <c r="L193" s="54"/>
      <c r="M193" s="54"/>
      <c r="N193" s="54"/>
      <c r="O193" s="54"/>
      <c r="P193" s="54"/>
      <c r="Q193" s="54"/>
      <c r="R193" s="54"/>
      <c r="S193" s="54"/>
    </row>
    <row r="194" spans="3:19" ht="15.75" customHeight="1" x14ac:dyDescent="0.2">
      <c r="C194" s="60"/>
      <c r="D194" s="54"/>
      <c r="E194" s="54"/>
      <c r="F194" s="54"/>
      <c r="G194" s="54"/>
      <c r="I194" s="54"/>
      <c r="J194" s="54"/>
      <c r="K194" s="60"/>
      <c r="L194" s="54"/>
      <c r="M194" s="54"/>
      <c r="N194" s="54"/>
      <c r="O194" s="54"/>
      <c r="P194" s="54"/>
      <c r="Q194" s="54"/>
      <c r="R194" s="54"/>
      <c r="S194" s="54"/>
    </row>
    <row r="195" spans="3:19" ht="15.75" customHeight="1" x14ac:dyDescent="0.2">
      <c r="C195" s="60"/>
      <c r="D195" s="54"/>
      <c r="E195" s="54"/>
      <c r="F195" s="54"/>
      <c r="G195" s="54"/>
      <c r="I195" s="54"/>
      <c r="J195" s="54"/>
      <c r="K195" s="60"/>
      <c r="L195" s="54"/>
      <c r="M195" s="54"/>
      <c r="N195" s="54"/>
      <c r="O195" s="54"/>
      <c r="P195" s="54"/>
      <c r="Q195" s="54"/>
      <c r="R195" s="54"/>
      <c r="S195" s="54"/>
    </row>
    <row r="196" spans="3:19" ht="15.75" customHeight="1" x14ac:dyDescent="0.2">
      <c r="C196" s="60"/>
      <c r="D196" s="54"/>
      <c r="E196" s="54"/>
      <c r="F196" s="54"/>
      <c r="G196" s="54"/>
      <c r="I196" s="54"/>
      <c r="J196" s="54"/>
      <c r="K196" s="60"/>
      <c r="L196" s="54"/>
      <c r="M196" s="54"/>
      <c r="N196" s="54"/>
      <c r="O196" s="54"/>
      <c r="P196" s="54"/>
      <c r="Q196" s="54"/>
      <c r="R196" s="54"/>
      <c r="S196" s="54"/>
    </row>
    <row r="197" spans="3:19" ht="15.75" customHeight="1" x14ac:dyDescent="0.2">
      <c r="C197" s="60"/>
      <c r="D197" s="54"/>
      <c r="E197" s="54"/>
      <c r="F197" s="54"/>
      <c r="G197" s="54"/>
      <c r="I197" s="54"/>
      <c r="J197" s="54"/>
      <c r="K197" s="60"/>
      <c r="L197" s="54"/>
      <c r="M197" s="54"/>
      <c r="N197" s="54"/>
      <c r="O197" s="54"/>
      <c r="P197" s="54"/>
      <c r="Q197" s="54"/>
      <c r="R197" s="54"/>
      <c r="S197" s="54"/>
    </row>
    <row r="198" spans="3:19" ht="15.75" customHeight="1" x14ac:dyDescent="0.2">
      <c r="C198" s="60"/>
      <c r="D198" s="54"/>
      <c r="E198" s="54"/>
      <c r="F198" s="54"/>
      <c r="G198" s="54"/>
      <c r="I198" s="54"/>
      <c r="J198" s="54"/>
      <c r="K198" s="60"/>
      <c r="L198" s="54"/>
      <c r="M198" s="54"/>
      <c r="N198" s="54"/>
      <c r="O198" s="54"/>
      <c r="P198" s="54"/>
      <c r="Q198" s="54"/>
      <c r="R198" s="54"/>
      <c r="S198" s="54"/>
    </row>
    <row r="199" spans="3:19" ht="15.75" customHeight="1" x14ac:dyDescent="0.2">
      <c r="C199" s="60"/>
      <c r="D199" s="54"/>
      <c r="E199" s="54"/>
      <c r="F199" s="54"/>
      <c r="G199" s="54"/>
      <c r="I199" s="54"/>
      <c r="J199" s="54"/>
      <c r="K199" s="60"/>
      <c r="L199" s="54"/>
      <c r="M199" s="54"/>
      <c r="N199" s="54"/>
      <c r="O199" s="54"/>
      <c r="P199" s="54"/>
      <c r="Q199" s="54"/>
      <c r="R199" s="54"/>
      <c r="S199" s="54"/>
    </row>
    <row r="200" spans="3:19" ht="15.75" customHeight="1" x14ac:dyDescent="0.2">
      <c r="C200" s="60"/>
      <c r="D200" s="54"/>
      <c r="E200" s="54"/>
      <c r="F200" s="54"/>
      <c r="G200" s="54"/>
      <c r="I200" s="54"/>
      <c r="J200" s="54"/>
      <c r="K200" s="60"/>
      <c r="L200" s="54"/>
      <c r="M200" s="54"/>
      <c r="N200" s="54"/>
      <c r="O200" s="54"/>
      <c r="P200" s="54"/>
      <c r="Q200" s="54"/>
      <c r="R200" s="54"/>
      <c r="S200" s="54"/>
    </row>
    <row r="201" spans="3:19" ht="15.75" customHeight="1" x14ac:dyDescent="0.2">
      <c r="C201" s="60"/>
      <c r="D201" s="54"/>
      <c r="E201" s="54"/>
      <c r="F201" s="54"/>
      <c r="G201" s="54"/>
      <c r="I201" s="54"/>
      <c r="J201" s="54"/>
      <c r="K201" s="60"/>
      <c r="L201" s="54"/>
      <c r="M201" s="54"/>
      <c r="N201" s="54"/>
      <c r="O201" s="54"/>
      <c r="P201" s="54"/>
      <c r="Q201" s="54"/>
      <c r="R201" s="54"/>
      <c r="S201" s="54"/>
    </row>
    <row r="202" spans="3:19" ht="15.75" customHeight="1" x14ac:dyDescent="0.2">
      <c r="C202" s="60"/>
      <c r="D202" s="54"/>
      <c r="E202" s="54"/>
      <c r="F202" s="54"/>
      <c r="G202" s="54"/>
      <c r="I202" s="54"/>
      <c r="J202" s="54"/>
      <c r="K202" s="60"/>
      <c r="L202" s="54"/>
      <c r="M202" s="54"/>
      <c r="N202" s="54"/>
      <c r="O202" s="54"/>
      <c r="P202" s="54"/>
      <c r="Q202" s="54"/>
      <c r="R202" s="54"/>
      <c r="S202" s="54"/>
    </row>
    <row r="203" spans="3:19" ht="15.75" customHeight="1" x14ac:dyDescent="0.2">
      <c r="C203" s="60"/>
      <c r="D203" s="54"/>
      <c r="E203" s="54"/>
      <c r="F203" s="54"/>
      <c r="G203" s="54"/>
      <c r="I203" s="54"/>
      <c r="J203" s="54"/>
      <c r="K203" s="60"/>
      <c r="L203" s="54"/>
      <c r="M203" s="54"/>
      <c r="N203" s="54"/>
      <c r="O203" s="54"/>
      <c r="P203" s="54"/>
      <c r="Q203" s="54"/>
      <c r="R203" s="54"/>
      <c r="S203" s="54"/>
    </row>
    <row r="204" spans="3:19" ht="15.75" customHeight="1" x14ac:dyDescent="0.2">
      <c r="C204" s="60"/>
      <c r="D204" s="54"/>
      <c r="E204" s="54"/>
      <c r="F204" s="54"/>
      <c r="G204" s="54"/>
      <c r="I204" s="54"/>
      <c r="J204" s="54"/>
      <c r="K204" s="60"/>
      <c r="L204" s="54"/>
      <c r="M204" s="54"/>
      <c r="N204" s="54"/>
      <c r="O204" s="54"/>
      <c r="P204" s="54"/>
      <c r="Q204" s="54"/>
      <c r="R204" s="54"/>
      <c r="S204" s="54"/>
    </row>
    <row r="205" spans="3:19" ht="15.75" customHeight="1" x14ac:dyDescent="0.2">
      <c r="C205" s="60"/>
      <c r="D205" s="54"/>
      <c r="E205" s="54"/>
      <c r="F205" s="54"/>
      <c r="G205" s="54"/>
      <c r="I205" s="54"/>
      <c r="J205" s="54"/>
      <c r="K205" s="60"/>
      <c r="L205" s="54"/>
      <c r="M205" s="54"/>
      <c r="N205" s="54"/>
      <c r="O205" s="54"/>
      <c r="P205" s="54"/>
      <c r="Q205" s="54"/>
      <c r="R205" s="54"/>
      <c r="S205" s="54"/>
    </row>
    <row r="206" spans="3:19" ht="15.75" customHeight="1" x14ac:dyDescent="0.2">
      <c r="C206" s="60"/>
      <c r="D206" s="54"/>
      <c r="E206" s="54"/>
      <c r="F206" s="54"/>
      <c r="G206" s="54"/>
      <c r="I206" s="54"/>
      <c r="J206" s="54"/>
      <c r="K206" s="60"/>
      <c r="L206" s="54"/>
      <c r="M206" s="54"/>
      <c r="N206" s="54"/>
      <c r="O206" s="54"/>
      <c r="P206" s="54"/>
      <c r="Q206" s="54"/>
      <c r="R206" s="54"/>
      <c r="S206" s="54"/>
    </row>
    <row r="207" spans="3:19" ht="15.75" customHeight="1" x14ac:dyDescent="0.2">
      <c r="C207" s="60"/>
      <c r="D207" s="54"/>
      <c r="E207" s="54"/>
      <c r="F207" s="54"/>
      <c r="G207" s="54"/>
      <c r="I207" s="54"/>
      <c r="J207" s="54"/>
      <c r="K207" s="60"/>
      <c r="L207" s="54"/>
      <c r="M207" s="54"/>
      <c r="N207" s="54"/>
      <c r="O207" s="54"/>
      <c r="P207" s="54"/>
      <c r="Q207" s="54"/>
      <c r="R207" s="54"/>
      <c r="S207" s="54"/>
    </row>
    <row r="208" spans="3:19" ht="15.75" customHeight="1" x14ac:dyDescent="0.2">
      <c r="C208" s="60"/>
      <c r="D208" s="54"/>
      <c r="E208" s="54"/>
      <c r="F208" s="54"/>
      <c r="G208" s="54"/>
      <c r="I208" s="54"/>
      <c r="J208" s="54"/>
      <c r="K208" s="60"/>
      <c r="L208" s="54"/>
      <c r="M208" s="54"/>
      <c r="N208" s="54"/>
      <c r="O208" s="54"/>
      <c r="P208" s="54"/>
      <c r="Q208" s="54"/>
      <c r="R208" s="54"/>
      <c r="S208" s="54"/>
    </row>
    <row r="209" spans="3:19" ht="15.75" customHeight="1" x14ac:dyDescent="0.2">
      <c r="C209" s="60"/>
      <c r="D209" s="54"/>
      <c r="E209" s="54"/>
      <c r="F209" s="54"/>
      <c r="G209" s="54"/>
      <c r="I209" s="54"/>
      <c r="J209" s="54"/>
      <c r="K209" s="60"/>
      <c r="L209" s="54"/>
      <c r="M209" s="54"/>
      <c r="N209" s="54"/>
      <c r="O209" s="54"/>
      <c r="P209" s="54"/>
      <c r="Q209" s="54"/>
      <c r="R209" s="54"/>
      <c r="S209" s="54"/>
    </row>
    <row r="210" spans="3:19" ht="15.75" customHeight="1" x14ac:dyDescent="0.2">
      <c r="C210" s="60"/>
      <c r="D210" s="54"/>
      <c r="E210" s="54"/>
      <c r="F210" s="54"/>
      <c r="G210" s="54"/>
      <c r="I210" s="54"/>
      <c r="J210" s="54"/>
      <c r="K210" s="60"/>
      <c r="L210" s="54"/>
      <c r="M210" s="54"/>
      <c r="N210" s="54"/>
      <c r="O210" s="54"/>
      <c r="P210" s="54"/>
      <c r="Q210" s="54"/>
      <c r="R210" s="54"/>
      <c r="S210" s="54"/>
    </row>
    <row r="211" spans="3:19" ht="15.75" customHeight="1" x14ac:dyDescent="0.2">
      <c r="C211" s="60"/>
      <c r="D211" s="54"/>
      <c r="E211" s="54"/>
      <c r="F211" s="54"/>
      <c r="G211" s="54"/>
      <c r="I211" s="54"/>
      <c r="J211" s="54"/>
      <c r="K211" s="60"/>
      <c r="L211" s="54"/>
      <c r="M211" s="54"/>
      <c r="N211" s="54"/>
      <c r="O211" s="54"/>
      <c r="P211" s="54"/>
      <c r="Q211" s="54"/>
      <c r="R211" s="54"/>
      <c r="S211" s="54"/>
    </row>
    <row r="212" spans="3:19" ht="15.75" customHeight="1" x14ac:dyDescent="0.2">
      <c r="C212" s="60"/>
      <c r="D212" s="54"/>
      <c r="E212" s="54"/>
      <c r="F212" s="54"/>
      <c r="G212" s="54"/>
      <c r="I212" s="54"/>
      <c r="J212" s="54"/>
      <c r="K212" s="60"/>
      <c r="L212" s="54"/>
      <c r="M212" s="54"/>
      <c r="N212" s="54"/>
      <c r="O212" s="54"/>
      <c r="P212" s="54"/>
      <c r="Q212" s="54"/>
      <c r="R212" s="54"/>
      <c r="S212" s="54"/>
    </row>
    <row r="213" spans="3:19" ht="15.75" customHeight="1" x14ac:dyDescent="0.2">
      <c r="C213" s="60"/>
      <c r="D213" s="54"/>
      <c r="E213" s="54"/>
      <c r="F213" s="54"/>
      <c r="G213" s="54"/>
      <c r="I213" s="54"/>
      <c r="J213" s="54"/>
      <c r="K213" s="60"/>
      <c r="L213" s="54"/>
      <c r="M213" s="54"/>
      <c r="N213" s="54"/>
      <c r="O213" s="54"/>
      <c r="P213" s="54"/>
      <c r="Q213" s="54"/>
      <c r="R213" s="54"/>
      <c r="S213" s="54"/>
    </row>
    <row r="214" spans="3:19" ht="15.75" customHeight="1" x14ac:dyDescent="0.2">
      <c r="C214" s="60"/>
      <c r="D214" s="54"/>
      <c r="E214" s="54"/>
      <c r="F214" s="54"/>
      <c r="G214" s="54"/>
      <c r="I214" s="54"/>
      <c r="J214" s="54"/>
      <c r="K214" s="60"/>
      <c r="L214" s="54"/>
      <c r="M214" s="54"/>
      <c r="N214" s="54"/>
      <c r="O214" s="54"/>
      <c r="P214" s="54"/>
      <c r="Q214" s="54"/>
      <c r="R214" s="54"/>
      <c r="S214" s="54"/>
    </row>
    <row r="215" spans="3:19" ht="15.75" customHeight="1" x14ac:dyDescent="0.2">
      <c r="C215" s="60"/>
      <c r="D215" s="54"/>
      <c r="E215" s="54"/>
      <c r="F215" s="54"/>
      <c r="G215" s="54"/>
      <c r="I215" s="54"/>
      <c r="J215" s="54"/>
      <c r="K215" s="60"/>
      <c r="L215" s="54"/>
      <c r="M215" s="54"/>
      <c r="N215" s="54"/>
      <c r="O215" s="54"/>
      <c r="P215" s="54"/>
      <c r="Q215" s="54"/>
      <c r="R215" s="54"/>
      <c r="S215" s="54"/>
    </row>
    <row r="216" spans="3:19" ht="15.75" customHeight="1" x14ac:dyDescent="0.2">
      <c r="C216" s="60"/>
      <c r="D216" s="54"/>
      <c r="E216" s="54"/>
      <c r="F216" s="54"/>
      <c r="G216" s="54"/>
      <c r="I216" s="54"/>
      <c r="J216" s="54"/>
      <c r="K216" s="60"/>
      <c r="L216" s="54"/>
      <c r="M216" s="54"/>
      <c r="N216" s="54"/>
      <c r="O216" s="54"/>
      <c r="P216" s="54"/>
      <c r="Q216" s="54"/>
      <c r="R216" s="54"/>
      <c r="S216" s="54"/>
    </row>
    <row r="217" spans="3:19" ht="15.75" customHeight="1" x14ac:dyDescent="0.2">
      <c r="C217" s="60"/>
      <c r="D217" s="54"/>
      <c r="E217" s="54"/>
      <c r="F217" s="54"/>
      <c r="G217" s="54"/>
      <c r="I217" s="54"/>
      <c r="J217" s="54"/>
      <c r="K217" s="60"/>
      <c r="L217" s="54"/>
      <c r="M217" s="54"/>
      <c r="N217" s="54"/>
      <c r="O217" s="54"/>
      <c r="P217" s="54"/>
      <c r="Q217" s="54"/>
      <c r="R217" s="54"/>
      <c r="S217" s="54"/>
    </row>
    <row r="218" spans="3:19" ht="15.75" customHeight="1" x14ac:dyDescent="0.2">
      <c r="C218" s="60"/>
      <c r="D218" s="54"/>
      <c r="E218" s="54"/>
      <c r="F218" s="54"/>
      <c r="G218" s="54"/>
      <c r="I218" s="54"/>
      <c r="J218" s="54"/>
      <c r="K218" s="60"/>
      <c r="L218" s="54"/>
      <c r="M218" s="54"/>
      <c r="N218" s="54"/>
      <c r="O218" s="54"/>
      <c r="P218" s="54"/>
      <c r="Q218" s="54"/>
      <c r="R218" s="54"/>
      <c r="S218" s="54"/>
    </row>
    <row r="219" spans="3:19" ht="15.75" customHeight="1" x14ac:dyDescent="0.2">
      <c r="C219" s="60"/>
      <c r="D219" s="54"/>
      <c r="E219" s="54"/>
      <c r="F219" s="54"/>
      <c r="G219" s="54"/>
      <c r="I219" s="54"/>
      <c r="J219" s="54"/>
      <c r="K219" s="60"/>
      <c r="L219" s="54"/>
      <c r="M219" s="54"/>
      <c r="N219" s="54"/>
      <c r="O219" s="54"/>
      <c r="P219" s="54"/>
      <c r="Q219" s="54"/>
      <c r="R219" s="54"/>
      <c r="S219" s="54"/>
    </row>
    <row r="220" spans="3:19" ht="15.75" customHeight="1" x14ac:dyDescent="0.2">
      <c r="C220" s="60"/>
      <c r="D220" s="54"/>
      <c r="E220" s="54"/>
      <c r="F220" s="54"/>
      <c r="G220" s="54"/>
      <c r="I220" s="54"/>
      <c r="J220" s="54"/>
      <c r="K220" s="60"/>
      <c r="L220" s="54"/>
      <c r="M220" s="54"/>
      <c r="N220" s="54"/>
      <c r="O220" s="54"/>
      <c r="P220" s="54"/>
      <c r="Q220" s="54"/>
      <c r="R220" s="54"/>
      <c r="S220" s="54"/>
    </row>
    <row r="221" spans="3:19" ht="15.75" customHeight="1" x14ac:dyDescent="0.2">
      <c r="C221" s="60"/>
      <c r="D221" s="54"/>
      <c r="E221" s="54"/>
      <c r="F221" s="54"/>
      <c r="G221" s="54"/>
      <c r="I221" s="54"/>
      <c r="J221" s="54"/>
      <c r="K221" s="60"/>
      <c r="L221" s="54"/>
      <c r="M221" s="54"/>
      <c r="N221" s="54"/>
      <c r="O221" s="54"/>
      <c r="P221" s="54"/>
      <c r="Q221" s="54"/>
      <c r="R221" s="54"/>
      <c r="S221" s="54"/>
    </row>
    <row r="222" spans="3:19" ht="15.75" customHeight="1" x14ac:dyDescent="0.2">
      <c r="C222" s="60"/>
      <c r="D222" s="54"/>
      <c r="E222" s="54"/>
      <c r="F222" s="54"/>
      <c r="G222" s="54"/>
      <c r="I222" s="54"/>
      <c r="J222" s="54"/>
      <c r="K222" s="60"/>
      <c r="L222" s="54"/>
      <c r="M222" s="54"/>
      <c r="N222" s="54"/>
      <c r="O222" s="54"/>
      <c r="P222" s="54"/>
      <c r="Q222" s="54"/>
      <c r="R222" s="54"/>
      <c r="S222" s="54"/>
    </row>
    <row r="223" spans="3:19" ht="15.75" customHeight="1" x14ac:dyDescent="0.2">
      <c r="C223" s="60"/>
      <c r="D223" s="54"/>
      <c r="E223" s="54"/>
      <c r="F223" s="54"/>
      <c r="G223" s="54"/>
      <c r="I223" s="54"/>
      <c r="J223" s="54"/>
      <c r="K223" s="60"/>
      <c r="L223" s="54"/>
      <c r="M223" s="54"/>
      <c r="N223" s="54"/>
      <c r="O223" s="54"/>
      <c r="P223" s="54"/>
      <c r="Q223" s="54"/>
      <c r="R223" s="54"/>
      <c r="S223" s="54"/>
    </row>
    <row r="224" spans="3:19" ht="15.75" customHeight="1" x14ac:dyDescent="0.2">
      <c r="C224" s="60"/>
      <c r="D224" s="54"/>
      <c r="E224" s="54"/>
      <c r="F224" s="54"/>
      <c r="G224" s="54"/>
      <c r="I224" s="54"/>
      <c r="J224" s="54"/>
      <c r="K224" s="60"/>
      <c r="L224" s="54"/>
      <c r="M224" s="54"/>
      <c r="N224" s="54"/>
      <c r="O224" s="54"/>
      <c r="P224" s="54"/>
      <c r="Q224" s="54"/>
      <c r="R224" s="54"/>
      <c r="S224" s="54"/>
    </row>
    <row r="225" spans="3:19" ht="15.75" customHeight="1" x14ac:dyDescent="0.2">
      <c r="C225" s="60"/>
      <c r="D225" s="54"/>
      <c r="E225" s="54"/>
      <c r="F225" s="54"/>
      <c r="G225" s="54"/>
      <c r="I225" s="54"/>
      <c r="J225" s="54"/>
      <c r="K225" s="60"/>
      <c r="L225" s="54"/>
      <c r="M225" s="54"/>
      <c r="N225" s="54"/>
      <c r="O225" s="54"/>
      <c r="P225" s="54"/>
      <c r="Q225" s="54"/>
      <c r="R225" s="54"/>
      <c r="S225" s="54"/>
    </row>
    <row r="226" spans="3:19" ht="15.75" customHeight="1" x14ac:dyDescent="0.2">
      <c r="C226" s="60"/>
      <c r="D226" s="54"/>
      <c r="E226" s="54"/>
      <c r="F226" s="54"/>
      <c r="G226" s="54"/>
      <c r="I226" s="54"/>
      <c r="J226" s="54"/>
      <c r="K226" s="60"/>
      <c r="L226" s="54"/>
      <c r="M226" s="54"/>
      <c r="N226" s="54"/>
      <c r="O226" s="54"/>
      <c r="P226" s="54"/>
      <c r="Q226" s="54"/>
      <c r="R226" s="54"/>
      <c r="S226" s="54"/>
    </row>
    <row r="227" spans="3:19" ht="15.75" customHeight="1" x14ac:dyDescent="0.2">
      <c r="C227" s="60"/>
      <c r="D227" s="54"/>
      <c r="E227" s="54"/>
      <c r="F227" s="54"/>
      <c r="G227" s="54"/>
      <c r="I227" s="54"/>
      <c r="J227" s="54"/>
      <c r="K227" s="60"/>
      <c r="L227" s="54"/>
      <c r="M227" s="54"/>
      <c r="N227" s="54"/>
      <c r="O227" s="54"/>
      <c r="P227" s="54"/>
      <c r="Q227" s="54"/>
      <c r="R227" s="54"/>
      <c r="S227" s="54"/>
    </row>
    <row r="228" spans="3:19" ht="15.75" customHeight="1" x14ac:dyDescent="0.2">
      <c r="C228" s="60"/>
      <c r="D228" s="54"/>
      <c r="E228" s="54"/>
      <c r="F228" s="54"/>
      <c r="G228" s="54"/>
      <c r="I228" s="54"/>
      <c r="J228" s="54"/>
      <c r="K228" s="60"/>
      <c r="L228" s="54"/>
      <c r="M228" s="54"/>
      <c r="N228" s="54"/>
      <c r="O228" s="54"/>
      <c r="P228" s="54"/>
      <c r="Q228" s="54"/>
      <c r="R228" s="54"/>
      <c r="S228" s="54"/>
    </row>
    <row r="229" spans="3:19" ht="15.75" customHeight="1" x14ac:dyDescent="0.2">
      <c r="C229" s="60"/>
      <c r="D229" s="54"/>
      <c r="E229" s="54"/>
      <c r="F229" s="54"/>
      <c r="G229" s="54"/>
      <c r="I229" s="54"/>
      <c r="J229" s="54"/>
      <c r="K229" s="60"/>
      <c r="L229" s="54"/>
      <c r="M229" s="54"/>
      <c r="N229" s="54"/>
      <c r="O229" s="54"/>
      <c r="P229" s="54"/>
      <c r="Q229" s="54"/>
      <c r="R229" s="54"/>
      <c r="S229" s="54"/>
    </row>
    <row r="230" spans="3:19" ht="15.75" customHeight="1" x14ac:dyDescent="0.2">
      <c r="C230" s="60"/>
      <c r="D230" s="54"/>
      <c r="E230" s="54"/>
      <c r="F230" s="54"/>
      <c r="G230" s="54"/>
      <c r="I230" s="54"/>
      <c r="J230" s="54"/>
      <c r="K230" s="60"/>
      <c r="L230" s="54"/>
      <c r="M230" s="54"/>
      <c r="N230" s="54"/>
      <c r="O230" s="54"/>
      <c r="P230" s="54"/>
      <c r="Q230" s="54"/>
      <c r="R230" s="54"/>
      <c r="S230" s="54"/>
    </row>
    <row r="231" spans="3:19" ht="15.75" customHeight="1" x14ac:dyDescent="0.2">
      <c r="C231" s="60"/>
      <c r="D231" s="54"/>
      <c r="E231" s="54"/>
      <c r="F231" s="54"/>
      <c r="G231" s="54"/>
      <c r="I231" s="54"/>
      <c r="J231" s="54"/>
      <c r="K231" s="60"/>
      <c r="L231" s="54"/>
      <c r="M231" s="54"/>
      <c r="N231" s="54"/>
      <c r="O231" s="54"/>
      <c r="P231" s="54"/>
      <c r="Q231" s="54"/>
      <c r="R231" s="54"/>
      <c r="S231" s="54"/>
    </row>
    <row r="232" spans="3:19" ht="15.75" customHeight="1" x14ac:dyDescent="0.2">
      <c r="C232" s="60"/>
      <c r="D232" s="54"/>
      <c r="E232" s="54"/>
      <c r="F232" s="54"/>
      <c r="G232" s="54"/>
      <c r="I232" s="54"/>
      <c r="J232" s="54"/>
      <c r="K232" s="60"/>
      <c r="L232" s="54"/>
      <c r="M232" s="54"/>
      <c r="N232" s="54"/>
      <c r="O232" s="54"/>
      <c r="P232" s="54"/>
      <c r="Q232" s="54"/>
      <c r="R232" s="54"/>
      <c r="S232" s="54"/>
    </row>
    <row r="233" spans="3:19" ht="15.75" customHeight="1" x14ac:dyDescent="0.2">
      <c r="C233" s="60"/>
      <c r="D233" s="54"/>
      <c r="E233" s="54"/>
      <c r="F233" s="54"/>
      <c r="G233" s="54"/>
      <c r="I233" s="54"/>
      <c r="J233" s="54"/>
      <c r="K233" s="60"/>
      <c r="L233" s="54"/>
      <c r="M233" s="54"/>
      <c r="N233" s="54"/>
      <c r="O233" s="54"/>
      <c r="P233" s="54"/>
      <c r="Q233" s="54"/>
      <c r="R233" s="54"/>
      <c r="S233" s="54"/>
    </row>
    <row r="234" spans="3:19" ht="15.75" customHeight="1" x14ac:dyDescent="0.2">
      <c r="C234" s="60"/>
      <c r="D234" s="54"/>
      <c r="E234" s="54"/>
      <c r="F234" s="54"/>
      <c r="G234" s="54"/>
      <c r="I234" s="54"/>
      <c r="J234" s="54"/>
      <c r="K234" s="60"/>
      <c r="L234" s="54"/>
      <c r="M234" s="54"/>
      <c r="N234" s="54"/>
      <c r="O234" s="54"/>
      <c r="P234" s="54"/>
      <c r="Q234" s="54"/>
      <c r="R234" s="54"/>
      <c r="S234" s="54"/>
    </row>
    <row r="235" spans="3:19" ht="15.75" customHeight="1" x14ac:dyDescent="0.2">
      <c r="C235" s="60"/>
      <c r="D235" s="54"/>
      <c r="E235" s="54"/>
      <c r="F235" s="54"/>
      <c r="G235" s="54"/>
      <c r="I235" s="54"/>
      <c r="J235" s="54"/>
      <c r="K235" s="60"/>
      <c r="L235" s="54"/>
      <c r="M235" s="54"/>
      <c r="N235" s="54"/>
      <c r="O235" s="54"/>
      <c r="P235" s="54"/>
      <c r="Q235" s="54"/>
      <c r="R235" s="54"/>
      <c r="S235" s="54"/>
    </row>
    <row r="236" spans="3:19" ht="15.75" customHeight="1" x14ac:dyDescent="0.2">
      <c r="C236" s="60"/>
      <c r="D236" s="54"/>
      <c r="E236" s="54"/>
      <c r="F236" s="54"/>
      <c r="G236" s="54"/>
      <c r="I236" s="54"/>
      <c r="J236" s="54"/>
      <c r="K236" s="60"/>
      <c r="L236" s="54"/>
      <c r="M236" s="54"/>
      <c r="N236" s="54"/>
      <c r="O236" s="54"/>
      <c r="P236" s="54"/>
      <c r="Q236" s="54"/>
      <c r="R236" s="54"/>
      <c r="S236" s="54"/>
    </row>
    <row r="237" spans="3:19" ht="15.75" customHeight="1" x14ac:dyDescent="0.2"/>
    <row r="238" spans="3:19" ht="15.75" customHeight="1" x14ac:dyDescent="0.2"/>
    <row r="239" spans="3:19" ht="15.75" customHeight="1" x14ac:dyDescent="0.2"/>
    <row r="240" spans="3:19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conditionalFormatting sqref="H6:H25 H28:H31 H33">
    <cfRule type="cellIs" dxfId="23" priority="1" operator="lessThan">
      <formula>0</formula>
    </cfRule>
  </conditionalFormatting>
  <printOptions horizontalCentered="1" verticalCentered="1"/>
  <pageMargins left="0.25" right="0.25" top="0.75" bottom="0.75" header="0.3" footer="0.3"/>
  <pageSetup scale="96" fitToHeight="0" orientation="landscape" r:id="rId1"/>
  <headerFooter>
    <oddHeader>&amp;A</oddHeader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895"/>
  <sheetViews>
    <sheetView workbookViewId="0"/>
  </sheetViews>
  <sheetFormatPr defaultColWidth="12.5703125" defaultRowHeight="15" customHeight="1" outlineLevelCol="1" x14ac:dyDescent="0.2"/>
  <cols>
    <col min="2" max="2" width="40" customWidth="1"/>
    <col min="3" max="3" width="3.42578125" hidden="1" customWidth="1" outlineLevel="1"/>
    <col min="4" max="10" width="0.140625" hidden="1" customWidth="1" outlineLevel="1"/>
    <col min="11" max="11" width="3.42578125" hidden="1" customWidth="1" outlineLevel="1"/>
    <col min="12" max="12" width="12.5703125" collapsed="1"/>
    <col min="13" max="13" width="14.85546875" customWidth="1"/>
    <col min="23" max="23" width="3.140625" customWidth="1"/>
  </cols>
  <sheetData>
    <row r="1" spans="1:31" ht="28.5" customHeight="1" x14ac:dyDescent="0.25">
      <c r="A1" s="1" t="s">
        <v>574</v>
      </c>
      <c r="B1" s="5"/>
      <c r="C1" s="15"/>
      <c r="D1" s="16"/>
      <c r="E1" s="16"/>
      <c r="F1" s="16"/>
      <c r="G1" s="16"/>
      <c r="H1" s="18"/>
      <c r="I1" s="16"/>
      <c r="J1" s="16"/>
      <c r="K1" s="15"/>
      <c r="L1" s="7"/>
      <c r="M1" s="7"/>
      <c r="N1" s="7"/>
      <c r="O1" s="7"/>
      <c r="P1" s="7"/>
      <c r="Q1" s="7"/>
      <c r="R1" s="7"/>
      <c r="S1" s="7"/>
      <c r="T1" s="206"/>
      <c r="W1" s="19"/>
      <c r="X1" s="20"/>
    </row>
    <row r="2" spans="1:31" ht="50.25" customHeight="1" x14ac:dyDescent="0.2">
      <c r="A2" s="3" t="s">
        <v>50</v>
      </c>
      <c r="B2" s="3" t="s">
        <v>51</v>
      </c>
      <c r="C2" s="21"/>
      <c r="D2" s="22" t="s">
        <v>52</v>
      </c>
      <c r="E2" s="23" t="s">
        <v>53</v>
      </c>
      <c r="F2" s="23" t="s">
        <v>54</v>
      </c>
      <c r="G2" s="23" t="s">
        <v>55</v>
      </c>
      <c r="H2" s="100" t="s">
        <v>56</v>
      </c>
      <c r="I2" s="23" t="s">
        <v>57</v>
      </c>
      <c r="J2" s="129" t="s">
        <v>58</v>
      </c>
      <c r="K2" s="130"/>
      <c r="L2" s="27" t="s">
        <v>59</v>
      </c>
      <c r="M2" s="27" t="s">
        <v>60</v>
      </c>
      <c r="N2" s="27" t="s">
        <v>61</v>
      </c>
      <c r="O2" s="27" t="s">
        <v>62</v>
      </c>
      <c r="P2" s="27" t="s">
        <v>63</v>
      </c>
      <c r="Q2" s="27" t="s">
        <v>64</v>
      </c>
      <c r="R2" s="27" t="s">
        <v>65</v>
      </c>
      <c r="S2" s="27" t="s">
        <v>66</v>
      </c>
      <c r="T2" s="207"/>
      <c r="U2" s="28"/>
      <c r="V2" s="19"/>
      <c r="X2" s="28"/>
      <c r="Y2" s="28"/>
      <c r="Z2" s="28"/>
      <c r="AA2" s="28"/>
      <c r="AB2" s="28"/>
      <c r="AC2" s="28"/>
      <c r="AD2" s="28"/>
      <c r="AE2" s="28"/>
    </row>
    <row r="3" spans="1:31" ht="15.75" customHeight="1" x14ac:dyDescent="0.25">
      <c r="A3" s="103" t="s">
        <v>575</v>
      </c>
      <c r="B3" s="103" t="s">
        <v>68</v>
      </c>
      <c r="C3" s="280"/>
      <c r="D3" s="142">
        <v>0</v>
      </c>
      <c r="E3" s="142" t="e">
        <f>D3*#REF!</f>
        <v>#REF!</v>
      </c>
      <c r="F3" s="142" t="e">
        <f>D3*#REF!</f>
        <v>#REF!</v>
      </c>
      <c r="G3" s="142" t="e">
        <f>(D3*#REF!)*#REF!</f>
        <v>#REF!</v>
      </c>
      <c r="H3" s="33">
        <f t="shared" ref="H3:H12" si="0">IFERROR(((Q3-G3)/G3),0)</f>
        <v>0</v>
      </c>
      <c r="I3" s="16" t="e">
        <f t="shared" ref="I3:I12" si="1">Q3-G3</f>
        <v>#REF!</v>
      </c>
      <c r="J3" s="18">
        <v>0</v>
      </c>
      <c r="K3" s="280"/>
      <c r="L3" s="216">
        <v>0</v>
      </c>
      <c r="M3" s="216">
        <v>307033.65999999997</v>
      </c>
      <c r="N3" s="216">
        <v>293583</v>
      </c>
      <c r="O3" s="216">
        <f>VLOOKUP(A3,TB!A:F,3)</f>
        <v>266373.12</v>
      </c>
      <c r="P3" s="142">
        <f t="shared" ref="P3:P6" si="2">O3/20*26</f>
        <v>346285.05599999998</v>
      </c>
      <c r="Q3" s="142">
        <v>335600</v>
      </c>
      <c r="R3" s="281">
        <f>VLOOKUP(A3,TB!A:F,6)</f>
        <v>335600</v>
      </c>
      <c r="S3" s="281">
        <f t="shared" ref="S3:S11" si="3">Q3-R3</f>
        <v>0</v>
      </c>
    </row>
    <row r="4" spans="1:31" ht="15.75" customHeight="1" x14ac:dyDescent="0.25">
      <c r="A4" s="103" t="s">
        <v>576</v>
      </c>
      <c r="B4" s="103" t="s">
        <v>70</v>
      </c>
      <c r="C4" s="280"/>
      <c r="D4" s="142">
        <v>0</v>
      </c>
      <c r="E4" s="142" t="e">
        <f>D4*#REF!</f>
        <v>#REF!</v>
      </c>
      <c r="F4" s="142" t="e">
        <f>D4*#REF!</f>
        <v>#REF!</v>
      </c>
      <c r="G4" s="142" t="e">
        <f>(D4*#REF!)*#REF!</f>
        <v>#REF!</v>
      </c>
      <c r="H4" s="33">
        <f t="shared" si="0"/>
        <v>0</v>
      </c>
      <c r="I4" s="16" t="e">
        <f t="shared" si="1"/>
        <v>#REF!</v>
      </c>
      <c r="J4" s="18">
        <v>0</v>
      </c>
      <c r="K4" s="280"/>
      <c r="L4" s="216">
        <v>0</v>
      </c>
      <c r="M4" s="216">
        <v>2508.9699999999998</v>
      </c>
      <c r="N4" s="216">
        <v>5000</v>
      </c>
      <c r="O4" s="216">
        <f>VLOOKUP(A4,TB!A:F,3)</f>
        <v>3496.82</v>
      </c>
      <c r="P4" s="142">
        <f t="shared" si="2"/>
        <v>4545.866</v>
      </c>
      <c r="Q4" s="142">
        <v>2500</v>
      </c>
      <c r="R4" s="281">
        <f>VLOOKUP(A4,TB!A:F,6)</f>
        <v>2500</v>
      </c>
      <c r="S4" s="281">
        <f t="shared" si="3"/>
        <v>0</v>
      </c>
    </row>
    <row r="5" spans="1:31" ht="15.75" customHeight="1" x14ac:dyDescent="0.25">
      <c r="A5" s="103" t="s">
        <v>577</v>
      </c>
      <c r="B5" s="103" t="s">
        <v>132</v>
      </c>
      <c r="C5" s="280"/>
      <c r="D5" s="142">
        <v>0</v>
      </c>
      <c r="E5" s="142" t="e">
        <f>D5*#REF!</f>
        <v>#REF!</v>
      </c>
      <c r="F5" s="142" t="e">
        <f>D5*#REF!</f>
        <v>#REF!</v>
      </c>
      <c r="G5" s="142" t="e">
        <f>(D5*#REF!)*#REF!</f>
        <v>#REF!</v>
      </c>
      <c r="H5" s="33">
        <f t="shared" si="0"/>
        <v>0</v>
      </c>
      <c r="I5" s="16" t="e">
        <f t="shared" si="1"/>
        <v>#REF!</v>
      </c>
      <c r="J5" s="18">
        <v>0</v>
      </c>
      <c r="K5" s="280"/>
      <c r="L5" s="216">
        <v>0</v>
      </c>
      <c r="M5" s="216">
        <v>14770.72</v>
      </c>
      <c r="N5" s="216">
        <v>47611</v>
      </c>
      <c r="O5" s="216">
        <f>VLOOKUP(A5,TB!A:F,3)</f>
        <v>38164.769999999997</v>
      </c>
      <c r="P5" s="142">
        <f t="shared" si="2"/>
        <v>49614.201000000001</v>
      </c>
      <c r="Q5" s="142">
        <v>75400</v>
      </c>
      <c r="R5" s="281">
        <f>VLOOKUP(A5,TB!A:F,6)</f>
        <v>75400</v>
      </c>
      <c r="S5" s="281">
        <f t="shared" si="3"/>
        <v>0</v>
      </c>
    </row>
    <row r="6" spans="1:31" ht="15.75" customHeight="1" x14ac:dyDescent="0.25">
      <c r="A6" s="103" t="s">
        <v>578</v>
      </c>
      <c r="B6" s="103" t="s">
        <v>72</v>
      </c>
      <c r="C6" s="280"/>
      <c r="D6" s="142">
        <v>0</v>
      </c>
      <c r="E6" s="142" t="e">
        <f>D6*#REF!</f>
        <v>#REF!</v>
      </c>
      <c r="F6" s="142" t="e">
        <f>D6*#REF!</f>
        <v>#REF!</v>
      </c>
      <c r="G6" s="142" t="e">
        <f>(D6*#REF!)*#REF!</f>
        <v>#REF!</v>
      </c>
      <c r="H6" s="33">
        <f t="shared" si="0"/>
        <v>0</v>
      </c>
      <c r="I6" s="16" t="e">
        <f t="shared" si="1"/>
        <v>#REF!</v>
      </c>
      <c r="J6" s="18">
        <v>0</v>
      </c>
      <c r="K6" s="280"/>
      <c r="L6" s="216">
        <v>0</v>
      </c>
      <c r="M6" s="216">
        <v>187457.97</v>
      </c>
      <c r="N6" s="216">
        <v>222605</v>
      </c>
      <c r="O6" s="216">
        <f>VLOOKUP(A6,TB!A:F,3)</f>
        <v>167473.51999999999</v>
      </c>
      <c r="P6" s="142">
        <f t="shared" si="2"/>
        <v>217715.576</v>
      </c>
      <c r="Q6" s="142">
        <v>213500</v>
      </c>
      <c r="R6" s="281">
        <f>VLOOKUP(A6,TB!A:F,6)</f>
        <v>213500</v>
      </c>
      <c r="S6" s="281">
        <f t="shared" si="3"/>
        <v>0</v>
      </c>
    </row>
    <row r="7" spans="1:31" ht="15.75" customHeight="1" x14ac:dyDescent="0.25">
      <c r="A7" s="103" t="s">
        <v>579</v>
      </c>
      <c r="B7" s="103" t="s">
        <v>76</v>
      </c>
      <c r="C7" s="280"/>
      <c r="D7" s="142">
        <v>0</v>
      </c>
      <c r="E7" s="142" t="e">
        <f>D7*#REF!</f>
        <v>#REF!</v>
      </c>
      <c r="F7" s="142" t="e">
        <f>D7*#REF!</f>
        <v>#REF!</v>
      </c>
      <c r="G7" s="142" t="e">
        <f>(D7*#REF!)*#REF!</f>
        <v>#REF!</v>
      </c>
      <c r="H7" s="33">
        <f t="shared" si="0"/>
        <v>0</v>
      </c>
      <c r="I7" s="16" t="e">
        <f t="shared" si="1"/>
        <v>#REF!</v>
      </c>
      <c r="J7" s="18">
        <v>0</v>
      </c>
      <c r="K7" s="280"/>
      <c r="L7" s="216">
        <v>0</v>
      </c>
      <c r="M7" s="216">
        <v>1333.35</v>
      </c>
      <c r="N7" s="216">
        <v>3500</v>
      </c>
      <c r="O7" s="216">
        <f>VLOOKUP(A7,TB!A:F,3)</f>
        <v>3227.79</v>
      </c>
      <c r="P7" s="272">
        <f t="shared" ref="P7:P9" si="4">N7</f>
        <v>3500</v>
      </c>
      <c r="Q7" s="142">
        <v>3500</v>
      </c>
      <c r="R7" s="281">
        <f>VLOOKUP(A7,TB!A:F,6)</f>
        <v>3500</v>
      </c>
      <c r="S7" s="281">
        <f t="shared" si="3"/>
        <v>0</v>
      </c>
    </row>
    <row r="8" spans="1:31" ht="15.75" customHeight="1" x14ac:dyDescent="0.25">
      <c r="A8" s="103" t="s">
        <v>580</v>
      </c>
      <c r="B8" s="103" t="s">
        <v>80</v>
      </c>
      <c r="C8" s="280"/>
      <c r="D8" s="142">
        <v>0</v>
      </c>
      <c r="E8" s="142" t="e">
        <f>D8*#REF!</f>
        <v>#REF!</v>
      </c>
      <c r="F8" s="142" t="e">
        <f>D8*#REF!</f>
        <v>#REF!</v>
      </c>
      <c r="G8" s="142" t="e">
        <f>(D8*#REF!)*#REF!</f>
        <v>#REF!</v>
      </c>
      <c r="H8" s="33">
        <f t="shared" si="0"/>
        <v>0</v>
      </c>
      <c r="I8" s="16" t="e">
        <f t="shared" si="1"/>
        <v>#REF!</v>
      </c>
      <c r="J8" s="18">
        <v>0</v>
      </c>
      <c r="K8" s="280"/>
      <c r="L8" s="216">
        <v>0</v>
      </c>
      <c r="M8" s="216">
        <v>5.0999999999999996</v>
      </c>
      <c r="N8" s="216">
        <v>8000</v>
      </c>
      <c r="O8" s="216">
        <f>VLOOKUP(A8,TB!A:F,3)</f>
        <v>1667.03</v>
      </c>
      <c r="P8" s="272">
        <f t="shared" si="4"/>
        <v>8000</v>
      </c>
      <c r="Q8" s="142">
        <v>5000</v>
      </c>
      <c r="R8" s="281">
        <f>VLOOKUP(A8,TB!A:F,6)</f>
        <v>5000</v>
      </c>
      <c r="S8" s="281">
        <f t="shared" si="3"/>
        <v>0</v>
      </c>
    </row>
    <row r="9" spans="1:31" ht="15.75" customHeight="1" x14ac:dyDescent="0.25">
      <c r="A9" s="103" t="s">
        <v>581</v>
      </c>
      <c r="B9" s="103" t="s">
        <v>90</v>
      </c>
      <c r="C9" s="280"/>
      <c r="D9" s="142">
        <v>0</v>
      </c>
      <c r="E9" s="142" t="e">
        <f>D9*#REF!</f>
        <v>#REF!</v>
      </c>
      <c r="F9" s="142" t="e">
        <f>D9*#REF!</f>
        <v>#REF!</v>
      </c>
      <c r="G9" s="142" t="e">
        <f>(D9*#REF!)*#REF!</f>
        <v>#REF!</v>
      </c>
      <c r="H9" s="33">
        <f t="shared" si="0"/>
        <v>0</v>
      </c>
      <c r="I9" s="16" t="e">
        <f t="shared" si="1"/>
        <v>#REF!</v>
      </c>
      <c r="J9" s="18">
        <v>0</v>
      </c>
      <c r="K9" s="280"/>
      <c r="L9" s="216">
        <v>0</v>
      </c>
      <c r="M9" s="216">
        <v>87.42</v>
      </c>
      <c r="N9" s="216">
        <v>5000</v>
      </c>
      <c r="O9" s="216">
        <f>VLOOKUP(A9,TB!A:F,3)</f>
        <v>1469.94</v>
      </c>
      <c r="P9" s="272">
        <f t="shared" si="4"/>
        <v>5000</v>
      </c>
      <c r="Q9" s="142">
        <v>3000</v>
      </c>
      <c r="R9" s="281">
        <f>VLOOKUP(A9,TB!A:F,6)</f>
        <v>3000</v>
      </c>
      <c r="S9" s="281">
        <f t="shared" si="3"/>
        <v>0</v>
      </c>
    </row>
    <row r="10" spans="1:31" ht="15.75" customHeight="1" x14ac:dyDescent="0.25">
      <c r="A10" s="103" t="s">
        <v>582</v>
      </c>
      <c r="B10" s="103" t="s">
        <v>583</v>
      </c>
      <c r="C10" s="280"/>
      <c r="D10" s="142">
        <v>0</v>
      </c>
      <c r="E10" s="142" t="e">
        <f>D10*#REF!</f>
        <v>#REF!</v>
      </c>
      <c r="F10" s="142" t="e">
        <f>D10*#REF!</f>
        <v>#REF!</v>
      </c>
      <c r="G10" s="142" t="e">
        <f>(D10*#REF!)*#REF!</f>
        <v>#REF!</v>
      </c>
      <c r="H10" s="33">
        <f t="shared" si="0"/>
        <v>0</v>
      </c>
      <c r="I10" s="16" t="e">
        <f t="shared" si="1"/>
        <v>#REF!</v>
      </c>
      <c r="J10" s="18">
        <v>0</v>
      </c>
      <c r="K10" s="280"/>
      <c r="L10" s="216">
        <v>0</v>
      </c>
      <c r="M10" s="216">
        <v>6702.61</v>
      </c>
      <c r="N10" s="216">
        <v>5000</v>
      </c>
      <c r="O10" s="216">
        <f>VLOOKUP(A10,TB!A:F,3)</f>
        <v>5837.4</v>
      </c>
      <c r="P10" s="142">
        <f>O10/9*12</f>
        <v>7783.1999999999989</v>
      </c>
      <c r="Q10" s="142">
        <v>13050</v>
      </c>
      <c r="R10" s="281">
        <f>VLOOKUP(A10,TB!A:F,6)</f>
        <v>13050</v>
      </c>
      <c r="S10" s="281">
        <f t="shared" si="3"/>
        <v>0</v>
      </c>
    </row>
    <row r="11" spans="1:31" ht="15.75" customHeight="1" x14ac:dyDescent="0.25">
      <c r="A11" s="103" t="s">
        <v>584</v>
      </c>
      <c r="B11" s="103" t="s">
        <v>502</v>
      </c>
      <c r="C11" s="280"/>
      <c r="D11" s="142">
        <v>0</v>
      </c>
      <c r="E11" s="142" t="e">
        <f>D11*#REF!</f>
        <v>#REF!</v>
      </c>
      <c r="F11" s="142" t="e">
        <f>D11*#REF!</f>
        <v>#REF!</v>
      </c>
      <c r="G11" s="142" t="e">
        <f>(D11*#REF!)*#REF!</f>
        <v>#REF!</v>
      </c>
      <c r="H11" s="33">
        <f t="shared" si="0"/>
        <v>0</v>
      </c>
      <c r="I11" s="16" t="e">
        <f t="shared" si="1"/>
        <v>#REF!</v>
      </c>
      <c r="J11" s="18">
        <v>0</v>
      </c>
      <c r="K11" s="280"/>
      <c r="L11" s="216">
        <v>0</v>
      </c>
      <c r="M11" s="216">
        <v>1827.42</v>
      </c>
      <c r="N11" s="216">
        <v>1600</v>
      </c>
      <c r="O11" s="216">
        <f>VLOOKUP(A11,TB!A:F,3)</f>
        <v>1020.86</v>
      </c>
      <c r="P11" s="272">
        <f>N11</f>
        <v>1600</v>
      </c>
      <c r="Q11" s="142">
        <v>1600</v>
      </c>
      <c r="R11" s="281">
        <f>VLOOKUP(A11,TB!A:F,6)</f>
        <v>1600</v>
      </c>
      <c r="S11" s="281">
        <f t="shared" si="3"/>
        <v>0</v>
      </c>
    </row>
    <row r="12" spans="1:31" ht="15.75" customHeight="1" x14ac:dyDescent="0.25">
      <c r="A12" s="47" t="s">
        <v>585</v>
      </c>
      <c r="B12" s="48"/>
      <c r="C12" s="282"/>
      <c r="D12" s="50">
        <f t="shared" ref="D12:G12" si="5">SUM(D3:D11)</f>
        <v>0</v>
      </c>
      <c r="E12" s="50" t="e">
        <f t="shared" si="5"/>
        <v>#REF!</v>
      </c>
      <c r="F12" s="50" t="e">
        <f t="shared" si="5"/>
        <v>#REF!</v>
      </c>
      <c r="G12" s="50" t="e">
        <f t="shared" si="5"/>
        <v>#REF!</v>
      </c>
      <c r="H12" s="42">
        <f t="shared" si="0"/>
        <v>0</v>
      </c>
      <c r="I12" s="50" t="e">
        <f t="shared" si="1"/>
        <v>#REF!</v>
      </c>
      <c r="J12" s="283">
        <f>SUM(J3:J11)</f>
        <v>0</v>
      </c>
      <c r="K12" s="282"/>
      <c r="L12" s="12">
        <f t="shared" ref="L12:S12" si="6">SUM(L3:L11)</f>
        <v>0</v>
      </c>
      <c r="M12" s="12">
        <f t="shared" si="6"/>
        <v>521727.21999999986</v>
      </c>
      <c r="N12" s="12">
        <f t="shared" si="6"/>
        <v>591899</v>
      </c>
      <c r="O12" s="12">
        <f t="shared" si="6"/>
        <v>488731.25</v>
      </c>
      <c r="P12" s="50">
        <f t="shared" si="6"/>
        <v>644043.89899999998</v>
      </c>
      <c r="Q12" s="50">
        <f t="shared" si="6"/>
        <v>653150</v>
      </c>
      <c r="R12" s="12">
        <f t="shared" si="6"/>
        <v>653150</v>
      </c>
      <c r="S12" s="12">
        <f t="shared" si="6"/>
        <v>0</v>
      </c>
    </row>
    <row r="13" spans="1:31" ht="15.75" customHeight="1" x14ac:dyDescent="0.2">
      <c r="A13" s="5"/>
      <c r="B13" s="5"/>
      <c r="C13" s="284"/>
      <c r="D13" s="5"/>
      <c r="E13" s="5"/>
      <c r="F13" s="5"/>
      <c r="G13" s="5"/>
      <c r="H13" s="5"/>
      <c r="I13" s="5"/>
      <c r="J13" s="5"/>
      <c r="K13" s="284"/>
      <c r="L13" s="5"/>
      <c r="M13" s="5"/>
      <c r="N13" s="5"/>
      <c r="O13" s="5"/>
      <c r="P13" s="5"/>
      <c r="Q13" s="5"/>
      <c r="R13" s="267"/>
      <c r="S13" s="267"/>
    </row>
    <row r="14" spans="1:31" ht="15.75" customHeight="1" x14ac:dyDescent="0.2">
      <c r="A14" s="11" t="s">
        <v>184</v>
      </c>
      <c r="B14" s="5"/>
      <c r="C14" s="284"/>
      <c r="D14" s="5"/>
      <c r="E14" s="5"/>
      <c r="F14" s="5"/>
      <c r="G14" s="5"/>
      <c r="H14" s="5"/>
      <c r="I14" s="5"/>
      <c r="J14" s="5"/>
      <c r="K14" s="284"/>
      <c r="L14" s="5"/>
      <c r="M14" s="5"/>
      <c r="N14" s="5"/>
      <c r="O14" s="5"/>
      <c r="P14" s="5"/>
      <c r="Q14" s="5"/>
      <c r="R14" s="267"/>
      <c r="S14" s="267"/>
    </row>
    <row r="15" spans="1:31" ht="15.75" customHeight="1" x14ac:dyDescent="0.25">
      <c r="A15" s="5"/>
      <c r="B15" s="5"/>
      <c r="C15" s="285"/>
      <c r="D15" s="16"/>
      <c r="E15" s="142" t="e">
        <f>D15*#REF!</f>
        <v>#REF!</v>
      </c>
      <c r="F15" s="142" t="e">
        <f>D15*#REF!</f>
        <v>#REF!</v>
      </c>
      <c r="G15" s="142" t="e">
        <f>(D15*#REF!)*#REF!</f>
        <v>#REF!</v>
      </c>
      <c r="H15" s="33">
        <f t="shared" ref="H15:H16" si="7">IFERROR(((Q15-G15)/G15),0)</f>
        <v>0</v>
      </c>
      <c r="I15" s="16" t="e">
        <f t="shared" ref="I15:I16" si="8">Q15-G15</f>
        <v>#REF!</v>
      </c>
      <c r="J15" s="18">
        <v>0</v>
      </c>
      <c r="K15" s="285"/>
      <c r="L15" s="7"/>
      <c r="M15" s="7"/>
      <c r="N15" s="7"/>
      <c r="O15" s="7"/>
      <c r="P15" s="7"/>
      <c r="Q15" s="7"/>
      <c r="R15" s="213"/>
      <c r="S15" s="213"/>
    </row>
    <row r="16" spans="1:31" ht="15.75" customHeight="1" x14ac:dyDescent="0.2">
      <c r="A16" s="11" t="s">
        <v>189</v>
      </c>
      <c r="B16" s="48"/>
      <c r="C16" s="282"/>
      <c r="D16" s="50">
        <f t="shared" ref="D16:G16" si="9">SUM(D15)</f>
        <v>0</v>
      </c>
      <c r="E16" s="50" t="e">
        <f t="shared" si="9"/>
        <v>#REF!</v>
      </c>
      <c r="F16" s="50" t="e">
        <f t="shared" si="9"/>
        <v>#REF!</v>
      </c>
      <c r="G16" s="50" t="e">
        <f t="shared" si="9"/>
        <v>#REF!</v>
      </c>
      <c r="H16" s="42">
        <f t="shared" si="7"/>
        <v>0</v>
      </c>
      <c r="I16" s="50" t="e">
        <f t="shared" si="8"/>
        <v>#REF!</v>
      </c>
      <c r="J16" s="50">
        <v>0</v>
      </c>
      <c r="K16" s="282"/>
      <c r="L16" s="12">
        <f t="shared" ref="L16:S16" si="10">SUM(L15)</f>
        <v>0</v>
      </c>
      <c r="M16" s="12">
        <f t="shared" si="10"/>
        <v>0</v>
      </c>
      <c r="N16" s="12">
        <f t="shared" si="10"/>
        <v>0</v>
      </c>
      <c r="O16" s="12">
        <f t="shared" si="10"/>
        <v>0</v>
      </c>
      <c r="P16" s="50">
        <f t="shared" si="10"/>
        <v>0</v>
      </c>
      <c r="Q16" s="50">
        <f t="shared" si="10"/>
        <v>0</v>
      </c>
      <c r="R16" s="12">
        <f t="shared" si="10"/>
        <v>0</v>
      </c>
      <c r="S16" s="12">
        <f t="shared" si="10"/>
        <v>0</v>
      </c>
    </row>
    <row r="17" spans="1:30" ht="15.75" customHeight="1" x14ac:dyDescent="0.2">
      <c r="A17" s="5"/>
      <c r="B17" s="5"/>
      <c r="C17" s="284"/>
      <c r="D17" s="5"/>
      <c r="E17" s="5"/>
      <c r="F17" s="5"/>
      <c r="G17" s="5"/>
      <c r="H17" s="5"/>
      <c r="I17" s="5"/>
      <c r="J17" s="5"/>
      <c r="K17" s="284"/>
      <c r="L17" s="5"/>
      <c r="M17" s="5"/>
      <c r="N17" s="5"/>
      <c r="O17" s="5"/>
      <c r="P17" s="5"/>
      <c r="Q17" s="5"/>
      <c r="R17" s="267"/>
      <c r="S17" s="267"/>
    </row>
    <row r="18" spans="1:30" ht="15.75" customHeight="1" x14ac:dyDescent="0.2">
      <c r="A18" s="11" t="s">
        <v>190</v>
      </c>
      <c r="B18" s="6"/>
      <c r="C18" s="286"/>
      <c r="D18" s="178">
        <f t="shared" ref="D18:G18" si="11">D12+D16</f>
        <v>0</v>
      </c>
      <c r="E18" s="178" t="e">
        <f t="shared" si="11"/>
        <v>#REF!</v>
      </c>
      <c r="F18" s="178" t="e">
        <f t="shared" si="11"/>
        <v>#REF!</v>
      </c>
      <c r="G18" s="178" t="e">
        <f t="shared" si="11"/>
        <v>#REF!</v>
      </c>
      <c r="H18" s="273">
        <f>IFERROR(((Q18-G18)/G18),0)</f>
        <v>0</v>
      </c>
      <c r="I18" s="178" t="e">
        <f>Q18-G18</f>
        <v>#REF!</v>
      </c>
      <c r="J18" s="178">
        <v>0</v>
      </c>
      <c r="K18" s="286"/>
      <c r="L18" s="227">
        <f t="shared" ref="L18:S18" si="12">L12+L16</f>
        <v>0</v>
      </c>
      <c r="M18" s="227">
        <f t="shared" si="12"/>
        <v>521727.21999999986</v>
      </c>
      <c r="N18" s="227">
        <f t="shared" si="12"/>
        <v>591899</v>
      </c>
      <c r="O18" s="227">
        <f t="shared" si="12"/>
        <v>488731.25</v>
      </c>
      <c r="P18" s="178">
        <f t="shared" si="12"/>
        <v>644043.89899999998</v>
      </c>
      <c r="Q18" s="178">
        <f t="shared" si="12"/>
        <v>653150</v>
      </c>
      <c r="R18" s="227">
        <f t="shared" si="12"/>
        <v>653150</v>
      </c>
      <c r="S18" s="227">
        <f t="shared" si="12"/>
        <v>0</v>
      </c>
      <c r="W18" s="56"/>
      <c r="X18" s="56"/>
      <c r="Y18" s="56"/>
      <c r="Z18" s="56"/>
      <c r="AA18" s="56"/>
      <c r="AB18" s="56"/>
      <c r="AC18" s="56"/>
      <c r="AD18" s="56"/>
    </row>
    <row r="19" spans="1:30" ht="15.75" customHeight="1" x14ac:dyDescent="0.2">
      <c r="C19" s="287"/>
      <c r="K19" s="287"/>
    </row>
    <row r="20" spans="1:30" ht="15.75" customHeight="1" x14ac:dyDescent="0.2">
      <c r="C20" s="287"/>
      <c r="K20" s="287"/>
    </row>
    <row r="21" spans="1:30" ht="15.75" customHeight="1" x14ac:dyDescent="0.2">
      <c r="C21" s="288"/>
      <c r="K21" s="288"/>
      <c r="L21" s="199" t="e">
        <f t="shared" ref="L21:R21" si="13">#REF!</f>
        <v>#REF!</v>
      </c>
      <c r="M21" s="199" t="e">
        <f t="shared" si="13"/>
        <v>#REF!</v>
      </c>
      <c r="N21" s="199" t="e">
        <f t="shared" si="13"/>
        <v>#REF!</v>
      </c>
      <c r="O21" s="199" t="e">
        <f t="shared" si="13"/>
        <v>#REF!</v>
      </c>
      <c r="P21" s="199" t="e">
        <f t="shared" si="13"/>
        <v>#REF!</v>
      </c>
      <c r="Q21" s="199" t="e">
        <f t="shared" si="13"/>
        <v>#REF!</v>
      </c>
      <c r="R21" s="173" t="e">
        <f t="shared" si="13"/>
        <v>#REF!</v>
      </c>
    </row>
    <row r="22" spans="1:30" ht="15.75" customHeight="1" x14ac:dyDescent="0.2">
      <c r="C22" s="289"/>
      <c r="K22" s="289"/>
      <c r="L22" s="290">
        <f t="shared" ref="L22:R22" si="14">L18</f>
        <v>0</v>
      </c>
      <c r="M22" s="290">
        <f t="shared" si="14"/>
        <v>521727.21999999986</v>
      </c>
      <c r="N22" s="290">
        <f t="shared" si="14"/>
        <v>591899</v>
      </c>
      <c r="O22" s="290">
        <f t="shared" si="14"/>
        <v>488731.25</v>
      </c>
      <c r="P22" s="290">
        <f t="shared" si="14"/>
        <v>644043.89899999998</v>
      </c>
      <c r="Q22" s="290">
        <f t="shared" si="14"/>
        <v>653150</v>
      </c>
      <c r="R22" s="291">
        <f t="shared" si="14"/>
        <v>653150</v>
      </c>
    </row>
    <row r="23" spans="1:30" ht="15.75" customHeight="1" x14ac:dyDescent="0.2">
      <c r="C23" s="287"/>
      <c r="K23" s="287"/>
    </row>
    <row r="24" spans="1:30" ht="15.75" customHeight="1" x14ac:dyDescent="0.2">
      <c r="C24" s="287"/>
      <c r="K24" s="287"/>
    </row>
    <row r="25" spans="1:30" ht="15.75" customHeight="1" x14ac:dyDescent="0.2">
      <c r="C25" s="287"/>
      <c r="K25" s="287"/>
    </row>
    <row r="26" spans="1:30" ht="15.75" customHeight="1" x14ac:dyDescent="0.2">
      <c r="C26" s="287"/>
      <c r="K26" s="287"/>
    </row>
    <row r="27" spans="1:30" ht="15.75" customHeight="1" x14ac:dyDescent="0.2">
      <c r="C27" s="287"/>
      <c r="K27" s="287"/>
    </row>
    <row r="28" spans="1:30" ht="15.75" customHeight="1" x14ac:dyDescent="0.2">
      <c r="C28" s="287"/>
      <c r="K28" s="287"/>
    </row>
    <row r="29" spans="1:30" ht="15.75" customHeight="1" x14ac:dyDescent="0.2">
      <c r="C29" s="287"/>
      <c r="K29" s="287"/>
    </row>
    <row r="30" spans="1:30" ht="15.75" customHeight="1" x14ac:dyDescent="0.2">
      <c r="C30" s="287"/>
      <c r="K30" s="287"/>
    </row>
    <row r="31" spans="1:30" ht="15.75" customHeight="1" x14ac:dyDescent="0.2">
      <c r="C31" s="287"/>
      <c r="K31" s="287"/>
    </row>
    <row r="32" spans="1:30" ht="15.75" customHeight="1" x14ac:dyDescent="0.2">
      <c r="C32" s="287"/>
      <c r="K32" s="287"/>
    </row>
    <row r="33" spans="3:11" ht="15.75" customHeight="1" x14ac:dyDescent="0.2">
      <c r="C33" s="287"/>
      <c r="K33" s="287"/>
    </row>
    <row r="34" spans="3:11" ht="15.75" customHeight="1" x14ac:dyDescent="0.2">
      <c r="C34" s="287"/>
      <c r="K34" s="287"/>
    </row>
    <row r="35" spans="3:11" ht="15.75" customHeight="1" x14ac:dyDescent="0.2">
      <c r="C35" s="287"/>
      <c r="K35" s="287"/>
    </row>
    <row r="36" spans="3:11" ht="15.75" customHeight="1" x14ac:dyDescent="0.2">
      <c r="C36" s="287"/>
      <c r="K36" s="287"/>
    </row>
    <row r="37" spans="3:11" ht="15.75" customHeight="1" x14ac:dyDescent="0.2">
      <c r="C37" s="287"/>
      <c r="K37" s="287"/>
    </row>
    <row r="38" spans="3:11" ht="15.75" customHeight="1" x14ac:dyDescent="0.2">
      <c r="C38" s="287"/>
      <c r="K38" s="287"/>
    </row>
    <row r="39" spans="3:11" ht="15.75" customHeight="1" x14ac:dyDescent="0.2">
      <c r="C39" s="287"/>
      <c r="K39" s="287"/>
    </row>
    <row r="40" spans="3:11" ht="15.75" customHeight="1" x14ac:dyDescent="0.2">
      <c r="C40" s="287"/>
      <c r="K40" s="287"/>
    </row>
    <row r="41" spans="3:11" ht="15.75" customHeight="1" x14ac:dyDescent="0.2">
      <c r="C41" s="287"/>
      <c r="K41" s="287"/>
    </row>
    <row r="42" spans="3:11" ht="15.75" customHeight="1" x14ac:dyDescent="0.2">
      <c r="C42" s="287"/>
      <c r="K42" s="287"/>
    </row>
    <row r="43" spans="3:11" ht="15.75" customHeight="1" x14ac:dyDescent="0.2">
      <c r="C43" s="287"/>
      <c r="K43" s="287"/>
    </row>
    <row r="44" spans="3:11" ht="15.75" customHeight="1" x14ac:dyDescent="0.2">
      <c r="C44" s="287"/>
      <c r="K44" s="287"/>
    </row>
    <row r="45" spans="3:11" ht="15.75" customHeight="1" x14ac:dyDescent="0.2">
      <c r="C45" s="287"/>
      <c r="K45" s="287"/>
    </row>
    <row r="46" spans="3:11" ht="15.75" customHeight="1" x14ac:dyDescent="0.2">
      <c r="C46" s="287"/>
      <c r="K46" s="287"/>
    </row>
    <row r="47" spans="3:11" ht="15.75" customHeight="1" x14ac:dyDescent="0.2">
      <c r="C47" s="287"/>
      <c r="K47" s="287"/>
    </row>
    <row r="48" spans="3:11" ht="15.75" customHeight="1" x14ac:dyDescent="0.2">
      <c r="C48" s="287"/>
      <c r="K48" s="287"/>
    </row>
    <row r="49" spans="3:11" ht="15.75" customHeight="1" x14ac:dyDescent="0.2">
      <c r="C49" s="287"/>
      <c r="K49" s="287"/>
    </row>
    <row r="50" spans="3:11" ht="15.75" customHeight="1" x14ac:dyDescent="0.2">
      <c r="C50" s="287"/>
      <c r="K50" s="287"/>
    </row>
    <row r="51" spans="3:11" ht="15.75" customHeight="1" x14ac:dyDescent="0.2">
      <c r="C51" s="287"/>
      <c r="K51" s="287"/>
    </row>
    <row r="52" spans="3:11" ht="15.75" customHeight="1" x14ac:dyDescent="0.2">
      <c r="C52" s="287"/>
      <c r="K52" s="287"/>
    </row>
    <row r="53" spans="3:11" ht="15.75" customHeight="1" x14ac:dyDescent="0.2">
      <c r="C53" s="287"/>
      <c r="K53" s="287"/>
    </row>
    <row r="54" spans="3:11" ht="15.75" customHeight="1" x14ac:dyDescent="0.2">
      <c r="C54" s="287"/>
      <c r="K54" s="287"/>
    </row>
    <row r="55" spans="3:11" ht="15.75" customHeight="1" x14ac:dyDescent="0.2">
      <c r="C55" s="287"/>
      <c r="K55" s="287"/>
    </row>
    <row r="56" spans="3:11" ht="15.75" customHeight="1" x14ac:dyDescent="0.2">
      <c r="C56" s="287"/>
      <c r="K56" s="287"/>
    </row>
    <row r="57" spans="3:11" ht="15.75" customHeight="1" x14ac:dyDescent="0.2">
      <c r="C57" s="287"/>
      <c r="K57" s="287"/>
    </row>
    <row r="58" spans="3:11" ht="15.75" customHeight="1" x14ac:dyDescent="0.2">
      <c r="C58" s="287"/>
      <c r="K58" s="287"/>
    </row>
    <row r="59" spans="3:11" ht="15.75" customHeight="1" x14ac:dyDescent="0.2">
      <c r="C59" s="287"/>
      <c r="K59" s="287"/>
    </row>
    <row r="60" spans="3:11" ht="15.75" customHeight="1" x14ac:dyDescent="0.2">
      <c r="C60" s="287"/>
      <c r="K60" s="287"/>
    </row>
    <row r="61" spans="3:11" ht="15.75" customHeight="1" x14ac:dyDescent="0.2">
      <c r="C61" s="287"/>
      <c r="K61" s="287"/>
    </row>
    <row r="62" spans="3:11" ht="15.75" customHeight="1" x14ac:dyDescent="0.2">
      <c r="C62" s="287"/>
      <c r="K62" s="287"/>
    </row>
    <row r="63" spans="3:11" ht="15.75" customHeight="1" x14ac:dyDescent="0.2">
      <c r="C63" s="287"/>
      <c r="K63" s="287"/>
    </row>
    <row r="64" spans="3:11" ht="15.75" customHeight="1" x14ac:dyDescent="0.2">
      <c r="C64" s="287"/>
      <c r="K64" s="287"/>
    </row>
    <row r="65" spans="1:19" ht="15.75" customHeight="1" x14ac:dyDescent="0.2">
      <c r="C65" s="287"/>
      <c r="K65" s="287"/>
    </row>
    <row r="66" spans="1:19" ht="15.75" customHeight="1" x14ac:dyDescent="0.2">
      <c r="C66" s="287"/>
      <c r="K66" s="287"/>
    </row>
    <row r="67" spans="1:19" ht="15.75" customHeight="1" x14ac:dyDescent="0.2">
      <c r="C67" s="287"/>
      <c r="K67" s="287"/>
    </row>
    <row r="68" spans="1:19" ht="15.75" customHeight="1" x14ac:dyDescent="0.2">
      <c r="C68" s="287"/>
      <c r="K68" s="287"/>
    </row>
    <row r="69" spans="1:19" ht="15.75" customHeight="1" x14ac:dyDescent="0.2">
      <c r="C69" s="287"/>
      <c r="K69" s="287"/>
    </row>
    <row r="70" spans="1:19" ht="15.75" customHeight="1" x14ac:dyDescent="0.2">
      <c r="C70" s="287"/>
      <c r="K70" s="287"/>
    </row>
    <row r="71" spans="1:19" ht="15.75" customHeight="1" x14ac:dyDescent="0.2">
      <c r="C71" s="287"/>
      <c r="K71" s="287"/>
    </row>
    <row r="72" spans="1:19" ht="15.75" customHeight="1" x14ac:dyDescent="0.2">
      <c r="C72" s="287"/>
      <c r="K72" s="287"/>
    </row>
    <row r="73" spans="1:19" ht="15.75" customHeight="1" x14ac:dyDescent="0.2">
      <c r="C73" s="287"/>
      <c r="K73" s="287"/>
    </row>
    <row r="74" spans="1:19" ht="15.75" customHeight="1" x14ac:dyDescent="0.2">
      <c r="C74" s="287"/>
      <c r="K74" s="287"/>
    </row>
    <row r="75" spans="1:19" ht="15.75" customHeight="1" x14ac:dyDescent="0.2">
      <c r="C75" s="287"/>
      <c r="K75" s="287"/>
    </row>
    <row r="76" spans="1:19" ht="15.75" customHeight="1" x14ac:dyDescent="0.2">
      <c r="A76" s="3" t="s">
        <v>50</v>
      </c>
      <c r="B76" s="3" t="s">
        <v>51</v>
      </c>
      <c r="C76" s="292"/>
      <c r="D76" s="99" t="s">
        <v>52</v>
      </c>
      <c r="E76" s="100" t="s">
        <v>53</v>
      </c>
      <c r="F76" s="100" t="s">
        <v>54</v>
      </c>
      <c r="G76" s="100" t="s">
        <v>55</v>
      </c>
      <c r="H76" s="24" t="s">
        <v>56</v>
      </c>
      <c r="I76" s="24" t="s">
        <v>57</v>
      </c>
      <c r="J76" s="101" t="s">
        <v>58</v>
      </c>
      <c r="K76" s="292"/>
      <c r="L76" s="3" t="s">
        <v>59</v>
      </c>
      <c r="M76" s="3" t="s">
        <v>60</v>
      </c>
      <c r="N76" s="3" t="s">
        <v>61</v>
      </c>
      <c r="O76" s="3" t="s">
        <v>62</v>
      </c>
      <c r="P76" s="293" t="s">
        <v>541</v>
      </c>
      <c r="Q76" s="293" t="s">
        <v>64</v>
      </c>
      <c r="R76" s="294" t="s">
        <v>65</v>
      </c>
      <c r="S76" s="294" t="s">
        <v>586</v>
      </c>
    </row>
    <row r="77" spans="1:19" ht="15.75" customHeight="1" x14ac:dyDescent="0.25">
      <c r="A77" s="565" t="s">
        <v>587</v>
      </c>
      <c r="B77" s="566"/>
      <c r="C77" s="566"/>
      <c r="D77" s="566"/>
      <c r="E77" s="66"/>
      <c r="F77" s="66"/>
      <c r="G77" s="276"/>
      <c r="H77" s="234"/>
      <c r="L77" s="65"/>
      <c r="M77" s="165"/>
      <c r="N77" s="65"/>
      <c r="O77" s="165"/>
      <c r="P77" s="157"/>
      <c r="Q77" s="157"/>
      <c r="R77" s="275"/>
      <c r="S77" s="275"/>
    </row>
    <row r="78" spans="1:19" ht="15.75" customHeight="1" x14ac:dyDescent="0.25">
      <c r="A78" s="66" t="s">
        <v>588</v>
      </c>
      <c r="B78" s="66" t="s">
        <v>68</v>
      </c>
      <c r="C78" s="295"/>
      <c r="D78" s="160">
        <v>408884</v>
      </c>
      <c r="E78" s="160" t="e">
        <f>D78*#REF!</f>
        <v>#REF!</v>
      </c>
      <c r="F78" s="160" t="e">
        <f>D78*#REF!</f>
        <v>#REF!</v>
      </c>
      <c r="G78" s="160" t="e">
        <f>(D78*#REF!)*#REF!</f>
        <v>#REF!</v>
      </c>
      <c r="H78" s="296">
        <f t="shared" ref="H78:H101" si="15">IFERROR(((Q78-G78)/G78),0)</f>
        <v>0</v>
      </c>
      <c r="I78" s="147" t="e">
        <f t="shared" ref="I78:I101" si="16">Q78-G78</f>
        <v>#REF!</v>
      </c>
      <c r="J78" s="97">
        <v>0</v>
      </c>
      <c r="K78" s="295"/>
      <c r="L78" s="20">
        <v>546142</v>
      </c>
      <c r="M78" s="20">
        <v>717391.03</v>
      </c>
      <c r="N78" s="20">
        <v>848140</v>
      </c>
      <c r="O78" s="20">
        <f>VLOOKUP(A78,TB!A:F,3)</f>
        <v>575485.72</v>
      </c>
      <c r="P78" s="160">
        <f t="shared" ref="P78:P81" si="17">O78/20*26</f>
        <v>748131.43599999999</v>
      </c>
      <c r="Q78" s="160">
        <v>847100</v>
      </c>
      <c r="R78" s="233">
        <f>VLOOKUP(A78,TB!A:F,6)</f>
        <v>847100</v>
      </c>
      <c r="S78" s="233">
        <f t="shared" ref="S78:S100" si="18">Q78-R78</f>
        <v>0</v>
      </c>
    </row>
    <row r="79" spans="1:19" ht="15.75" customHeight="1" x14ac:dyDescent="0.25">
      <c r="A79" s="66" t="s">
        <v>589</v>
      </c>
      <c r="B79" s="66" t="s">
        <v>70</v>
      </c>
      <c r="C79" s="295"/>
      <c r="D79" s="160">
        <v>3121</v>
      </c>
      <c r="E79" s="160" t="e">
        <f>D79*#REF!</f>
        <v>#REF!</v>
      </c>
      <c r="F79" s="160" t="e">
        <f>D79*#REF!</f>
        <v>#REF!</v>
      </c>
      <c r="G79" s="160" t="e">
        <f>(D79*#REF!)*#REF!</f>
        <v>#REF!</v>
      </c>
      <c r="H79" s="296">
        <f t="shared" si="15"/>
        <v>0</v>
      </c>
      <c r="I79" s="147" t="e">
        <f t="shared" si="16"/>
        <v>#REF!</v>
      </c>
      <c r="J79" s="97">
        <v>0</v>
      </c>
      <c r="K79" s="295"/>
      <c r="L79" s="20">
        <v>5258</v>
      </c>
      <c r="M79" s="20">
        <v>27489.63</v>
      </c>
      <c r="N79" s="20">
        <v>15000</v>
      </c>
      <c r="O79" s="20">
        <f>VLOOKUP(A79,TB!A:F,3)</f>
        <v>10383.83</v>
      </c>
      <c r="P79" s="160">
        <f t="shared" si="17"/>
        <v>13498.979000000001</v>
      </c>
      <c r="Q79" s="160">
        <v>15000</v>
      </c>
      <c r="R79" s="233">
        <f>VLOOKUP(A79,TB!A:F,6)</f>
        <v>15000</v>
      </c>
      <c r="S79" s="233">
        <f t="shared" si="18"/>
        <v>0</v>
      </c>
    </row>
    <row r="80" spans="1:19" ht="15.75" customHeight="1" x14ac:dyDescent="0.25">
      <c r="A80" s="66" t="s">
        <v>590</v>
      </c>
      <c r="B80" s="66" t="s">
        <v>132</v>
      </c>
      <c r="C80" s="295"/>
      <c r="D80" s="160">
        <v>28991</v>
      </c>
      <c r="E80" s="160" t="e">
        <f>D80*#REF!</f>
        <v>#REF!</v>
      </c>
      <c r="F80" s="160" t="e">
        <f>D80*#REF!</f>
        <v>#REF!</v>
      </c>
      <c r="G80" s="160" t="e">
        <f>(D80*#REF!)*#REF!</f>
        <v>#REF!</v>
      </c>
      <c r="H80" s="296">
        <f t="shared" si="15"/>
        <v>0</v>
      </c>
      <c r="I80" s="147" t="e">
        <f t="shared" si="16"/>
        <v>#REF!</v>
      </c>
      <c r="J80" s="97">
        <v>0</v>
      </c>
      <c r="K80" s="295"/>
      <c r="L80" s="20">
        <v>52166</v>
      </c>
      <c r="M80" s="20">
        <v>46211.5</v>
      </c>
      <c r="N80" s="20">
        <v>36904</v>
      </c>
      <c r="O80" s="20">
        <f>VLOOKUP(A80,TB!A:F,3)</f>
        <v>29053.4</v>
      </c>
      <c r="P80" s="160">
        <f t="shared" si="17"/>
        <v>37769.42</v>
      </c>
      <c r="Q80" s="160">
        <v>70800</v>
      </c>
      <c r="R80" s="233">
        <f>VLOOKUP(A80,TB!A:F,6)</f>
        <v>70800</v>
      </c>
      <c r="S80" s="233">
        <f t="shared" si="18"/>
        <v>0</v>
      </c>
    </row>
    <row r="81" spans="1:19" ht="15.75" customHeight="1" x14ac:dyDescent="0.25">
      <c r="A81" s="66" t="s">
        <v>591</v>
      </c>
      <c r="B81" s="66" t="s">
        <v>72</v>
      </c>
      <c r="C81" s="295"/>
      <c r="D81" s="160">
        <v>220165</v>
      </c>
      <c r="E81" s="160" t="e">
        <f>D81*#REF!</f>
        <v>#REF!</v>
      </c>
      <c r="F81" s="160" t="e">
        <f>D81*#REF!</f>
        <v>#REF!</v>
      </c>
      <c r="G81" s="160" t="e">
        <f>(D81*#REF!)*#REF!</f>
        <v>#REF!</v>
      </c>
      <c r="H81" s="296">
        <f t="shared" si="15"/>
        <v>0</v>
      </c>
      <c r="I81" s="147" t="e">
        <f t="shared" si="16"/>
        <v>#REF!</v>
      </c>
      <c r="J81" s="97">
        <v>0</v>
      </c>
      <c r="K81" s="295"/>
      <c r="L81" s="20">
        <v>285834</v>
      </c>
      <c r="M81" s="20">
        <v>420996.54</v>
      </c>
      <c r="N81" s="20">
        <v>507086</v>
      </c>
      <c r="O81" s="20">
        <f>VLOOKUP(A81,TB!A:F,3)</f>
        <v>325224.90000000002</v>
      </c>
      <c r="P81" s="160">
        <f t="shared" si="17"/>
        <v>422792.37</v>
      </c>
      <c r="Q81" s="160">
        <v>499100</v>
      </c>
      <c r="R81" s="233">
        <f>VLOOKUP(A81,TB!A:F,6)</f>
        <v>499100</v>
      </c>
      <c r="S81" s="233">
        <f t="shared" si="18"/>
        <v>0</v>
      </c>
    </row>
    <row r="82" spans="1:19" ht="15.75" customHeight="1" x14ac:dyDescent="0.25">
      <c r="A82" s="66" t="s">
        <v>592</v>
      </c>
      <c r="B82" s="66" t="s">
        <v>74</v>
      </c>
      <c r="C82" s="295"/>
      <c r="D82" s="160">
        <v>1535</v>
      </c>
      <c r="E82" s="160" t="e">
        <f>D82*#REF!</f>
        <v>#REF!</v>
      </c>
      <c r="F82" s="160" t="e">
        <f>D82*#REF!</f>
        <v>#REF!</v>
      </c>
      <c r="G82" s="160" t="e">
        <f>(D82*#REF!)*#REF!</f>
        <v>#REF!</v>
      </c>
      <c r="H82" s="296">
        <f t="shared" si="15"/>
        <v>0</v>
      </c>
      <c r="I82" s="147" t="e">
        <f t="shared" si="16"/>
        <v>#REF!</v>
      </c>
      <c r="J82" s="97">
        <v>0</v>
      </c>
      <c r="K82" s="295"/>
      <c r="L82" s="20">
        <v>18489</v>
      </c>
      <c r="M82" s="20">
        <v>9748.0499999999993</v>
      </c>
      <c r="N82" s="20">
        <v>74600</v>
      </c>
      <c r="O82" s="20">
        <f>VLOOKUP(A82,TB!A:F,3)</f>
        <v>28534.35</v>
      </c>
      <c r="P82" s="163">
        <f t="shared" ref="P82:P84" si="19">N82</f>
        <v>74600</v>
      </c>
      <c r="Q82" s="160">
        <v>212835</v>
      </c>
      <c r="R82" s="233">
        <f>VLOOKUP(A82,TB!A:F,6)</f>
        <v>212835.24</v>
      </c>
      <c r="S82" s="233">
        <f t="shared" si="18"/>
        <v>-0.23999999999068677</v>
      </c>
    </row>
    <row r="83" spans="1:19" ht="15.75" customHeight="1" x14ac:dyDescent="0.25">
      <c r="A83" s="66" t="s">
        <v>593</v>
      </c>
      <c r="B83" s="66" t="s">
        <v>76</v>
      </c>
      <c r="C83" s="295"/>
      <c r="D83" s="160">
        <v>6498</v>
      </c>
      <c r="E83" s="160" t="e">
        <f>D83*#REF!</f>
        <v>#REF!</v>
      </c>
      <c r="F83" s="160" t="e">
        <f>D83*#REF!</f>
        <v>#REF!</v>
      </c>
      <c r="G83" s="160" t="e">
        <f>(D83*#REF!)*#REF!</f>
        <v>#REF!</v>
      </c>
      <c r="H83" s="296">
        <f t="shared" si="15"/>
        <v>0</v>
      </c>
      <c r="I83" s="147" t="e">
        <f t="shared" si="16"/>
        <v>#REF!</v>
      </c>
      <c r="J83" s="97">
        <v>0</v>
      </c>
      <c r="K83" s="295"/>
      <c r="L83" s="20">
        <v>7221</v>
      </c>
      <c r="M83" s="20">
        <v>4168.42</v>
      </c>
      <c r="N83" s="20">
        <v>10000</v>
      </c>
      <c r="O83" s="20">
        <f>VLOOKUP(A83,TB!A:F,3)</f>
        <v>6252.74</v>
      </c>
      <c r="P83" s="163">
        <f t="shared" si="19"/>
        <v>10000</v>
      </c>
      <c r="Q83" s="160">
        <v>5500</v>
      </c>
      <c r="R83" s="233">
        <f>VLOOKUP(A83,TB!A:F,6)</f>
        <v>5500</v>
      </c>
      <c r="S83" s="233">
        <f t="shared" si="18"/>
        <v>0</v>
      </c>
    </row>
    <row r="84" spans="1:19" ht="15.75" customHeight="1" x14ac:dyDescent="0.25">
      <c r="A84" s="66" t="s">
        <v>594</v>
      </c>
      <c r="B84" s="66" t="s">
        <v>80</v>
      </c>
      <c r="C84" s="295"/>
      <c r="D84" s="160">
        <v>9082</v>
      </c>
      <c r="E84" s="160" t="e">
        <f>D84*#REF!</f>
        <v>#REF!</v>
      </c>
      <c r="F84" s="160" t="e">
        <f>D84*#REF!</f>
        <v>#REF!</v>
      </c>
      <c r="G84" s="160" t="e">
        <f>(D84*#REF!)*#REF!</f>
        <v>#REF!</v>
      </c>
      <c r="H84" s="296">
        <f t="shared" si="15"/>
        <v>0</v>
      </c>
      <c r="I84" s="147" t="e">
        <f t="shared" si="16"/>
        <v>#REF!</v>
      </c>
      <c r="J84" s="97">
        <v>0</v>
      </c>
      <c r="K84" s="295"/>
      <c r="L84" s="20">
        <v>29388</v>
      </c>
      <c r="M84" s="20">
        <v>84666.93</v>
      </c>
      <c r="N84" s="20">
        <v>75000</v>
      </c>
      <c r="O84" s="20">
        <f>VLOOKUP(A84,TB!A:F,3)</f>
        <v>53615.1</v>
      </c>
      <c r="P84" s="163">
        <f t="shared" si="19"/>
        <v>75000</v>
      </c>
      <c r="Q84" s="160">
        <v>83250</v>
      </c>
      <c r="R84" s="233">
        <f>VLOOKUP(A84,TB!A:F,6)</f>
        <v>83250</v>
      </c>
      <c r="S84" s="233">
        <f t="shared" si="18"/>
        <v>0</v>
      </c>
    </row>
    <row r="85" spans="1:19" ht="15.75" customHeight="1" x14ac:dyDescent="0.25">
      <c r="A85" s="66" t="s">
        <v>595</v>
      </c>
      <c r="B85" s="66" t="s">
        <v>596</v>
      </c>
      <c r="C85" s="295"/>
      <c r="D85" s="160">
        <v>14134</v>
      </c>
      <c r="E85" s="160" t="e">
        <f>D85*#REF!</f>
        <v>#REF!</v>
      </c>
      <c r="F85" s="160" t="e">
        <f>D85*#REF!</f>
        <v>#REF!</v>
      </c>
      <c r="G85" s="160" t="e">
        <f>(D85*#REF!)*#REF!</f>
        <v>#REF!</v>
      </c>
      <c r="H85" s="296">
        <f t="shared" si="15"/>
        <v>0</v>
      </c>
      <c r="I85" s="147" t="e">
        <f t="shared" si="16"/>
        <v>#REF!</v>
      </c>
      <c r="J85" s="97">
        <v>0</v>
      </c>
      <c r="K85" s="295"/>
      <c r="L85" s="20">
        <v>20856</v>
      </c>
      <c r="M85" s="20">
        <v>132017.1</v>
      </c>
      <c r="N85" s="20">
        <v>75500</v>
      </c>
      <c r="O85" s="20">
        <f>VLOOKUP(A85,TB!A:F,3)</f>
        <v>125965.79</v>
      </c>
      <c r="P85" s="160">
        <f>O85/9*12</f>
        <v>167954.38666666666</v>
      </c>
      <c r="Q85" s="160">
        <v>63500</v>
      </c>
      <c r="R85" s="233">
        <f>VLOOKUP(A85,TB!A:F,6)</f>
        <v>63500</v>
      </c>
      <c r="S85" s="233">
        <f t="shared" si="18"/>
        <v>0</v>
      </c>
    </row>
    <row r="86" spans="1:19" ht="15.75" customHeight="1" x14ac:dyDescent="0.25">
      <c r="A86" s="66" t="s">
        <v>597</v>
      </c>
      <c r="B86" s="66" t="s">
        <v>115</v>
      </c>
      <c r="C86" s="295"/>
      <c r="D86" s="160">
        <v>7979</v>
      </c>
      <c r="E86" s="160" t="e">
        <f>D86*#REF!</f>
        <v>#REF!</v>
      </c>
      <c r="F86" s="160" t="e">
        <f>D86*#REF!</f>
        <v>#REF!</v>
      </c>
      <c r="G86" s="160" t="e">
        <f>(D86*#REF!)*#REF!</f>
        <v>#REF!</v>
      </c>
      <c r="H86" s="296">
        <f t="shared" si="15"/>
        <v>0</v>
      </c>
      <c r="I86" s="147" t="e">
        <f t="shared" si="16"/>
        <v>#REF!</v>
      </c>
      <c r="J86" s="97">
        <v>0</v>
      </c>
      <c r="K86" s="295"/>
      <c r="L86" s="20">
        <v>21483</v>
      </c>
      <c r="M86" s="20">
        <v>13699.52</v>
      </c>
      <c r="N86" s="20">
        <v>66000</v>
      </c>
      <c r="O86" s="20">
        <f>VLOOKUP(A86,TB!A:F,3)</f>
        <v>47019.79</v>
      </c>
      <c r="P86" s="163">
        <f>N86</f>
        <v>66000</v>
      </c>
      <c r="Q86" s="160">
        <v>86100</v>
      </c>
      <c r="R86" s="233">
        <f>VLOOKUP(A86,TB!A:F,6)</f>
        <v>86100</v>
      </c>
      <c r="S86" s="233">
        <f t="shared" si="18"/>
        <v>0</v>
      </c>
    </row>
    <row r="87" spans="1:19" ht="15.75" customHeight="1" x14ac:dyDescent="0.25">
      <c r="A87" s="66" t="s">
        <v>598</v>
      </c>
      <c r="B87" s="66" t="s">
        <v>555</v>
      </c>
      <c r="C87" s="295"/>
      <c r="D87" s="160">
        <v>120134</v>
      </c>
      <c r="E87" s="160" t="e">
        <f>D87*#REF!</f>
        <v>#REF!</v>
      </c>
      <c r="F87" s="160" t="e">
        <f>D87*#REF!</f>
        <v>#REF!</v>
      </c>
      <c r="G87" s="160" t="e">
        <f>(D87*#REF!)*#REF!</f>
        <v>#REF!</v>
      </c>
      <c r="H87" s="296">
        <f t="shared" si="15"/>
        <v>0</v>
      </c>
      <c r="I87" s="147" t="e">
        <f t="shared" si="16"/>
        <v>#REF!</v>
      </c>
      <c r="J87" s="97">
        <v>0</v>
      </c>
      <c r="K87" s="295"/>
      <c r="L87" s="20">
        <v>106354</v>
      </c>
      <c r="M87" s="20">
        <v>161121.07</v>
      </c>
      <c r="N87" s="20">
        <v>160500</v>
      </c>
      <c r="O87" s="20">
        <f>VLOOKUP(A87,TB!A:F,3)</f>
        <v>168253.26</v>
      </c>
      <c r="P87" s="160">
        <f>O87/9*12</f>
        <v>224337.68</v>
      </c>
      <c r="Q87" s="160">
        <v>168500</v>
      </c>
      <c r="R87" s="233">
        <f>VLOOKUP(A87,TB!A:F,6)</f>
        <v>168500</v>
      </c>
      <c r="S87" s="233">
        <f t="shared" si="18"/>
        <v>0</v>
      </c>
    </row>
    <row r="88" spans="1:19" ht="15.75" customHeight="1" x14ac:dyDescent="0.25">
      <c r="A88" s="66" t="s">
        <v>599</v>
      </c>
      <c r="B88" s="66" t="s">
        <v>277</v>
      </c>
      <c r="C88" s="295"/>
      <c r="D88" s="160">
        <v>212465</v>
      </c>
      <c r="E88" s="160" t="e">
        <f>D88*#REF!</f>
        <v>#REF!</v>
      </c>
      <c r="F88" s="160" t="e">
        <f>D88*#REF!</f>
        <v>#REF!</v>
      </c>
      <c r="G88" s="160" t="e">
        <f>(D88*#REF!)*#REF!</f>
        <v>#REF!</v>
      </c>
      <c r="H88" s="296">
        <f t="shared" si="15"/>
        <v>0</v>
      </c>
      <c r="I88" s="147" t="e">
        <f t="shared" si="16"/>
        <v>#REF!</v>
      </c>
      <c r="J88" s="97">
        <v>0</v>
      </c>
      <c r="K88" s="295"/>
      <c r="L88" s="20">
        <v>365338</v>
      </c>
      <c r="M88" s="20">
        <v>275618</v>
      </c>
      <c r="N88" s="20">
        <v>315500</v>
      </c>
      <c r="O88" s="20">
        <f>VLOOKUP(A88,TB!A:F,3)</f>
        <v>220596.22</v>
      </c>
      <c r="P88" s="163">
        <f>N88</f>
        <v>315500</v>
      </c>
      <c r="Q88" s="160">
        <v>315000</v>
      </c>
      <c r="R88" s="233">
        <f>VLOOKUP(A88,TB!A:F,6)</f>
        <v>315000</v>
      </c>
      <c r="S88" s="233">
        <f t="shared" si="18"/>
        <v>0</v>
      </c>
    </row>
    <row r="89" spans="1:19" ht="15.75" customHeight="1" x14ac:dyDescent="0.25">
      <c r="A89" s="66" t="s">
        <v>600</v>
      </c>
      <c r="B89" s="66" t="s">
        <v>84</v>
      </c>
      <c r="C89" s="295"/>
      <c r="D89" s="160">
        <v>0</v>
      </c>
      <c r="E89" s="160" t="e">
        <f>D89*#REF!</f>
        <v>#REF!</v>
      </c>
      <c r="F89" s="160" t="e">
        <f>D89*#REF!</f>
        <v>#REF!</v>
      </c>
      <c r="G89" s="160" t="e">
        <f>(D89*#REF!)*#REF!</f>
        <v>#REF!</v>
      </c>
      <c r="H89" s="296">
        <f t="shared" si="15"/>
        <v>0</v>
      </c>
      <c r="I89" s="147" t="e">
        <f t="shared" si="16"/>
        <v>#REF!</v>
      </c>
      <c r="J89" s="97">
        <v>0</v>
      </c>
      <c r="K89" s="295"/>
      <c r="L89" s="20">
        <v>1045</v>
      </c>
      <c r="M89" s="20">
        <v>465</v>
      </c>
      <c r="N89" s="20">
        <v>0</v>
      </c>
      <c r="O89" s="20">
        <f>VLOOKUP(A89,TB!A:F,3)</f>
        <v>255</v>
      </c>
      <c r="P89" s="160">
        <f>O89/9*12</f>
        <v>340</v>
      </c>
      <c r="Q89" s="160">
        <v>0</v>
      </c>
      <c r="R89" s="233">
        <f>VLOOKUP(A89,TB!A:F,6)</f>
        <v>0</v>
      </c>
      <c r="S89" s="233">
        <f t="shared" si="18"/>
        <v>0</v>
      </c>
    </row>
    <row r="90" spans="1:19" ht="15.75" customHeight="1" x14ac:dyDescent="0.25">
      <c r="A90" s="66" t="s">
        <v>601</v>
      </c>
      <c r="B90" s="66" t="s">
        <v>210</v>
      </c>
      <c r="C90" s="295"/>
      <c r="D90" s="160">
        <v>6207</v>
      </c>
      <c r="E90" s="160" t="e">
        <f>D90*#REF!</f>
        <v>#REF!</v>
      </c>
      <c r="F90" s="160" t="e">
        <f>D90*#REF!</f>
        <v>#REF!</v>
      </c>
      <c r="G90" s="160" t="e">
        <f>(D90*#REF!)*#REF!</f>
        <v>#REF!</v>
      </c>
      <c r="H90" s="296">
        <f t="shared" si="15"/>
        <v>0</v>
      </c>
      <c r="I90" s="147" t="e">
        <f t="shared" si="16"/>
        <v>#REF!</v>
      </c>
      <c r="J90" s="97">
        <v>0</v>
      </c>
      <c r="K90" s="295"/>
      <c r="L90" s="20">
        <v>27636</v>
      </c>
      <c r="M90" s="20">
        <v>249838.68</v>
      </c>
      <c r="N90" s="20">
        <v>198500</v>
      </c>
      <c r="O90" s="20">
        <f>VLOOKUP(A90,TB!A:F,3)</f>
        <v>160605.81</v>
      </c>
      <c r="P90" s="163">
        <f t="shared" ref="P90:P91" si="20">N90</f>
        <v>198500</v>
      </c>
      <c r="Q90" s="160">
        <v>198500</v>
      </c>
      <c r="R90" s="233">
        <f>VLOOKUP(A90,TB!A:F,6)</f>
        <v>198500</v>
      </c>
      <c r="S90" s="233">
        <f t="shared" si="18"/>
        <v>0</v>
      </c>
    </row>
    <row r="91" spans="1:19" ht="15.75" customHeight="1" x14ac:dyDescent="0.25">
      <c r="A91" s="66" t="s">
        <v>602</v>
      </c>
      <c r="B91" s="66" t="s">
        <v>86</v>
      </c>
      <c r="C91" s="295"/>
      <c r="D91" s="160">
        <v>0</v>
      </c>
      <c r="E91" s="160" t="e">
        <f>D91*#REF!</f>
        <v>#REF!</v>
      </c>
      <c r="F91" s="160" t="e">
        <f>D91*#REF!</f>
        <v>#REF!</v>
      </c>
      <c r="G91" s="160" t="e">
        <f>(D91*#REF!)*#REF!</f>
        <v>#REF!</v>
      </c>
      <c r="H91" s="296">
        <f t="shared" si="15"/>
        <v>0</v>
      </c>
      <c r="I91" s="147" t="e">
        <f t="shared" si="16"/>
        <v>#REF!</v>
      </c>
      <c r="J91" s="97">
        <v>0</v>
      </c>
      <c r="K91" s="295"/>
      <c r="L91" s="20">
        <v>450</v>
      </c>
      <c r="M91" s="20">
        <v>1492434.49</v>
      </c>
      <c r="N91" s="20">
        <v>77000</v>
      </c>
      <c r="O91" s="20">
        <f>VLOOKUP(A91,TB!A:F,3)</f>
        <v>52273.62</v>
      </c>
      <c r="P91" s="163">
        <f t="shared" si="20"/>
        <v>77000</v>
      </c>
      <c r="Q91" s="160">
        <v>80800</v>
      </c>
      <c r="R91" s="233">
        <f>VLOOKUP(A91,TB!A:F,6)</f>
        <v>80800</v>
      </c>
      <c r="S91" s="233">
        <f t="shared" si="18"/>
        <v>0</v>
      </c>
    </row>
    <row r="92" spans="1:19" ht="15.75" customHeight="1" x14ac:dyDescent="0.25">
      <c r="A92" s="66" t="s">
        <v>603</v>
      </c>
      <c r="B92" s="66" t="s">
        <v>88</v>
      </c>
      <c r="C92" s="295"/>
      <c r="D92" s="160">
        <v>122103</v>
      </c>
      <c r="E92" s="160" t="e">
        <f>D92*#REF!</f>
        <v>#REF!</v>
      </c>
      <c r="F92" s="160" t="e">
        <f>D92*#REF!</f>
        <v>#REF!</v>
      </c>
      <c r="G92" s="160" t="e">
        <f>(D92*#REF!)*#REF!</f>
        <v>#REF!</v>
      </c>
      <c r="H92" s="296">
        <f t="shared" si="15"/>
        <v>0</v>
      </c>
      <c r="I92" s="147" t="e">
        <f t="shared" si="16"/>
        <v>#REF!</v>
      </c>
      <c r="J92" s="97">
        <v>0</v>
      </c>
      <c r="K92" s="295"/>
      <c r="L92" s="20">
        <v>151754</v>
      </c>
      <c r="M92" s="20">
        <v>158958.48000000001</v>
      </c>
      <c r="N92" s="20">
        <v>244200</v>
      </c>
      <c r="O92" s="20">
        <f>VLOOKUP(A92,TB!A:F,3)</f>
        <v>258451.8</v>
      </c>
      <c r="P92" s="160">
        <f>O92/9*12</f>
        <v>344602.39999999997</v>
      </c>
      <c r="Q92" s="160">
        <v>114108</v>
      </c>
      <c r="R92" s="233">
        <f>VLOOKUP(A92,TB!A:F,6)</f>
        <v>114108</v>
      </c>
      <c r="S92" s="233">
        <f t="shared" si="18"/>
        <v>0</v>
      </c>
    </row>
    <row r="93" spans="1:19" ht="15.75" customHeight="1" x14ac:dyDescent="0.25">
      <c r="A93" s="66" t="s">
        <v>604</v>
      </c>
      <c r="B93" s="66" t="s">
        <v>90</v>
      </c>
      <c r="C93" s="295"/>
      <c r="D93" s="160">
        <v>3996</v>
      </c>
      <c r="E93" s="160" t="e">
        <f>D93*#REF!</f>
        <v>#REF!</v>
      </c>
      <c r="F93" s="160" t="e">
        <f>D93*#REF!</f>
        <v>#REF!</v>
      </c>
      <c r="G93" s="160" t="e">
        <f>(D93*#REF!)*#REF!</f>
        <v>#REF!</v>
      </c>
      <c r="H93" s="296">
        <f t="shared" si="15"/>
        <v>0</v>
      </c>
      <c r="I93" s="147" t="e">
        <f t="shared" si="16"/>
        <v>#REF!</v>
      </c>
      <c r="J93" s="97">
        <v>0</v>
      </c>
      <c r="K93" s="295"/>
      <c r="L93" s="20">
        <v>10677</v>
      </c>
      <c r="M93" s="20">
        <v>7117.2</v>
      </c>
      <c r="N93" s="20">
        <v>10000</v>
      </c>
      <c r="O93" s="20">
        <f>VLOOKUP(A93,TB!A:F,3)</f>
        <v>2791.65</v>
      </c>
      <c r="P93" s="163">
        <f>N93</f>
        <v>10000</v>
      </c>
      <c r="Q93" s="160">
        <v>6000</v>
      </c>
      <c r="R93" s="233">
        <f>VLOOKUP(A93,TB!A:F,6)</f>
        <v>6000</v>
      </c>
      <c r="S93" s="233">
        <f t="shared" si="18"/>
        <v>0</v>
      </c>
    </row>
    <row r="94" spans="1:19" ht="15.75" customHeight="1" x14ac:dyDescent="0.25">
      <c r="A94" s="66" t="s">
        <v>605</v>
      </c>
      <c r="B94" s="66" t="s">
        <v>606</v>
      </c>
      <c r="C94" s="295"/>
      <c r="D94" s="160">
        <v>0</v>
      </c>
      <c r="E94" s="160" t="e">
        <f>D94*#REF!</f>
        <v>#REF!</v>
      </c>
      <c r="F94" s="160" t="e">
        <f>D94*#REF!</f>
        <v>#REF!</v>
      </c>
      <c r="G94" s="160" t="e">
        <f>(D94*#REF!)*#REF!</f>
        <v>#REF!</v>
      </c>
      <c r="H94" s="296">
        <f t="shared" si="15"/>
        <v>0</v>
      </c>
      <c r="I94" s="147" t="e">
        <f t="shared" si="16"/>
        <v>#REF!</v>
      </c>
      <c r="J94" s="97">
        <v>0</v>
      </c>
      <c r="K94" s="295"/>
      <c r="L94" s="20">
        <v>0</v>
      </c>
      <c r="M94" s="20">
        <v>0</v>
      </c>
      <c r="N94" s="20">
        <v>0</v>
      </c>
      <c r="O94" s="20">
        <f>VLOOKUP(A94,TB!A:F,3)</f>
        <v>0</v>
      </c>
      <c r="P94" s="160">
        <f t="shared" ref="P94:P95" si="21">O94/9*12</f>
        <v>0</v>
      </c>
      <c r="Q94" s="160">
        <v>10500</v>
      </c>
      <c r="R94" s="233">
        <f>VLOOKUP(A94,TB!A:F,6)</f>
        <v>10500</v>
      </c>
      <c r="S94" s="233">
        <f t="shared" si="18"/>
        <v>0</v>
      </c>
    </row>
    <row r="95" spans="1:19" ht="15.75" customHeight="1" x14ac:dyDescent="0.25">
      <c r="A95" s="66" t="s">
        <v>607</v>
      </c>
      <c r="B95" s="66" t="s">
        <v>608</v>
      </c>
      <c r="C95" s="295"/>
      <c r="D95" s="160">
        <v>0</v>
      </c>
      <c r="E95" s="160" t="e">
        <f>D95*#REF!</f>
        <v>#REF!</v>
      </c>
      <c r="F95" s="160" t="e">
        <f>D95*#REF!</f>
        <v>#REF!</v>
      </c>
      <c r="G95" s="160" t="e">
        <f>(D95*#REF!)*#REF!</f>
        <v>#REF!</v>
      </c>
      <c r="H95" s="296">
        <f t="shared" si="15"/>
        <v>0</v>
      </c>
      <c r="I95" s="147" t="e">
        <f t="shared" si="16"/>
        <v>#REF!</v>
      </c>
      <c r="J95" s="97">
        <v>0</v>
      </c>
      <c r="K95" s="295"/>
      <c r="L95" s="20">
        <v>0</v>
      </c>
      <c r="M95" s="20">
        <v>458501.62</v>
      </c>
      <c r="N95" s="20">
        <v>0</v>
      </c>
      <c r="O95" s="20">
        <f>VLOOKUP(A95,TB!A:F,3)</f>
        <v>0</v>
      </c>
      <c r="P95" s="160">
        <f t="shared" si="21"/>
        <v>0</v>
      </c>
      <c r="Q95" s="160">
        <v>0</v>
      </c>
      <c r="R95" s="233">
        <f>VLOOKUP(A95,TB!A:F,6)</f>
        <v>0</v>
      </c>
      <c r="S95" s="233">
        <f t="shared" si="18"/>
        <v>0</v>
      </c>
    </row>
    <row r="96" spans="1:19" ht="15.75" customHeight="1" x14ac:dyDescent="0.25">
      <c r="A96" s="66" t="s">
        <v>609</v>
      </c>
      <c r="B96" s="66" t="s">
        <v>610</v>
      </c>
      <c r="C96" s="295"/>
      <c r="D96" s="160">
        <v>0</v>
      </c>
      <c r="E96" s="160" t="e">
        <f>D96*#REF!</f>
        <v>#REF!</v>
      </c>
      <c r="F96" s="160" t="e">
        <f>D96*#REF!</f>
        <v>#REF!</v>
      </c>
      <c r="G96" s="160" t="e">
        <f>(D96*#REF!)*#REF!</f>
        <v>#REF!</v>
      </c>
      <c r="H96" s="296">
        <f t="shared" si="15"/>
        <v>0</v>
      </c>
      <c r="I96" s="147" t="e">
        <f t="shared" si="16"/>
        <v>#REF!</v>
      </c>
      <c r="J96" s="97">
        <v>0</v>
      </c>
      <c r="K96" s="295"/>
      <c r="L96" s="20">
        <v>40</v>
      </c>
      <c r="M96" s="20">
        <v>325.62</v>
      </c>
      <c r="N96" s="20">
        <v>7500</v>
      </c>
      <c r="O96" s="20">
        <f>VLOOKUP(A96,TB!A:F,3)</f>
        <v>1600.46</v>
      </c>
      <c r="P96" s="163">
        <f>N96</f>
        <v>7500</v>
      </c>
      <c r="Q96" s="160">
        <v>4000</v>
      </c>
      <c r="R96" s="233">
        <f>VLOOKUP(A96,TB!A:F,6)</f>
        <v>4000</v>
      </c>
      <c r="S96" s="233">
        <f t="shared" si="18"/>
        <v>0</v>
      </c>
    </row>
    <row r="97" spans="1:19" ht="15.75" customHeight="1" x14ac:dyDescent="0.25">
      <c r="A97" s="66" t="s">
        <v>611</v>
      </c>
      <c r="B97" s="66" t="s">
        <v>583</v>
      </c>
      <c r="C97" s="295"/>
      <c r="D97" s="160">
        <v>21033</v>
      </c>
      <c r="E97" s="160" t="e">
        <f>D97*#REF!</f>
        <v>#REF!</v>
      </c>
      <c r="F97" s="160" t="e">
        <f>D97*#REF!</f>
        <v>#REF!</v>
      </c>
      <c r="G97" s="160" t="e">
        <f>(D97*#REF!)*#REF!</f>
        <v>#REF!</v>
      </c>
      <c r="H97" s="296">
        <f t="shared" si="15"/>
        <v>0</v>
      </c>
      <c r="I97" s="147" t="e">
        <f t="shared" si="16"/>
        <v>#REF!</v>
      </c>
      <c r="J97" s="97">
        <v>0</v>
      </c>
      <c r="K97" s="295"/>
      <c r="L97" s="20">
        <v>29368</v>
      </c>
      <c r="M97" s="20">
        <v>90186.22</v>
      </c>
      <c r="N97" s="20">
        <v>89100</v>
      </c>
      <c r="O97" s="20">
        <f>VLOOKUP(A97,TB!A:F,3)</f>
        <v>88824.14</v>
      </c>
      <c r="P97" s="160">
        <f>O97/9*12</f>
        <v>118432.18666666668</v>
      </c>
      <c r="Q97" s="160">
        <v>80000</v>
      </c>
      <c r="R97" s="233">
        <f>VLOOKUP(A97,TB!A:F,6)</f>
        <v>80000</v>
      </c>
      <c r="S97" s="233">
        <f t="shared" si="18"/>
        <v>0</v>
      </c>
    </row>
    <row r="98" spans="1:19" ht="15.75" customHeight="1" x14ac:dyDescent="0.25">
      <c r="A98" s="165" t="s">
        <v>612</v>
      </c>
      <c r="B98" s="165" t="s">
        <v>502</v>
      </c>
      <c r="C98" s="297"/>
      <c r="D98" s="298">
        <v>4782</v>
      </c>
      <c r="E98" s="160" t="e">
        <f>D98*#REF!</f>
        <v>#REF!</v>
      </c>
      <c r="F98" s="160" t="e">
        <f>D98*#REF!</f>
        <v>#REF!</v>
      </c>
      <c r="G98" s="160" t="e">
        <f>(D98*#REF!)*#REF!</f>
        <v>#REF!</v>
      </c>
      <c r="H98" s="296">
        <f t="shared" si="15"/>
        <v>0</v>
      </c>
      <c r="I98" s="147" t="e">
        <f t="shared" si="16"/>
        <v>#REF!</v>
      </c>
      <c r="J98" s="97">
        <v>0</v>
      </c>
      <c r="K98" s="297"/>
      <c r="L98" s="20">
        <v>12447</v>
      </c>
      <c r="M98" s="20">
        <v>174273.91</v>
      </c>
      <c r="N98" s="20">
        <v>173000</v>
      </c>
      <c r="O98" s="20">
        <f>VLOOKUP(A98,TB!A:F,3)</f>
        <v>130862.44</v>
      </c>
      <c r="P98" s="163">
        <f t="shared" ref="P98:P99" si="22">N98</f>
        <v>173000</v>
      </c>
      <c r="Q98" s="160">
        <v>210100</v>
      </c>
      <c r="R98" s="233">
        <f>VLOOKUP(A98,TB!A:F,6)</f>
        <v>210100</v>
      </c>
      <c r="S98" s="233">
        <f t="shared" si="18"/>
        <v>0</v>
      </c>
    </row>
    <row r="99" spans="1:19" ht="15.75" customHeight="1" x14ac:dyDescent="0.25">
      <c r="A99" s="66" t="s">
        <v>613</v>
      </c>
      <c r="B99" s="66" t="s">
        <v>92</v>
      </c>
      <c r="C99" s="295"/>
      <c r="D99" s="160">
        <v>0</v>
      </c>
      <c r="E99" s="160" t="e">
        <f>D99*#REF!</f>
        <v>#REF!</v>
      </c>
      <c r="F99" s="160" t="e">
        <f>D99*#REF!</f>
        <v>#REF!</v>
      </c>
      <c r="G99" s="160" t="e">
        <f>(D99*#REF!)*#REF!</f>
        <v>#REF!</v>
      </c>
      <c r="H99" s="296">
        <f t="shared" si="15"/>
        <v>0</v>
      </c>
      <c r="I99" s="147" t="e">
        <f t="shared" si="16"/>
        <v>#REF!</v>
      </c>
      <c r="J99" s="97">
        <v>0</v>
      </c>
      <c r="K99" s="295"/>
      <c r="L99" s="20">
        <v>6424</v>
      </c>
      <c r="M99" s="20">
        <v>182849.08</v>
      </c>
      <c r="N99" s="20">
        <v>165900</v>
      </c>
      <c r="O99" s="20">
        <f>VLOOKUP(A99,TB!A:F,3)</f>
        <v>205879.08</v>
      </c>
      <c r="P99" s="163">
        <f t="shared" si="22"/>
        <v>165900</v>
      </c>
      <c r="Q99" s="160">
        <v>165900</v>
      </c>
      <c r="R99" s="233">
        <f>VLOOKUP(A99,TB!A:F,6)</f>
        <v>165900</v>
      </c>
      <c r="S99" s="233">
        <f t="shared" si="18"/>
        <v>0</v>
      </c>
    </row>
    <row r="100" spans="1:19" ht="15.75" customHeight="1" x14ac:dyDescent="0.25">
      <c r="A100" s="66" t="s">
        <v>614</v>
      </c>
      <c r="B100" s="66" t="s">
        <v>94</v>
      </c>
      <c r="C100" s="295"/>
      <c r="D100" s="160">
        <v>0</v>
      </c>
      <c r="E100" s="160" t="e">
        <f>D100*#REF!</f>
        <v>#REF!</v>
      </c>
      <c r="F100" s="160" t="e">
        <f>D100*#REF!</f>
        <v>#REF!</v>
      </c>
      <c r="G100" s="160" t="e">
        <f>(D100*#REF!)*#REF!</f>
        <v>#REF!</v>
      </c>
      <c r="H100" s="296">
        <f t="shared" si="15"/>
        <v>0</v>
      </c>
      <c r="I100" s="147" t="e">
        <f t="shared" si="16"/>
        <v>#REF!</v>
      </c>
      <c r="J100" s="97">
        <v>0</v>
      </c>
      <c r="K100" s="295"/>
      <c r="L100" s="20">
        <v>0</v>
      </c>
      <c r="M100" s="20">
        <v>0</v>
      </c>
      <c r="N100" s="20">
        <v>0</v>
      </c>
      <c r="O100" s="20">
        <v>0</v>
      </c>
      <c r="P100" s="160">
        <f>O100/9*12</f>
        <v>0</v>
      </c>
      <c r="Q100" s="160">
        <v>0</v>
      </c>
      <c r="R100" s="233">
        <v>0</v>
      </c>
      <c r="S100" s="233">
        <f t="shared" si="18"/>
        <v>0</v>
      </c>
    </row>
    <row r="101" spans="1:19" ht="15.75" customHeight="1" x14ac:dyDescent="0.25">
      <c r="A101" s="74" t="s">
        <v>585</v>
      </c>
      <c r="B101" s="75"/>
      <c r="C101" s="299"/>
      <c r="D101" s="189">
        <f t="shared" ref="D101:G101" si="23">SUM(D78:D100)</f>
        <v>1191109</v>
      </c>
      <c r="E101" s="189" t="e">
        <f t="shared" si="23"/>
        <v>#REF!</v>
      </c>
      <c r="F101" s="189" t="e">
        <f t="shared" si="23"/>
        <v>#REF!</v>
      </c>
      <c r="G101" s="189" t="e">
        <f t="shared" si="23"/>
        <v>#REF!</v>
      </c>
      <c r="H101" s="300">
        <f t="shared" si="15"/>
        <v>0</v>
      </c>
      <c r="I101" s="189" t="e">
        <f t="shared" si="16"/>
        <v>#REF!</v>
      </c>
      <c r="J101" s="301">
        <f>SUM(J78:J100)</f>
        <v>0</v>
      </c>
      <c r="K101" s="299"/>
      <c r="L101" s="77">
        <f t="shared" ref="L101:S101" si="24">SUM(L78:L100)</f>
        <v>1698370</v>
      </c>
      <c r="M101" s="77">
        <f t="shared" si="24"/>
        <v>4708078.09</v>
      </c>
      <c r="N101" s="77">
        <f t="shared" si="24"/>
        <v>3149430</v>
      </c>
      <c r="O101" s="77">
        <f t="shared" si="24"/>
        <v>2491929.1</v>
      </c>
      <c r="P101" s="189">
        <f t="shared" si="24"/>
        <v>3250858.8583333329</v>
      </c>
      <c r="Q101" s="189">
        <f t="shared" si="24"/>
        <v>3236593</v>
      </c>
      <c r="R101" s="77">
        <f t="shared" si="24"/>
        <v>3236593.24</v>
      </c>
      <c r="S101" s="77">
        <f t="shared" si="24"/>
        <v>-0.23999999999068677</v>
      </c>
    </row>
    <row r="102" spans="1:19" ht="15.75" customHeight="1" x14ac:dyDescent="0.2">
      <c r="C102" s="287"/>
      <c r="K102" s="287"/>
    </row>
    <row r="103" spans="1:19" ht="15.75" customHeight="1" x14ac:dyDescent="0.25">
      <c r="A103" s="66"/>
      <c r="B103" s="66"/>
      <c r="C103" s="295"/>
      <c r="D103" s="20"/>
      <c r="E103" s="20"/>
      <c r="F103" s="20"/>
      <c r="G103" s="20"/>
      <c r="H103" s="234"/>
      <c r="K103" s="295"/>
      <c r="L103" s="302"/>
      <c r="M103" s="302"/>
      <c r="N103" s="302"/>
      <c r="O103" s="302"/>
      <c r="P103" s="303"/>
      <c r="Q103" s="303"/>
      <c r="R103" s="303"/>
      <c r="S103" s="303"/>
    </row>
    <row r="104" spans="1:19" ht="15.75" customHeight="1" x14ac:dyDescent="0.25">
      <c r="A104" s="66" t="s">
        <v>615</v>
      </c>
      <c r="B104" s="66" t="s">
        <v>532</v>
      </c>
      <c r="C104" s="295"/>
      <c r="D104" s="160">
        <v>0</v>
      </c>
      <c r="E104" s="160">
        <v>0</v>
      </c>
      <c r="F104" s="160">
        <v>0</v>
      </c>
      <c r="G104" s="160">
        <v>0</v>
      </c>
      <c r="H104" s="296">
        <f t="shared" ref="H104:H107" si="25">IFERROR(((Q104-G104)/G104),0)</f>
        <v>0</v>
      </c>
      <c r="I104" s="147">
        <f t="shared" ref="I104:I107" si="26">Q104-G104</f>
        <v>100000</v>
      </c>
      <c r="J104" s="97">
        <v>0</v>
      </c>
      <c r="K104" s="295"/>
      <c r="L104" s="20">
        <v>0</v>
      </c>
      <c r="M104" s="20">
        <v>0</v>
      </c>
      <c r="N104" s="20">
        <v>50000</v>
      </c>
      <c r="O104" s="20">
        <f>VLOOKUP(A104,TB!A:F,3)</f>
        <v>9339.58</v>
      </c>
      <c r="P104" s="163">
        <f t="shared" ref="P104:P106" si="27">N104</f>
        <v>50000</v>
      </c>
      <c r="Q104" s="160">
        <v>100000</v>
      </c>
      <c r="R104" s="233">
        <f>VLOOKUP(A104,TB!A:F,6)</f>
        <v>100000</v>
      </c>
      <c r="S104" s="233">
        <f t="shared" ref="S104:S106" si="28">Q104-R104</f>
        <v>0</v>
      </c>
    </row>
    <row r="105" spans="1:19" ht="15.75" customHeight="1" x14ac:dyDescent="0.25">
      <c r="A105" s="66" t="s">
        <v>616</v>
      </c>
      <c r="B105" s="66" t="s">
        <v>617</v>
      </c>
      <c r="C105" s="295"/>
      <c r="D105" s="160">
        <v>216080</v>
      </c>
      <c r="E105" s="160" t="e">
        <f>D105*#REF!</f>
        <v>#REF!</v>
      </c>
      <c r="F105" s="160" t="e">
        <f>D105*#REF!</f>
        <v>#REF!</v>
      </c>
      <c r="G105" s="160" t="e">
        <f>(D105*#REF!)*#REF!</f>
        <v>#REF!</v>
      </c>
      <c r="H105" s="296">
        <f t="shared" si="25"/>
        <v>0</v>
      </c>
      <c r="I105" s="147" t="e">
        <f t="shared" si="26"/>
        <v>#REF!</v>
      </c>
      <c r="J105" s="97"/>
      <c r="K105" s="295"/>
      <c r="L105" s="20">
        <v>37833</v>
      </c>
      <c r="M105" s="20">
        <v>0</v>
      </c>
      <c r="N105" s="20">
        <v>372500</v>
      </c>
      <c r="O105" s="20">
        <f>VLOOKUP(A105,TB!A:F,3)</f>
        <v>372500</v>
      </c>
      <c r="P105" s="163">
        <f t="shared" si="27"/>
        <v>372500</v>
      </c>
      <c r="Q105" s="304">
        <v>0</v>
      </c>
      <c r="R105" s="233">
        <f>VLOOKUP(A105,TB!A:F,6)</f>
        <v>0</v>
      </c>
      <c r="S105" s="233">
        <f t="shared" si="28"/>
        <v>0</v>
      </c>
    </row>
    <row r="106" spans="1:19" ht="15.75" customHeight="1" x14ac:dyDescent="0.25">
      <c r="A106" s="66" t="s">
        <v>618</v>
      </c>
      <c r="B106" s="66" t="s">
        <v>99</v>
      </c>
      <c r="C106" s="295"/>
      <c r="D106" s="160">
        <v>7867</v>
      </c>
      <c r="E106" s="160" t="e">
        <f>D106*#REF!</f>
        <v>#REF!</v>
      </c>
      <c r="F106" s="160" t="e">
        <f>D106*#REF!</f>
        <v>#REF!</v>
      </c>
      <c r="G106" s="160" t="e">
        <f>(D106*#REF!)*#REF!</f>
        <v>#REF!</v>
      </c>
      <c r="H106" s="296">
        <f t="shared" si="25"/>
        <v>0</v>
      </c>
      <c r="I106" s="147" t="e">
        <f t="shared" si="26"/>
        <v>#REF!</v>
      </c>
      <c r="J106" s="97"/>
      <c r="K106" s="295"/>
      <c r="L106" s="20">
        <v>25488</v>
      </c>
      <c r="M106" s="20">
        <v>555699.85</v>
      </c>
      <c r="N106" s="20">
        <v>243100</v>
      </c>
      <c r="O106" s="20">
        <f>VLOOKUP(A106,TB!A:F,3)</f>
        <v>222851.89</v>
      </c>
      <c r="P106" s="163">
        <f t="shared" si="27"/>
        <v>243100</v>
      </c>
      <c r="Q106" s="160">
        <v>65000</v>
      </c>
      <c r="R106" s="233">
        <f>VLOOKUP(A106,TB!A:F,6)</f>
        <v>65000</v>
      </c>
      <c r="S106" s="233">
        <f t="shared" si="28"/>
        <v>0</v>
      </c>
    </row>
    <row r="107" spans="1:19" ht="15.75" customHeight="1" x14ac:dyDescent="0.25">
      <c r="A107" s="74" t="s">
        <v>619</v>
      </c>
      <c r="B107" s="75"/>
      <c r="C107" s="299"/>
      <c r="D107" s="189">
        <f t="shared" ref="D107:G107" si="29">SUM(D105:D106)</f>
        <v>223947</v>
      </c>
      <c r="E107" s="189" t="e">
        <f t="shared" si="29"/>
        <v>#REF!</v>
      </c>
      <c r="F107" s="189" t="e">
        <f t="shared" si="29"/>
        <v>#REF!</v>
      </c>
      <c r="G107" s="189" t="e">
        <f t="shared" si="29"/>
        <v>#REF!</v>
      </c>
      <c r="H107" s="300">
        <f t="shared" si="25"/>
        <v>0</v>
      </c>
      <c r="I107" s="189" t="e">
        <f t="shared" si="26"/>
        <v>#REF!</v>
      </c>
      <c r="J107" s="301">
        <f>SUM(J104:J106)</f>
        <v>0</v>
      </c>
      <c r="K107" s="299"/>
      <c r="L107" s="77">
        <f t="shared" ref="L107:M107" si="30">SUM(L105:L106)</f>
        <v>63321</v>
      </c>
      <c r="M107" s="77">
        <f t="shared" si="30"/>
        <v>555699.85</v>
      </c>
      <c r="N107" s="77">
        <f t="shared" ref="N107:S107" si="31">SUM(N104:N106)</f>
        <v>665600</v>
      </c>
      <c r="O107" s="77">
        <f t="shared" si="31"/>
        <v>604691.47</v>
      </c>
      <c r="P107" s="189">
        <f t="shared" si="31"/>
        <v>665600</v>
      </c>
      <c r="Q107" s="189">
        <f t="shared" si="31"/>
        <v>165000</v>
      </c>
      <c r="R107" s="77">
        <f t="shared" si="31"/>
        <v>165000</v>
      </c>
      <c r="S107" s="77">
        <f t="shared" si="31"/>
        <v>0</v>
      </c>
    </row>
    <row r="108" spans="1:19" ht="15.75" customHeight="1" x14ac:dyDescent="0.2">
      <c r="C108" s="287"/>
      <c r="K108" s="287"/>
      <c r="R108" s="83"/>
      <c r="S108" s="83"/>
    </row>
    <row r="109" spans="1:19" ht="15.75" customHeight="1" x14ac:dyDescent="0.25">
      <c r="A109" s="74" t="s">
        <v>620</v>
      </c>
      <c r="B109" s="305"/>
      <c r="C109" s="306"/>
      <c r="D109" s="189">
        <f t="shared" ref="D109:G109" si="32">D101+D107</f>
        <v>1415056</v>
      </c>
      <c r="E109" s="189" t="e">
        <f t="shared" si="32"/>
        <v>#REF!</v>
      </c>
      <c r="F109" s="189" t="e">
        <f t="shared" si="32"/>
        <v>#REF!</v>
      </c>
      <c r="G109" s="189" t="e">
        <f t="shared" si="32"/>
        <v>#REF!</v>
      </c>
      <c r="H109" s="300">
        <f>IFERROR(((Q109-G109)/G109),0)</f>
        <v>0</v>
      </c>
      <c r="I109" s="189" t="e">
        <f>Q109-G109</f>
        <v>#REF!</v>
      </c>
      <c r="J109" s="301">
        <f>J108</f>
        <v>0</v>
      </c>
      <c r="K109" s="306"/>
      <c r="L109" s="77">
        <f t="shared" ref="L109:S109" si="33">L101+L107</f>
        <v>1761691</v>
      </c>
      <c r="M109" s="77">
        <f t="shared" si="33"/>
        <v>5263777.9399999995</v>
      </c>
      <c r="N109" s="77">
        <f t="shared" si="33"/>
        <v>3815030</v>
      </c>
      <c r="O109" s="77">
        <f t="shared" si="33"/>
        <v>3096620.5700000003</v>
      </c>
      <c r="P109" s="189">
        <f t="shared" si="33"/>
        <v>3916458.8583333329</v>
      </c>
      <c r="Q109" s="189">
        <f t="shared" si="33"/>
        <v>3401593</v>
      </c>
      <c r="R109" s="77">
        <f t="shared" si="33"/>
        <v>3401593.24</v>
      </c>
      <c r="S109" s="77">
        <f t="shared" si="33"/>
        <v>-0.23999999999068677</v>
      </c>
    </row>
    <row r="110" spans="1:19" ht="15.75" customHeight="1" x14ac:dyDescent="0.2">
      <c r="C110" s="287"/>
      <c r="K110" s="287"/>
      <c r="R110" s="83"/>
      <c r="S110" s="83"/>
    </row>
    <row r="111" spans="1:19" ht="15.75" customHeight="1" x14ac:dyDescent="0.25">
      <c r="A111" s="69" t="s">
        <v>184</v>
      </c>
      <c r="C111" s="287"/>
      <c r="K111" s="287"/>
      <c r="O111" s="20"/>
      <c r="R111" s="83"/>
      <c r="S111" s="83"/>
    </row>
    <row r="112" spans="1:19" ht="15.75" customHeight="1" x14ac:dyDescent="0.25">
      <c r="A112" s="51" t="s">
        <v>621</v>
      </c>
      <c r="B112" s="51" t="s">
        <v>622</v>
      </c>
      <c r="C112" s="307"/>
      <c r="D112" s="147">
        <v>-2255</v>
      </c>
      <c r="E112" s="160" t="e">
        <f>D112*#REF!</f>
        <v>#REF!</v>
      </c>
      <c r="F112" s="160" t="e">
        <f>D112*#REF!</f>
        <v>#REF!</v>
      </c>
      <c r="G112" s="160" t="e">
        <f>(D112*#REF!)*#REF!</f>
        <v>#REF!</v>
      </c>
      <c r="H112" s="296">
        <f t="shared" ref="H112:H115" si="34">IFERROR(((Q112-G112)/G112),0)</f>
        <v>0</v>
      </c>
      <c r="I112" s="147" t="e">
        <f t="shared" ref="I112:I115" si="35">Q112-G112</f>
        <v>#REF!</v>
      </c>
      <c r="J112" s="97">
        <v>0</v>
      </c>
      <c r="K112" s="307"/>
      <c r="L112" s="54">
        <v>-6310</v>
      </c>
      <c r="M112" s="54">
        <v>-3406.8</v>
      </c>
      <c r="N112" s="54">
        <v>-1500</v>
      </c>
      <c r="O112" s="20">
        <f>VLOOKUP(A112,TB!A:F,3)</f>
        <v>-4669.4799999999996</v>
      </c>
      <c r="P112" s="308">
        <f>O112/9*12</f>
        <v>-6225.9733333333334</v>
      </c>
      <c r="Q112" s="147">
        <v>-3500</v>
      </c>
      <c r="R112" s="233">
        <f>VLOOKUP(A112,TB!A:F,6)</f>
        <v>-3500</v>
      </c>
      <c r="S112" s="233">
        <f t="shared" ref="S112:S114" si="36">Q112-R112</f>
        <v>0</v>
      </c>
    </row>
    <row r="113" spans="1:30" ht="15.75" customHeight="1" x14ac:dyDescent="0.25">
      <c r="A113" s="51" t="s">
        <v>623</v>
      </c>
      <c r="B113" s="51" t="s">
        <v>624</v>
      </c>
      <c r="C113" s="307"/>
      <c r="D113" s="147">
        <v>-44452</v>
      </c>
      <c r="E113" s="160" t="e">
        <f>D113*#REF!</f>
        <v>#REF!</v>
      </c>
      <c r="F113" s="160" t="e">
        <f>D113*#REF!</f>
        <v>#REF!</v>
      </c>
      <c r="G113" s="160" t="e">
        <f>(D113*#REF!)*#REF!</f>
        <v>#REF!</v>
      </c>
      <c r="H113" s="296">
        <f t="shared" si="34"/>
        <v>0</v>
      </c>
      <c r="I113" s="147" t="e">
        <f t="shared" si="35"/>
        <v>#REF!</v>
      </c>
      <c r="J113" s="97">
        <v>0</v>
      </c>
      <c r="K113" s="307"/>
      <c r="L113" s="54">
        <v>-39834</v>
      </c>
      <c r="M113" s="54">
        <v>-44505</v>
      </c>
      <c r="N113" s="54">
        <v>-48900</v>
      </c>
      <c r="O113" s="20">
        <f>VLOOKUP(A113,TB!A:F,3)</f>
        <v>-29910</v>
      </c>
      <c r="P113" s="308">
        <f t="shared" ref="P113:P114" si="37">N113</f>
        <v>-48900</v>
      </c>
      <c r="Q113" s="147">
        <v>-45000</v>
      </c>
      <c r="R113" s="233">
        <f>VLOOKUP(A113,TB!A:F,6)</f>
        <v>-45000</v>
      </c>
      <c r="S113" s="233">
        <f t="shared" si="36"/>
        <v>0</v>
      </c>
    </row>
    <row r="114" spans="1:30" ht="15.75" customHeight="1" x14ac:dyDescent="0.25">
      <c r="A114" s="51" t="s">
        <v>625</v>
      </c>
      <c r="B114" s="51" t="s">
        <v>626</v>
      </c>
      <c r="C114" s="307"/>
      <c r="D114" s="147">
        <v>0</v>
      </c>
      <c r="E114" s="160" t="e">
        <f>D114*#REF!</f>
        <v>#REF!</v>
      </c>
      <c r="F114" s="160" t="e">
        <f>D114*#REF!</f>
        <v>#REF!</v>
      </c>
      <c r="G114" s="160" t="e">
        <f>(D114*#REF!)*#REF!</f>
        <v>#REF!</v>
      </c>
      <c r="H114" s="296">
        <f t="shared" si="34"/>
        <v>0</v>
      </c>
      <c r="I114" s="147" t="e">
        <f t="shared" si="35"/>
        <v>#REF!</v>
      </c>
      <c r="J114" s="97">
        <v>0</v>
      </c>
      <c r="K114" s="307"/>
      <c r="L114" s="54">
        <v>-39444</v>
      </c>
      <c r="M114" s="54">
        <v>-314.04000000000002</v>
      </c>
      <c r="N114" s="54">
        <v>-7000</v>
      </c>
      <c r="O114" s="20">
        <f>VLOOKUP(A114,TB!A:F,3)</f>
        <v>-4917.04</v>
      </c>
      <c r="P114" s="308">
        <f t="shared" si="37"/>
        <v>-7000</v>
      </c>
      <c r="Q114" s="147">
        <v>-5000</v>
      </c>
      <c r="R114" s="233">
        <f>VLOOKUP(A114,TB!A:F,6)</f>
        <v>-5000</v>
      </c>
      <c r="S114" s="233">
        <f t="shared" si="36"/>
        <v>0</v>
      </c>
    </row>
    <row r="115" spans="1:30" ht="15.75" customHeight="1" x14ac:dyDescent="0.2">
      <c r="A115" s="239" t="s">
        <v>189</v>
      </c>
      <c r="B115" s="75"/>
      <c r="C115" s="299"/>
      <c r="D115" s="189">
        <f t="shared" ref="D115:G115" si="38">SUM(D112:D114)</f>
        <v>-46707</v>
      </c>
      <c r="E115" s="189" t="e">
        <f t="shared" si="38"/>
        <v>#REF!</v>
      </c>
      <c r="F115" s="189" t="e">
        <f t="shared" si="38"/>
        <v>#REF!</v>
      </c>
      <c r="G115" s="189" t="e">
        <f t="shared" si="38"/>
        <v>#REF!</v>
      </c>
      <c r="H115" s="300">
        <f t="shared" si="34"/>
        <v>0</v>
      </c>
      <c r="I115" s="189" t="e">
        <f t="shared" si="35"/>
        <v>#REF!</v>
      </c>
      <c r="J115" s="189">
        <v>0</v>
      </c>
      <c r="K115" s="299"/>
      <c r="L115" s="77">
        <f t="shared" ref="L115:S115" si="39">SUM(L112:L114)</f>
        <v>-85588</v>
      </c>
      <c r="M115" s="77">
        <f t="shared" si="39"/>
        <v>-48225.840000000004</v>
      </c>
      <c r="N115" s="77">
        <f t="shared" si="39"/>
        <v>-57400</v>
      </c>
      <c r="O115" s="77">
        <f t="shared" si="39"/>
        <v>-39496.519999999997</v>
      </c>
      <c r="P115" s="189">
        <f t="shared" si="39"/>
        <v>-62125.973333333335</v>
      </c>
      <c r="Q115" s="189">
        <f t="shared" si="39"/>
        <v>-53500</v>
      </c>
      <c r="R115" s="77">
        <f t="shared" si="39"/>
        <v>-53500</v>
      </c>
      <c r="S115" s="77">
        <f t="shared" si="39"/>
        <v>0</v>
      </c>
    </row>
    <row r="116" spans="1:30" ht="15.75" customHeight="1" x14ac:dyDescent="0.2">
      <c r="C116" s="287"/>
      <c r="K116" s="287"/>
      <c r="R116" s="83"/>
      <c r="S116" s="83"/>
    </row>
    <row r="117" spans="1:30" ht="15.75" customHeight="1" x14ac:dyDescent="0.2">
      <c r="A117" s="69" t="s">
        <v>190</v>
      </c>
      <c r="B117" s="51"/>
      <c r="C117" s="309"/>
      <c r="D117" s="193">
        <f t="shared" ref="D117:G117" si="40">D109+D115</f>
        <v>1368349</v>
      </c>
      <c r="E117" s="193" t="e">
        <f t="shared" si="40"/>
        <v>#REF!</v>
      </c>
      <c r="F117" s="193" t="e">
        <f t="shared" si="40"/>
        <v>#REF!</v>
      </c>
      <c r="G117" s="193" t="e">
        <f t="shared" si="40"/>
        <v>#REF!</v>
      </c>
      <c r="H117" s="310">
        <f>IFERROR(((Q117-G117)/G117),0)</f>
        <v>0</v>
      </c>
      <c r="I117" s="193" t="e">
        <f>Q117-G117</f>
        <v>#REF!</v>
      </c>
      <c r="J117" s="193">
        <f>J115+J114</f>
        <v>0</v>
      </c>
      <c r="K117" s="309"/>
      <c r="L117" s="245">
        <f t="shared" ref="L117:S117" si="41">L109+L115</f>
        <v>1676103</v>
      </c>
      <c r="M117" s="245">
        <f t="shared" si="41"/>
        <v>5215552.0999999996</v>
      </c>
      <c r="N117" s="245">
        <f t="shared" si="41"/>
        <v>3757630</v>
      </c>
      <c r="O117" s="245">
        <f t="shared" si="41"/>
        <v>3057124.0500000003</v>
      </c>
      <c r="P117" s="193">
        <f t="shared" si="41"/>
        <v>3854332.8849999998</v>
      </c>
      <c r="Q117" s="193">
        <f t="shared" si="41"/>
        <v>3348093</v>
      </c>
      <c r="R117" s="245">
        <f t="shared" si="41"/>
        <v>3348093.24</v>
      </c>
      <c r="S117" s="245">
        <f t="shared" si="41"/>
        <v>-0.23999999999068677</v>
      </c>
      <c r="W117" s="56"/>
      <c r="X117" s="56"/>
      <c r="Y117" s="56"/>
      <c r="Z117" s="56"/>
      <c r="AA117" s="56"/>
      <c r="AB117" s="56"/>
      <c r="AC117" s="56"/>
      <c r="AD117" s="56"/>
    </row>
    <row r="118" spans="1:30" ht="15.75" customHeight="1" x14ac:dyDescent="0.2">
      <c r="C118" s="287"/>
      <c r="K118" s="287"/>
    </row>
    <row r="119" spans="1:30" ht="15.75" customHeight="1" x14ac:dyDescent="0.2">
      <c r="C119" s="287"/>
      <c r="K119" s="287"/>
    </row>
    <row r="120" spans="1:30" ht="15.75" customHeight="1" x14ac:dyDescent="0.2">
      <c r="C120" s="288"/>
      <c r="K120" s="288"/>
      <c r="L120" s="199" t="e">
        <f t="shared" ref="L120:R120" si="42">#REF!</f>
        <v>#REF!</v>
      </c>
      <c r="M120" s="199" t="e">
        <f t="shared" si="42"/>
        <v>#REF!</v>
      </c>
      <c r="N120" s="199" t="e">
        <f t="shared" si="42"/>
        <v>#REF!</v>
      </c>
      <c r="O120" s="199" t="e">
        <f t="shared" si="42"/>
        <v>#REF!</v>
      </c>
      <c r="P120" s="199" t="e">
        <f t="shared" si="42"/>
        <v>#REF!</v>
      </c>
      <c r="Q120" s="199" t="e">
        <f t="shared" si="42"/>
        <v>#REF!</v>
      </c>
      <c r="R120" s="173" t="e">
        <f t="shared" si="42"/>
        <v>#REF!</v>
      </c>
    </row>
    <row r="121" spans="1:30" ht="15.75" customHeight="1" x14ac:dyDescent="0.2">
      <c r="C121" s="289"/>
      <c r="K121" s="289"/>
      <c r="L121" s="290">
        <f t="shared" ref="L121:R121" si="43">L117</f>
        <v>1676103</v>
      </c>
      <c r="M121" s="290">
        <f t="shared" si="43"/>
        <v>5215552.0999999996</v>
      </c>
      <c r="N121" s="290">
        <f t="shared" si="43"/>
        <v>3757630</v>
      </c>
      <c r="O121" s="290">
        <f t="shared" si="43"/>
        <v>3057124.0500000003</v>
      </c>
      <c r="P121" s="290">
        <f t="shared" si="43"/>
        <v>3854332.8849999998</v>
      </c>
      <c r="Q121" s="290">
        <f t="shared" si="43"/>
        <v>3348093</v>
      </c>
      <c r="R121" s="291">
        <f t="shared" si="43"/>
        <v>3348093.24</v>
      </c>
    </row>
    <row r="122" spans="1:30" ht="15.75" customHeight="1" x14ac:dyDescent="0.2">
      <c r="C122" s="287"/>
      <c r="K122" s="287"/>
    </row>
    <row r="123" spans="1:30" ht="15.75" customHeight="1" x14ac:dyDescent="0.2">
      <c r="C123" s="287"/>
      <c r="K123" s="287"/>
    </row>
    <row r="124" spans="1:30" ht="15.75" customHeight="1" x14ac:dyDescent="0.2">
      <c r="C124" s="287"/>
      <c r="K124" s="287"/>
    </row>
    <row r="125" spans="1:30" ht="15.75" customHeight="1" x14ac:dyDescent="0.2">
      <c r="C125" s="287"/>
      <c r="K125" s="287"/>
    </row>
    <row r="126" spans="1:30" ht="15.75" customHeight="1" x14ac:dyDescent="0.2">
      <c r="C126" s="287"/>
      <c r="K126" s="287"/>
    </row>
    <row r="127" spans="1:30" ht="15.75" customHeight="1" x14ac:dyDescent="0.2">
      <c r="C127" s="287"/>
      <c r="K127" s="287"/>
    </row>
    <row r="128" spans="1:30" ht="15.75" customHeight="1" x14ac:dyDescent="0.2">
      <c r="C128" s="287"/>
      <c r="K128" s="287"/>
    </row>
    <row r="129" spans="3:11" ht="15.75" customHeight="1" x14ac:dyDescent="0.2">
      <c r="C129" s="287"/>
      <c r="K129" s="287"/>
    </row>
    <row r="130" spans="3:11" ht="15.75" customHeight="1" x14ac:dyDescent="0.2">
      <c r="C130" s="287"/>
      <c r="K130" s="287"/>
    </row>
    <row r="131" spans="3:11" ht="15.75" customHeight="1" x14ac:dyDescent="0.2">
      <c r="C131" s="287"/>
      <c r="K131" s="287"/>
    </row>
    <row r="132" spans="3:11" ht="15.75" customHeight="1" x14ac:dyDescent="0.2">
      <c r="C132" s="287"/>
      <c r="K132" s="287"/>
    </row>
    <row r="133" spans="3:11" ht="15.75" customHeight="1" x14ac:dyDescent="0.2">
      <c r="C133" s="287"/>
      <c r="K133" s="287"/>
    </row>
    <row r="134" spans="3:11" ht="15.75" customHeight="1" x14ac:dyDescent="0.2">
      <c r="C134" s="287"/>
      <c r="K134" s="287"/>
    </row>
    <row r="135" spans="3:11" ht="15.75" customHeight="1" x14ac:dyDescent="0.2">
      <c r="C135" s="287"/>
      <c r="K135" s="287"/>
    </row>
    <row r="136" spans="3:11" ht="15.75" customHeight="1" x14ac:dyDescent="0.2">
      <c r="C136" s="287"/>
      <c r="K136" s="287"/>
    </row>
    <row r="137" spans="3:11" ht="15.75" customHeight="1" x14ac:dyDescent="0.2">
      <c r="C137" s="287"/>
      <c r="K137" s="287"/>
    </row>
    <row r="138" spans="3:11" ht="15.75" customHeight="1" x14ac:dyDescent="0.2">
      <c r="C138" s="287"/>
      <c r="K138" s="287"/>
    </row>
    <row r="139" spans="3:11" ht="15.75" customHeight="1" x14ac:dyDescent="0.2">
      <c r="C139" s="287"/>
      <c r="K139" s="287"/>
    </row>
    <row r="140" spans="3:11" ht="15.75" customHeight="1" x14ac:dyDescent="0.2">
      <c r="C140" s="287"/>
      <c r="K140" s="287"/>
    </row>
    <row r="141" spans="3:11" ht="15.75" customHeight="1" x14ac:dyDescent="0.2">
      <c r="C141" s="287"/>
      <c r="K141" s="287"/>
    </row>
    <row r="142" spans="3:11" ht="15.75" customHeight="1" x14ac:dyDescent="0.2">
      <c r="C142" s="287"/>
      <c r="K142" s="287"/>
    </row>
    <row r="143" spans="3:11" ht="15.75" customHeight="1" x14ac:dyDescent="0.2">
      <c r="C143" s="287"/>
      <c r="K143" s="287"/>
    </row>
    <row r="144" spans="3:11" ht="15.75" customHeight="1" x14ac:dyDescent="0.2">
      <c r="C144" s="287"/>
      <c r="K144" s="287"/>
    </row>
    <row r="145" spans="3:11" ht="15.75" customHeight="1" x14ac:dyDescent="0.2">
      <c r="C145" s="287"/>
      <c r="K145" s="287"/>
    </row>
    <row r="146" spans="3:11" ht="15.75" customHeight="1" x14ac:dyDescent="0.2">
      <c r="C146" s="287"/>
      <c r="K146" s="287"/>
    </row>
    <row r="147" spans="3:11" ht="15.75" customHeight="1" x14ac:dyDescent="0.2">
      <c r="C147" s="287"/>
      <c r="K147" s="287"/>
    </row>
    <row r="148" spans="3:11" ht="15.75" customHeight="1" x14ac:dyDescent="0.2">
      <c r="C148" s="287"/>
      <c r="K148" s="287"/>
    </row>
    <row r="149" spans="3:11" ht="15.75" customHeight="1" x14ac:dyDescent="0.2">
      <c r="C149" s="287"/>
      <c r="K149" s="287"/>
    </row>
    <row r="150" spans="3:11" ht="15.75" customHeight="1" x14ac:dyDescent="0.2">
      <c r="C150" s="287"/>
      <c r="K150" s="287"/>
    </row>
    <row r="151" spans="3:11" ht="15.75" customHeight="1" x14ac:dyDescent="0.2">
      <c r="C151" s="287"/>
      <c r="K151" s="287"/>
    </row>
    <row r="152" spans="3:11" ht="15.75" customHeight="1" x14ac:dyDescent="0.2">
      <c r="C152" s="287"/>
      <c r="K152" s="287"/>
    </row>
    <row r="153" spans="3:11" ht="15.75" customHeight="1" x14ac:dyDescent="0.2">
      <c r="C153" s="287"/>
      <c r="K153" s="287"/>
    </row>
    <row r="154" spans="3:11" ht="15.75" customHeight="1" x14ac:dyDescent="0.2">
      <c r="C154" s="287"/>
      <c r="K154" s="287"/>
    </row>
    <row r="155" spans="3:11" ht="15.75" customHeight="1" x14ac:dyDescent="0.2">
      <c r="C155" s="287"/>
      <c r="K155" s="287"/>
    </row>
    <row r="156" spans="3:11" ht="15.75" customHeight="1" x14ac:dyDescent="0.2">
      <c r="C156" s="287"/>
      <c r="K156" s="287"/>
    </row>
    <row r="157" spans="3:11" ht="15.75" customHeight="1" x14ac:dyDescent="0.2">
      <c r="C157" s="287"/>
      <c r="K157" s="287"/>
    </row>
    <row r="158" spans="3:11" ht="15.75" customHeight="1" x14ac:dyDescent="0.2">
      <c r="C158" s="287"/>
      <c r="K158" s="287"/>
    </row>
    <row r="159" spans="3:11" ht="15.75" customHeight="1" x14ac:dyDescent="0.2">
      <c r="C159" s="287"/>
      <c r="K159" s="287"/>
    </row>
    <row r="160" spans="3:11" ht="15.75" customHeight="1" x14ac:dyDescent="0.2">
      <c r="C160" s="287"/>
      <c r="K160" s="287"/>
    </row>
    <row r="161" spans="1:19" ht="15.75" customHeight="1" x14ac:dyDescent="0.2">
      <c r="C161" s="287"/>
      <c r="K161" s="287"/>
    </row>
    <row r="162" spans="1:19" ht="15.75" customHeight="1" x14ac:dyDescent="0.2">
      <c r="C162" s="287"/>
      <c r="K162" s="287"/>
    </row>
    <row r="163" spans="1:19" ht="15.75" customHeight="1" x14ac:dyDescent="0.2">
      <c r="C163" s="287"/>
      <c r="K163" s="287"/>
    </row>
    <row r="164" spans="1:19" ht="15.75" customHeight="1" x14ac:dyDescent="0.2">
      <c r="C164" s="287"/>
      <c r="K164" s="287"/>
    </row>
    <row r="165" spans="1:19" ht="15.75" customHeight="1" x14ac:dyDescent="0.2">
      <c r="C165" s="287"/>
      <c r="K165" s="287"/>
    </row>
    <row r="166" spans="1:19" ht="15.75" customHeight="1" x14ac:dyDescent="0.2">
      <c r="C166" s="287"/>
      <c r="K166" s="287"/>
    </row>
    <row r="167" spans="1:19" ht="15.75" customHeight="1" x14ac:dyDescent="0.2">
      <c r="C167" s="287"/>
      <c r="K167" s="287"/>
    </row>
    <row r="168" spans="1:19" ht="15.75" customHeight="1" x14ac:dyDescent="0.2">
      <c r="C168" s="287"/>
      <c r="K168" s="287"/>
    </row>
    <row r="169" spans="1:19" ht="15.75" customHeight="1" x14ac:dyDescent="0.2">
      <c r="C169" s="287"/>
      <c r="K169" s="287"/>
    </row>
    <row r="170" spans="1:19" ht="15.75" customHeight="1" x14ac:dyDescent="0.2">
      <c r="C170" s="287"/>
      <c r="K170" s="287"/>
    </row>
    <row r="171" spans="1:19" ht="15.75" customHeight="1" x14ac:dyDescent="0.2">
      <c r="C171" s="287"/>
      <c r="K171" s="287"/>
    </row>
    <row r="172" spans="1:19" ht="15.75" customHeight="1" x14ac:dyDescent="0.2">
      <c r="C172" s="287"/>
      <c r="K172" s="287"/>
    </row>
    <row r="173" spans="1:19" ht="15.75" customHeight="1" x14ac:dyDescent="0.2">
      <c r="C173" s="287"/>
      <c r="K173" s="287"/>
    </row>
    <row r="174" spans="1:19" ht="15.75" customHeight="1" x14ac:dyDescent="0.2">
      <c r="C174" s="287"/>
      <c r="K174" s="287"/>
    </row>
    <row r="175" spans="1:19" ht="15.75" customHeight="1" x14ac:dyDescent="0.2">
      <c r="C175" s="287"/>
      <c r="K175" s="287"/>
    </row>
    <row r="176" spans="1:19" ht="15.75" customHeight="1" x14ac:dyDescent="0.2">
      <c r="A176" s="3" t="s">
        <v>50</v>
      </c>
      <c r="B176" s="3" t="s">
        <v>51</v>
      </c>
      <c r="C176" s="292"/>
      <c r="D176" s="99" t="s">
        <v>52</v>
      </c>
      <c r="E176" s="100" t="s">
        <v>53</v>
      </c>
      <c r="F176" s="100" t="s">
        <v>54</v>
      </c>
      <c r="G176" s="100" t="s">
        <v>55</v>
      </c>
      <c r="H176" s="24" t="s">
        <v>56</v>
      </c>
      <c r="I176" s="24" t="s">
        <v>57</v>
      </c>
      <c r="J176" s="101" t="s">
        <v>58</v>
      </c>
      <c r="K176" s="292"/>
      <c r="L176" s="3" t="s">
        <v>59</v>
      </c>
      <c r="M176" s="3" t="s">
        <v>60</v>
      </c>
      <c r="N176" s="3" t="s">
        <v>61</v>
      </c>
      <c r="O176" s="3" t="s">
        <v>62</v>
      </c>
      <c r="P176" s="293" t="s">
        <v>541</v>
      </c>
      <c r="Q176" s="293" t="s">
        <v>64</v>
      </c>
      <c r="R176" s="293" t="s">
        <v>65</v>
      </c>
      <c r="S176" s="293" t="s">
        <v>586</v>
      </c>
    </row>
    <row r="177" spans="1:19" ht="15.75" customHeight="1" x14ac:dyDescent="0.25">
      <c r="A177" s="565" t="s">
        <v>627</v>
      </c>
      <c r="B177" s="566"/>
      <c r="C177" s="566"/>
      <c r="D177" s="566"/>
      <c r="E177" s="66"/>
      <c r="F177" s="66"/>
      <c r="G177" s="66"/>
      <c r="H177" s="234"/>
      <c r="L177" s="65"/>
      <c r="M177" s="165"/>
      <c r="N177" s="65"/>
      <c r="O177" s="165"/>
      <c r="P177" s="65"/>
      <c r="Q177" s="65"/>
      <c r="R177" s="65"/>
      <c r="S177" s="65"/>
    </row>
    <row r="178" spans="1:19" ht="15.75" customHeight="1" x14ac:dyDescent="0.25">
      <c r="A178" s="66" t="s">
        <v>628</v>
      </c>
      <c r="B178" s="66" t="s">
        <v>74</v>
      </c>
      <c r="C178" s="295"/>
      <c r="D178" s="160">
        <v>2530</v>
      </c>
      <c r="E178" s="160" t="e">
        <f>D178*#REF!</f>
        <v>#REF!</v>
      </c>
      <c r="F178" s="160" t="e">
        <f>D178*#REF!</f>
        <v>#REF!</v>
      </c>
      <c r="G178" s="160" t="e">
        <f>(D178*#REF!)*#REF!</f>
        <v>#REF!</v>
      </c>
      <c r="H178" s="296">
        <f t="shared" ref="H178:H192" si="44">IFERROR(((Q178-G178)/G178),0)</f>
        <v>0</v>
      </c>
      <c r="I178" s="147" t="e">
        <f t="shared" ref="I178:I192" si="45">Q178-G178</f>
        <v>#REF!</v>
      </c>
      <c r="J178" s="97">
        <v>0</v>
      </c>
      <c r="K178" s="295"/>
      <c r="L178" s="20">
        <v>2227</v>
      </c>
      <c r="M178" s="302">
        <v>5042.45</v>
      </c>
      <c r="N178" s="20">
        <v>5600</v>
      </c>
      <c r="O178" s="20">
        <f>VLOOKUP(A178,TB!A:F,3)</f>
        <v>787.14</v>
      </c>
      <c r="P178" s="163">
        <f>N178</f>
        <v>5600</v>
      </c>
      <c r="Q178" s="160">
        <v>6000</v>
      </c>
      <c r="R178" s="233">
        <f>VLOOKUP(A178,TB!A:F,6)</f>
        <v>6000</v>
      </c>
      <c r="S178" s="233">
        <f t="shared" ref="S178:S191" si="46">Q178-R178</f>
        <v>0</v>
      </c>
    </row>
    <row r="179" spans="1:19" ht="15.75" customHeight="1" x14ac:dyDescent="0.25">
      <c r="A179" s="66" t="s">
        <v>629</v>
      </c>
      <c r="B179" s="66" t="s">
        <v>76</v>
      </c>
      <c r="C179" s="295"/>
      <c r="D179" s="160">
        <v>3984</v>
      </c>
      <c r="E179" s="160" t="e">
        <f>D179*#REF!</f>
        <v>#REF!</v>
      </c>
      <c r="F179" s="160" t="e">
        <f>D179*#REF!</f>
        <v>#REF!</v>
      </c>
      <c r="G179" s="160" t="e">
        <f>(D179*#REF!)*#REF!</f>
        <v>#REF!</v>
      </c>
      <c r="H179" s="296">
        <f t="shared" si="44"/>
        <v>0</v>
      </c>
      <c r="I179" s="147" t="e">
        <f t="shared" si="45"/>
        <v>#REF!</v>
      </c>
      <c r="J179" s="97">
        <v>0</v>
      </c>
      <c r="K179" s="295"/>
      <c r="L179" s="20">
        <v>1665</v>
      </c>
      <c r="M179" s="302">
        <v>1414.74</v>
      </c>
      <c r="N179" s="20">
        <v>6000</v>
      </c>
      <c r="O179" s="20">
        <f>VLOOKUP(A179,TB!A:F,3)</f>
        <v>4536.21</v>
      </c>
      <c r="P179" s="160">
        <f>O179/9*12</f>
        <v>6048.28</v>
      </c>
      <c r="Q179" s="160">
        <v>6000</v>
      </c>
      <c r="R179" s="233">
        <f>VLOOKUP(A179,TB!A:F,6)</f>
        <v>6000</v>
      </c>
      <c r="S179" s="233">
        <f t="shared" si="46"/>
        <v>0</v>
      </c>
    </row>
    <row r="180" spans="1:19" ht="15.75" customHeight="1" x14ac:dyDescent="0.25">
      <c r="A180" s="66" t="s">
        <v>630</v>
      </c>
      <c r="B180" s="66" t="s">
        <v>80</v>
      </c>
      <c r="C180" s="295"/>
      <c r="D180" s="160">
        <v>130</v>
      </c>
      <c r="E180" s="160" t="e">
        <f>D180*#REF!</f>
        <v>#REF!</v>
      </c>
      <c r="F180" s="160" t="e">
        <f>D180*#REF!</f>
        <v>#REF!</v>
      </c>
      <c r="G180" s="160" t="e">
        <f>(D180*#REF!)*#REF!</f>
        <v>#REF!</v>
      </c>
      <c r="H180" s="296">
        <f t="shared" si="44"/>
        <v>0</v>
      </c>
      <c r="I180" s="147" t="e">
        <f t="shared" si="45"/>
        <v>#REF!</v>
      </c>
      <c r="J180" s="97">
        <v>0</v>
      </c>
      <c r="K180" s="295"/>
      <c r="L180" s="20">
        <v>50</v>
      </c>
      <c r="M180" s="302">
        <v>0</v>
      </c>
      <c r="N180" s="20">
        <v>500</v>
      </c>
      <c r="O180" s="20">
        <f>VLOOKUP(A180,TB!A:F,3)</f>
        <v>0</v>
      </c>
      <c r="P180" s="163">
        <f t="shared" ref="P180:P182" si="47">N180</f>
        <v>500</v>
      </c>
      <c r="Q180" s="160">
        <v>750</v>
      </c>
      <c r="R180" s="233">
        <f>VLOOKUP(A180,TB!A:F,6)</f>
        <v>750</v>
      </c>
      <c r="S180" s="233">
        <f t="shared" si="46"/>
        <v>0</v>
      </c>
    </row>
    <row r="181" spans="1:19" ht="15.75" customHeight="1" x14ac:dyDescent="0.25">
      <c r="A181" s="66" t="s">
        <v>631</v>
      </c>
      <c r="B181" s="66" t="s">
        <v>82</v>
      </c>
      <c r="C181" s="295"/>
      <c r="D181" s="160">
        <v>14690</v>
      </c>
      <c r="E181" s="160" t="e">
        <f>D181*#REF!</f>
        <v>#REF!</v>
      </c>
      <c r="F181" s="160" t="e">
        <f>D181*#REF!</f>
        <v>#REF!</v>
      </c>
      <c r="G181" s="160" t="e">
        <f>(D181*#REF!)*#REF!</f>
        <v>#REF!</v>
      </c>
      <c r="H181" s="296">
        <f t="shared" si="44"/>
        <v>0</v>
      </c>
      <c r="I181" s="147" t="e">
        <f t="shared" si="45"/>
        <v>#REF!</v>
      </c>
      <c r="J181" s="97">
        <v>0</v>
      </c>
      <c r="K181" s="295"/>
      <c r="L181" s="20">
        <v>11176</v>
      </c>
      <c r="M181" s="302">
        <v>11334.28</v>
      </c>
      <c r="N181" s="20">
        <v>12000</v>
      </c>
      <c r="O181" s="20">
        <f>VLOOKUP(A181,TB!A:F,3)</f>
        <v>9370.16</v>
      </c>
      <c r="P181" s="163">
        <f t="shared" si="47"/>
        <v>12000</v>
      </c>
      <c r="Q181" s="160">
        <v>14000</v>
      </c>
      <c r="R181" s="233">
        <f>VLOOKUP(A181,TB!A:F,6)</f>
        <v>14000</v>
      </c>
      <c r="S181" s="233">
        <f t="shared" si="46"/>
        <v>0</v>
      </c>
    </row>
    <row r="182" spans="1:19" ht="15.75" customHeight="1" x14ac:dyDescent="0.25">
      <c r="A182" s="66" t="s">
        <v>632</v>
      </c>
      <c r="B182" s="66" t="s">
        <v>115</v>
      </c>
      <c r="C182" s="295"/>
      <c r="D182" s="160">
        <v>17515</v>
      </c>
      <c r="E182" s="160" t="e">
        <f>D182*#REF!</f>
        <v>#REF!</v>
      </c>
      <c r="F182" s="160" t="e">
        <f>D182*#REF!</f>
        <v>#REF!</v>
      </c>
      <c r="G182" s="160" t="e">
        <f>(D182*#REF!)*#REF!</f>
        <v>#REF!</v>
      </c>
      <c r="H182" s="296">
        <f t="shared" si="44"/>
        <v>0</v>
      </c>
      <c r="I182" s="147" t="e">
        <f t="shared" si="45"/>
        <v>#REF!</v>
      </c>
      <c r="J182" s="97">
        <v>0</v>
      </c>
      <c r="K182" s="295"/>
      <c r="L182" s="20">
        <v>22416</v>
      </c>
      <c r="M182" s="302">
        <v>22594.26</v>
      </c>
      <c r="N182" s="20">
        <v>30500</v>
      </c>
      <c r="O182" s="20">
        <f>VLOOKUP(A182,TB!A:F,3)</f>
        <v>9211.3799999999992</v>
      </c>
      <c r="P182" s="163">
        <f t="shared" si="47"/>
        <v>30500</v>
      </c>
      <c r="Q182" s="160">
        <v>29000</v>
      </c>
      <c r="R182" s="233">
        <f>VLOOKUP(A182,TB!A:F,6)</f>
        <v>29000</v>
      </c>
      <c r="S182" s="233">
        <f t="shared" si="46"/>
        <v>0</v>
      </c>
    </row>
    <row r="183" spans="1:19" ht="15.75" customHeight="1" x14ac:dyDescent="0.25">
      <c r="A183" s="66" t="s">
        <v>633</v>
      </c>
      <c r="B183" s="66" t="s">
        <v>277</v>
      </c>
      <c r="C183" s="295"/>
      <c r="D183" s="160">
        <v>0</v>
      </c>
      <c r="E183" s="160" t="e">
        <f>D183*#REF!</f>
        <v>#REF!</v>
      </c>
      <c r="F183" s="160" t="e">
        <f>D183*#REF!</f>
        <v>#REF!</v>
      </c>
      <c r="G183" s="160" t="e">
        <f>(D183*#REF!)*#REF!</f>
        <v>#REF!</v>
      </c>
      <c r="H183" s="296">
        <f t="shared" si="44"/>
        <v>0</v>
      </c>
      <c r="I183" s="147" t="e">
        <f t="shared" si="45"/>
        <v>#REF!</v>
      </c>
      <c r="J183" s="97">
        <v>0</v>
      </c>
      <c r="K183" s="295"/>
      <c r="L183" s="20">
        <v>10350</v>
      </c>
      <c r="M183" s="302">
        <v>0</v>
      </c>
      <c r="N183" s="20">
        <v>0</v>
      </c>
      <c r="O183" s="20">
        <f>VLOOKUP(A183,TB!A:F,3)</f>
        <v>0</v>
      </c>
      <c r="P183" s="160">
        <f>O183/9*12</f>
        <v>0</v>
      </c>
      <c r="Q183" s="160">
        <v>0</v>
      </c>
      <c r="R183" s="233">
        <f>VLOOKUP(A183,TB!A:F,6)</f>
        <v>0</v>
      </c>
      <c r="S183" s="233">
        <f t="shared" si="46"/>
        <v>0</v>
      </c>
    </row>
    <row r="184" spans="1:19" ht="15.75" customHeight="1" x14ac:dyDescent="0.25">
      <c r="A184" s="66" t="s">
        <v>634</v>
      </c>
      <c r="B184" s="66" t="s">
        <v>84</v>
      </c>
      <c r="C184" s="295"/>
      <c r="D184" s="160">
        <v>0</v>
      </c>
      <c r="E184" s="160" t="e">
        <f>D184*#REF!</f>
        <v>#REF!</v>
      </c>
      <c r="F184" s="160" t="e">
        <f>D184*#REF!</f>
        <v>#REF!</v>
      </c>
      <c r="G184" s="160" t="e">
        <f>(D184*#REF!)*#REF!</f>
        <v>#REF!</v>
      </c>
      <c r="H184" s="296">
        <f t="shared" si="44"/>
        <v>0</v>
      </c>
      <c r="I184" s="147" t="e">
        <f t="shared" si="45"/>
        <v>#REF!</v>
      </c>
      <c r="J184" s="97">
        <v>0</v>
      </c>
      <c r="K184" s="295"/>
      <c r="L184" s="20">
        <v>35</v>
      </c>
      <c r="M184" s="302">
        <v>568.51</v>
      </c>
      <c r="N184" s="20">
        <v>2500</v>
      </c>
      <c r="O184" s="20">
        <f>VLOOKUP(A184,TB!A:F,3)</f>
        <v>305.73</v>
      </c>
      <c r="P184" s="163">
        <f t="shared" ref="P184:P188" si="48">N184</f>
        <v>2500</v>
      </c>
      <c r="Q184" s="160">
        <v>0</v>
      </c>
      <c r="R184" s="233">
        <f>VLOOKUP(A184,TB!A:F,6)</f>
        <v>0</v>
      </c>
      <c r="S184" s="233">
        <f t="shared" si="46"/>
        <v>0</v>
      </c>
    </row>
    <row r="185" spans="1:19" ht="15.75" customHeight="1" x14ac:dyDescent="0.25">
      <c r="A185" s="66" t="s">
        <v>635</v>
      </c>
      <c r="B185" s="66" t="s">
        <v>90</v>
      </c>
      <c r="C185" s="295"/>
      <c r="D185" s="160">
        <v>10670</v>
      </c>
      <c r="E185" s="160" t="e">
        <f>D185*#REF!</f>
        <v>#REF!</v>
      </c>
      <c r="F185" s="160" t="e">
        <f>D185*#REF!</f>
        <v>#REF!</v>
      </c>
      <c r="G185" s="160" t="e">
        <f>(D185*#REF!)*#REF!</f>
        <v>#REF!</v>
      </c>
      <c r="H185" s="296">
        <f t="shared" si="44"/>
        <v>0</v>
      </c>
      <c r="I185" s="147" t="e">
        <f t="shared" si="45"/>
        <v>#REF!</v>
      </c>
      <c r="J185" s="97">
        <v>0</v>
      </c>
      <c r="K185" s="295"/>
      <c r="L185" s="20">
        <v>10057</v>
      </c>
      <c r="M185" s="302">
        <v>7032.01</v>
      </c>
      <c r="N185" s="20">
        <v>10000</v>
      </c>
      <c r="O185" s="20">
        <f>VLOOKUP(A185,TB!A:F,3)</f>
        <v>3775.36</v>
      </c>
      <c r="P185" s="163">
        <f t="shared" si="48"/>
        <v>10000</v>
      </c>
      <c r="Q185" s="160">
        <v>12000</v>
      </c>
      <c r="R185" s="233">
        <f>VLOOKUP(A185,TB!A:F,6)</f>
        <v>12000</v>
      </c>
      <c r="S185" s="233">
        <f t="shared" si="46"/>
        <v>0</v>
      </c>
    </row>
    <row r="186" spans="1:19" ht="15.75" customHeight="1" x14ac:dyDescent="0.25">
      <c r="A186" s="66" t="s">
        <v>636</v>
      </c>
      <c r="B186" s="66" t="s">
        <v>252</v>
      </c>
      <c r="C186" s="295"/>
      <c r="D186" s="160">
        <v>3813</v>
      </c>
      <c r="E186" s="160" t="e">
        <f>D186*#REF!</f>
        <v>#REF!</v>
      </c>
      <c r="F186" s="160" t="e">
        <f>D186*#REF!</f>
        <v>#REF!</v>
      </c>
      <c r="G186" s="160" t="e">
        <f>(D186*#REF!)*#REF!</f>
        <v>#REF!</v>
      </c>
      <c r="H186" s="296">
        <f t="shared" si="44"/>
        <v>0</v>
      </c>
      <c r="I186" s="147" t="e">
        <f t="shared" si="45"/>
        <v>#REF!</v>
      </c>
      <c r="J186" s="97">
        <v>0</v>
      </c>
      <c r="K186" s="295"/>
      <c r="L186" s="20">
        <v>5230</v>
      </c>
      <c r="M186" s="302">
        <v>5161.68</v>
      </c>
      <c r="N186" s="20">
        <v>5500</v>
      </c>
      <c r="O186" s="20">
        <f>VLOOKUP(A186,TB!A:F,3)</f>
        <v>1388.31</v>
      </c>
      <c r="P186" s="163">
        <f t="shared" si="48"/>
        <v>5500</v>
      </c>
      <c r="Q186" s="160">
        <v>5500</v>
      </c>
      <c r="R186" s="233">
        <f>VLOOKUP(A186,TB!A:F,6)</f>
        <v>5500</v>
      </c>
      <c r="S186" s="233">
        <f t="shared" si="46"/>
        <v>0</v>
      </c>
    </row>
    <row r="187" spans="1:19" ht="15.75" customHeight="1" x14ac:dyDescent="0.25">
      <c r="A187" s="66" t="s">
        <v>637</v>
      </c>
      <c r="B187" s="66" t="s">
        <v>638</v>
      </c>
      <c r="C187" s="295"/>
      <c r="D187" s="160">
        <v>0</v>
      </c>
      <c r="E187" s="160" t="e">
        <f>D187*#REF!</f>
        <v>#REF!</v>
      </c>
      <c r="F187" s="160" t="e">
        <f>D187*#REF!</f>
        <v>#REF!</v>
      </c>
      <c r="G187" s="160" t="e">
        <f>(D187*#REF!)*#REF!</f>
        <v>#REF!</v>
      </c>
      <c r="H187" s="296">
        <f t="shared" si="44"/>
        <v>0</v>
      </c>
      <c r="I187" s="147" t="e">
        <f t="shared" si="45"/>
        <v>#REF!</v>
      </c>
      <c r="J187" s="97">
        <v>0</v>
      </c>
      <c r="K187" s="295"/>
      <c r="L187" s="20">
        <v>0</v>
      </c>
      <c r="M187" s="302">
        <v>116.32</v>
      </c>
      <c r="N187" s="20">
        <v>1000</v>
      </c>
      <c r="O187" s="20">
        <f>VLOOKUP(A187,TB!A:F,3)</f>
        <v>0</v>
      </c>
      <c r="P187" s="163">
        <f t="shared" si="48"/>
        <v>1000</v>
      </c>
      <c r="Q187" s="160">
        <v>0</v>
      </c>
      <c r="R187" s="233">
        <f>VLOOKUP(A187,TB!A:F,6)</f>
        <v>0</v>
      </c>
      <c r="S187" s="233">
        <f t="shared" si="46"/>
        <v>0</v>
      </c>
    </row>
    <row r="188" spans="1:19" ht="15.75" customHeight="1" x14ac:dyDescent="0.25">
      <c r="A188" s="66" t="s">
        <v>639</v>
      </c>
      <c r="B188" s="66" t="s">
        <v>502</v>
      </c>
      <c r="C188" s="295"/>
      <c r="D188" s="160">
        <v>2886</v>
      </c>
      <c r="E188" s="160" t="e">
        <f>D188*#REF!</f>
        <v>#REF!</v>
      </c>
      <c r="F188" s="160" t="e">
        <f>D188*#REF!</f>
        <v>#REF!</v>
      </c>
      <c r="G188" s="160" t="e">
        <f>(D188*#REF!)*#REF!</f>
        <v>#REF!</v>
      </c>
      <c r="H188" s="296">
        <f t="shared" si="44"/>
        <v>0</v>
      </c>
      <c r="I188" s="147" t="e">
        <f t="shared" si="45"/>
        <v>#REF!</v>
      </c>
      <c r="J188" s="97">
        <v>0</v>
      </c>
      <c r="K188" s="295"/>
      <c r="L188" s="20">
        <v>2848</v>
      </c>
      <c r="M188" s="302">
        <v>7315.13</v>
      </c>
      <c r="N188" s="20">
        <v>3500</v>
      </c>
      <c r="O188" s="20">
        <f>VLOOKUP(A188,TB!A:F,3)</f>
        <v>285.8</v>
      </c>
      <c r="P188" s="163">
        <f t="shared" si="48"/>
        <v>3500</v>
      </c>
      <c r="Q188" s="160">
        <v>3500</v>
      </c>
      <c r="R188" s="233">
        <f>VLOOKUP(A188,TB!A:F,6)</f>
        <v>3500</v>
      </c>
      <c r="S188" s="233">
        <f t="shared" si="46"/>
        <v>0</v>
      </c>
    </row>
    <row r="189" spans="1:19" ht="15.75" customHeight="1" x14ac:dyDescent="0.25">
      <c r="A189" s="66" t="s">
        <v>640</v>
      </c>
      <c r="B189" s="66" t="s">
        <v>92</v>
      </c>
      <c r="C189" s="295"/>
      <c r="D189" s="160">
        <v>0</v>
      </c>
      <c r="E189" s="160" t="e">
        <f>D189*#REF!</f>
        <v>#REF!</v>
      </c>
      <c r="F189" s="160" t="e">
        <f>D189*#REF!</f>
        <v>#REF!</v>
      </c>
      <c r="G189" s="160" t="e">
        <f>(D189*#REF!)*#REF!</f>
        <v>#REF!</v>
      </c>
      <c r="H189" s="296">
        <f t="shared" si="44"/>
        <v>0</v>
      </c>
      <c r="I189" s="147" t="e">
        <f t="shared" si="45"/>
        <v>#REF!</v>
      </c>
      <c r="J189" s="97">
        <v>0</v>
      </c>
      <c r="K189" s="295"/>
      <c r="L189" s="20">
        <v>3949</v>
      </c>
      <c r="M189" s="302">
        <v>0</v>
      </c>
      <c r="N189" s="20">
        <v>0</v>
      </c>
      <c r="O189" s="20">
        <f>VLOOKUP(A189,TB!A:F,3)</f>
        <v>0</v>
      </c>
      <c r="P189" s="160">
        <f t="shared" ref="P189:P191" si="49">O189/9*12</f>
        <v>0</v>
      </c>
      <c r="Q189" s="160">
        <v>0</v>
      </c>
      <c r="R189" s="233">
        <f>VLOOKUP(A189,TB!A:F,6)</f>
        <v>0</v>
      </c>
      <c r="S189" s="233">
        <f t="shared" si="46"/>
        <v>0</v>
      </c>
    </row>
    <row r="190" spans="1:19" ht="15.75" customHeight="1" x14ac:dyDescent="0.25">
      <c r="A190" s="66" t="s">
        <v>641</v>
      </c>
      <c r="B190" s="66" t="s">
        <v>180</v>
      </c>
      <c r="C190" s="295"/>
      <c r="D190" s="160">
        <v>0</v>
      </c>
      <c r="E190" s="160" t="e">
        <f>D190*#REF!</f>
        <v>#REF!</v>
      </c>
      <c r="F190" s="160" t="e">
        <f>D190*#REF!</f>
        <v>#REF!</v>
      </c>
      <c r="G190" s="160" t="e">
        <f>(D190*#REF!)*#REF!</f>
        <v>#REF!</v>
      </c>
      <c r="H190" s="296">
        <f t="shared" si="44"/>
        <v>0</v>
      </c>
      <c r="I190" s="147" t="e">
        <f t="shared" si="45"/>
        <v>#REF!</v>
      </c>
      <c r="J190" s="97">
        <v>0</v>
      </c>
      <c r="K190" s="295"/>
      <c r="L190" s="20">
        <v>6374</v>
      </c>
      <c r="M190" s="302">
        <v>0</v>
      </c>
      <c r="N190" s="20">
        <v>0</v>
      </c>
      <c r="O190" s="20">
        <f>VLOOKUP(A190,TB!A:F,3)</f>
        <v>0</v>
      </c>
      <c r="P190" s="160">
        <f t="shared" si="49"/>
        <v>0</v>
      </c>
      <c r="Q190" s="160">
        <v>0</v>
      </c>
      <c r="R190" s="233">
        <f>VLOOKUP(A190,TB!A:F,6)</f>
        <v>0</v>
      </c>
      <c r="S190" s="233">
        <f t="shared" si="46"/>
        <v>0</v>
      </c>
    </row>
    <row r="191" spans="1:19" ht="15.75" customHeight="1" x14ac:dyDescent="0.25">
      <c r="A191" s="66" t="s">
        <v>642</v>
      </c>
      <c r="B191" s="66" t="s">
        <v>99</v>
      </c>
      <c r="C191" s="295"/>
      <c r="D191" s="160">
        <v>15500</v>
      </c>
      <c r="E191" s="160" t="e">
        <f>D191*#REF!</f>
        <v>#REF!</v>
      </c>
      <c r="F191" s="160" t="e">
        <f>D191*#REF!</f>
        <v>#REF!</v>
      </c>
      <c r="G191" s="160" t="e">
        <f>(D191*#REF!)*#REF!</f>
        <v>#REF!</v>
      </c>
      <c r="H191" s="296">
        <f t="shared" si="44"/>
        <v>0</v>
      </c>
      <c r="I191" s="147" t="e">
        <f t="shared" si="45"/>
        <v>#REF!</v>
      </c>
      <c r="J191" s="97">
        <v>0</v>
      </c>
      <c r="K191" s="295"/>
      <c r="L191" s="20">
        <v>124316</v>
      </c>
      <c r="M191" s="302">
        <v>9229</v>
      </c>
      <c r="N191" s="20">
        <v>0</v>
      </c>
      <c r="O191" s="20">
        <f>VLOOKUP(A191,TB!A:F,3)</f>
        <v>0</v>
      </c>
      <c r="P191" s="160">
        <f t="shared" si="49"/>
        <v>0</v>
      </c>
      <c r="Q191" s="160">
        <v>0</v>
      </c>
      <c r="R191" s="233">
        <f>VLOOKUP(A191,TB!A:F,6)</f>
        <v>0</v>
      </c>
      <c r="S191" s="233">
        <f t="shared" si="46"/>
        <v>0</v>
      </c>
    </row>
    <row r="192" spans="1:19" ht="15.75" customHeight="1" x14ac:dyDescent="0.25">
      <c r="A192" s="74" t="s">
        <v>643</v>
      </c>
      <c r="B192" s="75"/>
      <c r="C192" s="299"/>
      <c r="D192" s="189">
        <f t="shared" ref="D192:G192" si="50">SUM(D178:D191)</f>
        <v>71718</v>
      </c>
      <c r="E192" s="189" t="e">
        <f t="shared" si="50"/>
        <v>#REF!</v>
      </c>
      <c r="F192" s="189" t="e">
        <f t="shared" si="50"/>
        <v>#REF!</v>
      </c>
      <c r="G192" s="189" t="e">
        <f t="shared" si="50"/>
        <v>#REF!</v>
      </c>
      <c r="H192" s="300">
        <f t="shared" si="44"/>
        <v>0</v>
      </c>
      <c r="I192" s="189" t="e">
        <f t="shared" si="45"/>
        <v>#REF!</v>
      </c>
      <c r="J192" s="301">
        <f>SUM(J178:J191)</f>
        <v>0</v>
      </c>
      <c r="K192" s="299"/>
      <c r="L192" s="77">
        <f t="shared" ref="L192:S192" si="51">SUM(L178:L191)</f>
        <v>200693</v>
      </c>
      <c r="M192" s="77">
        <f t="shared" si="51"/>
        <v>69808.38</v>
      </c>
      <c r="N192" s="77">
        <f t="shared" si="51"/>
        <v>77100</v>
      </c>
      <c r="O192" s="77">
        <f t="shared" si="51"/>
        <v>29660.09</v>
      </c>
      <c r="P192" s="189">
        <f t="shared" si="51"/>
        <v>77148.28</v>
      </c>
      <c r="Q192" s="189">
        <f t="shared" si="51"/>
        <v>76750</v>
      </c>
      <c r="R192" s="77">
        <f t="shared" si="51"/>
        <v>76750</v>
      </c>
      <c r="S192" s="77">
        <f t="shared" si="51"/>
        <v>0</v>
      </c>
    </row>
    <row r="193" spans="1:30" ht="15.75" customHeight="1" x14ac:dyDescent="0.2">
      <c r="C193" s="287"/>
      <c r="K193" s="287"/>
      <c r="R193" s="83"/>
      <c r="S193" s="83"/>
    </row>
    <row r="194" spans="1:30" ht="15.75" customHeight="1" x14ac:dyDescent="0.25">
      <c r="A194" s="66" t="s">
        <v>641</v>
      </c>
      <c r="B194" s="66" t="s">
        <v>180</v>
      </c>
      <c r="C194" s="295"/>
      <c r="D194" s="160">
        <v>0</v>
      </c>
      <c r="E194" s="160" t="e">
        <f>D194*#REF!</f>
        <v>#REF!</v>
      </c>
      <c r="F194" s="160" t="e">
        <f>D194*#REF!</f>
        <v>#REF!</v>
      </c>
      <c r="G194" s="160" t="e">
        <f>(D194*#REF!)*#REF!</f>
        <v>#REF!</v>
      </c>
      <c r="H194" s="296">
        <f t="shared" ref="H194:H196" si="52">IFERROR(((Q194-G194)/G194),0)</f>
        <v>0</v>
      </c>
      <c r="I194" s="147" t="e">
        <f t="shared" ref="I194:I196" si="53">Q194-G194</f>
        <v>#REF!</v>
      </c>
      <c r="J194" s="97">
        <v>0</v>
      </c>
      <c r="K194" s="295"/>
      <c r="L194" s="20">
        <v>6374</v>
      </c>
      <c r="M194" s="302">
        <v>0</v>
      </c>
      <c r="N194" s="20">
        <v>0</v>
      </c>
      <c r="O194" s="20">
        <v>0</v>
      </c>
      <c r="P194" s="160">
        <f t="shared" ref="P194:P195" si="54">N194</f>
        <v>0</v>
      </c>
      <c r="Q194" s="160">
        <v>0</v>
      </c>
      <c r="R194" s="233">
        <f>VLOOKUP(A194,TB!A:F,6)</f>
        <v>0</v>
      </c>
      <c r="S194" s="233">
        <f t="shared" ref="S194:S195" si="55">Q194-R194</f>
        <v>0</v>
      </c>
    </row>
    <row r="195" spans="1:30" ht="15.75" customHeight="1" x14ac:dyDescent="0.25">
      <c r="A195" s="66" t="s">
        <v>642</v>
      </c>
      <c r="B195" s="66" t="s">
        <v>99</v>
      </c>
      <c r="C195" s="295"/>
      <c r="D195" s="160">
        <v>15500</v>
      </c>
      <c r="E195" s="160" t="e">
        <f>D195*#REF!</f>
        <v>#REF!</v>
      </c>
      <c r="F195" s="160" t="e">
        <f>D195*#REF!</f>
        <v>#REF!</v>
      </c>
      <c r="G195" s="160" t="e">
        <f>(D195*#REF!)*#REF!</f>
        <v>#REF!</v>
      </c>
      <c r="H195" s="296">
        <f t="shared" si="52"/>
        <v>0</v>
      </c>
      <c r="I195" s="147" t="e">
        <f t="shared" si="53"/>
        <v>#REF!</v>
      </c>
      <c r="J195" s="97">
        <v>0</v>
      </c>
      <c r="K195" s="295"/>
      <c r="L195" s="20">
        <v>124316</v>
      </c>
      <c r="M195" s="302">
        <v>9229</v>
      </c>
      <c r="N195" s="20">
        <v>28000</v>
      </c>
      <c r="O195" s="20">
        <v>0</v>
      </c>
      <c r="P195" s="163">
        <f t="shared" si="54"/>
        <v>28000</v>
      </c>
      <c r="Q195" s="160">
        <v>0</v>
      </c>
      <c r="R195" s="233">
        <f>VLOOKUP(A195,TB!A:F,6)</f>
        <v>0</v>
      </c>
      <c r="S195" s="233">
        <f t="shared" si="55"/>
        <v>0</v>
      </c>
    </row>
    <row r="196" spans="1:30" ht="15.75" customHeight="1" x14ac:dyDescent="0.25">
      <c r="A196" s="74" t="s">
        <v>644</v>
      </c>
      <c r="B196" s="75"/>
      <c r="C196" s="299"/>
      <c r="D196" s="189">
        <f>SUM(D194:D195)</f>
        <v>15500</v>
      </c>
      <c r="E196" s="189" t="e">
        <f t="shared" ref="E196:G196" si="56">SUM(E182:E195)</f>
        <v>#REF!</v>
      </c>
      <c r="F196" s="189" t="e">
        <f t="shared" si="56"/>
        <v>#REF!</v>
      </c>
      <c r="G196" s="189" t="e">
        <f t="shared" si="56"/>
        <v>#REF!</v>
      </c>
      <c r="H196" s="300">
        <f t="shared" si="52"/>
        <v>0</v>
      </c>
      <c r="I196" s="189" t="e">
        <f t="shared" si="53"/>
        <v>#REF!</v>
      </c>
      <c r="J196" s="301">
        <f>SUM(J194:J195)</f>
        <v>0</v>
      </c>
      <c r="K196" s="299"/>
      <c r="L196" s="77">
        <f t="shared" ref="L196:S196" si="57">SUM(L194:L195)</f>
        <v>130690</v>
      </c>
      <c r="M196" s="77">
        <f t="shared" si="57"/>
        <v>9229</v>
      </c>
      <c r="N196" s="77">
        <f t="shared" si="57"/>
        <v>28000</v>
      </c>
      <c r="O196" s="77">
        <f t="shared" si="57"/>
        <v>0</v>
      </c>
      <c r="P196" s="189">
        <f t="shared" si="57"/>
        <v>28000</v>
      </c>
      <c r="Q196" s="189">
        <f t="shared" si="57"/>
        <v>0</v>
      </c>
      <c r="R196" s="77">
        <f t="shared" si="57"/>
        <v>0</v>
      </c>
      <c r="S196" s="77">
        <f t="shared" si="57"/>
        <v>0</v>
      </c>
    </row>
    <row r="197" spans="1:30" ht="15.75" customHeight="1" x14ac:dyDescent="0.2">
      <c r="C197" s="287"/>
      <c r="K197" s="287"/>
      <c r="R197" s="83"/>
      <c r="S197" s="83"/>
    </row>
    <row r="198" spans="1:30" ht="15.75" customHeight="1" x14ac:dyDescent="0.25">
      <c r="A198" s="74" t="s">
        <v>645</v>
      </c>
      <c r="B198" s="305"/>
      <c r="C198" s="306"/>
      <c r="D198" s="189">
        <f t="shared" ref="D198:G198" si="58">D192+D196</f>
        <v>87218</v>
      </c>
      <c r="E198" s="189" t="e">
        <f t="shared" si="58"/>
        <v>#REF!</v>
      </c>
      <c r="F198" s="189" t="e">
        <f t="shared" si="58"/>
        <v>#REF!</v>
      </c>
      <c r="G198" s="189" t="e">
        <f t="shared" si="58"/>
        <v>#REF!</v>
      </c>
      <c r="H198" s="300">
        <f>IFERROR(((Q198-G198)/G198),0)</f>
        <v>0</v>
      </c>
      <c r="I198" s="189" t="e">
        <f>Q198-G198</f>
        <v>#REF!</v>
      </c>
      <c r="J198" s="301">
        <f>J197</f>
        <v>0</v>
      </c>
      <c r="K198" s="306"/>
      <c r="L198" s="77">
        <f t="shared" ref="L198:S198" si="59">L192+L196</f>
        <v>331383</v>
      </c>
      <c r="M198" s="77">
        <f t="shared" si="59"/>
        <v>79037.38</v>
      </c>
      <c r="N198" s="77">
        <f t="shared" si="59"/>
        <v>105100</v>
      </c>
      <c r="O198" s="77">
        <f t="shared" si="59"/>
        <v>29660.09</v>
      </c>
      <c r="P198" s="189">
        <f t="shared" si="59"/>
        <v>105148.28</v>
      </c>
      <c r="Q198" s="189">
        <f t="shared" si="59"/>
        <v>76750</v>
      </c>
      <c r="R198" s="77">
        <f t="shared" si="59"/>
        <v>76750</v>
      </c>
      <c r="S198" s="77">
        <f t="shared" si="59"/>
        <v>0</v>
      </c>
    </row>
    <row r="199" spans="1:30" ht="15.75" customHeight="1" x14ac:dyDescent="0.2">
      <c r="C199" s="287"/>
      <c r="K199" s="287"/>
      <c r="R199" s="83"/>
      <c r="S199" s="83"/>
    </row>
    <row r="200" spans="1:30" ht="15.75" customHeight="1" x14ac:dyDescent="0.2">
      <c r="A200" s="69" t="s">
        <v>184</v>
      </c>
      <c r="C200" s="287"/>
      <c r="K200" s="287"/>
      <c r="R200" s="83"/>
      <c r="S200" s="83"/>
    </row>
    <row r="201" spans="1:30" ht="15.75" customHeight="1" x14ac:dyDescent="0.25">
      <c r="A201" s="51" t="s">
        <v>646</v>
      </c>
      <c r="B201" s="51" t="s">
        <v>647</v>
      </c>
      <c r="C201" s="307"/>
      <c r="D201" s="147">
        <v>-20957</v>
      </c>
      <c r="E201" s="160" t="e">
        <f>D201*#REF!</f>
        <v>#REF!</v>
      </c>
      <c r="F201" s="160" t="e">
        <f>D201*#REF!</f>
        <v>#REF!</v>
      </c>
      <c r="G201" s="160" t="e">
        <f>(D201*#REF!)*#REF!</f>
        <v>#REF!</v>
      </c>
      <c r="H201" s="296">
        <f t="shared" ref="H201:H204" si="60">IFERROR(((Q201-G201)/G201),0)</f>
        <v>0</v>
      </c>
      <c r="I201" s="147" t="e">
        <f t="shared" ref="I201:I204" si="61">Q201-G201</f>
        <v>#REF!</v>
      </c>
      <c r="J201" s="97">
        <v>0</v>
      </c>
      <c r="K201" s="307"/>
      <c r="L201" s="54">
        <v>-19985</v>
      </c>
      <c r="M201" s="54">
        <v>-19475.28</v>
      </c>
      <c r="N201" s="54">
        <v>-20000</v>
      </c>
      <c r="O201" s="20">
        <f>VLOOKUP(A201,TB!A:F,3)</f>
        <v>0</v>
      </c>
      <c r="P201" s="308">
        <f t="shared" ref="P201:P203" si="62">N201</f>
        <v>-20000</v>
      </c>
      <c r="Q201" s="147">
        <v>-20000</v>
      </c>
      <c r="R201" s="233">
        <f>VLOOKUP(A201,TB!A:F,6)</f>
        <v>-20000</v>
      </c>
      <c r="S201" s="233">
        <f t="shared" ref="S201:S203" si="63">Q201-R201</f>
        <v>0</v>
      </c>
    </row>
    <row r="202" spans="1:30" ht="15.75" customHeight="1" x14ac:dyDescent="0.25">
      <c r="A202" s="51" t="s">
        <v>648</v>
      </c>
      <c r="B202" s="51" t="s">
        <v>649</v>
      </c>
      <c r="C202" s="307"/>
      <c r="D202" s="147">
        <v>-23952</v>
      </c>
      <c r="E202" s="160" t="e">
        <f>D202*#REF!</f>
        <v>#REF!</v>
      </c>
      <c r="F202" s="160" t="e">
        <f>D202*#REF!</f>
        <v>#REF!</v>
      </c>
      <c r="G202" s="160" t="e">
        <f>(D202*#REF!)*#REF!</f>
        <v>#REF!</v>
      </c>
      <c r="H202" s="296">
        <f t="shared" si="60"/>
        <v>0</v>
      </c>
      <c r="I202" s="147" t="e">
        <f t="shared" si="61"/>
        <v>#REF!</v>
      </c>
      <c r="J202" s="97">
        <v>0</v>
      </c>
      <c r="K202" s="307"/>
      <c r="L202" s="54">
        <v>-52917</v>
      </c>
      <c r="M202" s="54">
        <v>-11786.7</v>
      </c>
      <c r="N202" s="54">
        <v>-20000</v>
      </c>
      <c r="O202" s="20">
        <f>VLOOKUP(A202,TB!A:F,3)</f>
        <v>0</v>
      </c>
      <c r="P202" s="308">
        <f t="shared" si="62"/>
        <v>-20000</v>
      </c>
      <c r="Q202" s="147">
        <v>-20000</v>
      </c>
      <c r="R202" s="233">
        <f>VLOOKUP(A202,TB!A:F,6)</f>
        <v>-20000</v>
      </c>
      <c r="S202" s="233">
        <f t="shared" si="63"/>
        <v>0</v>
      </c>
    </row>
    <row r="203" spans="1:30" ht="15.75" customHeight="1" x14ac:dyDescent="0.25">
      <c r="A203" s="51" t="s">
        <v>650</v>
      </c>
      <c r="B203" s="51" t="s">
        <v>651</v>
      </c>
      <c r="C203" s="307"/>
      <c r="D203" s="147">
        <v>-150</v>
      </c>
      <c r="E203" s="160" t="e">
        <f>D203*#REF!</f>
        <v>#REF!</v>
      </c>
      <c r="F203" s="160" t="e">
        <f>D203*#REF!</f>
        <v>#REF!</v>
      </c>
      <c r="G203" s="160" t="e">
        <f>(D203*#REF!)*#REF!</f>
        <v>#REF!</v>
      </c>
      <c r="H203" s="296">
        <f t="shared" si="60"/>
        <v>0</v>
      </c>
      <c r="I203" s="147" t="e">
        <f t="shared" si="61"/>
        <v>#REF!</v>
      </c>
      <c r="J203" s="97">
        <v>0</v>
      </c>
      <c r="K203" s="307"/>
      <c r="L203" s="54">
        <v>-5682</v>
      </c>
      <c r="M203" s="54">
        <v>-200</v>
      </c>
      <c r="N203" s="54">
        <v>-2500</v>
      </c>
      <c r="O203" s="20">
        <f>VLOOKUP(A203,TB!A:F,3)</f>
        <v>-138.04</v>
      </c>
      <c r="P203" s="308">
        <f t="shared" si="62"/>
        <v>-2500</v>
      </c>
      <c r="Q203" s="147">
        <v>0</v>
      </c>
      <c r="R203" s="233">
        <f>VLOOKUP(A203,TB!A:F,6)</f>
        <v>0</v>
      </c>
      <c r="S203" s="233">
        <f t="shared" si="63"/>
        <v>0</v>
      </c>
    </row>
    <row r="204" spans="1:30" ht="15.75" customHeight="1" x14ac:dyDescent="0.2">
      <c r="A204" s="239" t="s">
        <v>189</v>
      </c>
      <c r="B204" s="75"/>
      <c r="C204" s="299"/>
      <c r="D204" s="189">
        <f t="shared" ref="D204:G204" si="64">SUM(D201:D203)</f>
        <v>-45059</v>
      </c>
      <c r="E204" s="189" t="e">
        <f t="shared" si="64"/>
        <v>#REF!</v>
      </c>
      <c r="F204" s="189" t="e">
        <f t="shared" si="64"/>
        <v>#REF!</v>
      </c>
      <c r="G204" s="189" t="e">
        <f t="shared" si="64"/>
        <v>#REF!</v>
      </c>
      <c r="H204" s="300">
        <f t="shared" si="60"/>
        <v>0</v>
      </c>
      <c r="I204" s="189" t="e">
        <f t="shared" si="61"/>
        <v>#REF!</v>
      </c>
      <c r="J204" s="189">
        <v>0</v>
      </c>
      <c r="K204" s="299"/>
      <c r="L204" s="77">
        <f t="shared" ref="L204:S204" si="65">SUM(L201:L203)</f>
        <v>-78584</v>
      </c>
      <c r="M204" s="77">
        <f t="shared" si="65"/>
        <v>-31461.98</v>
      </c>
      <c r="N204" s="77">
        <f t="shared" si="65"/>
        <v>-42500</v>
      </c>
      <c r="O204" s="77">
        <f t="shared" si="65"/>
        <v>-138.04</v>
      </c>
      <c r="P204" s="189">
        <f t="shared" si="65"/>
        <v>-42500</v>
      </c>
      <c r="Q204" s="189">
        <f t="shared" si="65"/>
        <v>-40000</v>
      </c>
      <c r="R204" s="77">
        <f t="shared" si="65"/>
        <v>-40000</v>
      </c>
      <c r="S204" s="77">
        <f t="shared" si="65"/>
        <v>0</v>
      </c>
    </row>
    <row r="205" spans="1:30" ht="15.75" customHeight="1" x14ac:dyDescent="0.2">
      <c r="C205" s="287"/>
      <c r="K205" s="287"/>
      <c r="R205" s="83"/>
      <c r="S205" s="83"/>
    </row>
    <row r="206" spans="1:30" ht="15.75" customHeight="1" x14ac:dyDescent="0.2">
      <c r="A206" s="69" t="s">
        <v>190</v>
      </c>
      <c r="B206" s="51"/>
      <c r="C206" s="309"/>
      <c r="D206" s="193">
        <f t="shared" ref="D206:G206" si="66">D198+D204</f>
        <v>42159</v>
      </c>
      <c r="E206" s="193" t="e">
        <f t="shared" si="66"/>
        <v>#REF!</v>
      </c>
      <c r="F206" s="193" t="e">
        <f t="shared" si="66"/>
        <v>#REF!</v>
      </c>
      <c r="G206" s="193" t="e">
        <f t="shared" si="66"/>
        <v>#REF!</v>
      </c>
      <c r="H206" s="310">
        <f>IFERROR(((Q206-G206)/G206),0)</f>
        <v>0</v>
      </c>
      <c r="I206" s="193" t="e">
        <f>Q206-G206</f>
        <v>#REF!</v>
      </c>
      <c r="J206" s="193">
        <f>J204+J203</f>
        <v>0</v>
      </c>
      <c r="K206" s="309"/>
      <c r="L206" s="245">
        <f t="shared" ref="L206:S206" si="67">L198+L204</f>
        <v>252799</v>
      </c>
      <c r="M206" s="245">
        <f t="shared" si="67"/>
        <v>47575.400000000009</v>
      </c>
      <c r="N206" s="245">
        <f t="shared" si="67"/>
        <v>62600</v>
      </c>
      <c r="O206" s="245">
        <f t="shared" si="67"/>
        <v>29522.05</v>
      </c>
      <c r="P206" s="193">
        <f t="shared" si="67"/>
        <v>62648.28</v>
      </c>
      <c r="Q206" s="193">
        <f t="shared" si="67"/>
        <v>36750</v>
      </c>
      <c r="R206" s="245">
        <f t="shared" si="67"/>
        <v>36750</v>
      </c>
      <c r="S206" s="245">
        <f t="shared" si="67"/>
        <v>0</v>
      </c>
      <c r="W206" s="56"/>
      <c r="X206" s="56"/>
      <c r="Y206" s="56"/>
      <c r="Z206" s="56"/>
      <c r="AA206" s="56"/>
      <c r="AB206" s="56"/>
      <c r="AC206" s="56"/>
      <c r="AD206" s="56"/>
    </row>
    <row r="207" spans="1:30" ht="15.75" customHeight="1" x14ac:dyDescent="0.2">
      <c r="C207" s="287"/>
      <c r="K207" s="287"/>
    </row>
    <row r="208" spans="1:30" ht="15.75" customHeight="1" x14ac:dyDescent="0.2">
      <c r="C208" s="287"/>
      <c r="K208" s="287"/>
    </row>
    <row r="209" spans="3:18" ht="15.75" customHeight="1" x14ac:dyDescent="0.2">
      <c r="C209" s="288"/>
      <c r="K209" s="288"/>
      <c r="L209" s="199" t="e">
        <f t="shared" ref="L209:R209" si="68">#REF!</f>
        <v>#REF!</v>
      </c>
      <c r="M209" s="199" t="e">
        <f t="shared" si="68"/>
        <v>#REF!</v>
      </c>
      <c r="N209" s="199" t="e">
        <f t="shared" si="68"/>
        <v>#REF!</v>
      </c>
      <c r="O209" s="199" t="e">
        <f t="shared" si="68"/>
        <v>#REF!</v>
      </c>
      <c r="P209" s="199" t="e">
        <f t="shared" si="68"/>
        <v>#REF!</v>
      </c>
      <c r="Q209" s="199" t="e">
        <f t="shared" si="68"/>
        <v>#REF!</v>
      </c>
      <c r="R209" s="173" t="e">
        <f t="shared" si="68"/>
        <v>#REF!</v>
      </c>
    </row>
    <row r="210" spans="3:18" ht="15.75" customHeight="1" x14ac:dyDescent="0.2">
      <c r="C210" s="289"/>
      <c r="K210" s="289"/>
      <c r="L210" s="290">
        <f t="shared" ref="L210:R210" si="69">L206</f>
        <v>252799</v>
      </c>
      <c r="M210" s="290">
        <f t="shared" si="69"/>
        <v>47575.400000000009</v>
      </c>
      <c r="N210" s="290">
        <f t="shared" si="69"/>
        <v>62600</v>
      </c>
      <c r="O210" s="290">
        <f t="shared" si="69"/>
        <v>29522.05</v>
      </c>
      <c r="P210" s="290">
        <f t="shared" si="69"/>
        <v>62648.28</v>
      </c>
      <c r="Q210" s="290">
        <f t="shared" si="69"/>
        <v>36750</v>
      </c>
      <c r="R210" s="291">
        <f t="shared" si="69"/>
        <v>36750</v>
      </c>
    </row>
    <row r="211" spans="3:18" ht="15.75" customHeight="1" x14ac:dyDescent="0.2">
      <c r="C211" s="287"/>
      <c r="K211" s="287"/>
    </row>
    <row r="212" spans="3:18" ht="15.75" customHeight="1" x14ac:dyDescent="0.2">
      <c r="C212" s="287"/>
      <c r="K212" s="287"/>
    </row>
    <row r="213" spans="3:18" ht="15.75" customHeight="1" x14ac:dyDescent="0.2">
      <c r="C213" s="287"/>
      <c r="K213" s="287"/>
    </row>
    <row r="214" spans="3:18" ht="15.75" customHeight="1" x14ac:dyDescent="0.2">
      <c r="C214" s="287"/>
      <c r="K214" s="287"/>
    </row>
    <row r="215" spans="3:18" ht="15.75" customHeight="1" x14ac:dyDescent="0.2">
      <c r="C215" s="287"/>
      <c r="K215" s="287"/>
    </row>
    <row r="216" spans="3:18" ht="15.75" customHeight="1" x14ac:dyDescent="0.2">
      <c r="C216" s="287"/>
      <c r="K216" s="287"/>
    </row>
    <row r="217" spans="3:18" ht="15.75" customHeight="1" x14ac:dyDescent="0.2">
      <c r="C217" s="287"/>
      <c r="K217" s="287"/>
    </row>
    <row r="218" spans="3:18" ht="15.75" customHeight="1" x14ac:dyDescent="0.2">
      <c r="C218" s="287"/>
      <c r="K218" s="287"/>
    </row>
    <row r="219" spans="3:18" ht="15.75" customHeight="1" x14ac:dyDescent="0.2">
      <c r="C219" s="287"/>
      <c r="K219" s="287"/>
    </row>
    <row r="220" spans="3:18" ht="15.75" customHeight="1" x14ac:dyDescent="0.2">
      <c r="C220" s="287"/>
      <c r="K220" s="287"/>
    </row>
    <row r="221" spans="3:18" ht="15.75" customHeight="1" x14ac:dyDescent="0.2">
      <c r="C221" s="287"/>
      <c r="K221" s="287"/>
    </row>
    <row r="222" spans="3:18" ht="15.75" customHeight="1" x14ac:dyDescent="0.2">
      <c r="C222" s="287"/>
      <c r="K222" s="287"/>
    </row>
    <row r="223" spans="3:18" ht="15.75" customHeight="1" x14ac:dyDescent="0.2">
      <c r="C223" s="287"/>
      <c r="K223" s="287"/>
    </row>
    <row r="224" spans="3:18" ht="15.75" customHeight="1" x14ac:dyDescent="0.2">
      <c r="C224" s="287"/>
      <c r="K224" s="287"/>
    </row>
    <row r="225" spans="3:11" ht="15.75" customHeight="1" x14ac:dyDescent="0.2">
      <c r="C225" s="287"/>
      <c r="K225" s="287"/>
    </row>
    <row r="226" spans="3:11" ht="15.75" customHeight="1" x14ac:dyDescent="0.2">
      <c r="C226" s="287"/>
      <c r="K226" s="287"/>
    </row>
    <row r="227" spans="3:11" ht="15.75" customHeight="1" x14ac:dyDescent="0.2">
      <c r="C227" s="287"/>
      <c r="K227" s="287"/>
    </row>
    <row r="228" spans="3:11" ht="15.75" customHeight="1" x14ac:dyDescent="0.2">
      <c r="C228" s="287"/>
      <c r="K228" s="287"/>
    </row>
    <row r="229" spans="3:11" ht="15.75" customHeight="1" x14ac:dyDescent="0.2">
      <c r="C229" s="287"/>
      <c r="K229" s="287"/>
    </row>
    <row r="230" spans="3:11" ht="15.75" customHeight="1" x14ac:dyDescent="0.2">
      <c r="C230" s="287"/>
      <c r="K230" s="287"/>
    </row>
    <row r="231" spans="3:11" ht="15.75" customHeight="1" x14ac:dyDescent="0.2">
      <c r="C231" s="287"/>
      <c r="K231" s="287"/>
    </row>
    <row r="232" spans="3:11" ht="15.75" customHeight="1" x14ac:dyDescent="0.2">
      <c r="C232" s="287"/>
      <c r="K232" s="287"/>
    </row>
    <row r="233" spans="3:11" ht="15.75" customHeight="1" x14ac:dyDescent="0.2">
      <c r="C233" s="287"/>
      <c r="K233" s="287"/>
    </row>
    <row r="234" spans="3:11" ht="15.75" customHeight="1" x14ac:dyDescent="0.2">
      <c r="C234" s="287"/>
      <c r="K234" s="287"/>
    </row>
    <row r="235" spans="3:11" ht="15.75" customHeight="1" x14ac:dyDescent="0.2">
      <c r="C235" s="287"/>
      <c r="K235" s="287"/>
    </row>
    <row r="236" spans="3:11" ht="15.75" customHeight="1" x14ac:dyDescent="0.2">
      <c r="C236" s="287"/>
      <c r="K236" s="287"/>
    </row>
    <row r="237" spans="3:11" ht="15.75" customHeight="1" x14ac:dyDescent="0.2">
      <c r="C237" s="287"/>
      <c r="K237" s="287"/>
    </row>
    <row r="238" spans="3:11" ht="15.75" customHeight="1" x14ac:dyDescent="0.2">
      <c r="C238" s="287"/>
      <c r="K238" s="287"/>
    </row>
    <row r="239" spans="3:11" ht="15.75" customHeight="1" x14ac:dyDescent="0.2">
      <c r="C239" s="287"/>
      <c r="K239" s="287"/>
    </row>
    <row r="240" spans="3:11" ht="15.75" customHeight="1" x14ac:dyDescent="0.2">
      <c r="C240" s="287"/>
      <c r="K240" s="287"/>
    </row>
    <row r="241" spans="3:11" ht="15.75" customHeight="1" x14ac:dyDescent="0.2">
      <c r="C241" s="287"/>
      <c r="K241" s="287"/>
    </row>
    <row r="242" spans="3:11" ht="15.75" customHeight="1" x14ac:dyDescent="0.2">
      <c r="C242" s="287"/>
      <c r="K242" s="287"/>
    </row>
    <row r="243" spans="3:11" ht="15.75" customHeight="1" x14ac:dyDescent="0.2">
      <c r="C243" s="287"/>
      <c r="K243" s="287"/>
    </row>
    <row r="244" spans="3:11" ht="15.75" customHeight="1" x14ac:dyDescent="0.2">
      <c r="C244" s="287"/>
      <c r="K244" s="287"/>
    </row>
    <row r="245" spans="3:11" ht="15.75" customHeight="1" x14ac:dyDescent="0.2">
      <c r="C245" s="287"/>
      <c r="K245" s="287"/>
    </row>
    <row r="246" spans="3:11" ht="15.75" customHeight="1" x14ac:dyDescent="0.2">
      <c r="C246" s="287"/>
      <c r="K246" s="287"/>
    </row>
    <row r="247" spans="3:11" ht="15.75" customHeight="1" x14ac:dyDescent="0.2">
      <c r="C247" s="287"/>
      <c r="K247" s="287"/>
    </row>
    <row r="248" spans="3:11" ht="15.75" customHeight="1" x14ac:dyDescent="0.2">
      <c r="C248" s="287"/>
      <c r="K248" s="287"/>
    </row>
    <row r="249" spans="3:11" ht="15.75" customHeight="1" x14ac:dyDescent="0.2">
      <c r="C249" s="287"/>
      <c r="K249" s="287"/>
    </row>
    <row r="250" spans="3:11" ht="15.75" customHeight="1" x14ac:dyDescent="0.2">
      <c r="C250" s="287"/>
      <c r="K250" s="287"/>
    </row>
    <row r="251" spans="3:11" ht="15.75" customHeight="1" x14ac:dyDescent="0.2">
      <c r="C251" s="287"/>
      <c r="K251" s="287"/>
    </row>
    <row r="252" spans="3:11" ht="15.75" customHeight="1" x14ac:dyDescent="0.2">
      <c r="C252" s="287"/>
      <c r="K252" s="287"/>
    </row>
    <row r="253" spans="3:11" ht="15.75" customHeight="1" x14ac:dyDescent="0.2">
      <c r="C253" s="287"/>
      <c r="K253" s="287"/>
    </row>
    <row r="254" spans="3:11" ht="15.75" customHeight="1" x14ac:dyDescent="0.2">
      <c r="C254" s="287"/>
      <c r="K254" s="287"/>
    </row>
    <row r="255" spans="3:11" ht="15.75" customHeight="1" x14ac:dyDescent="0.2">
      <c r="C255" s="287"/>
      <c r="K255" s="287"/>
    </row>
    <row r="256" spans="3:11" ht="15.75" customHeight="1" x14ac:dyDescent="0.2">
      <c r="C256" s="287"/>
      <c r="K256" s="287"/>
    </row>
    <row r="257" spans="1:19" ht="15.75" customHeight="1" x14ac:dyDescent="0.2">
      <c r="C257" s="287"/>
      <c r="K257" s="287"/>
    </row>
    <row r="258" spans="1:19" ht="15.75" customHeight="1" x14ac:dyDescent="0.2">
      <c r="C258" s="287"/>
      <c r="K258" s="287"/>
    </row>
    <row r="259" spans="1:19" ht="15.75" customHeight="1" x14ac:dyDescent="0.2">
      <c r="A259" s="3" t="s">
        <v>50</v>
      </c>
      <c r="B259" s="3" t="s">
        <v>51</v>
      </c>
      <c r="C259" s="292"/>
      <c r="D259" s="99" t="s">
        <v>52</v>
      </c>
      <c r="E259" s="100" t="s">
        <v>53</v>
      </c>
      <c r="F259" s="100" t="s">
        <v>54</v>
      </c>
      <c r="G259" s="100" t="s">
        <v>55</v>
      </c>
      <c r="H259" s="24" t="s">
        <v>56</v>
      </c>
      <c r="I259" s="24" t="s">
        <v>57</v>
      </c>
      <c r="J259" s="101" t="s">
        <v>58</v>
      </c>
      <c r="K259" s="292"/>
      <c r="L259" s="3" t="s">
        <v>59</v>
      </c>
      <c r="M259" s="3" t="s">
        <v>60</v>
      </c>
      <c r="N259" s="3" t="s">
        <v>61</v>
      </c>
      <c r="O259" s="3" t="s">
        <v>62</v>
      </c>
      <c r="P259" s="293" t="s">
        <v>541</v>
      </c>
      <c r="Q259" s="293" t="s">
        <v>64</v>
      </c>
      <c r="R259" s="293" t="s">
        <v>65</v>
      </c>
      <c r="S259" s="293" t="s">
        <v>586</v>
      </c>
    </row>
    <row r="260" spans="1:19" ht="15.75" customHeight="1" x14ac:dyDescent="0.25">
      <c r="A260" s="565" t="s">
        <v>652</v>
      </c>
      <c r="B260" s="566"/>
      <c r="C260" s="311"/>
      <c r="D260" s="66"/>
      <c r="E260" s="66"/>
      <c r="F260" s="66"/>
      <c r="G260" s="276"/>
      <c r="H260" s="234"/>
      <c r="K260" s="311"/>
      <c r="L260" s="65"/>
      <c r="M260" s="165"/>
      <c r="N260" s="65"/>
      <c r="O260" s="165"/>
      <c r="P260" s="157"/>
      <c r="Q260" s="157"/>
      <c r="R260" s="275"/>
      <c r="S260" s="275"/>
    </row>
    <row r="261" spans="1:19" ht="15.75" customHeight="1" x14ac:dyDescent="0.25">
      <c r="A261" s="66" t="s">
        <v>653</v>
      </c>
      <c r="B261" s="66" t="s">
        <v>74</v>
      </c>
      <c r="C261" s="295"/>
      <c r="D261" s="160">
        <v>450</v>
      </c>
      <c r="E261" s="160" t="e">
        <f>D261*#REF!</f>
        <v>#REF!</v>
      </c>
      <c r="F261" s="160" t="e">
        <f>D261*#REF!</f>
        <v>#REF!</v>
      </c>
      <c r="G261" s="160" t="e">
        <f>(D261*#REF!)*#REF!</f>
        <v>#REF!</v>
      </c>
      <c r="H261" s="296">
        <f t="shared" ref="H261:H267" si="70">IFERROR(((Q261-G261)/G261),0)</f>
        <v>0</v>
      </c>
      <c r="I261" s="147" t="e">
        <f t="shared" ref="I261:I267" si="71">Q261-G261</f>
        <v>#REF!</v>
      </c>
      <c r="J261" s="97">
        <v>0</v>
      </c>
      <c r="K261" s="295"/>
      <c r="L261" s="20">
        <v>1256</v>
      </c>
      <c r="M261" s="20">
        <v>1307.8399999999999</v>
      </c>
      <c r="N261" s="20">
        <v>1200</v>
      </c>
      <c r="O261" s="20">
        <f>VLOOKUP(A261,TB!A:F,3)</f>
        <v>-205</v>
      </c>
      <c r="P261" s="163">
        <f t="shared" ref="P261:P265" si="72">N261</f>
        <v>1200</v>
      </c>
      <c r="Q261" s="160">
        <v>1500</v>
      </c>
      <c r="R261" s="233">
        <f>VLOOKUP(A261,TB!A:F,6)</f>
        <v>1500</v>
      </c>
      <c r="S261" s="233">
        <f t="shared" ref="S261:S266" si="73">Q261-R261</f>
        <v>0</v>
      </c>
    </row>
    <row r="262" spans="1:19" ht="15.75" customHeight="1" x14ac:dyDescent="0.25">
      <c r="A262" s="66" t="s">
        <v>654</v>
      </c>
      <c r="B262" s="66" t="s">
        <v>82</v>
      </c>
      <c r="C262" s="295"/>
      <c r="D262" s="160">
        <v>886</v>
      </c>
      <c r="E262" s="160" t="e">
        <f>D262*#REF!</f>
        <v>#REF!</v>
      </c>
      <c r="F262" s="160" t="e">
        <f>D262*#REF!</f>
        <v>#REF!</v>
      </c>
      <c r="G262" s="160" t="e">
        <f>(D262*#REF!)*#REF!</f>
        <v>#REF!</v>
      </c>
      <c r="H262" s="296">
        <f t="shared" si="70"/>
        <v>0</v>
      </c>
      <c r="I262" s="147" t="e">
        <f t="shared" si="71"/>
        <v>#REF!</v>
      </c>
      <c r="J262" s="97">
        <v>0</v>
      </c>
      <c r="K262" s="295"/>
      <c r="L262" s="20">
        <v>0</v>
      </c>
      <c r="M262" s="20">
        <v>0</v>
      </c>
      <c r="N262" s="20">
        <v>2000</v>
      </c>
      <c r="O262" s="20">
        <f>VLOOKUP(A262,TB!A:F,3)</f>
        <v>0</v>
      </c>
      <c r="P262" s="163">
        <f t="shared" si="72"/>
        <v>2000</v>
      </c>
      <c r="Q262" s="160">
        <v>0</v>
      </c>
      <c r="R262" s="233">
        <f>VLOOKUP(A262,TB!A:F,6)</f>
        <v>0</v>
      </c>
      <c r="S262" s="233">
        <f t="shared" si="73"/>
        <v>0</v>
      </c>
    </row>
    <row r="263" spans="1:19" ht="15.75" customHeight="1" x14ac:dyDescent="0.25">
      <c r="A263" s="66" t="s">
        <v>655</v>
      </c>
      <c r="B263" s="66" t="s">
        <v>115</v>
      </c>
      <c r="C263" s="295"/>
      <c r="D263" s="160">
        <v>622</v>
      </c>
      <c r="E263" s="160" t="e">
        <f>D263*#REF!</f>
        <v>#REF!</v>
      </c>
      <c r="F263" s="160" t="e">
        <f>D263*#REF!</f>
        <v>#REF!</v>
      </c>
      <c r="G263" s="160" t="e">
        <f>(D263*#REF!)*#REF!</f>
        <v>#REF!</v>
      </c>
      <c r="H263" s="296">
        <f t="shared" si="70"/>
        <v>0</v>
      </c>
      <c r="I263" s="147" t="e">
        <f t="shared" si="71"/>
        <v>#REF!</v>
      </c>
      <c r="J263" s="97">
        <v>0</v>
      </c>
      <c r="K263" s="295"/>
      <c r="L263" s="20">
        <v>2112</v>
      </c>
      <c r="M263" s="20">
        <v>1927.76</v>
      </c>
      <c r="N263" s="20">
        <v>5000</v>
      </c>
      <c r="O263" s="20">
        <f>VLOOKUP(A263,TB!A:F,3)</f>
        <v>0</v>
      </c>
      <c r="P263" s="163">
        <f t="shared" si="72"/>
        <v>5000</v>
      </c>
      <c r="Q263" s="160">
        <v>5000</v>
      </c>
      <c r="R263" s="233">
        <f>VLOOKUP(A263,TB!A:F,6)</f>
        <v>5000</v>
      </c>
      <c r="S263" s="233">
        <f t="shared" si="73"/>
        <v>0</v>
      </c>
    </row>
    <row r="264" spans="1:19" ht="15.75" customHeight="1" x14ac:dyDescent="0.25">
      <c r="A264" s="66" t="s">
        <v>656</v>
      </c>
      <c r="B264" s="66" t="s">
        <v>90</v>
      </c>
      <c r="C264" s="295"/>
      <c r="D264" s="160">
        <v>0</v>
      </c>
      <c r="E264" s="160" t="e">
        <f>D264*#REF!</f>
        <v>#REF!</v>
      </c>
      <c r="F264" s="160" t="e">
        <f>D264*#REF!</f>
        <v>#REF!</v>
      </c>
      <c r="G264" s="160" t="e">
        <f>(D264*#REF!)*#REF!</f>
        <v>#REF!</v>
      </c>
      <c r="H264" s="296">
        <f t="shared" si="70"/>
        <v>0</v>
      </c>
      <c r="I264" s="147" t="e">
        <f t="shared" si="71"/>
        <v>#REF!</v>
      </c>
      <c r="J264" s="97">
        <v>0</v>
      </c>
      <c r="K264" s="295"/>
      <c r="L264" s="20">
        <v>66</v>
      </c>
      <c r="M264" s="20">
        <v>399.01</v>
      </c>
      <c r="N264" s="20">
        <v>1000</v>
      </c>
      <c r="O264" s="20">
        <f>VLOOKUP(A264,TB!A:F,3)</f>
        <v>0</v>
      </c>
      <c r="P264" s="163">
        <f t="shared" si="72"/>
        <v>1000</v>
      </c>
      <c r="Q264" s="160">
        <v>1200</v>
      </c>
      <c r="R264" s="233">
        <f>VLOOKUP(A264,TB!A:F,6)</f>
        <v>1200</v>
      </c>
      <c r="S264" s="233">
        <f t="shared" si="73"/>
        <v>0</v>
      </c>
    </row>
    <row r="265" spans="1:19" ht="15.75" customHeight="1" x14ac:dyDescent="0.25">
      <c r="A265" s="66" t="s">
        <v>657</v>
      </c>
      <c r="B265" s="66" t="s">
        <v>502</v>
      </c>
      <c r="C265" s="295"/>
      <c r="D265" s="160">
        <v>697</v>
      </c>
      <c r="E265" s="160" t="e">
        <f>D265*#REF!</f>
        <v>#REF!</v>
      </c>
      <c r="F265" s="160" t="e">
        <f>D265*#REF!</f>
        <v>#REF!</v>
      </c>
      <c r="G265" s="160" t="e">
        <f>(D265*#REF!)*#REF!</f>
        <v>#REF!</v>
      </c>
      <c r="H265" s="296">
        <f t="shared" si="70"/>
        <v>0</v>
      </c>
      <c r="I265" s="147" t="e">
        <f t="shared" si="71"/>
        <v>#REF!</v>
      </c>
      <c r="J265" s="97">
        <v>0</v>
      </c>
      <c r="K265" s="295"/>
      <c r="L265" s="20">
        <v>4894</v>
      </c>
      <c r="M265" s="20">
        <v>1157.04</v>
      </c>
      <c r="N265" s="20">
        <v>4500</v>
      </c>
      <c r="O265" s="20">
        <f>VLOOKUP(A265,TB!A:F,3)</f>
        <v>964</v>
      </c>
      <c r="P265" s="163">
        <f t="shared" si="72"/>
        <v>4500</v>
      </c>
      <c r="Q265" s="160">
        <v>4500</v>
      </c>
      <c r="R265" s="233">
        <f>VLOOKUP(A265,TB!A:F,6)</f>
        <v>4500</v>
      </c>
      <c r="S265" s="233">
        <f t="shared" si="73"/>
        <v>0</v>
      </c>
    </row>
    <row r="266" spans="1:19" ht="15.75" customHeight="1" x14ac:dyDescent="0.25">
      <c r="A266" s="66" t="s">
        <v>658</v>
      </c>
      <c r="B266" s="66" t="s">
        <v>659</v>
      </c>
      <c r="C266" s="295"/>
      <c r="D266" s="160">
        <v>11902</v>
      </c>
      <c r="E266" s="160" t="e">
        <f>D266*#REF!</f>
        <v>#REF!</v>
      </c>
      <c r="F266" s="160" t="e">
        <f>D266*#REF!</f>
        <v>#REF!</v>
      </c>
      <c r="G266" s="160" t="e">
        <f>(D266*#REF!)*#REF!</f>
        <v>#REF!</v>
      </c>
      <c r="H266" s="296">
        <f t="shared" si="70"/>
        <v>0</v>
      </c>
      <c r="I266" s="147" t="e">
        <f t="shared" si="71"/>
        <v>#REF!</v>
      </c>
      <c r="J266" s="97">
        <v>0</v>
      </c>
      <c r="K266" s="295"/>
      <c r="L266" s="20">
        <v>13528</v>
      </c>
      <c r="M266" s="20">
        <v>13857.9</v>
      </c>
      <c r="N266" s="20">
        <v>18000</v>
      </c>
      <c r="O266" s="20">
        <f>VLOOKUP(A266,TB!A:F,3)</f>
        <v>15158.23</v>
      </c>
      <c r="P266" s="160">
        <f>M266/9*12</f>
        <v>18477.2</v>
      </c>
      <c r="Q266" s="160">
        <v>18000</v>
      </c>
      <c r="R266" s="233">
        <f>VLOOKUP(A266,TB!A:F,6)</f>
        <v>18000</v>
      </c>
      <c r="S266" s="233">
        <f t="shared" si="73"/>
        <v>0</v>
      </c>
    </row>
    <row r="267" spans="1:19" ht="15.75" customHeight="1" x14ac:dyDescent="0.25">
      <c r="A267" s="74" t="s">
        <v>660</v>
      </c>
      <c r="B267" s="75"/>
      <c r="C267" s="299"/>
      <c r="D267" s="189">
        <f t="shared" ref="D267:G267" si="74">SUM(D261:D266)</f>
        <v>14557</v>
      </c>
      <c r="E267" s="189" t="e">
        <f t="shared" si="74"/>
        <v>#REF!</v>
      </c>
      <c r="F267" s="189" t="e">
        <f t="shared" si="74"/>
        <v>#REF!</v>
      </c>
      <c r="G267" s="189" t="e">
        <f t="shared" si="74"/>
        <v>#REF!</v>
      </c>
      <c r="H267" s="300">
        <f t="shared" si="70"/>
        <v>0</v>
      </c>
      <c r="I267" s="189" t="e">
        <f t="shared" si="71"/>
        <v>#REF!</v>
      </c>
      <c r="J267" s="301">
        <f>SUM(J261:J266)</f>
        <v>0</v>
      </c>
      <c r="K267" s="299"/>
      <c r="L267" s="77">
        <f t="shared" ref="L267:S267" si="75">SUM(L261:L266)</f>
        <v>21856</v>
      </c>
      <c r="M267" s="77">
        <f t="shared" si="75"/>
        <v>18649.55</v>
      </c>
      <c r="N267" s="77">
        <f t="shared" si="75"/>
        <v>31700</v>
      </c>
      <c r="O267" s="77">
        <f t="shared" si="75"/>
        <v>15917.23</v>
      </c>
      <c r="P267" s="189">
        <f t="shared" si="75"/>
        <v>32177.200000000001</v>
      </c>
      <c r="Q267" s="189">
        <f t="shared" si="75"/>
        <v>30200</v>
      </c>
      <c r="R267" s="77">
        <f t="shared" si="75"/>
        <v>30200</v>
      </c>
      <c r="S267" s="77">
        <f t="shared" si="75"/>
        <v>0</v>
      </c>
    </row>
    <row r="268" spans="1:19" ht="15.75" customHeight="1" x14ac:dyDescent="0.2">
      <c r="C268" s="287"/>
      <c r="K268" s="287"/>
      <c r="R268" s="83"/>
      <c r="S268" s="83"/>
    </row>
    <row r="269" spans="1:19" ht="15.75" customHeight="1" x14ac:dyDescent="0.2">
      <c r="A269" s="69" t="s">
        <v>184</v>
      </c>
      <c r="C269" s="287"/>
      <c r="K269" s="287"/>
      <c r="R269" s="83"/>
      <c r="S269" s="83"/>
    </row>
    <row r="270" spans="1:19" ht="15.75" customHeight="1" x14ac:dyDescent="0.25">
      <c r="A270" s="51" t="s">
        <v>661</v>
      </c>
      <c r="B270" s="51" t="s">
        <v>662</v>
      </c>
      <c r="C270" s="307"/>
      <c r="D270" s="147">
        <v>-37359</v>
      </c>
      <c r="E270" s="160" t="e">
        <f>D270*#REF!</f>
        <v>#REF!</v>
      </c>
      <c r="F270" s="160" t="e">
        <f>D270*#REF!</f>
        <v>#REF!</v>
      </c>
      <c r="G270" s="160" t="e">
        <f>(D270*#REF!)*#REF!</f>
        <v>#REF!</v>
      </c>
      <c r="H270" s="296">
        <f t="shared" ref="H270:H271" si="76">IFERROR(((Q270-G270)/G270),0)</f>
        <v>0</v>
      </c>
      <c r="I270" s="147" t="e">
        <f t="shared" ref="I270:I271" si="77">Q270-G270</f>
        <v>#REF!</v>
      </c>
      <c r="J270" s="97">
        <v>0</v>
      </c>
      <c r="K270" s="307"/>
      <c r="L270" s="54">
        <v>-31064</v>
      </c>
      <c r="M270" s="54">
        <v>-30552.76</v>
      </c>
      <c r="N270" s="54">
        <v>-18000</v>
      </c>
      <c r="O270" s="20">
        <f>VLOOKUP(A270,TB!A:F,3)</f>
        <v>-32673.89</v>
      </c>
      <c r="P270" s="54">
        <f>O270</f>
        <v>-32673.89</v>
      </c>
      <c r="Q270" s="54">
        <v>-18000</v>
      </c>
      <c r="R270" s="233">
        <f>VLOOKUP(A270,TB!A:F,6)</f>
        <v>-18000</v>
      </c>
      <c r="S270" s="233">
        <f>Q270-R270</f>
        <v>0</v>
      </c>
    </row>
    <row r="271" spans="1:19" ht="15.75" customHeight="1" x14ac:dyDescent="0.2">
      <c r="A271" s="239" t="s">
        <v>189</v>
      </c>
      <c r="B271" s="75"/>
      <c r="C271" s="299"/>
      <c r="D271" s="189">
        <f t="shared" ref="D271:G271" si="78">SUM(D270)</f>
        <v>-37359</v>
      </c>
      <c r="E271" s="189" t="e">
        <f t="shared" si="78"/>
        <v>#REF!</v>
      </c>
      <c r="F271" s="189" t="e">
        <f t="shared" si="78"/>
        <v>#REF!</v>
      </c>
      <c r="G271" s="189" t="e">
        <f t="shared" si="78"/>
        <v>#REF!</v>
      </c>
      <c r="H271" s="300">
        <f t="shared" si="76"/>
        <v>0</v>
      </c>
      <c r="I271" s="189" t="e">
        <f t="shared" si="77"/>
        <v>#REF!</v>
      </c>
      <c r="J271" s="189">
        <f>SUM(J270)</f>
        <v>0</v>
      </c>
      <c r="K271" s="299"/>
      <c r="L271" s="77">
        <f t="shared" ref="L271:S271" si="79">SUM(L270)</f>
        <v>-31064</v>
      </c>
      <c r="M271" s="77">
        <f t="shared" si="79"/>
        <v>-30552.76</v>
      </c>
      <c r="N271" s="77">
        <f t="shared" si="79"/>
        <v>-18000</v>
      </c>
      <c r="O271" s="77">
        <f t="shared" si="79"/>
        <v>-32673.89</v>
      </c>
      <c r="P271" s="189">
        <f t="shared" si="79"/>
        <v>-32673.89</v>
      </c>
      <c r="Q271" s="189">
        <f t="shared" si="79"/>
        <v>-18000</v>
      </c>
      <c r="R271" s="77">
        <f t="shared" si="79"/>
        <v>-18000</v>
      </c>
      <c r="S271" s="77">
        <f t="shared" si="79"/>
        <v>0</v>
      </c>
    </row>
    <row r="272" spans="1:19" ht="15.75" customHeight="1" x14ac:dyDescent="0.2">
      <c r="C272" s="287"/>
      <c r="K272" s="287"/>
      <c r="R272" s="83"/>
      <c r="S272" s="83"/>
    </row>
    <row r="273" spans="1:30" ht="15.75" customHeight="1" x14ac:dyDescent="0.2">
      <c r="A273" s="69" t="s">
        <v>190</v>
      </c>
      <c r="B273" s="51"/>
      <c r="C273" s="309"/>
      <c r="D273" s="193">
        <f t="shared" ref="D273:G273" si="80">D267+D271</f>
        <v>-22802</v>
      </c>
      <c r="E273" s="193" t="e">
        <f t="shared" si="80"/>
        <v>#REF!</v>
      </c>
      <c r="F273" s="193" t="e">
        <f t="shared" si="80"/>
        <v>#REF!</v>
      </c>
      <c r="G273" s="193" t="e">
        <f t="shared" si="80"/>
        <v>#REF!</v>
      </c>
      <c r="H273" s="310">
        <f>IFERROR(((Q273-G273)/G273),0)</f>
        <v>0</v>
      </c>
      <c r="I273" s="193" t="e">
        <f>Q273-G273</f>
        <v>#REF!</v>
      </c>
      <c r="J273" s="193">
        <v>0</v>
      </c>
      <c r="K273" s="309"/>
      <c r="L273" s="245">
        <f t="shared" ref="L273:S273" si="81">L267+L271</f>
        <v>-9208</v>
      </c>
      <c r="M273" s="245">
        <f t="shared" si="81"/>
        <v>-11903.21</v>
      </c>
      <c r="N273" s="245">
        <f t="shared" si="81"/>
        <v>13700</v>
      </c>
      <c r="O273" s="245">
        <f t="shared" si="81"/>
        <v>-16756.66</v>
      </c>
      <c r="P273" s="193">
        <f t="shared" si="81"/>
        <v>-496.68999999999869</v>
      </c>
      <c r="Q273" s="193">
        <f t="shared" si="81"/>
        <v>12200</v>
      </c>
      <c r="R273" s="245">
        <f t="shared" si="81"/>
        <v>12200</v>
      </c>
      <c r="S273" s="245">
        <f t="shared" si="81"/>
        <v>0</v>
      </c>
      <c r="W273" s="56"/>
      <c r="X273" s="56"/>
      <c r="Y273" s="56"/>
      <c r="Z273" s="56"/>
      <c r="AA273" s="56"/>
      <c r="AB273" s="56"/>
      <c r="AC273" s="56"/>
      <c r="AD273" s="56"/>
    </row>
    <row r="274" spans="1:30" ht="15.75" customHeight="1" x14ac:dyDescent="0.2">
      <c r="C274" s="287"/>
      <c r="K274" s="287"/>
      <c r="R274" s="83"/>
      <c r="S274" s="83"/>
    </row>
    <row r="275" spans="1:30" ht="15.75" customHeight="1" x14ac:dyDescent="0.2">
      <c r="C275" s="287"/>
      <c r="K275" s="287"/>
    </row>
    <row r="276" spans="1:30" ht="15.75" customHeight="1" x14ac:dyDescent="0.2">
      <c r="C276" s="288"/>
      <c r="K276" s="288"/>
      <c r="L276" s="149" t="str">
        <f t="shared" ref="L276:R276" si="82">L259</f>
        <v>2023 Actual</v>
      </c>
      <c r="M276" s="149" t="str">
        <f t="shared" si="82"/>
        <v>2024 Actual</v>
      </c>
      <c r="N276" s="149" t="str">
        <f t="shared" si="82"/>
        <v>Approved
  2025
 Budget</v>
      </c>
      <c r="O276" s="149" t="str">
        <f t="shared" si="82"/>
        <v>2025 YTD Actual</v>
      </c>
      <c r="P276" s="149" t="str">
        <f t="shared" si="82"/>
        <v>Projected 2025</v>
      </c>
      <c r="Q276" s="149" t="str">
        <f t="shared" si="82"/>
        <v>2026
 Requested
 Budget</v>
      </c>
      <c r="R276" s="269" t="str">
        <f t="shared" si="82"/>
        <v>2026 
Tentative 
Budget</v>
      </c>
    </row>
    <row r="277" spans="1:30" ht="15.75" customHeight="1" x14ac:dyDescent="0.2">
      <c r="C277" s="289"/>
      <c r="K277" s="289"/>
      <c r="L277" s="290">
        <f t="shared" ref="L277:R277" si="83">L273</f>
        <v>-9208</v>
      </c>
      <c r="M277" s="290">
        <f t="shared" si="83"/>
        <v>-11903.21</v>
      </c>
      <c r="N277" s="290">
        <f t="shared" si="83"/>
        <v>13700</v>
      </c>
      <c r="O277" s="290">
        <f t="shared" si="83"/>
        <v>-16756.66</v>
      </c>
      <c r="P277" s="290">
        <f t="shared" si="83"/>
        <v>-496.68999999999869</v>
      </c>
      <c r="Q277" s="290">
        <f t="shared" si="83"/>
        <v>12200</v>
      </c>
      <c r="R277" s="291">
        <f t="shared" si="83"/>
        <v>12200</v>
      </c>
    </row>
    <row r="278" spans="1:30" ht="15.75" customHeight="1" x14ac:dyDescent="0.2">
      <c r="C278" s="287"/>
      <c r="K278" s="287"/>
    </row>
    <row r="279" spans="1:30" ht="15.75" customHeight="1" x14ac:dyDescent="0.2">
      <c r="C279" s="287"/>
      <c r="K279" s="287"/>
    </row>
    <row r="280" spans="1:30" ht="15.75" customHeight="1" x14ac:dyDescent="0.2">
      <c r="C280" s="287"/>
      <c r="K280" s="287"/>
    </row>
    <row r="281" spans="1:30" ht="15.75" customHeight="1" x14ac:dyDescent="0.2">
      <c r="C281" s="287"/>
      <c r="K281" s="287"/>
    </row>
    <row r="282" spans="1:30" ht="15.75" customHeight="1" x14ac:dyDescent="0.2">
      <c r="C282" s="287"/>
      <c r="K282" s="287"/>
    </row>
    <row r="283" spans="1:30" ht="15.75" customHeight="1" x14ac:dyDescent="0.2">
      <c r="C283" s="287"/>
      <c r="K283" s="287"/>
    </row>
    <row r="284" spans="1:30" ht="15.75" customHeight="1" x14ac:dyDescent="0.2">
      <c r="C284" s="287"/>
      <c r="K284" s="287"/>
    </row>
    <row r="285" spans="1:30" ht="15.75" customHeight="1" x14ac:dyDescent="0.2">
      <c r="C285" s="287"/>
      <c r="K285" s="287"/>
    </row>
    <row r="286" spans="1:30" ht="15.75" customHeight="1" x14ac:dyDescent="0.2">
      <c r="C286" s="287"/>
      <c r="K286" s="287"/>
    </row>
    <row r="287" spans="1:30" ht="15.75" customHeight="1" x14ac:dyDescent="0.2">
      <c r="C287" s="287"/>
      <c r="K287" s="287"/>
    </row>
    <row r="288" spans="1:30" ht="15.75" customHeight="1" x14ac:dyDescent="0.2">
      <c r="C288" s="287"/>
      <c r="K288" s="287"/>
    </row>
    <row r="289" spans="3:11" ht="15.75" customHeight="1" x14ac:dyDescent="0.2">
      <c r="C289" s="287"/>
      <c r="K289" s="287"/>
    </row>
    <row r="290" spans="3:11" ht="15.75" customHeight="1" x14ac:dyDescent="0.2">
      <c r="C290" s="287"/>
      <c r="K290" s="287"/>
    </row>
    <row r="291" spans="3:11" ht="15.75" customHeight="1" x14ac:dyDescent="0.2">
      <c r="C291" s="287"/>
      <c r="K291" s="287"/>
    </row>
    <row r="292" spans="3:11" ht="15.75" customHeight="1" x14ac:dyDescent="0.2">
      <c r="C292" s="287"/>
      <c r="K292" s="287"/>
    </row>
    <row r="293" spans="3:11" ht="15.75" customHeight="1" x14ac:dyDescent="0.2">
      <c r="C293" s="287"/>
      <c r="K293" s="287"/>
    </row>
    <row r="294" spans="3:11" ht="15.75" customHeight="1" x14ac:dyDescent="0.2">
      <c r="C294" s="287"/>
      <c r="K294" s="287"/>
    </row>
    <row r="295" spans="3:11" ht="15.75" customHeight="1" x14ac:dyDescent="0.2">
      <c r="C295" s="287"/>
      <c r="K295" s="287"/>
    </row>
    <row r="296" spans="3:11" ht="15.75" customHeight="1" x14ac:dyDescent="0.2">
      <c r="C296" s="287"/>
      <c r="K296" s="287"/>
    </row>
    <row r="297" spans="3:11" ht="15.75" customHeight="1" x14ac:dyDescent="0.2">
      <c r="C297" s="287"/>
      <c r="K297" s="287"/>
    </row>
    <row r="298" spans="3:11" ht="15.75" customHeight="1" x14ac:dyDescent="0.2">
      <c r="C298" s="287"/>
      <c r="K298" s="287"/>
    </row>
    <row r="299" spans="3:11" ht="15.75" customHeight="1" x14ac:dyDescent="0.2">
      <c r="C299" s="287"/>
      <c r="K299" s="287"/>
    </row>
    <row r="300" spans="3:11" ht="15.75" customHeight="1" x14ac:dyDescent="0.2">
      <c r="C300" s="287"/>
      <c r="K300" s="287"/>
    </row>
    <row r="301" spans="3:11" ht="15.75" customHeight="1" x14ac:dyDescent="0.2">
      <c r="C301" s="287"/>
      <c r="K301" s="287"/>
    </row>
    <row r="302" spans="3:11" ht="15.75" customHeight="1" x14ac:dyDescent="0.2">
      <c r="C302" s="287"/>
      <c r="K302" s="287"/>
    </row>
    <row r="303" spans="3:11" ht="15.75" customHeight="1" x14ac:dyDescent="0.2">
      <c r="C303" s="287"/>
      <c r="K303" s="287"/>
    </row>
    <row r="304" spans="3:11" ht="15.75" customHeight="1" x14ac:dyDescent="0.2">
      <c r="C304" s="287"/>
      <c r="K304" s="287"/>
    </row>
    <row r="305" spans="3:11" ht="15.75" customHeight="1" x14ac:dyDescent="0.2">
      <c r="C305" s="287"/>
      <c r="K305" s="287"/>
    </row>
    <row r="306" spans="3:11" ht="15.75" customHeight="1" x14ac:dyDescent="0.2">
      <c r="C306" s="287"/>
      <c r="K306" s="287"/>
    </row>
    <row r="307" spans="3:11" ht="15.75" customHeight="1" x14ac:dyDescent="0.2">
      <c r="C307" s="287"/>
      <c r="K307" s="287"/>
    </row>
    <row r="308" spans="3:11" ht="15.75" customHeight="1" x14ac:dyDescent="0.2">
      <c r="C308" s="287"/>
      <c r="K308" s="287"/>
    </row>
    <row r="309" spans="3:11" ht="15.75" customHeight="1" x14ac:dyDescent="0.2">
      <c r="C309" s="287"/>
      <c r="K309" s="287"/>
    </row>
    <row r="310" spans="3:11" ht="15.75" customHeight="1" x14ac:dyDescent="0.2">
      <c r="C310" s="287"/>
      <c r="K310" s="287"/>
    </row>
    <row r="311" spans="3:11" ht="15.75" customHeight="1" x14ac:dyDescent="0.2">
      <c r="C311" s="287"/>
      <c r="K311" s="287"/>
    </row>
    <row r="312" spans="3:11" ht="15.75" customHeight="1" x14ac:dyDescent="0.2">
      <c r="C312" s="287"/>
      <c r="K312" s="287"/>
    </row>
    <row r="313" spans="3:11" ht="15.75" customHeight="1" x14ac:dyDescent="0.2">
      <c r="C313" s="287"/>
      <c r="K313" s="287"/>
    </row>
    <row r="314" spans="3:11" ht="15.75" customHeight="1" x14ac:dyDescent="0.2">
      <c r="C314" s="287"/>
      <c r="K314" s="287"/>
    </row>
    <row r="315" spans="3:11" ht="15.75" customHeight="1" x14ac:dyDescent="0.2">
      <c r="C315" s="287"/>
      <c r="K315" s="287"/>
    </row>
    <row r="316" spans="3:11" ht="15.75" customHeight="1" x14ac:dyDescent="0.2">
      <c r="C316" s="287"/>
      <c r="K316" s="287"/>
    </row>
    <row r="317" spans="3:11" ht="15.75" customHeight="1" x14ac:dyDescent="0.2">
      <c r="C317" s="287"/>
      <c r="K317" s="287"/>
    </row>
    <row r="318" spans="3:11" ht="15.75" customHeight="1" x14ac:dyDescent="0.2">
      <c r="C318" s="287"/>
      <c r="K318" s="287"/>
    </row>
    <row r="319" spans="3:11" ht="15.75" customHeight="1" x14ac:dyDescent="0.2">
      <c r="C319" s="287"/>
      <c r="K319" s="287"/>
    </row>
    <row r="320" spans="3:11" ht="15.75" customHeight="1" x14ac:dyDescent="0.2">
      <c r="C320" s="287"/>
      <c r="K320" s="287"/>
    </row>
    <row r="321" spans="1:20" ht="15.75" customHeight="1" x14ac:dyDescent="0.2">
      <c r="C321" s="287"/>
      <c r="K321" s="287"/>
    </row>
    <row r="322" spans="1:20" ht="15.75" customHeight="1" x14ac:dyDescent="0.2">
      <c r="C322" s="287"/>
      <c r="K322" s="287"/>
    </row>
    <row r="323" spans="1:20" ht="15.75" customHeight="1" x14ac:dyDescent="0.2">
      <c r="C323" s="287"/>
      <c r="K323" s="287"/>
    </row>
    <row r="324" spans="1:20" ht="15.75" customHeight="1" x14ac:dyDescent="0.2">
      <c r="C324" s="287"/>
      <c r="K324" s="287"/>
    </row>
    <row r="325" spans="1:20" ht="15.75" customHeight="1" x14ac:dyDescent="0.2">
      <c r="C325" s="287"/>
      <c r="K325" s="287"/>
    </row>
    <row r="326" spans="1:20" ht="15.75" customHeight="1" x14ac:dyDescent="0.2">
      <c r="C326" s="287"/>
      <c r="K326" s="287"/>
    </row>
    <row r="327" spans="1:20" ht="15.75" customHeight="1" x14ac:dyDescent="0.2">
      <c r="C327" s="287"/>
      <c r="K327" s="287"/>
    </row>
    <row r="328" spans="1:20" ht="15.75" customHeight="1" x14ac:dyDescent="0.2">
      <c r="A328" s="3" t="s">
        <v>50</v>
      </c>
      <c r="B328" s="3" t="s">
        <v>51</v>
      </c>
      <c r="C328" s="292"/>
      <c r="D328" s="99" t="s">
        <v>52</v>
      </c>
      <c r="E328" s="100" t="s">
        <v>53</v>
      </c>
      <c r="F328" s="100" t="s">
        <v>54</v>
      </c>
      <c r="G328" s="100" t="s">
        <v>55</v>
      </c>
      <c r="H328" s="24" t="s">
        <v>56</v>
      </c>
      <c r="I328" s="24" t="s">
        <v>57</v>
      </c>
      <c r="J328" s="101" t="s">
        <v>58</v>
      </c>
      <c r="K328" s="292"/>
      <c r="L328" s="3" t="s">
        <v>59</v>
      </c>
      <c r="M328" s="3" t="s">
        <v>60</v>
      </c>
      <c r="N328" s="3" t="s">
        <v>61</v>
      </c>
      <c r="O328" s="3" t="s">
        <v>62</v>
      </c>
      <c r="P328" s="293" t="s">
        <v>541</v>
      </c>
      <c r="Q328" s="293" t="s">
        <v>64</v>
      </c>
      <c r="R328" s="293" t="s">
        <v>65</v>
      </c>
      <c r="S328" s="293" t="s">
        <v>586</v>
      </c>
    </row>
    <row r="329" spans="1:20" ht="15.75" customHeight="1" x14ac:dyDescent="0.25">
      <c r="A329" s="565" t="s">
        <v>663</v>
      </c>
      <c r="B329" s="566"/>
      <c r="C329" s="566"/>
      <c r="D329" s="566"/>
      <c r="E329" s="66"/>
      <c r="F329" s="66"/>
      <c r="G329" s="312"/>
      <c r="H329" s="234"/>
      <c r="L329" s="65"/>
      <c r="M329" s="65"/>
      <c r="N329" s="65"/>
      <c r="O329" s="165"/>
      <c r="P329" s="157"/>
      <c r="Q329" s="157"/>
      <c r="R329" s="233"/>
      <c r="S329" s="275"/>
      <c r="T329" s="83"/>
    </row>
    <row r="330" spans="1:20" ht="15.75" customHeight="1" x14ac:dyDescent="0.25">
      <c r="A330" s="66" t="s">
        <v>664</v>
      </c>
      <c r="B330" s="66" t="s">
        <v>68</v>
      </c>
      <c r="C330" s="295"/>
      <c r="D330" s="160">
        <v>3498927</v>
      </c>
      <c r="E330" s="160" t="e">
        <f>D330*#REF!</f>
        <v>#REF!</v>
      </c>
      <c r="F330" s="160" t="e">
        <f>D330*#REF!</f>
        <v>#REF!</v>
      </c>
      <c r="G330" s="160" t="e">
        <f>(D330*#REF!)*#REF!</f>
        <v>#REF!</v>
      </c>
      <c r="H330" s="296">
        <f t="shared" ref="H330:H356" si="84">IFERROR(((Q330-G330)/G330),0)</f>
        <v>0</v>
      </c>
      <c r="I330" s="147" t="e">
        <f t="shared" ref="I330:I356" si="85">Q330-G330</f>
        <v>#REF!</v>
      </c>
      <c r="J330" s="97">
        <v>0</v>
      </c>
      <c r="K330" s="295"/>
      <c r="L330" s="20">
        <v>4394037</v>
      </c>
      <c r="M330" s="20">
        <v>4688561.2300000004</v>
      </c>
      <c r="N330" s="20">
        <v>4899001</v>
      </c>
      <c r="O330" s="20">
        <f>VLOOKUP(A330,TB!A:F,3)</f>
        <v>3644863.85</v>
      </c>
      <c r="P330" s="160">
        <f t="shared" ref="P330:P334" si="86">O330/20*26</f>
        <v>4738323.0049999999</v>
      </c>
      <c r="Q330" s="160">
        <v>5672600</v>
      </c>
      <c r="R330" s="233">
        <f>VLOOKUP(A330,TB!A:F,6)</f>
        <v>5672600</v>
      </c>
      <c r="S330" s="233">
        <f t="shared" ref="S330:S355" si="87">Q330-R330</f>
        <v>0</v>
      </c>
      <c r="T330" s="83"/>
    </row>
    <row r="331" spans="1:20" ht="15.75" customHeight="1" x14ac:dyDescent="0.25">
      <c r="A331" s="66" t="s">
        <v>665</v>
      </c>
      <c r="B331" s="66" t="s">
        <v>70</v>
      </c>
      <c r="C331" s="295"/>
      <c r="D331" s="160">
        <v>88887</v>
      </c>
      <c r="E331" s="160" t="e">
        <f>D331*#REF!</f>
        <v>#REF!</v>
      </c>
      <c r="F331" s="160" t="e">
        <f>D331*#REF!</f>
        <v>#REF!</v>
      </c>
      <c r="G331" s="160" t="e">
        <f>(D331*#REF!)*#REF!</f>
        <v>#REF!</v>
      </c>
      <c r="H331" s="296">
        <f t="shared" si="84"/>
        <v>0</v>
      </c>
      <c r="I331" s="147" t="e">
        <f t="shared" si="85"/>
        <v>#REF!</v>
      </c>
      <c r="J331" s="97">
        <v>0</v>
      </c>
      <c r="K331" s="295"/>
      <c r="L331" s="20">
        <v>332965</v>
      </c>
      <c r="M331" s="20">
        <v>304050.82</v>
      </c>
      <c r="N331" s="20">
        <v>300000</v>
      </c>
      <c r="O331" s="20">
        <f>VLOOKUP(A331,TB!A:F,3)</f>
        <v>123782.65</v>
      </c>
      <c r="P331" s="160">
        <f t="shared" si="86"/>
        <v>160917.44500000001</v>
      </c>
      <c r="Q331" s="160">
        <v>150000</v>
      </c>
      <c r="R331" s="233">
        <f>VLOOKUP(A331,TB!A:F,6)</f>
        <v>150000</v>
      </c>
      <c r="S331" s="233">
        <f t="shared" si="87"/>
        <v>0</v>
      </c>
      <c r="T331" s="83"/>
    </row>
    <row r="332" spans="1:20" ht="15.75" customHeight="1" x14ac:dyDescent="0.25">
      <c r="A332" s="66" t="s">
        <v>666</v>
      </c>
      <c r="B332" s="66" t="s">
        <v>132</v>
      </c>
      <c r="C332" s="295"/>
      <c r="D332" s="160">
        <v>21796</v>
      </c>
      <c r="E332" s="160" t="e">
        <f>D332*#REF!</f>
        <v>#REF!</v>
      </c>
      <c r="F332" s="160" t="e">
        <f>D332*#REF!</f>
        <v>#REF!</v>
      </c>
      <c r="G332" s="160" t="e">
        <f>(D332*#REF!)*#REF!</f>
        <v>#REF!</v>
      </c>
      <c r="H332" s="296">
        <f t="shared" si="84"/>
        <v>0</v>
      </c>
      <c r="I332" s="147" t="e">
        <f t="shared" si="85"/>
        <v>#REF!</v>
      </c>
      <c r="J332" s="97">
        <v>0</v>
      </c>
      <c r="K332" s="295"/>
      <c r="L332" s="20">
        <v>74791</v>
      </c>
      <c r="M332" s="20">
        <v>7522.6</v>
      </c>
      <c r="N332" s="20">
        <v>0</v>
      </c>
      <c r="O332" s="20">
        <f>VLOOKUP(A332,TB!A:F,3)</f>
        <v>0</v>
      </c>
      <c r="P332" s="160">
        <f t="shared" si="86"/>
        <v>0</v>
      </c>
      <c r="Q332" s="160">
        <v>0</v>
      </c>
      <c r="R332" s="233">
        <f>VLOOKUP(A332,TB!A:F,6)</f>
        <v>0</v>
      </c>
      <c r="S332" s="233">
        <f t="shared" si="87"/>
        <v>0</v>
      </c>
      <c r="T332" s="83"/>
    </row>
    <row r="333" spans="1:20" ht="15.75" customHeight="1" x14ac:dyDescent="0.25">
      <c r="A333" s="66" t="s">
        <v>667</v>
      </c>
      <c r="B333" s="66" t="s">
        <v>72</v>
      </c>
      <c r="C333" s="295"/>
      <c r="D333" s="160">
        <v>2263505</v>
      </c>
      <c r="E333" s="160" t="e">
        <f>D333*#REF!</f>
        <v>#REF!</v>
      </c>
      <c r="F333" s="160" t="e">
        <f>D333*#REF!</f>
        <v>#REF!</v>
      </c>
      <c r="G333" s="160" t="e">
        <f>(D333*#REF!)*#REF!</f>
        <v>#REF!</v>
      </c>
      <c r="H333" s="296">
        <f t="shared" si="84"/>
        <v>0</v>
      </c>
      <c r="I333" s="147" t="e">
        <f t="shared" si="85"/>
        <v>#REF!</v>
      </c>
      <c r="J333" s="97">
        <v>0</v>
      </c>
      <c r="K333" s="295"/>
      <c r="L333" s="20">
        <v>2748193</v>
      </c>
      <c r="M333" s="20">
        <v>2926856.82</v>
      </c>
      <c r="N333" s="20">
        <v>3628142</v>
      </c>
      <c r="O333" s="20">
        <f>VLOOKUP(A333,TB!A:F,3)</f>
        <v>2209623.5299999998</v>
      </c>
      <c r="P333" s="160">
        <f t="shared" si="86"/>
        <v>2872510.5889999997</v>
      </c>
      <c r="Q333" s="160">
        <v>3450500</v>
      </c>
      <c r="R333" s="233">
        <f>VLOOKUP(A333,TB!A:F,6)</f>
        <v>3450500</v>
      </c>
      <c r="S333" s="233">
        <f t="shared" si="87"/>
        <v>0</v>
      </c>
      <c r="T333" s="83"/>
    </row>
    <row r="334" spans="1:20" ht="15.75" customHeight="1" x14ac:dyDescent="0.25">
      <c r="A334" s="66" t="s">
        <v>668</v>
      </c>
      <c r="B334" s="66" t="s">
        <v>451</v>
      </c>
      <c r="C334" s="295"/>
      <c r="D334" s="160">
        <v>10747</v>
      </c>
      <c r="E334" s="160" t="e">
        <f>D334*#REF!</f>
        <v>#REF!</v>
      </c>
      <c r="F334" s="160" t="e">
        <f>D334*#REF!</f>
        <v>#REF!</v>
      </c>
      <c r="G334" s="160" t="e">
        <f>(D334*#REF!)*#REF!</f>
        <v>#REF!</v>
      </c>
      <c r="H334" s="296">
        <f t="shared" si="84"/>
        <v>0</v>
      </c>
      <c r="I334" s="147" t="e">
        <f t="shared" si="85"/>
        <v>#REF!</v>
      </c>
      <c r="J334" s="97">
        <v>0</v>
      </c>
      <c r="K334" s="295"/>
      <c r="L334" s="20">
        <v>22550</v>
      </c>
      <c r="M334" s="20">
        <v>35325.06</v>
      </c>
      <c r="N334" s="20">
        <v>16000</v>
      </c>
      <c r="O334" s="20">
        <f>VLOOKUP(A334,TB!A:F,3)</f>
        <v>21031.32</v>
      </c>
      <c r="P334" s="160">
        <f t="shared" si="86"/>
        <v>27340.716</v>
      </c>
      <c r="Q334" s="160">
        <v>28000</v>
      </c>
      <c r="R334" s="233">
        <f>VLOOKUP(A334,TB!A:F,6)</f>
        <v>28000</v>
      </c>
      <c r="S334" s="233">
        <f t="shared" si="87"/>
        <v>0</v>
      </c>
      <c r="T334" s="83"/>
    </row>
    <row r="335" spans="1:20" ht="15.75" customHeight="1" x14ac:dyDescent="0.25">
      <c r="A335" s="66" t="s">
        <v>669</v>
      </c>
      <c r="B335" s="66" t="s">
        <v>670</v>
      </c>
      <c r="C335" s="295"/>
      <c r="D335" s="160">
        <v>282088</v>
      </c>
      <c r="E335" s="160" t="e">
        <f>D335*#REF!</f>
        <v>#REF!</v>
      </c>
      <c r="F335" s="160" t="e">
        <f>D335*#REF!</f>
        <v>#REF!</v>
      </c>
      <c r="G335" s="160" t="e">
        <f>(D335*#REF!)*#REF!</f>
        <v>#REF!</v>
      </c>
      <c r="H335" s="296">
        <f t="shared" si="84"/>
        <v>0</v>
      </c>
      <c r="I335" s="147" t="e">
        <f t="shared" si="85"/>
        <v>#REF!</v>
      </c>
      <c r="J335" s="97">
        <v>0</v>
      </c>
      <c r="K335" s="295"/>
      <c r="L335" s="20">
        <v>288637</v>
      </c>
      <c r="M335" s="20">
        <v>263560.34999999998</v>
      </c>
      <c r="N335" s="20">
        <v>268900</v>
      </c>
      <c r="O335" s="20">
        <f>VLOOKUP(A335,TB!A:F,3)</f>
        <v>185075.11</v>
      </c>
      <c r="P335" s="163">
        <f>N335</f>
        <v>268900</v>
      </c>
      <c r="Q335" s="160">
        <v>259400</v>
      </c>
      <c r="R335" s="233">
        <f>VLOOKUP(A335,TB!A:F,6)</f>
        <v>259400</v>
      </c>
      <c r="S335" s="233">
        <f t="shared" si="87"/>
        <v>0</v>
      </c>
      <c r="T335" s="83"/>
    </row>
    <row r="336" spans="1:20" ht="15.75" customHeight="1" x14ac:dyDescent="0.25">
      <c r="A336" s="66" t="s">
        <v>671</v>
      </c>
      <c r="B336" s="66" t="s">
        <v>74</v>
      </c>
      <c r="C336" s="295"/>
      <c r="D336" s="160">
        <v>5255</v>
      </c>
      <c r="E336" s="160" t="e">
        <f>D336*#REF!</f>
        <v>#REF!</v>
      </c>
      <c r="F336" s="160" t="e">
        <f>D336*#REF!</f>
        <v>#REF!</v>
      </c>
      <c r="G336" s="160" t="e">
        <f>(D336*#REF!)*#REF!</f>
        <v>#REF!</v>
      </c>
      <c r="H336" s="296">
        <f t="shared" si="84"/>
        <v>0</v>
      </c>
      <c r="I336" s="147" t="e">
        <f t="shared" si="85"/>
        <v>#REF!</v>
      </c>
      <c r="J336" s="97">
        <v>0</v>
      </c>
      <c r="K336" s="295"/>
      <c r="L336" s="20">
        <v>425</v>
      </c>
      <c r="M336" s="20">
        <v>0</v>
      </c>
      <c r="N336" s="20">
        <v>0</v>
      </c>
      <c r="O336" s="20">
        <f>VLOOKUP(A336,TB!A:F,3)</f>
        <v>0</v>
      </c>
      <c r="P336" s="160">
        <f t="shared" ref="P336:P337" si="88">O336/9*12</f>
        <v>0</v>
      </c>
      <c r="Q336" s="160">
        <v>0</v>
      </c>
      <c r="R336" s="233">
        <f>VLOOKUP(A336,TB!A:F,6)</f>
        <v>0</v>
      </c>
      <c r="S336" s="233">
        <f t="shared" si="87"/>
        <v>0</v>
      </c>
      <c r="T336" s="83"/>
    </row>
    <row r="337" spans="1:20" ht="15.75" customHeight="1" x14ac:dyDescent="0.25">
      <c r="A337" s="66" t="s">
        <v>672</v>
      </c>
      <c r="B337" s="66" t="s">
        <v>76</v>
      </c>
      <c r="C337" s="295"/>
      <c r="D337" s="160">
        <v>24165</v>
      </c>
      <c r="E337" s="160" t="e">
        <f>D337*#REF!</f>
        <v>#REF!</v>
      </c>
      <c r="F337" s="160" t="e">
        <f>D337*#REF!</f>
        <v>#REF!</v>
      </c>
      <c r="G337" s="160" t="e">
        <f>(D337*#REF!)*#REF!</f>
        <v>#REF!</v>
      </c>
      <c r="H337" s="296">
        <f t="shared" si="84"/>
        <v>0</v>
      </c>
      <c r="I337" s="147" t="e">
        <f t="shared" si="85"/>
        <v>#REF!</v>
      </c>
      <c r="J337" s="97">
        <v>0</v>
      </c>
      <c r="K337" s="295"/>
      <c r="L337" s="20">
        <v>40174</v>
      </c>
      <c r="M337" s="20">
        <v>33281.89</v>
      </c>
      <c r="N337" s="20">
        <v>30000</v>
      </c>
      <c r="O337" s="20">
        <f>VLOOKUP(A337,TB!A:F,3)</f>
        <v>27084.23</v>
      </c>
      <c r="P337" s="160">
        <f t="shared" si="88"/>
        <v>36112.306666666671</v>
      </c>
      <c r="Q337" s="160">
        <v>30000</v>
      </c>
      <c r="R337" s="233">
        <f>VLOOKUP(A337,TB!A:F,6)</f>
        <v>30000</v>
      </c>
      <c r="S337" s="233">
        <f t="shared" si="87"/>
        <v>0</v>
      </c>
      <c r="T337" s="83"/>
    </row>
    <row r="338" spans="1:20" ht="15.75" customHeight="1" x14ac:dyDescent="0.25">
      <c r="A338" s="66" t="s">
        <v>673</v>
      </c>
      <c r="B338" s="66" t="s">
        <v>674</v>
      </c>
      <c r="C338" s="295"/>
      <c r="D338" s="160">
        <v>-37</v>
      </c>
      <c r="E338" s="160" t="e">
        <f>D338*#REF!</f>
        <v>#REF!</v>
      </c>
      <c r="F338" s="160" t="e">
        <f>D338*#REF!</f>
        <v>#REF!</v>
      </c>
      <c r="G338" s="160" t="e">
        <f>(D338*#REF!)*#REF!</f>
        <v>#REF!</v>
      </c>
      <c r="H338" s="296">
        <f t="shared" si="84"/>
        <v>0</v>
      </c>
      <c r="I338" s="147" t="e">
        <f t="shared" si="85"/>
        <v>#REF!</v>
      </c>
      <c r="J338" s="97">
        <v>0</v>
      </c>
      <c r="K338" s="295"/>
      <c r="L338" s="20">
        <v>-733</v>
      </c>
      <c r="M338" s="20">
        <v>2861.26</v>
      </c>
      <c r="N338" s="20">
        <v>4100</v>
      </c>
      <c r="O338" s="20">
        <f>VLOOKUP(A338,TB!A:F,3)</f>
        <v>-440.59</v>
      </c>
      <c r="P338" s="163">
        <f>N338</f>
        <v>4100</v>
      </c>
      <c r="Q338" s="160">
        <v>4100</v>
      </c>
      <c r="R338" s="233">
        <f>VLOOKUP(A338,TB!A:F,6)</f>
        <v>4100</v>
      </c>
      <c r="S338" s="233">
        <f t="shared" si="87"/>
        <v>0</v>
      </c>
      <c r="T338" s="83"/>
    </row>
    <row r="339" spans="1:20" ht="15.75" customHeight="1" x14ac:dyDescent="0.25">
      <c r="A339" s="66" t="s">
        <v>675</v>
      </c>
      <c r="B339" s="66" t="s">
        <v>80</v>
      </c>
      <c r="C339" s="295"/>
      <c r="D339" s="160">
        <v>23503</v>
      </c>
      <c r="E339" s="160" t="e">
        <f>D339*#REF!</f>
        <v>#REF!</v>
      </c>
      <c r="F339" s="160" t="e">
        <f>D339*#REF!</f>
        <v>#REF!</v>
      </c>
      <c r="G339" s="160" t="e">
        <f>(D339*#REF!)*#REF!</f>
        <v>#REF!</v>
      </c>
      <c r="H339" s="296">
        <f t="shared" si="84"/>
        <v>0</v>
      </c>
      <c r="I339" s="147" t="e">
        <f t="shared" si="85"/>
        <v>#REF!</v>
      </c>
      <c r="J339" s="97">
        <v>0</v>
      </c>
      <c r="K339" s="295"/>
      <c r="L339" s="20">
        <v>36477</v>
      </c>
      <c r="M339" s="20">
        <v>591.96</v>
      </c>
      <c r="N339" s="20">
        <v>0</v>
      </c>
      <c r="O339" s="20">
        <f>VLOOKUP(A339,TB!A:F,3)</f>
        <v>8.69</v>
      </c>
      <c r="P339" s="160">
        <f t="shared" ref="P339:P340" si="89">O339/9*12</f>
        <v>11.586666666666666</v>
      </c>
      <c r="Q339" s="160">
        <v>0</v>
      </c>
      <c r="R339" s="233">
        <f>VLOOKUP(A339,TB!A:F,6)</f>
        <v>0</v>
      </c>
      <c r="S339" s="233">
        <f t="shared" si="87"/>
        <v>0</v>
      </c>
      <c r="T339" s="83"/>
    </row>
    <row r="340" spans="1:20" ht="15.75" customHeight="1" x14ac:dyDescent="0.25">
      <c r="A340" s="66" t="s">
        <v>676</v>
      </c>
      <c r="B340" s="66" t="s">
        <v>82</v>
      </c>
      <c r="C340" s="295"/>
      <c r="D340" s="160">
        <v>24750</v>
      </c>
      <c r="E340" s="160" t="e">
        <f>D340*#REF!</f>
        <v>#REF!</v>
      </c>
      <c r="F340" s="160" t="e">
        <f>D340*#REF!</f>
        <v>#REF!</v>
      </c>
      <c r="G340" s="160" t="e">
        <f>(D340*#REF!)*#REF!</f>
        <v>#REF!</v>
      </c>
      <c r="H340" s="296">
        <f t="shared" si="84"/>
        <v>0</v>
      </c>
      <c r="I340" s="147" t="e">
        <f t="shared" si="85"/>
        <v>#REF!</v>
      </c>
      <c r="J340" s="97">
        <v>0</v>
      </c>
      <c r="K340" s="295"/>
      <c r="L340" s="20">
        <v>26769</v>
      </c>
      <c r="M340" s="20">
        <v>777.9</v>
      </c>
      <c r="N340" s="20">
        <v>0</v>
      </c>
      <c r="O340" s="20">
        <f>VLOOKUP(A340,TB!A:F,3)</f>
        <v>0</v>
      </c>
      <c r="P340" s="160">
        <f t="shared" si="89"/>
        <v>0</v>
      </c>
      <c r="Q340" s="160">
        <v>0</v>
      </c>
      <c r="R340" s="233">
        <f>VLOOKUP(A340,TB!A:F,6)</f>
        <v>0</v>
      </c>
      <c r="S340" s="233">
        <f t="shared" si="87"/>
        <v>0</v>
      </c>
      <c r="T340" s="83"/>
    </row>
    <row r="341" spans="1:20" ht="15.75" customHeight="1" x14ac:dyDescent="0.25">
      <c r="A341" s="66" t="s">
        <v>677</v>
      </c>
      <c r="B341" s="66" t="s">
        <v>115</v>
      </c>
      <c r="C341" s="295"/>
      <c r="D341" s="160">
        <v>29524</v>
      </c>
      <c r="E341" s="160" t="e">
        <f>D341*#REF!</f>
        <v>#REF!</v>
      </c>
      <c r="F341" s="160" t="e">
        <f>D341*#REF!</f>
        <v>#REF!</v>
      </c>
      <c r="G341" s="160" t="e">
        <f>(D341*#REF!)*#REF!</f>
        <v>#REF!</v>
      </c>
      <c r="H341" s="296">
        <f t="shared" si="84"/>
        <v>0</v>
      </c>
      <c r="I341" s="147" t="e">
        <f t="shared" si="85"/>
        <v>#REF!</v>
      </c>
      <c r="J341" s="97">
        <v>0</v>
      </c>
      <c r="K341" s="295"/>
      <c r="L341" s="20">
        <v>42880</v>
      </c>
      <c r="M341" s="20">
        <v>33869.050000000003</v>
      </c>
      <c r="N341" s="20">
        <v>50000</v>
      </c>
      <c r="O341" s="20">
        <f>VLOOKUP(A341,TB!A:F,3)</f>
        <v>21055.02</v>
      </c>
      <c r="P341" s="163">
        <f t="shared" ref="P341:P342" si="90">N341</f>
        <v>50000</v>
      </c>
      <c r="Q341" s="160">
        <v>38500</v>
      </c>
      <c r="R341" s="233">
        <f>VLOOKUP(A341,TB!A:F,6)</f>
        <v>38500</v>
      </c>
      <c r="S341" s="233">
        <f t="shared" si="87"/>
        <v>0</v>
      </c>
      <c r="T341" s="83"/>
    </row>
    <row r="342" spans="1:20" ht="15.75" customHeight="1" x14ac:dyDescent="0.25">
      <c r="A342" s="66" t="s">
        <v>678</v>
      </c>
      <c r="B342" s="66" t="s">
        <v>679</v>
      </c>
      <c r="C342" s="295"/>
      <c r="D342" s="160">
        <v>2811</v>
      </c>
      <c r="E342" s="160" t="e">
        <f>D342*#REF!</f>
        <v>#REF!</v>
      </c>
      <c r="F342" s="160" t="e">
        <f>D342*#REF!</f>
        <v>#REF!</v>
      </c>
      <c r="G342" s="160" t="e">
        <f>(D342*#REF!)*#REF!</f>
        <v>#REF!</v>
      </c>
      <c r="H342" s="296">
        <f t="shared" si="84"/>
        <v>0</v>
      </c>
      <c r="I342" s="147" t="e">
        <f t="shared" si="85"/>
        <v>#REF!</v>
      </c>
      <c r="J342" s="97">
        <v>0</v>
      </c>
      <c r="K342" s="295"/>
      <c r="L342" s="20">
        <v>1570</v>
      </c>
      <c r="M342" s="20">
        <v>9230.81</v>
      </c>
      <c r="N342" s="20">
        <v>5400</v>
      </c>
      <c r="O342" s="20">
        <f>VLOOKUP(A342,TB!A:F,3)</f>
        <v>748.49</v>
      </c>
      <c r="P342" s="163">
        <f t="shared" si="90"/>
        <v>5400</v>
      </c>
      <c r="Q342" s="160">
        <v>5400</v>
      </c>
      <c r="R342" s="233">
        <f>VLOOKUP(A342,TB!A:F,6)</f>
        <v>5400</v>
      </c>
      <c r="S342" s="233">
        <f t="shared" si="87"/>
        <v>0</v>
      </c>
      <c r="T342" s="83"/>
    </row>
    <row r="343" spans="1:20" ht="15.75" customHeight="1" x14ac:dyDescent="0.25">
      <c r="A343" s="66" t="s">
        <v>680</v>
      </c>
      <c r="B343" s="66" t="s">
        <v>277</v>
      </c>
      <c r="C343" s="295"/>
      <c r="D343" s="160">
        <v>0</v>
      </c>
      <c r="E343" s="160" t="e">
        <f>D343*#REF!</f>
        <v>#REF!</v>
      </c>
      <c r="F343" s="160" t="e">
        <f>D343*#REF!</f>
        <v>#REF!</v>
      </c>
      <c r="G343" s="160" t="e">
        <f>(D343*#REF!)*#REF!</f>
        <v>#REF!</v>
      </c>
      <c r="H343" s="296">
        <f t="shared" si="84"/>
        <v>0</v>
      </c>
      <c r="I343" s="147" t="e">
        <f t="shared" si="85"/>
        <v>#REF!</v>
      </c>
      <c r="J343" s="97">
        <v>0</v>
      </c>
      <c r="K343" s="295"/>
      <c r="L343" s="20">
        <v>16755</v>
      </c>
      <c r="M343" s="20">
        <v>0</v>
      </c>
      <c r="N343" s="20">
        <v>0</v>
      </c>
      <c r="O343" s="20">
        <f>VLOOKUP(A343,TB!A:F,3)</f>
        <v>0</v>
      </c>
      <c r="P343" s="160">
        <f t="shared" ref="P343:P345" si="91">O343/9*12</f>
        <v>0</v>
      </c>
      <c r="Q343" s="160">
        <v>0</v>
      </c>
      <c r="R343" s="233">
        <f>VLOOKUP(A343,TB!A:F,6)</f>
        <v>0</v>
      </c>
      <c r="S343" s="233">
        <f t="shared" si="87"/>
        <v>0</v>
      </c>
      <c r="T343" s="83"/>
    </row>
    <row r="344" spans="1:20" ht="15.75" customHeight="1" x14ac:dyDescent="0.25">
      <c r="A344" s="66" t="s">
        <v>681</v>
      </c>
      <c r="B344" s="66" t="s">
        <v>84</v>
      </c>
      <c r="C344" s="295"/>
      <c r="D344" s="160">
        <v>197</v>
      </c>
      <c r="E344" s="160" t="e">
        <f>D344*#REF!</f>
        <v>#REF!</v>
      </c>
      <c r="F344" s="160" t="e">
        <f>D344*#REF!</f>
        <v>#REF!</v>
      </c>
      <c r="G344" s="160" t="e">
        <f>(D344*#REF!)*#REF!</f>
        <v>#REF!</v>
      </c>
      <c r="H344" s="296">
        <f t="shared" si="84"/>
        <v>0</v>
      </c>
      <c r="I344" s="147" t="e">
        <f t="shared" si="85"/>
        <v>#REF!</v>
      </c>
      <c r="J344" s="97">
        <v>0</v>
      </c>
      <c r="K344" s="295"/>
      <c r="L344" s="20">
        <v>1635</v>
      </c>
      <c r="M344" s="20">
        <v>0</v>
      </c>
      <c r="N344" s="20">
        <v>0</v>
      </c>
      <c r="O344" s="20">
        <f>VLOOKUP(A344,TB!A:F,3)</f>
        <v>492.82</v>
      </c>
      <c r="P344" s="160">
        <f t="shared" si="91"/>
        <v>657.09333333333325</v>
      </c>
      <c r="Q344" s="160">
        <v>0</v>
      </c>
      <c r="R344" s="233">
        <f>VLOOKUP(A344,TB!A:F,6)</f>
        <v>0</v>
      </c>
      <c r="S344" s="233">
        <f t="shared" si="87"/>
        <v>0</v>
      </c>
      <c r="T344" s="83"/>
    </row>
    <row r="345" spans="1:20" ht="15.75" customHeight="1" x14ac:dyDescent="0.25">
      <c r="A345" s="66" t="s">
        <v>682</v>
      </c>
      <c r="B345" s="66" t="s">
        <v>210</v>
      </c>
      <c r="C345" s="295"/>
      <c r="D345" s="160">
        <v>20205</v>
      </c>
      <c r="E345" s="160" t="e">
        <f>D345*#REF!</f>
        <v>#REF!</v>
      </c>
      <c r="F345" s="160" t="e">
        <f>D345*#REF!</f>
        <v>#REF!</v>
      </c>
      <c r="G345" s="160" t="e">
        <f>(D345*#REF!)*#REF!</f>
        <v>#REF!</v>
      </c>
      <c r="H345" s="296">
        <f t="shared" si="84"/>
        <v>0</v>
      </c>
      <c r="I345" s="147" t="e">
        <f t="shared" si="85"/>
        <v>#REF!</v>
      </c>
      <c r="J345" s="97">
        <v>0</v>
      </c>
      <c r="K345" s="295"/>
      <c r="L345" s="20">
        <v>22170</v>
      </c>
      <c r="M345" s="20">
        <v>0</v>
      </c>
      <c r="N345" s="20">
        <v>0</v>
      </c>
      <c r="O345" s="20">
        <f>VLOOKUP(A345,TB!A:F,3)</f>
        <v>0</v>
      </c>
      <c r="P345" s="160">
        <f t="shared" si="91"/>
        <v>0</v>
      </c>
      <c r="Q345" s="160">
        <v>0</v>
      </c>
      <c r="R345" s="233">
        <f>VLOOKUP(A345,TB!A:F,6)</f>
        <v>0</v>
      </c>
      <c r="S345" s="233">
        <f t="shared" si="87"/>
        <v>0</v>
      </c>
      <c r="T345" s="83"/>
    </row>
    <row r="346" spans="1:20" ht="15.75" customHeight="1" x14ac:dyDescent="0.25">
      <c r="A346" s="66" t="s">
        <v>683</v>
      </c>
      <c r="B346" s="66" t="s">
        <v>86</v>
      </c>
      <c r="C346" s="295"/>
      <c r="D346" s="160">
        <v>1121905</v>
      </c>
      <c r="E346" s="160" t="e">
        <f>D346*#REF!</f>
        <v>#REF!</v>
      </c>
      <c r="F346" s="160" t="e">
        <f>D346*#REF!</f>
        <v>#REF!</v>
      </c>
      <c r="G346" s="160" t="e">
        <f>(D346*#REF!)*#REF!</f>
        <v>#REF!</v>
      </c>
      <c r="H346" s="296">
        <f t="shared" si="84"/>
        <v>0</v>
      </c>
      <c r="I346" s="147" t="e">
        <f t="shared" si="85"/>
        <v>#REF!</v>
      </c>
      <c r="J346" s="97">
        <v>0</v>
      </c>
      <c r="K346" s="295"/>
      <c r="L346" s="20">
        <v>1401521</v>
      </c>
      <c r="M346" s="20">
        <v>0</v>
      </c>
      <c r="N346" s="20">
        <v>1552645</v>
      </c>
      <c r="O346" s="20">
        <f>VLOOKUP(A346,TB!A:F,3)</f>
        <v>1237637.5</v>
      </c>
      <c r="P346" s="160">
        <f>N346</f>
        <v>1552645</v>
      </c>
      <c r="Q346" s="160">
        <v>1601224</v>
      </c>
      <c r="R346" s="233">
        <f>VLOOKUP(A346,TB!A:F,6)</f>
        <v>1601224</v>
      </c>
      <c r="S346" s="233">
        <f t="shared" si="87"/>
        <v>0</v>
      </c>
      <c r="T346" s="83"/>
    </row>
    <row r="347" spans="1:20" ht="15.75" customHeight="1" x14ac:dyDescent="0.25">
      <c r="A347" s="66" t="s">
        <v>684</v>
      </c>
      <c r="B347" s="66" t="s">
        <v>88</v>
      </c>
      <c r="C347" s="295"/>
      <c r="D347" s="160">
        <v>0</v>
      </c>
      <c r="E347" s="160" t="e">
        <f>D347*#REF!</f>
        <v>#REF!</v>
      </c>
      <c r="F347" s="160" t="e">
        <f>D347*#REF!</f>
        <v>#REF!</v>
      </c>
      <c r="G347" s="160" t="e">
        <f>(D347*#REF!)*#REF!</f>
        <v>#REF!</v>
      </c>
      <c r="H347" s="296">
        <f t="shared" si="84"/>
        <v>0</v>
      </c>
      <c r="I347" s="147" t="e">
        <f t="shared" si="85"/>
        <v>#REF!</v>
      </c>
      <c r="J347" s="97">
        <v>0</v>
      </c>
      <c r="K347" s="295"/>
      <c r="L347" s="20">
        <v>1459</v>
      </c>
      <c r="M347" s="20">
        <v>16052.6</v>
      </c>
      <c r="N347" s="20">
        <v>0</v>
      </c>
      <c r="O347" s="20">
        <f>VLOOKUP(A347,TB!A:F,3)</f>
        <v>0</v>
      </c>
      <c r="P347" s="160">
        <f>O347/9*12</f>
        <v>0</v>
      </c>
      <c r="Q347" s="160">
        <v>0</v>
      </c>
      <c r="R347" s="233">
        <f>VLOOKUP(A347,TB!A:F,6)</f>
        <v>0</v>
      </c>
      <c r="S347" s="233">
        <f t="shared" si="87"/>
        <v>0</v>
      </c>
      <c r="T347" s="83"/>
    </row>
    <row r="348" spans="1:20" ht="15.75" customHeight="1" x14ac:dyDescent="0.25">
      <c r="A348" s="66" t="s">
        <v>685</v>
      </c>
      <c r="B348" s="66" t="s">
        <v>686</v>
      </c>
      <c r="C348" s="295"/>
      <c r="D348" s="160">
        <v>189000</v>
      </c>
      <c r="E348" s="160" t="e">
        <f>D348*#REF!</f>
        <v>#REF!</v>
      </c>
      <c r="F348" s="160" t="e">
        <f>D348*#REF!</f>
        <v>#REF!</v>
      </c>
      <c r="G348" s="160" t="e">
        <f>(D348*#REF!)*#REF!</f>
        <v>#REF!</v>
      </c>
      <c r="H348" s="296">
        <f t="shared" si="84"/>
        <v>0</v>
      </c>
      <c r="I348" s="147" t="e">
        <f t="shared" si="85"/>
        <v>#REF!</v>
      </c>
      <c r="J348" s="97">
        <v>0</v>
      </c>
      <c r="K348" s="295"/>
      <c r="L348" s="20">
        <v>236316</v>
      </c>
      <c r="M348" s="20">
        <v>280616.76</v>
      </c>
      <c r="N348" s="20">
        <v>241000</v>
      </c>
      <c r="O348" s="20">
        <f>VLOOKUP(A348,TB!A:F,3)</f>
        <v>160305.60000000001</v>
      </c>
      <c r="P348" s="163">
        <f t="shared" ref="P348:P350" si="92">N348</f>
        <v>241000</v>
      </c>
      <c r="Q348" s="160">
        <v>250040</v>
      </c>
      <c r="R348" s="233">
        <f>VLOOKUP(A348,TB!A:F,6)</f>
        <v>250040</v>
      </c>
      <c r="S348" s="233">
        <f t="shared" si="87"/>
        <v>0</v>
      </c>
      <c r="T348" s="83"/>
    </row>
    <row r="349" spans="1:20" ht="15.75" customHeight="1" x14ac:dyDescent="0.25">
      <c r="A349" s="66" t="s">
        <v>687</v>
      </c>
      <c r="B349" s="66" t="s">
        <v>688</v>
      </c>
      <c r="C349" s="295"/>
      <c r="D349" s="160">
        <v>24769</v>
      </c>
      <c r="E349" s="160" t="e">
        <f>D349*#REF!</f>
        <v>#REF!</v>
      </c>
      <c r="F349" s="160" t="e">
        <f>D349*#REF!</f>
        <v>#REF!</v>
      </c>
      <c r="G349" s="160" t="e">
        <f>(D349*#REF!)*#REF!</f>
        <v>#REF!</v>
      </c>
      <c r="H349" s="296">
        <f t="shared" si="84"/>
        <v>0</v>
      </c>
      <c r="I349" s="147" t="e">
        <f t="shared" si="85"/>
        <v>#REF!</v>
      </c>
      <c r="J349" s="97">
        <v>0</v>
      </c>
      <c r="K349" s="295"/>
      <c r="L349" s="20">
        <v>12996</v>
      </c>
      <c r="M349" s="20">
        <v>35609.14</v>
      </c>
      <c r="N349" s="20">
        <v>36100</v>
      </c>
      <c r="O349" s="20">
        <f>VLOOKUP(A349,TB!A:F,3)</f>
        <v>11277.05</v>
      </c>
      <c r="P349" s="163">
        <f t="shared" si="92"/>
        <v>36100</v>
      </c>
      <c r="Q349" s="160">
        <v>36100</v>
      </c>
      <c r="R349" s="233">
        <f>VLOOKUP(A349,TB!A:F,6)</f>
        <v>36100</v>
      </c>
      <c r="S349" s="233">
        <f t="shared" si="87"/>
        <v>0</v>
      </c>
      <c r="T349" s="83"/>
    </row>
    <row r="350" spans="1:20" ht="15.75" customHeight="1" x14ac:dyDescent="0.25">
      <c r="A350" s="66" t="s">
        <v>689</v>
      </c>
      <c r="B350" s="66" t="s">
        <v>90</v>
      </c>
      <c r="C350" s="295"/>
      <c r="D350" s="160">
        <v>30452</v>
      </c>
      <c r="E350" s="160" t="e">
        <f>D350*#REF!</f>
        <v>#REF!</v>
      </c>
      <c r="F350" s="160" t="e">
        <f>D350*#REF!</f>
        <v>#REF!</v>
      </c>
      <c r="G350" s="160" t="e">
        <f>(D350*#REF!)*#REF!</f>
        <v>#REF!</v>
      </c>
      <c r="H350" s="296">
        <f t="shared" si="84"/>
        <v>0</v>
      </c>
      <c r="I350" s="147" t="e">
        <f t="shared" si="85"/>
        <v>#REF!</v>
      </c>
      <c r="J350" s="97">
        <v>0</v>
      </c>
      <c r="K350" s="295"/>
      <c r="L350" s="20">
        <v>24620</v>
      </c>
      <c r="M350" s="20">
        <v>29249.18</v>
      </c>
      <c r="N350" s="20">
        <v>45000</v>
      </c>
      <c r="O350" s="20">
        <f>VLOOKUP(A350,TB!A:F,3)</f>
        <v>13921.06</v>
      </c>
      <c r="P350" s="163">
        <f t="shared" si="92"/>
        <v>45000</v>
      </c>
      <c r="Q350" s="160">
        <v>25000</v>
      </c>
      <c r="R350" s="233">
        <f>VLOOKUP(A350,TB!A:F,6)</f>
        <v>25000</v>
      </c>
      <c r="S350" s="233">
        <f t="shared" si="87"/>
        <v>0</v>
      </c>
      <c r="T350" s="83"/>
    </row>
    <row r="351" spans="1:20" ht="15.75" customHeight="1" x14ac:dyDescent="0.25">
      <c r="A351" s="66" t="s">
        <v>690</v>
      </c>
      <c r="B351" s="66" t="s">
        <v>606</v>
      </c>
      <c r="C351" s="295"/>
      <c r="D351" s="160">
        <v>6949</v>
      </c>
      <c r="E351" s="160" t="e">
        <f>D351*#REF!</f>
        <v>#REF!</v>
      </c>
      <c r="F351" s="160" t="e">
        <f>D351*#REF!</f>
        <v>#REF!</v>
      </c>
      <c r="G351" s="160" t="e">
        <f>(D351*#REF!)*#REF!</f>
        <v>#REF!</v>
      </c>
      <c r="H351" s="296">
        <f t="shared" si="84"/>
        <v>0</v>
      </c>
      <c r="I351" s="147" t="e">
        <f t="shared" si="85"/>
        <v>#REF!</v>
      </c>
      <c r="J351" s="97">
        <v>0</v>
      </c>
      <c r="K351" s="295"/>
      <c r="L351" s="20">
        <v>2852</v>
      </c>
      <c r="M351" s="20">
        <v>5212</v>
      </c>
      <c r="N351" s="20">
        <v>8300</v>
      </c>
      <c r="O351" s="20">
        <f>VLOOKUP(A351,TB!A:F,3)</f>
        <v>10418.41</v>
      </c>
      <c r="P351" s="160">
        <f>O351/9*12</f>
        <v>13891.213333333333</v>
      </c>
      <c r="Q351" s="160">
        <v>0</v>
      </c>
      <c r="R351" s="233">
        <f>VLOOKUP(A351,TB!A:F,6)</f>
        <v>0</v>
      </c>
      <c r="S351" s="233">
        <f t="shared" si="87"/>
        <v>0</v>
      </c>
      <c r="T351" s="83"/>
    </row>
    <row r="352" spans="1:20" ht="15.75" customHeight="1" x14ac:dyDescent="0.25">
      <c r="A352" s="66" t="s">
        <v>691</v>
      </c>
      <c r="B352" s="66" t="s">
        <v>608</v>
      </c>
      <c r="C352" s="295"/>
      <c r="D352" s="160">
        <v>378683</v>
      </c>
      <c r="E352" s="160" t="e">
        <f>D352*#REF!</f>
        <v>#REF!</v>
      </c>
      <c r="F352" s="160" t="e">
        <f>D352*#REF!</f>
        <v>#REF!</v>
      </c>
      <c r="G352" s="160" t="e">
        <f>(D352*#REF!)*#REF!</f>
        <v>#REF!</v>
      </c>
      <c r="H352" s="296">
        <f t="shared" si="84"/>
        <v>0</v>
      </c>
      <c r="I352" s="147" t="e">
        <f t="shared" si="85"/>
        <v>#REF!</v>
      </c>
      <c r="J352" s="97">
        <v>0</v>
      </c>
      <c r="K352" s="295"/>
      <c r="L352" s="20">
        <v>464268</v>
      </c>
      <c r="M352" s="20">
        <v>9910.99</v>
      </c>
      <c r="N352" s="20">
        <v>496460</v>
      </c>
      <c r="O352" s="20">
        <f>VLOOKUP(A352,TB!A:F,3)</f>
        <v>387408.2</v>
      </c>
      <c r="P352" s="163">
        <f t="shared" ref="P352:P353" si="93">N352</f>
        <v>496460</v>
      </c>
      <c r="Q352" s="160">
        <v>511354</v>
      </c>
      <c r="R352" s="233">
        <f>VLOOKUP(A352,TB!A:F,6)</f>
        <v>511354</v>
      </c>
      <c r="S352" s="233">
        <f t="shared" si="87"/>
        <v>0</v>
      </c>
      <c r="T352" s="83"/>
    </row>
    <row r="353" spans="1:20" ht="15.75" customHeight="1" x14ac:dyDescent="0.25">
      <c r="A353" s="66" t="s">
        <v>692</v>
      </c>
      <c r="B353" s="66" t="s">
        <v>693</v>
      </c>
      <c r="C353" s="295"/>
      <c r="D353" s="160">
        <v>9514</v>
      </c>
      <c r="E353" s="160" t="e">
        <f>D353*#REF!</f>
        <v>#REF!</v>
      </c>
      <c r="F353" s="160" t="e">
        <f>D353*#REF!</f>
        <v>#REF!</v>
      </c>
      <c r="G353" s="160" t="e">
        <f>(D353*#REF!)*#REF!</f>
        <v>#REF!</v>
      </c>
      <c r="H353" s="296">
        <f t="shared" si="84"/>
        <v>0</v>
      </c>
      <c r="I353" s="147" t="e">
        <f t="shared" si="85"/>
        <v>#REF!</v>
      </c>
      <c r="J353" s="97">
        <v>0</v>
      </c>
      <c r="K353" s="295"/>
      <c r="L353" s="20">
        <v>8316</v>
      </c>
      <c r="M353" s="20">
        <v>17599.740000000002</v>
      </c>
      <c r="N353" s="20">
        <v>10900</v>
      </c>
      <c r="O353" s="20">
        <f>VLOOKUP(A353,TB!A:F,3)</f>
        <v>4018.73</v>
      </c>
      <c r="P353" s="163">
        <f t="shared" si="93"/>
        <v>10900</v>
      </c>
      <c r="Q353" s="160">
        <v>10000</v>
      </c>
      <c r="R353" s="233">
        <f>VLOOKUP(A353,TB!A:F,6)</f>
        <v>10000</v>
      </c>
      <c r="S353" s="233">
        <f t="shared" si="87"/>
        <v>0</v>
      </c>
      <c r="T353" s="83"/>
    </row>
    <row r="354" spans="1:20" ht="15.75" customHeight="1" x14ac:dyDescent="0.25">
      <c r="A354" s="66" t="s">
        <v>694</v>
      </c>
      <c r="B354" s="66" t="s">
        <v>502</v>
      </c>
      <c r="C354" s="295"/>
      <c r="D354" s="160">
        <v>59397</v>
      </c>
      <c r="E354" s="160" t="e">
        <f>D354*#REF!</f>
        <v>#REF!</v>
      </c>
      <c r="F354" s="160" t="e">
        <f>D354*#REF!</f>
        <v>#REF!</v>
      </c>
      <c r="G354" s="160" t="e">
        <f>(D354*#REF!)*#REF!</f>
        <v>#REF!</v>
      </c>
      <c r="H354" s="296">
        <f t="shared" si="84"/>
        <v>0</v>
      </c>
      <c r="I354" s="147" t="e">
        <f t="shared" si="85"/>
        <v>#REF!</v>
      </c>
      <c r="J354" s="97">
        <v>0</v>
      </c>
      <c r="K354" s="295"/>
      <c r="L354" s="20">
        <v>57980</v>
      </c>
      <c r="M354" s="20">
        <v>2507.64</v>
      </c>
      <c r="N354" s="20">
        <v>0</v>
      </c>
      <c r="O354" s="20">
        <f>VLOOKUP(A354,TB!A:F,3)</f>
        <v>642</v>
      </c>
      <c r="P354" s="160">
        <f t="shared" ref="P354:P355" si="94">O354/9*12</f>
        <v>856</v>
      </c>
      <c r="Q354" s="160">
        <v>5000</v>
      </c>
      <c r="R354" s="233">
        <f>VLOOKUP(A354,TB!A:F,6)</f>
        <v>5000</v>
      </c>
      <c r="S354" s="233">
        <f t="shared" si="87"/>
        <v>0</v>
      </c>
      <c r="T354" s="83"/>
    </row>
    <row r="355" spans="1:20" ht="15.75" customHeight="1" x14ac:dyDescent="0.25">
      <c r="A355" s="66" t="s">
        <v>695</v>
      </c>
      <c r="B355" s="66" t="s">
        <v>92</v>
      </c>
      <c r="C355" s="295"/>
      <c r="D355" s="160">
        <v>0</v>
      </c>
      <c r="E355" s="160" t="e">
        <f>D355*#REF!</f>
        <v>#REF!</v>
      </c>
      <c r="F355" s="160" t="e">
        <f>D355*#REF!</f>
        <v>#REF!</v>
      </c>
      <c r="G355" s="160" t="e">
        <f>(D355*#REF!)*#REF!</f>
        <v>#REF!</v>
      </c>
      <c r="H355" s="296">
        <f t="shared" si="84"/>
        <v>0</v>
      </c>
      <c r="I355" s="147" t="e">
        <f t="shared" si="85"/>
        <v>#REF!</v>
      </c>
      <c r="J355" s="97">
        <v>0</v>
      </c>
      <c r="K355" s="295"/>
      <c r="L355" s="20">
        <v>53326</v>
      </c>
      <c r="M355" s="20">
        <v>0</v>
      </c>
      <c r="N355" s="20">
        <v>0</v>
      </c>
      <c r="O355" s="20">
        <f>VLOOKUP(A355,TB!A:F,3)</f>
        <v>0</v>
      </c>
      <c r="P355" s="160">
        <f t="shared" si="94"/>
        <v>0</v>
      </c>
      <c r="Q355" s="160">
        <v>0</v>
      </c>
      <c r="R355" s="233">
        <f>VLOOKUP(A355,TB!A:F,6)</f>
        <v>0</v>
      </c>
      <c r="S355" s="233">
        <f t="shared" si="87"/>
        <v>0</v>
      </c>
      <c r="T355" s="83"/>
    </row>
    <row r="356" spans="1:20" ht="15.75" customHeight="1" x14ac:dyDescent="0.25">
      <c r="A356" s="74" t="s">
        <v>696</v>
      </c>
      <c r="B356" s="75"/>
      <c r="C356" s="299"/>
      <c r="D356" s="189">
        <f t="shared" ref="D356:G356" si="95">SUM(D330:D355)</f>
        <v>8116992</v>
      </c>
      <c r="E356" s="189" t="e">
        <f t="shared" si="95"/>
        <v>#REF!</v>
      </c>
      <c r="F356" s="189" t="e">
        <f t="shared" si="95"/>
        <v>#REF!</v>
      </c>
      <c r="G356" s="189" t="e">
        <f t="shared" si="95"/>
        <v>#REF!</v>
      </c>
      <c r="H356" s="300">
        <f t="shared" si="84"/>
        <v>0</v>
      </c>
      <c r="I356" s="189" t="e">
        <f t="shared" si="85"/>
        <v>#REF!</v>
      </c>
      <c r="J356" s="301">
        <f>SUM(J330:J355)</f>
        <v>0</v>
      </c>
      <c r="K356" s="299"/>
      <c r="L356" s="77">
        <f t="shared" ref="L356:S356" si="96">SUM(L330:L355)</f>
        <v>10312949</v>
      </c>
      <c r="M356" s="77">
        <f t="shared" si="96"/>
        <v>8703247.8000000007</v>
      </c>
      <c r="N356" s="77">
        <f t="shared" si="96"/>
        <v>11591948</v>
      </c>
      <c r="O356" s="77">
        <f t="shared" si="96"/>
        <v>8058953.6700000009</v>
      </c>
      <c r="P356" s="189">
        <f t="shared" si="96"/>
        <v>10561124.955</v>
      </c>
      <c r="Q356" s="189">
        <f t="shared" si="96"/>
        <v>12077218</v>
      </c>
      <c r="R356" s="77">
        <f t="shared" si="96"/>
        <v>12077218</v>
      </c>
      <c r="S356" s="77">
        <f t="shared" si="96"/>
        <v>0</v>
      </c>
      <c r="T356" s="83"/>
    </row>
    <row r="357" spans="1:20" ht="15.75" customHeight="1" x14ac:dyDescent="0.2">
      <c r="C357" s="287"/>
      <c r="K357" s="287"/>
      <c r="L357" s="54"/>
      <c r="M357" s="54"/>
      <c r="N357" s="54"/>
      <c r="O357" s="54"/>
      <c r="P357" s="54"/>
      <c r="Q357" s="54"/>
      <c r="R357" s="83"/>
      <c r="S357" s="83"/>
      <c r="T357" s="83"/>
    </row>
    <row r="358" spans="1:20" ht="15.75" customHeight="1" x14ac:dyDescent="0.25">
      <c r="A358" s="165" t="s">
        <v>697</v>
      </c>
      <c r="B358" s="165" t="s">
        <v>180</v>
      </c>
      <c r="C358" s="297"/>
      <c r="D358" s="298">
        <v>0</v>
      </c>
      <c r="E358" s="160" t="e">
        <f>D358*#REF!</f>
        <v>#REF!</v>
      </c>
      <c r="F358" s="160" t="e">
        <f>D358*#REF!</f>
        <v>#REF!</v>
      </c>
      <c r="G358" s="160" t="e">
        <f>(D358*#REF!)*#REF!</f>
        <v>#REF!</v>
      </c>
      <c r="H358" s="296">
        <f t="shared" ref="H358:H360" si="97">IFERROR(((Q358-G358)/G358),0)</f>
        <v>0</v>
      </c>
      <c r="I358" s="147" t="e">
        <f t="shared" ref="I358:I360" si="98">Q358-G358</f>
        <v>#REF!</v>
      </c>
      <c r="J358" s="97">
        <v>0</v>
      </c>
      <c r="K358" s="297"/>
      <c r="L358" s="20">
        <v>220405</v>
      </c>
      <c r="M358" s="20">
        <v>0</v>
      </c>
      <c r="N358" s="20">
        <v>0</v>
      </c>
      <c r="O358" s="20">
        <f>VLOOKUP(A358,TB!A:F,3)</f>
        <v>0</v>
      </c>
      <c r="P358" s="160">
        <f t="shared" ref="P358:P359" si="99">N358</f>
        <v>0</v>
      </c>
      <c r="Q358" s="160">
        <v>0</v>
      </c>
      <c r="R358" s="233">
        <f>VLOOKUP(A358,TB!A:F,6)</f>
        <v>0</v>
      </c>
      <c r="S358" s="233">
        <f t="shared" ref="S358:S359" si="100">Q358-R358</f>
        <v>0</v>
      </c>
      <c r="T358" s="83"/>
    </row>
    <row r="359" spans="1:20" ht="15.75" customHeight="1" x14ac:dyDescent="0.25">
      <c r="A359" s="66" t="s">
        <v>698</v>
      </c>
      <c r="B359" s="66" t="s">
        <v>99</v>
      </c>
      <c r="C359" s="295"/>
      <c r="D359" s="160">
        <v>55677</v>
      </c>
      <c r="E359" s="160" t="e">
        <f>D359*#REF!</f>
        <v>#REF!</v>
      </c>
      <c r="F359" s="160" t="e">
        <f>D359*#REF!</f>
        <v>#REF!</v>
      </c>
      <c r="G359" s="160" t="e">
        <f>(D359*#REF!)*#REF!</f>
        <v>#REF!</v>
      </c>
      <c r="H359" s="296">
        <f t="shared" si="97"/>
        <v>0</v>
      </c>
      <c r="I359" s="147" t="e">
        <f t="shared" si="98"/>
        <v>#REF!</v>
      </c>
      <c r="J359" s="97">
        <v>0</v>
      </c>
      <c r="K359" s="295"/>
      <c r="L359" s="20">
        <v>41819</v>
      </c>
      <c r="M359" s="20">
        <v>16668</v>
      </c>
      <c r="N359" s="20">
        <v>9700</v>
      </c>
      <c r="O359" s="20">
        <f>VLOOKUP(A359,TB!A:F,3)</f>
        <v>0</v>
      </c>
      <c r="P359" s="163">
        <f t="shared" si="99"/>
        <v>9700</v>
      </c>
      <c r="Q359" s="160">
        <v>0</v>
      </c>
      <c r="R359" s="233">
        <f>VLOOKUP(A359,TB!A:F,6)</f>
        <v>0</v>
      </c>
      <c r="S359" s="233">
        <f t="shared" si="100"/>
        <v>0</v>
      </c>
      <c r="T359" s="83"/>
    </row>
    <row r="360" spans="1:20" ht="15.75" customHeight="1" x14ac:dyDescent="0.25">
      <c r="A360" s="74" t="s">
        <v>696</v>
      </c>
      <c r="B360" s="75"/>
      <c r="C360" s="299"/>
      <c r="D360" s="189">
        <f t="shared" ref="D360:G360" si="101">SUM(D358:D359)</f>
        <v>55677</v>
      </c>
      <c r="E360" s="189" t="e">
        <f t="shared" si="101"/>
        <v>#REF!</v>
      </c>
      <c r="F360" s="189" t="e">
        <f t="shared" si="101"/>
        <v>#REF!</v>
      </c>
      <c r="G360" s="189" t="e">
        <f t="shared" si="101"/>
        <v>#REF!</v>
      </c>
      <c r="H360" s="300">
        <f t="shared" si="97"/>
        <v>0</v>
      </c>
      <c r="I360" s="189" t="e">
        <f t="shared" si="98"/>
        <v>#REF!</v>
      </c>
      <c r="J360" s="301">
        <f>SUM(J358:J359)</f>
        <v>0</v>
      </c>
      <c r="K360" s="299"/>
      <c r="L360" s="77">
        <f t="shared" ref="L360:S360" si="102">SUM(L358:L359)</f>
        <v>262224</v>
      </c>
      <c r="M360" s="77">
        <f t="shared" si="102"/>
        <v>16668</v>
      </c>
      <c r="N360" s="77">
        <f t="shared" si="102"/>
        <v>9700</v>
      </c>
      <c r="O360" s="77">
        <f t="shared" si="102"/>
        <v>0</v>
      </c>
      <c r="P360" s="189">
        <f t="shared" si="102"/>
        <v>9700</v>
      </c>
      <c r="Q360" s="189">
        <f t="shared" si="102"/>
        <v>0</v>
      </c>
      <c r="R360" s="77">
        <f t="shared" si="102"/>
        <v>0</v>
      </c>
      <c r="S360" s="77">
        <f t="shared" si="102"/>
        <v>0</v>
      </c>
      <c r="T360" s="83"/>
    </row>
    <row r="361" spans="1:20" ht="15.75" customHeight="1" x14ac:dyDescent="0.2">
      <c r="C361" s="287"/>
      <c r="K361" s="287"/>
      <c r="L361" s="54"/>
      <c r="M361" s="54"/>
      <c r="N361" s="54"/>
      <c r="O361" s="54"/>
      <c r="P361" s="54"/>
      <c r="Q361" s="54"/>
      <c r="R361" s="83"/>
      <c r="S361" s="83"/>
      <c r="T361" s="83"/>
    </row>
    <row r="362" spans="1:20" ht="15.75" customHeight="1" x14ac:dyDescent="0.25">
      <c r="A362" s="74" t="s">
        <v>699</v>
      </c>
      <c r="B362" s="305"/>
      <c r="C362" s="306"/>
      <c r="D362" s="189">
        <f t="shared" ref="D362:G362" si="103">D356+D360</f>
        <v>8172669</v>
      </c>
      <c r="E362" s="189" t="e">
        <f t="shared" si="103"/>
        <v>#REF!</v>
      </c>
      <c r="F362" s="189" t="e">
        <f t="shared" si="103"/>
        <v>#REF!</v>
      </c>
      <c r="G362" s="189" t="e">
        <f t="shared" si="103"/>
        <v>#REF!</v>
      </c>
      <c r="H362" s="300">
        <f>IFERROR(((Q362-G362)/G362),0)</f>
        <v>0</v>
      </c>
      <c r="I362" s="189" t="e">
        <f>Q362-G362</f>
        <v>#REF!</v>
      </c>
      <c r="J362" s="301">
        <v>0</v>
      </c>
      <c r="K362" s="306"/>
      <c r="L362" s="77">
        <f t="shared" ref="L362:S362" si="104">L356+L360</f>
        <v>10575173</v>
      </c>
      <c r="M362" s="77">
        <f t="shared" si="104"/>
        <v>8719915.8000000007</v>
      </c>
      <c r="N362" s="77">
        <f t="shared" si="104"/>
        <v>11601648</v>
      </c>
      <c r="O362" s="77">
        <f t="shared" si="104"/>
        <v>8058953.6700000009</v>
      </c>
      <c r="P362" s="189">
        <f t="shared" si="104"/>
        <v>10570824.955</v>
      </c>
      <c r="Q362" s="189">
        <f t="shared" si="104"/>
        <v>12077218</v>
      </c>
      <c r="R362" s="77">
        <f t="shared" si="104"/>
        <v>12077218</v>
      </c>
      <c r="S362" s="77">
        <f t="shared" si="104"/>
        <v>0</v>
      </c>
      <c r="T362" s="83"/>
    </row>
    <row r="363" spans="1:20" ht="15.75" customHeight="1" x14ac:dyDescent="0.2">
      <c r="C363" s="287"/>
      <c r="K363" s="287"/>
      <c r="L363" s="54"/>
      <c r="M363" s="54"/>
      <c r="N363" s="54"/>
      <c r="O363" s="54"/>
      <c r="P363" s="54"/>
      <c r="Q363" s="54"/>
      <c r="R363" s="83"/>
      <c r="S363" s="83"/>
      <c r="T363" s="83"/>
    </row>
    <row r="364" spans="1:20" ht="15.75" customHeight="1" x14ac:dyDescent="0.2">
      <c r="A364" s="69" t="s">
        <v>184</v>
      </c>
      <c r="C364" s="287"/>
      <c r="K364" s="287"/>
      <c r="L364" s="54"/>
      <c r="M364" s="54"/>
      <c r="N364" s="54"/>
      <c r="O364" s="54"/>
      <c r="P364" s="54"/>
      <c r="Q364" s="54"/>
      <c r="R364" s="83"/>
      <c r="S364" s="83"/>
      <c r="T364" s="83"/>
    </row>
    <row r="365" spans="1:20" ht="15.75" customHeight="1" x14ac:dyDescent="0.25">
      <c r="A365" s="51" t="s">
        <v>700</v>
      </c>
      <c r="B365" s="51" t="s">
        <v>701</v>
      </c>
      <c r="C365" s="307"/>
      <c r="D365" s="147">
        <v>0</v>
      </c>
      <c r="E365" s="160" t="e">
        <f>D365*#REF!</f>
        <v>#REF!</v>
      </c>
      <c r="F365" s="160" t="e">
        <f>D365*#REF!</f>
        <v>#REF!</v>
      </c>
      <c r="G365" s="160" t="e">
        <f>(D365*#REF!)*#REF!</f>
        <v>#REF!</v>
      </c>
      <c r="H365" s="296">
        <f t="shared" ref="H365:H380" si="105">IFERROR(((Q365-G365)/G365),0)</f>
        <v>0</v>
      </c>
      <c r="I365" s="147" t="e">
        <f t="shared" ref="I365:I380" si="106">Q365-G365</f>
        <v>#REF!</v>
      </c>
      <c r="J365" s="97">
        <v>0</v>
      </c>
      <c r="K365" s="307"/>
      <c r="L365" s="54">
        <v>-211570</v>
      </c>
      <c r="M365" s="54">
        <v>-49305</v>
      </c>
      <c r="N365" s="54">
        <v>-200000</v>
      </c>
      <c r="O365" s="20">
        <f>VLOOKUP(A365,TB!A:F,3)</f>
        <v>49305</v>
      </c>
      <c r="P365" s="308">
        <f t="shared" ref="P365:P379" si="107">N365</f>
        <v>-200000</v>
      </c>
      <c r="Q365" s="147">
        <v>-45000</v>
      </c>
      <c r="R365" s="233">
        <f>VLOOKUP(A365,TB!A:F,6)</f>
        <v>-45000</v>
      </c>
      <c r="S365" s="233">
        <f t="shared" ref="S365:S379" si="108">Q365-R365</f>
        <v>0</v>
      </c>
      <c r="T365" s="83"/>
    </row>
    <row r="366" spans="1:20" ht="15.75" customHeight="1" x14ac:dyDescent="0.25">
      <c r="A366" s="51" t="s">
        <v>702</v>
      </c>
      <c r="B366" s="51" t="s">
        <v>703</v>
      </c>
      <c r="C366" s="307"/>
      <c r="D366" s="147">
        <v>-252821</v>
      </c>
      <c r="E366" s="160" t="e">
        <f>D366*#REF!</f>
        <v>#REF!</v>
      </c>
      <c r="F366" s="160" t="e">
        <f>D366*#REF!</f>
        <v>#REF!</v>
      </c>
      <c r="G366" s="160" t="e">
        <f>(D366*#REF!)*#REF!</f>
        <v>#REF!</v>
      </c>
      <c r="H366" s="296">
        <f t="shared" si="105"/>
        <v>0</v>
      </c>
      <c r="I366" s="147" t="e">
        <f t="shared" si="106"/>
        <v>#REF!</v>
      </c>
      <c r="J366" s="97">
        <v>0</v>
      </c>
      <c r="K366" s="307"/>
      <c r="L366" s="54">
        <v>-322088</v>
      </c>
      <c r="M366" s="54">
        <v>-336076.26</v>
      </c>
      <c r="N366" s="54">
        <v>-428400</v>
      </c>
      <c r="O366" s="20">
        <f>VLOOKUP(A366,TB!A:F,3)</f>
        <v>-157367.07999999999</v>
      </c>
      <c r="P366" s="308">
        <f t="shared" si="107"/>
        <v>-428400</v>
      </c>
      <c r="Q366" s="147">
        <v>-277600</v>
      </c>
      <c r="R366" s="233">
        <f>VLOOKUP(A366,TB!A:F,6)</f>
        <v>-277600</v>
      </c>
      <c r="S366" s="233">
        <f t="shared" si="108"/>
        <v>0</v>
      </c>
      <c r="T366" s="83"/>
    </row>
    <row r="367" spans="1:20" ht="15.75" customHeight="1" x14ac:dyDescent="0.25">
      <c r="A367" s="51" t="s">
        <v>704</v>
      </c>
      <c r="B367" s="51" t="s">
        <v>705</v>
      </c>
      <c r="C367" s="307"/>
      <c r="D367" s="147">
        <v>-281334</v>
      </c>
      <c r="E367" s="160" t="e">
        <f>D367*#REF!</f>
        <v>#REF!</v>
      </c>
      <c r="F367" s="160" t="e">
        <f>D367*#REF!</f>
        <v>#REF!</v>
      </c>
      <c r="G367" s="160" t="e">
        <f>(D367*#REF!)*#REF!</f>
        <v>#REF!</v>
      </c>
      <c r="H367" s="296">
        <f t="shared" si="105"/>
        <v>0</v>
      </c>
      <c r="I367" s="147" t="e">
        <f t="shared" si="106"/>
        <v>#REF!</v>
      </c>
      <c r="J367" s="97">
        <v>0</v>
      </c>
      <c r="K367" s="307"/>
      <c r="L367" s="54">
        <v>0</v>
      </c>
      <c r="M367" s="54">
        <v>0</v>
      </c>
      <c r="N367" s="54">
        <v>-5000</v>
      </c>
      <c r="O367" s="20">
        <f>VLOOKUP(A367,TB!A:F,3)</f>
        <v>0</v>
      </c>
      <c r="P367" s="308">
        <f t="shared" si="107"/>
        <v>-5000</v>
      </c>
      <c r="Q367" s="147">
        <v>-2000</v>
      </c>
      <c r="R367" s="233">
        <f>VLOOKUP(A367,TB!A:F,6)</f>
        <v>-2000</v>
      </c>
      <c r="S367" s="233">
        <f t="shared" si="108"/>
        <v>0</v>
      </c>
      <c r="T367" s="83"/>
    </row>
    <row r="368" spans="1:20" ht="15.75" customHeight="1" x14ac:dyDescent="0.25">
      <c r="A368" s="51" t="s">
        <v>706</v>
      </c>
      <c r="B368" s="51" t="s">
        <v>707</v>
      </c>
      <c r="C368" s="307"/>
      <c r="D368" s="147">
        <v>0</v>
      </c>
      <c r="E368" s="160" t="e">
        <f>D368*#REF!</f>
        <v>#REF!</v>
      </c>
      <c r="F368" s="160" t="e">
        <f>D368*#REF!</f>
        <v>#REF!</v>
      </c>
      <c r="G368" s="160" t="e">
        <f>(D368*#REF!)*#REF!</f>
        <v>#REF!</v>
      </c>
      <c r="H368" s="296">
        <f t="shared" si="105"/>
        <v>0</v>
      </c>
      <c r="I368" s="147" t="e">
        <f t="shared" si="106"/>
        <v>#REF!</v>
      </c>
      <c r="J368" s="97">
        <v>0</v>
      </c>
      <c r="K368" s="307"/>
      <c r="L368" s="54">
        <v>-18145</v>
      </c>
      <c r="M368" s="54">
        <v>-18547.09</v>
      </c>
      <c r="N368" s="54">
        <v>-10000</v>
      </c>
      <c r="O368" s="20">
        <f>VLOOKUP(A368,TB!A:F,3)</f>
        <v>-8621.76</v>
      </c>
      <c r="P368" s="308">
        <f t="shared" si="107"/>
        <v>-10000</v>
      </c>
      <c r="Q368" s="147">
        <v>-10000</v>
      </c>
      <c r="R368" s="233">
        <f>VLOOKUP(A368,TB!A:F,6)</f>
        <v>-10000</v>
      </c>
      <c r="S368" s="233">
        <f t="shared" si="108"/>
        <v>0</v>
      </c>
      <c r="T368" s="83"/>
    </row>
    <row r="369" spans="1:30" ht="15.75" customHeight="1" x14ac:dyDescent="0.25">
      <c r="A369" s="51" t="s">
        <v>708</v>
      </c>
      <c r="B369" s="51" t="s">
        <v>709</v>
      </c>
      <c r="C369" s="307"/>
      <c r="D369" s="147">
        <v>-97547</v>
      </c>
      <c r="E369" s="160" t="e">
        <f>D369*#REF!</f>
        <v>#REF!</v>
      </c>
      <c r="F369" s="160" t="e">
        <f>D369*#REF!</f>
        <v>#REF!</v>
      </c>
      <c r="G369" s="160" t="e">
        <f>(D369*#REF!)*#REF!</f>
        <v>#REF!</v>
      </c>
      <c r="H369" s="296">
        <f t="shared" si="105"/>
        <v>0</v>
      </c>
      <c r="I369" s="147" t="e">
        <f t="shared" si="106"/>
        <v>#REF!</v>
      </c>
      <c r="J369" s="97">
        <v>0</v>
      </c>
      <c r="K369" s="307"/>
      <c r="L369" s="54">
        <v>-179585</v>
      </c>
      <c r="M369" s="54">
        <v>-160723.06</v>
      </c>
      <c r="N369" s="54">
        <v>-100000</v>
      </c>
      <c r="O369" s="20">
        <f>VLOOKUP(A369,TB!A:F,3)</f>
        <v>-82613.86</v>
      </c>
      <c r="P369" s="308">
        <f t="shared" si="107"/>
        <v>-100000</v>
      </c>
      <c r="Q369" s="147">
        <v>-120000</v>
      </c>
      <c r="R369" s="233">
        <f>VLOOKUP(A369,TB!A:F,6)</f>
        <v>-120000</v>
      </c>
      <c r="S369" s="233">
        <f t="shared" si="108"/>
        <v>0</v>
      </c>
      <c r="T369" s="83"/>
    </row>
    <row r="370" spans="1:30" ht="15.75" customHeight="1" x14ac:dyDescent="0.25">
      <c r="A370" s="51" t="s">
        <v>710</v>
      </c>
      <c r="B370" s="51" t="s">
        <v>711</v>
      </c>
      <c r="C370" s="307"/>
      <c r="D370" s="147">
        <v>-35071</v>
      </c>
      <c r="E370" s="160" t="e">
        <f>D370*#REF!</f>
        <v>#REF!</v>
      </c>
      <c r="F370" s="160" t="e">
        <f>D370*#REF!</f>
        <v>#REF!</v>
      </c>
      <c r="G370" s="160" t="e">
        <f>(D370*#REF!)*#REF!</f>
        <v>#REF!</v>
      </c>
      <c r="H370" s="296">
        <f t="shared" si="105"/>
        <v>0</v>
      </c>
      <c r="I370" s="147" t="e">
        <f t="shared" si="106"/>
        <v>#REF!</v>
      </c>
      <c r="J370" s="97">
        <v>0</v>
      </c>
      <c r="K370" s="307"/>
      <c r="L370" s="54">
        <v>11980</v>
      </c>
      <c r="M370" s="54">
        <v>-6967.24</v>
      </c>
      <c r="N370" s="54">
        <v>-27000</v>
      </c>
      <c r="O370" s="20">
        <f>VLOOKUP(A370,TB!A:F,3)</f>
        <v>-1956.65</v>
      </c>
      <c r="P370" s="308">
        <f t="shared" si="107"/>
        <v>-27000</v>
      </c>
      <c r="Q370" s="147">
        <v>-24100</v>
      </c>
      <c r="R370" s="233">
        <f>VLOOKUP(A370,TB!A:F,6)</f>
        <v>-24100</v>
      </c>
      <c r="S370" s="233">
        <f t="shared" si="108"/>
        <v>0</v>
      </c>
      <c r="T370" s="83"/>
    </row>
    <row r="371" spans="1:30" ht="15.75" customHeight="1" x14ac:dyDescent="0.25">
      <c r="A371" s="51" t="s">
        <v>712</v>
      </c>
      <c r="B371" s="51" t="s">
        <v>713</v>
      </c>
      <c r="C371" s="307"/>
      <c r="D371" s="147">
        <v>-3578</v>
      </c>
      <c r="E371" s="160" t="e">
        <f>D371*#REF!</f>
        <v>#REF!</v>
      </c>
      <c r="F371" s="160" t="e">
        <f>D371*#REF!</f>
        <v>#REF!</v>
      </c>
      <c r="G371" s="160" t="e">
        <f>(D371*#REF!)*#REF!</f>
        <v>#REF!</v>
      </c>
      <c r="H371" s="296">
        <f t="shared" si="105"/>
        <v>0</v>
      </c>
      <c r="I371" s="147" t="e">
        <f t="shared" si="106"/>
        <v>#REF!</v>
      </c>
      <c r="J371" s="97">
        <v>0</v>
      </c>
      <c r="K371" s="307"/>
      <c r="L371" s="54">
        <v>-10198</v>
      </c>
      <c r="M371" s="54">
        <v>-16009.86</v>
      </c>
      <c r="N371" s="54">
        <v>-22000</v>
      </c>
      <c r="O371" s="20">
        <f>VLOOKUP(A371,TB!A:F,3)</f>
        <v>-4895.46</v>
      </c>
      <c r="P371" s="308">
        <f t="shared" si="107"/>
        <v>-22000</v>
      </c>
      <c r="Q371" s="147">
        <v>-27000</v>
      </c>
      <c r="R371" s="233">
        <f>VLOOKUP(A371,TB!A:F,6)</f>
        <v>-27000</v>
      </c>
      <c r="S371" s="233">
        <f t="shared" si="108"/>
        <v>0</v>
      </c>
      <c r="T371" s="83"/>
    </row>
    <row r="372" spans="1:30" ht="15.75" customHeight="1" x14ac:dyDescent="0.25">
      <c r="A372" s="51" t="s">
        <v>714</v>
      </c>
      <c r="B372" s="51" t="s">
        <v>715</v>
      </c>
      <c r="C372" s="307"/>
      <c r="D372" s="147">
        <v>-4748</v>
      </c>
      <c r="E372" s="160" t="e">
        <f>D372*#REF!</f>
        <v>#REF!</v>
      </c>
      <c r="F372" s="160" t="e">
        <f>D372*#REF!</f>
        <v>#REF!</v>
      </c>
      <c r="G372" s="160" t="e">
        <f>(D372*#REF!)*#REF!</f>
        <v>#REF!</v>
      </c>
      <c r="H372" s="296">
        <f t="shared" si="105"/>
        <v>0</v>
      </c>
      <c r="I372" s="147" t="e">
        <f t="shared" si="106"/>
        <v>#REF!</v>
      </c>
      <c r="J372" s="97">
        <v>0</v>
      </c>
      <c r="K372" s="307"/>
      <c r="L372" s="54">
        <v>-24183</v>
      </c>
      <c r="M372" s="54">
        <v>-263127.88</v>
      </c>
      <c r="N372" s="54">
        <v>-120000</v>
      </c>
      <c r="O372" s="20">
        <f>VLOOKUP(A372,TB!A:F,3)</f>
        <v>-201814.19</v>
      </c>
      <c r="P372" s="308">
        <f t="shared" si="107"/>
        <v>-120000</v>
      </c>
      <c r="Q372" s="147">
        <v>-230000</v>
      </c>
      <c r="R372" s="233">
        <f>VLOOKUP(A372,TB!A:F,6)</f>
        <v>-230000</v>
      </c>
      <c r="S372" s="233">
        <f t="shared" si="108"/>
        <v>0</v>
      </c>
      <c r="T372" s="83"/>
    </row>
    <row r="373" spans="1:30" ht="15.75" customHeight="1" x14ac:dyDescent="0.25">
      <c r="A373" s="51" t="s">
        <v>716</v>
      </c>
      <c r="B373" s="51" t="s">
        <v>717</v>
      </c>
      <c r="C373" s="307"/>
      <c r="D373" s="147">
        <v>-199316</v>
      </c>
      <c r="E373" s="160" t="e">
        <f>D373*#REF!</f>
        <v>#REF!</v>
      </c>
      <c r="F373" s="160" t="e">
        <f>D373*#REF!</f>
        <v>#REF!</v>
      </c>
      <c r="G373" s="160" t="e">
        <f>(D373*#REF!)*#REF!</f>
        <v>#REF!</v>
      </c>
      <c r="H373" s="296">
        <f t="shared" si="105"/>
        <v>0</v>
      </c>
      <c r="I373" s="147" t="e">
        <f t="shared" si="106"/>
        <v>#REF!</v>
      </c>
      <c r="J373" s="97">
        <v>0</v>
      </c>
      <c r="K373" s="307"/>
      <c r="L373" s="54">
        <v>-300139</v>
      </c>
      <c r="M373" s="54">
        <v>-294389.12</v>
      </c>
      <c r="N373" s="54">
        <v>-230000</v>
      </c>
      <c r="O373" s="20">
        <f>VLOOKUP(A373,TB!A:F,3)</f>
        <v>0</v>
      </c>
      <c r="P373" s="308">
        <f t="shared" si="107"/>
        <v>-230000</v>
      </c>
      <c r="Q373" s="147">
        <v>-260000</v>
      </c>
      <c r="R373" s="233">
        <f>VLOOKUP(A373,TB!A:F,6)</f>
        <v>-260000</v>
      </c>
      <c r="S373" s="233">
        <f t="shared" si="108"/>
        <v>0</v>
      </c>
      <c r="T373" s="83"/>
    </row>
    <row r="374" spans="1:30" ht="15.75" customHeight="1" x14ac:dyDescent="0.25">
      <c r="A374" s="51" t="s">
        <v>718</v>
      </c>
      <c r="B374" s="51" t="s">
        <v>719</v>
      </c>
      <c r="C374" s="307"/>
      <c r="D374" s="147">
        <v>-1531362</v>
      </c>
      <c r="E374" s="160" t="e">
        <f>D374*#REF!</f>
        <v>#REF!</v>
      </c>
      <c r="F374" s="160" t="e">
        <f>D374*#REF!</f>
        <v>#REF!</v>
      </c>
      <c r="G374" s="160" t="e">
        <f>(D374*#REF!)*#REF!</f>
        <v>#REF!</v>
      </c>
      <c r="H374" s="296">
        <f t="shared" si="105"/>
        <v>0</v>
      </c>
      <c r="I374" s="147" t="e">
        <f t="shared" si="106"/>
        <v>#REF!</v>
      </c>
      <c r="J374" s="97">
        <v>0</v>
      </c>
      <c r="K374" s="307"/>
      <c r="L374" s="54">
        <v>-2431364</v>
      </c>
      <c r="M374" s="54">
        <v>-2422470.5699999998</v>
      </c>
      <c r="N374" s="54">
        <v>-2855400</v>
      </c>
      <c r="O374" s="20">
        <f>VLOOKUP(A374,TB!A:F,3)</f>
        <v>-1490254.36</v>
      </c>
      <c r="P374" s="308">
        <f t="shared" si="107"/>
        <v>-2855400</v>
      </c>
      <c r="Q374" s="147">
        <v>-2702700</v>
      </c>
      <c r="R374" s="233">
        <f>VLOOKUP(A374,TB!A:F,6)</f>
        <v>-2702700</v>
      </c>
      <c r="S374" s="233">
        <f t="shared" si="108"/>
        <v>0</v>
      </c>
      <c r="T374" s="83"/>
    </row>
    <row r="375" spans="1:30" ht="15.75" customHeight="1" x14ac:dyDescent="0.25">
      <c r="A375" s="51" t="s">
        <v>720</v>
      </c>
      <c r="B375" s="51" t="s">
        <v>721</v>
      </c>
      <c r="C375" s="307"/>
      <c r="D375" s="147">
        <v>-17607</v>
      </c>
      <c r="E375" s="160" t="e">
        <f>D375*#REF!</f>
        <v>#REF!</v>
      </c>
      <c r="F375" s="160" t="e">
        <f>D375*#REF!</f>
        <v>#REF!</v>
      </c>
      <c r="G375" s="160" t="e">
        <f>(D375*#REF!)*#REF!</f>
        <v>#REF!</v>
      </c>
      <c r="H375" s="296">
        <f t="shared" si="105"/>
        <v>0</v>
      </c>
      <c r="I375" s="147" t="e">
        <f t="shared" si="106"/>
        <v>#REF!</v>
      </c>
      <c r="J375" s="97">
        <v>0</v>
      </c>
      <c r="K375" s="307"/>
      <c r="L375" s="54">
        <v>-12638</v>
      </c>
      <c r="M375" s="54">
        <v>-32203.93</v>
      </c>
      <c r="N375" s="54">
        <v>-5000</v>
      </c>
      <c r="O375" s="20">
        <f>VLOOKUP(A375,TB!A:F,3)</f>
        <v>-6211.35</v>
      </c>
      <c r="P375" s="308">
        <f t="shared" si="107"/>
        <v>-5000</v>
      </c>
      <c r="Q375" s="147">
        <v>-15000</v>
      </c>
      <c r="R375" s="233">
        <f>VLOOKUP(A375,TB!A:F,6)</f>
        <v>-15000</v>
      </c>
      <c r="S375" s="233">
        <f t="shared" si="108"/>
        <v>0</v>
      </c>
      <c r="T375" s="83"/>
    </row>
    <row r="376" spans="1:30" ht="15.75" customHeight="1" x14ac:dyDescent="0.25">
      <c r="A376" s="51" t="s">
        <v>722</v>
      </c>
      <c r="B376" s="51" t="s">
        <v>723</v>
      </c>
      <c r="C376" s="307"/>
      <c r="D376" s="147">
        <v>-6115</v>
      </c>
      <c r="E376" s="160" t="e">
        <f>D376*#REF!</f>
        <v>#REF!</v>
      </c>
      <c r="F376" s="160" t="e">
        <f>D376*#REF!</f>
        <v>#REF!</v>
      </c>
      <c r="G376" s="160" t="e">
        <f>(D376*#REF!)*#REF!</f>
        <v>#REF!</v>
      </c>
      <c r="H376" s="296">
        <f t="shared" si="105"/>
        <v>0</v>
      </c>
      <c r="I376" s="147" t="e">
        <f t="shared" si="106"/>
        <v>#REF!</v>
      </c>
      <c r="J376" s="97">
        <v>0</v>
      </c>
      <c r="K376" s="307"/>
      <c r="L376" s="54">
        <v>-1973</v>
      </c>
      <c r="M376" s="54">
        <v>-1826.79</v>
      </c>
      <c r="N376" s="54">
        <v>-2500</v>
      </c>
      <c r="O376" s="20">
        <f>VLOOKUP(A376,TB!A:F,3)</f>
        <v>-1674.4</v>
      </c>
      <c r="P376" s="308">
        <f t="shared" si="107"/>
        <v>-2500</v>
      </c>
      <c r="Q376" s="147">
        <v>-2000</v>
      </c>
      <c r="R376" s="233">
        <f>VLOOKUP(A376,TB!A:F,6)</f>
        <v>-2000</v>
      </c>
      <c r="S376" s="233">
        <f t="shared" si="108"/>
        <v>0</v>
      </c>
      <c r="T376" s="83"/>
    </row>
    <row r="377" spans="1:30" ht="15.75" customHeight="1" x14ac:dyDescent="0.25">
      <c r="A377" s="51" t="s">
        <v>724</v>
      </c>
      <c r="B377" s="51" t="s">
        <v>725</v>
      </c>
      <c r="C377" s="307"/>
      <c r="D377" s="147">
        <v>-19251</v>
      </c>
      <c r="E377" s="160" t="e">
        <f>D377*#REF!</f>
        <v>#REF!</v>
      </c>
      <c r="F377" s="160" t="e">
        <f>D377*#REF!</f>
        <v>#REF!</v>
      </c>
      <c r="G377" s="160" t="e">
        <f>(D377*#REF!)*#REF!</f>
        <v>#REF!</v>
      </c>
      <c r="H377" s="296">
        <f t="shared" si="105"/>
        <v>0</v>
      </c>
      <c r="I377" s="147" t="e">
        <f t="shared" si="106"/>
        <v>#REF!</v>
      </c>
      <c r="J377" s="97">
        <v>0</v>
      </c>
      <c r="K377" s="307"/>
      <c r="L377" s="54">
        <v>-33018</v>
      </c>
      <c r="M377" s="54">
        <v>-35620.06</v>
      </c>
      <c r="N377" s="54">
        <v>-33000</v>
      </c>
      <c r="O377" s="20">
        <f>VLOOKUP(A377,TB!A:F,3)</f>
        <v>-27309.42</v>
      </c>
      <c r="P377" s="308">
        <f t="shared" si="107"/>
        <v>-33000</v>
      </c>
      <c r="Q377" s="147">
        <v>-34800</v>
      </c>
      <c r="R377" s="233">
        <f>VLOOKUP(A377,TB!A:F,6)</f>
        <v>-34800</v>
      </c>
      <c r="S377" s="233">
        <f t="shared" si="108"/>
        <v>0</v>
      </c>
      <c r="T377" s="83"/>
    </row>
    <row r="378" spans="1:30" ht="15.75" customHeight="1" x14ac:dyDescent="0.25">
      <c r="A378" s="51" t="s">
        <v>726</v>
      </c>
      <c r="B378" s="51" t="s">
        <v>727</v>
      </c>
      <c r="C378" s="307"/>
      <c r="D378" s="147">
        <v>-37574</v>
      </c>
      <c r="E378" s="160" t="e">
        <f>D378*#REF!</f>
        <v>#REF!</v>
      </c>
      <c r="F378" s="160" t="e">
        <f>D378*#REF!</f>
        <v>#REF!</v>
      </c>
      <c r="G378" s="160" t="e">
        <f>(D378*#REF!)*#REF!</f>
        <v>#REF!</v>
      </c>
      <c r="H378" s="296">
        <f t="shared" si="105"/>
        <v>0</v>
      </c>
      <c r="I378" s="147" t="e">
        <f t="shared" si="106"/>
        <v>#REF!</v>
      </c>
      <c r="J378" s="97">
        <v>0</v>
      </c>
      <c r="K378" s="307"/>
      <c r="L378" s="54">
        <v>-955477</v>
      </c>
      <c r="M378" s="54">
        <v>-1312198.67</v>
      </c>
      <c r="N378" s="54">
        <v>-1587750</v>
      </c>
      <c r="O378" s="20">
        <f>VLOOKUP(A378,TB!A:F,3)</f>
        <v>-843430.16</v>
      </c>
      <c r="P378" s="308">
        <f t="shared" si="107"/>
        <v>-1587750</v>
      </c>
      <c r="Q378" s="147">
        <v>-1500000</v>
      </c>
      <c r="R378" s="233">
        <f>VLOOKUP(A378,TB!A:F,6)</f>
        <v>-1500000</v>
      </c>
      <c r="S378" s="233">
        <f t="shared" si="108"/>
        <v>0</v>
      </c>
      <c r="T378" s="83"/>
    </row>
    <row r="379" spans="1:30" ht="15.75" customHeight="1" x14ac:dyDescent="0.25">
      <c r="A379" s="51" t="s">
        <v>728</v>
      </c>
      <c r="B379" s="51" t="s">
        <v>729</v>
      </c>
      <c r="C379" s="307"/>
      <c r="D379" s="147">
        <v>-790130</v>
      </c>
      <c r="E379" s="160" t="e">
        <f>D379*#REF!</f>
        <v>#REF!</v>
      </c>
      <c r="F379" s="160" t="e">
        <f>D379*#REF!</f>
        <v>#REF!</v>
      </c>
      <c r="G379" s="160" t="e">
        <f>(D379*#REF!)*#REF!</f>
        <v>#REF!</v>
      </c>
      <c r="H379" s="296">
        <f t="shared" si="105"/>
        <v>0</v>
      </c>
      <c r="I379" s="147" t="e">
        <f t="shared" si="106"/>
        <v>#REF!</v>
      </c>
      <c r="J379" s="97">
        <v>0</v>
      </c>
      <c r="K379" s="307"/>
      <c r="L379" s="54">
        <v>0</v>
      </c>
      <c r="M379" s="54">
        <v>0</v>
      </c>
      <c r="N379" s="54">
        <v>-10000</v>
      </c>
      <c r="O379" s="20">
        <f>VLOOKUP(A379,TB!A:F,3)</f>
        <v>0</v>
      </c>
      <c r="P379" s="308">
        <f t="shared" si="107"/>
        <v>-10000</v>
      </c>
      <c r="Q379" s="147">
        <v>-476325</v>
      </c>
      <c r="R379" s="233">
        <f>VLOOKUP(A379,TB!A:F,6)</f>
        <v>-476325</v>
      </c>
      <c r="S379" s="233">
        <f t="shared" si="108"/>
        <v>0</v>
      </c>
      <c r="T379" s="83"/>
    </row>
    <row r="380" spans="1:30" ht="15.75" customHeight="1" x14ac:dyDescent="0.2">
      <c r="A380" s="239" t="s">
        <v>189</v>
      </c>
      <c r="B380" s="75"/>
      <c r="C380" s="299"/>
      <c r="D380" s="189">
        <f t="shared" ref="D380:G380" si="109">SUM(D365:D379)</f>
        <v>-3276454</v>
      </c>
      <c r="E380" s="189" t="e">
        <f t="shared" si="109"/>
        <v>#REF!</v>
      </c>
      <c r="F380" s="189" t="e">
        <f t="shared" si="109"/>
        <v>#REF!</v>
      </c>
      <c r="G380" s="189" t="e">
        <f t="shared" si="109"/>
        <v>#REF!</v>
      </c>
      <c r="H380" s="300">
        <f t="shared" si="105"/>
        <v>0</v>
      </c>
      <c r="I380" s="189" t="e">
        <f t="shared" si="106"/>
        <v>#REF!</v>
      </c>
      <c r="J380" s="189">
        <v>0</v>
      </c>
      <c r="K380" s="299"/>
      <c r="L380" s="77">
        <f t="shared" ref="L380:S380" si="110">SUM(L365:L379)</f>
        <v>-4488398</v>
      </c>
      <c r="M380" s="77">
        <f t="shared" si="110"/>
        <v>-4949465.53</v>
      </c>
      <c r="N380" s="77">
        <f t="shared" si="110"/>
        <v>-5636050</v>
      </c>
      <c r="O380" s="77">
        <f t="shared" si="110"/>
        <v>-2776843.69</v>
      </c>
      <c r="P380" s="189">
        <f t="shared" si="110"/>
        <v>-5636050</v>
      </c>
      <c r="Q380" s="189">
        <f t="shared" si="110"/>
        <v>-5726525</v>
      </c>
      <c r="R380" s="77">
        <f t="shared" si="110"/>
        <v>-5726525</v>
      </c>
      <c r="S380" s="77">
        <f t="shared" si="110"/>
        <v>0</v>
      </c>
      <c r="T380" s="83"/>
    </row>
    <row r="381" spans="1:30" ht="15.75" customHeight="1" x14ac:dyDescent="0.2">
      <c r="C381" s="287"/>
      <c r="K381" s="287"/>
      <c r="L381" s="54"/>
      <c r="M381" s="54"/>
      <c r="N381" s="54"/>
      <c r="O381" s="54"/>
      <c r="P381" s="54"/>
      <c r="Q381" s="54"/>
      <c r="R381" s="83"/>
      <c r="S381" s="83"/>
      <c r="T381" s="83"/>
    </row>
    <row r="382" spans="1:30" ht="15.75" customHeight="1" x14ac:dyDescent="0.2">
      <c r="A382" s="69" t="s">
        <v>190</v>
      </c>
      <c r="B382" s="51"/>
      <c r="C382" s="309"/>
      <c r="D382" s="193">
        <f t="shared" ref="D382:G382" si="111">D362+D380</f>
        <v>4896215</v>
      </c>
      <c r="E382" s="193" t="e">
        <f t="shared" si="111"/>
        <v>#REF!</v>
      </c>
      <c r="F382" s="193" t="e">
        <f t="shared" si="111"/>
        <v>#REF!</v>
      </c>
      <c r="G382" s="193" t="e">
        <f t="shared" si="111"/>
        <v>#REF!</v>
      </c>
      <c r="H382" s="310">
        <f>IFERROR(((Q382-G382)/G382),0)</f>
        <v>0</v>
      </c>
      <c r="I382" s="193" t="e">
        <f>Q382-G382</f>
        <v>#REF!</v>
      </c>
      <c r="J382" s="193">
        <f>J380+J375</f>
        <v>0</v>
      </c>
      <c r="K382" s="309"/>
      <c r="L382" s="245">
        <f t="shared" ref="L382:S382" si="112">L362+L380</f>
        <v>6086775</v>
      </c>
      <c r="M382" s="245">
        <f t="shared" si="112"/>
        <v>3770450.2700000005</v>
      </c>
      <c r="N382" s="245">
        <f t="shared" si="112"/>
        <v>5965598</v>
      </c>
      <c r="O382" s="245">
        <f t="shared" si="112"/>
        <v>5282109.9800000004</v>
      </c>
      <c r="P382" s="193">
        <f t="shared" si="112"/>
        <v>4934774.9550000001</v>
      </c>
      <c r="Q382" s="193">
        <f t="shared" si="112"/>
        <v>6350693</v>
      </c>
      <c r="R382" s="245">
        <f t="shared" si="112"/>
        <v>6350693</v>
      </c>
      <c r="S382" s="245">
        <f t="shared" si="112"/>
        <v>0</v>
      </c>
      <c r="T382" s="83"/>
      <c r="W382" s="56"/>
      <c r="X382" s="56"/>
      <c r="Y382" s="56"/>
      <c r="Z382" s="56"/>
      <c r="AA382" s="56"/>
      <c r="AB382" s="56"/>
      <c r="AC382" s="56"/>
      <c r="AD382" s="56"/>
    </row>
    <row r="383" spans="1:30" ht="15.75" customHeight="1" x14ac:dyDescent="0.2">
      <c r="C383" s="287"/>
      <c r="K383" s="287"/>
      <c r="R383" s="83"/>
      <c r="S383" s="83"/>
      <c r="T383" s="83"/>
    </row>
    <row r="384" spans="1:30" ht="15.75" customHeight="1" x14ac:dyDescent="0.2">
      <c r="C384" s="287"/>
      <c r="K384" s="287"/>
    </row>
    <row r="385" spans="3:18" ht="15.75" customHeight="1" x14ac:dyDescent="0.2">
      <c r="C385" s="288"/>
      <c r="K385" s="288"/>
      <c r="L385" s="199" t="e">
        <f t="shared" ref="L385:R385" si="113">#REF!</f>
        <v>#REF!</v>
      </c>
      <c r="M385" s="199" t="e">
        <f t="shared" si="113"/>
        <v>#REF!</v>
      </c>
      <c r="N385" s="199" t="e">
        <f t="shared" si="113"/>
        <v>#REF!</v>
      </c>
      <c r="O385" s="199" t="e">
        <f t="shared" si="113"/>
        <v>#REF!</v>
      </c>
      <c r="P385" s="199" t="e">
        <f t="shared" si="113"/>
        <v>#REF!</v>
      </c>
      <c r="Q385" s="199" t="e">
        <f t="shared" si="113"/>
        <v>#REF!</v>
      </c>
      <c r="R385" s="173" t="e">
        <f t="shared" si="113"/>
        <v>#REF!</v>
      </c>
    </row>
    <row r="386" spans="3:18" ht="15.75" customHeight="1" x14ac:dyDescent="0.2">
      <c r="C386" s="289"/>
      <c r="K386" s="289"/>
      <c r="L386" s="290">
        <f t="shared" ref="L386:R386" si="114">L382</f>
        <v>6086775</v>
      </c>
      <c r="M386" s="290">
        <f t="shared" si="114"/>
        <v>3770450.2700000005</v>
      </c>
      <c r="N386" s="290">
        <f t="shared" si="114"/>
        <v>5965598</v>
      </c>
      <c r="O386" s="290">
        <f t="shared" si="114"/>
        <v>5282109.9800000004</v>
      </c>
      <c r="P386" s="290">
        <f t="shared" si="114"/>
        <v>4934774.9550000001</v>
      </c>
      <c r="Q386" s="290">
        <f t="shared" si="114"/>
        <v>6350693</v>
      </c>
      <c r="R386" s="291">
        <f t="shared" si="114"/>
        <v>6350693</v>
      </c>
    </row>
    <row r="387" spans="3:18" ht="15.75" customHeight="1" x14ac:dyDescent="0.2">
      <c r="C387" s="287"/>
      <c r="K387" s="287"/>
    </row>
    <row r="388" spans="3:18" ht="15.75" customHeight="1" x14ac:dyDescent="0.2">
      <c r="C388" s="287"/>
      <c r="K388" s="287"/>
    </row>
    <row r="389" spans="3:18" ht="15.75" customHeight="1" x14ac:dyDescent="0.2">
      <c r="C389" s="287"/>
      <c r="K389" s="287"/>
    </row>
    <row r="390" spans="3:18" ht="15.75" customHeight="1" x14ac:dyDescent="0.2">
      <c r="C390" s="287"/>
      <c r="K390" s="287"/>
    </row>
    <row r="391" spans="3:18" ht="15.75" customHeight="1" x14ac:dyDescent="0.2">
      <c r="C391" s="287"/>
      <c r="K391" s="287"/>
    </row>
    <row r="392" spans="3:18" ht="15.75" customHeight="1" x14ac:dyDescent="0.2">
      <c r="C392" s="287"/>
      <c r="K392" s="287"/>
    </row>
    <row r="393" spans="3:18" ht="15.75" customHeight="1" x14ac:dyDescent="0.2">
      <c r="C393" s="287"/>
      <c r="K393" s="287"/>
    </row>
    <row r="394" spans="3:18" ht="15.75" customHeight="1" x14ac:dyDescent="0.2">
      <c r="C394" s="287"/>
      <c r="K394" s="287"/>
    </row>
    <row r="395" spans="3:18" ht="15.75" customHeight="1" x14ac:dyDescent="0.2">
      <c r="C395" s="287"/>
      <c r="K395" s="287"/>
    </row>
    <row r="396" spans="3:18" ht="15.75" customHeight="1" x14ac:dyDescent="0.2">
      <c r="C396" s="287"/>
      <c r="K396" s="287"/>
    </row>
    <row r="397" spans="3:18" ht="15.75" customHeight="1" x14ac:dyDescent="0.2">
      <c r="C397" s="287"/>
      <c r="K397" s="287"/>
    </row>
    <row r="398" spans="3:18" ht="15.75" customHeight="1" x14ac:dyDescent="0.2">
      <c r="C398" s="287"/>
      <c r="K398" s="287"/>
    </row>
    <row r="399" spans="3:18" ht="15.75" customHeight="1" x14ac:dyDescent="0.2">
      <c r="C399" s="287"/>
      <c r="K399" s="287"/>
    </row>
    <row r="400" spans="3:18" ht="15.75" customHeight="1" x14ac:dyDescent="0.2">
      <c r="C400" s="287"/>
      <c r="K400" s="287"/>
    </row>
    <row r="401" spans="3:11" ht="15.75" customHeight="1" x14ac:dyDescent="0.2">
      <c r="C401" s="287"/>
      <c r="K401" s="287"/>
    </row>
    <row r="402" spans="3:11" ht="15.75" customHeight="1" x14ac:dyDescent="0.2">
      <c r="C402" s="287"/>
      <c r="K402" s="287"/>
    </row>
    <row r="403" spans="3:11" ht="15.75" customHeight="1" x14ac:dyDescent="0.2">
      <c r="C403" s="287"/>
      <c r="K403" s="287"/>
    </row>
    <row r="404" spans="3:11" ht="15.75" customHeight="1" x14ac:dyDescent="0.2">
      <c r="C404" s="287"/>
      <c r="K404" s="287"/>
    </row>
    <row r="405" spans="3:11" ht="15.75" customHeight="1" x14ac:dyDescent="0.2">
      <c r="C405" s="287"/>
      <c r="K405" s="287"/>
    </row>
    <row r="406" spans="3:11" ht="15.75" customHeight="1" x14ac:dyDescent="0.2">
      <c r="C406" s="287"/>
      <c r="K406" s="287"/>
    </row>
    <row r="407" spans="3:11" ht="15.75" customHeight="1" x14ac:dyDescent="0.2">
      <c r="C407" s="287"/>
      <c r="K407" s="287"/>
    </row>
    <row r="408" spans="3:11" ht="15.75" customHeight="1" x14ac:dyDescent="0.2">
      <c r="C408" s="287"/>
      <c r="K408" s="287"/>
    </row>
    <row r="409" spans="3:11" ht="15.75" customHeight="1" x14ac:dyDescent="0.2">
      <c r="C409" s="287"/>
      <c r="K409" s="287"/>
    </row>
    <row r="410" spans="3:11" ht="15.75" customHeight="1" x14ac:dyDescent="0.2">
      <c r="C410" s="287"/>
      <c r="K410" s="287"/>
    </row>
    <row r="411" spans="3:11" ht="15.75" customHeight="1" x14ac:dyDescent="0.2">
      <c r="C411" s="287"/>
      <c r="K411" s="287"/>
    </row>
    <row r="412" spans="3:11" ht="15.75" customHeight="1" x14ac:dyDescent="0.2">
      <c r="C412" s="287"/>
      <c r="K412" s="287"/>
    </row>
    <row r="413" spans="3:11" ht="15.75" customHeight="1" x14ac:dyDescent="0.2">
      <c r="C413" s="287"/>
      <c r="K413" s="287"/>
    </row>
    <row r="414" spans="3:11" ht="15.75" customHeight="1" x14ac:dyDescent="0.2">
      <c r="C414" s="287"/>
      <c r="K414" s="287"/>
    </row>
    <row r="415" spans="3:11" ht="15.75" customHeight="1" x14ac:dyDescent="0.2">
      <c r="C415" s="287"/>
      <c r="K415" s="287"/>
    </row>
    <row r="416" spans="3:11" ht="15.75" customHeight="1" x14ac:dyDescent="0.2">
      <c r="C416" s="287"/>
      <c r="K416" s="287"/>
    </row>
    <row r="417" spans="3:11" ht="15.75" customHeight="1" x14ac:dyDescent="0.2">
      <c r="C417" s="287"/>
      <c r="K417" s="287"/>
    </row>
    <row r="418" spans="3:11" ht="15.75" customHeight="1" x14ac:dyDescent="0.2">
      <c r="C418" s="287"/>
      <c r="K418" s="287"/>
    </row>
    <row r="419" spans="3:11" ht="15.75" customHeight="1" x14ac:dyDescent="0.2">
      <c r="C419" s="287"/>
      <c r="K419" s="287"/>
    </row>
    <row r="420" spans="3:11" ht="15.75" customHeight="1" x14ac:dyDescent="0.2">
      <c r="C420" s="287"/>
      <c r="K420" s="287"/>
    </row>
    <row r="421" spans="3:11" ht="15.75" customHeight="1" x14ac:dyDescent="0.2">
      <c r="C421" s="287"/>
      <c r="K421" s="287"/>
    </row>
    <row r="422" spans="3:11" ht="15.75" customHeight="1" x14ac:dyDescent="0.2">
      <c r="C422" s="287"/>
      <c r="K422" s="287"/>
    </row>
    <row r="423" spans="3:11" ht="15.75" customHeight="1" x14ac:dyDescent="0.2">
      <c r="C423" s="287"/>
      <c r="K423" s="287"/>
    </row>
    <row r="424" spans="3:11" ht="15.75" customHeight="1" x14ac:dyDescent="0.2">
      <c r="C424" s="287"/>
      <c r="K424" s="287"/>
    </row>
    <row r="425" spans="3:11" ht="15.75" customHeight="1" x14ac:dyDescent="0.2">
      <c r="C425" s="287"/>
      <c r="K425" s="287"/>
    </row>
    <row r="426" spans="3:11" ht="15.75" customHeight="1" x14ac:dyDescent="0.2">
      <c r="C426" s="287"/>
      <c r="K426" s="287"/>
    </row>
    <row r="427" spans="3:11" ht="15.75" customHeight="1" x14ac:dyDescent="0.2">
      <c r="C427" s="287"/>
      <c r="K427" s="287"/>
    </row>
    <row r="428" spans="3:11" ht="15.75" customHeight="1" x14ac:dyDescent="0.2">
      <c r="C428" s="287"/>
      <c r="K428" s="287"/>
    </row>
    <row r="429" spans="3:11" ht="15.75" customHeight="1" x14ac:dyDescent="0.2">
      <c r="C429" s="287"/>
      <c r="K429" s="287"/>
    </row>
    <row r="430" spans="3:11" ht="15.75" customHeight="1" x14ac:dyDescent="0.2">
      <c r="C430" s="287"/>
      <c r="K430" s="287"/>
    </row>
    <row r="431" spans="3:11" ht="15.75" customHeight="1" x14ac:dyDescent="0.2">
      <c r="C431" s="287"/>
      <c r="K431" s="287"/>
    </row>
    <row r="432" spans="3:11" ht="15.75" customHeight="1" x14ac:dyDescent="0.2">
      <c r="C432" s="287"/>
      <c r="K432" s="287"/>
    </row>
    <row r="433" spans="1:19" ht="15.75" customHeight="1" x14ac:dyDescent="0.2">
      <c r="C433" s="287"/>
      <c r="K433" s="287"/>
    </row>
    <row r="434" spans="1:19" ht="15.75" customHeight="1" x14ac:dyDescent="0.2">
      <c r="C434" s="287"/>
      <c r="K434" s="287"/>
    </row>
    <row r="435" spans="1:19" ht="15.75" customHeight="1" x14ac:dyDescent="0.2">
      <c r="C435" s="287"/>
      <c r="K435" s="287"/>
    </row>
    <row r="436" spans="1:19" ht="15.75" customHeight="1" x14ac:dyDescent="0.2">
      <c r="C436" s="287"/>
      <c r="K436" s="287"/>
    </row>
    <row r="437" spans="1:19" ht="15.75" customHeight="1" x14ac:dyDescent="0.2">
      <c r="A437" s="3" t="s">
        <v>50</v>
      </c>
      <c r="B437" s="3" t="s">
        <v>51</v>
      </c>
      <c r="C437" s="292"/>
      <c r="D437" s="99" t="s">
        <v>52</v>
      </c>
      <c r="E437" s="100" t="s">
        <v>53</v>
      </c>
      <c r="F437" s="100" t="s">
        <v>54</v>
      </c>
      <c r="G437" s="100" t="s">
        <v>55</v>
      </c>
      <c r="H437" s="24" t="s">
        <v>56</v>
      </c>
      <c r="I437" s="24" t="s">
        <v>57</v>
      </c>
      <c r="J437" s="101" t="s">
        <v>58</v>
      </c>
      <c r="K437" s="292"/>
      <c r="L437" s="3" t="s">
        <v>59</v>
      </c>
      <c r="M437" s="3" t="s">
        <v>60</v>
      </c>
      <c r="N437" s="3" t="s">
        <v>61</v>
      </c>
      <c r="O437" s="3" t="s">
        <v>62</v>
      </c>
      <c r="P437" s="293" t="s">
        <v>541</v>
      </c>
      <c r="Q437" s="293" t="s">
        <v>64</v>
      </c>
      <c r="R437" s="293" t="s">
        <v>65</v>
      </c>
      <c r="S437" s="293" t="s">
        <v>586</v>
      </c>
    </row>
    <row r="438" spans="1:19" ht="15.75" customHeight="1" x14ac:dyDescent="0.25">
      <c r="A438" s="565" t="s">
        <v>730</v>
      </c>
      <c r="B438" s="566"/>
      <c r="C438" s="311"/>
      <c r="D438" s="66"/>
      <c r="E438" s="65"/>
      <c r="F438" s="65"/>
      <c r="G438" s="275"/>
      <c r="H438" s="234"/>
      <c r="K438" s="311"/>
      <c r="L438" s="65"/>
      <c r="M438" s="165"/>
      <c r="N438" s="65"/>
      <c r="O438" s="165"/>
      <c r="P438" s="157"/>
      <c r="Q438" s="157"/>
      <c r="R438" s="275"/>
      <c r="S438" s="275"/>
    </row>
    <row r="439" spans="1:19" ht="15.75" customHeight="1" x14ac:dyDescent="0.25">
      <c r="A439" s="66" t="s">
        <v>731</v>
      </c>
      <c r="B439" s="66" t="s">
        <v>115</v>
      </c>
      <c r="C439" s="295"/>
      <c r="D439" s="160">
        <v>17188</v>
      </c>
      <c r="E439" s="160" t="e">
        <f>D439*#REF!</f>
        <v>#REF!</v>
      </c>
      <c r="F439" s="160" t="e">
        <f>D439*#REF!</f>
        <v>#REF!</v>
      </c>
      <c r="G439" s="160" t="e">
        <f>(D439*#REF!)*#REF!</f>
        <v>#REF!</v>
      </c>
      <c r="H439" s="296">
        <f t="shared" ref="H439:H443" si="115">IFERROR(((Q439-G439)/G439),0)</f>
        <v>0</v>
      </c>
      <c r="I439" s="147" t="e">
        <f t="shared" ref="I439:I443" si="116">Q439-G439</f>
        <v>#REF!</v>
      </c>
      <c r="J439" s="97">
        <v>0</v>
      </c>
      <c r="K439" s="295"/>
      <c r="L439" s="20">
        <v>29621</v>
      </c>
      <c r="M439" s="20">
        <v>30691.33</v>
      </c>
      <c r="N439" s="20">
        <v>30000</v>
      </c>
      <c r="O439" s="20">
        <f>VLOOKUP(A439,TB!A:F,3)</f>
        <v>19221.04</v>
      </c>
      <c r="P439" s="163">
        <f t="shared" ref="P439:P442" si="117">N439</f>
        <v>30000</v>
      </c>
      <c r="Q439" s="160">
        <v>43000</v>
      </c>
      <c r="R439" s="233">
        <f>VLOOKUP(A439,TB!A:F,6)</f>
        <v>43000</v>
      </c>
      <c r="S439" s="233">
        <f t="shared" ref="S439:S442" si="118">Q439-R439</f>
        <v>0</v>
      </c>
    </row>
    <row r="440" spans="1:19" ht="15.75" customHeight="1" x14ac:dyDescent="0.25">
      <c r="A440" s="66" t="s">
        <v>732</v>
      </c>
      <c r="B440" s="66" t="s">
        <v>84</v>
      </c>
      <c r="C440" s="295"/>
      <c r="D440" s="160">
        <v>478</v>
      </c>
      <c r="E440" s="160" t="e">
        <f>D440*#REF!</f>
        <v>#REF!</v>
      </c>
      <c r="F440" s="160" t="e">
        <f>D440*#REF!</f>
        <v>#REF!</v>
      </c>
      <c r="G440" s="160" t="e">
        <f>(D440*#REF!)*#REF!</f>
        <v>#REF!</v>
      </c>
      <c r="H440" s="296">
        <f t="shared" si="115"/>
        <v>0</v>
      </c>
      <c r="I440" s="147" t="e">
        <f t="shared" si="116"/>
        <v>#REF!</v>
      </c>
      <c r="J440" s="97">
        <v>0</v>
      </c>
      <c r="K440" s="295"/>
      <c r="L440" s="20">
        <v>2550</v>
      </c>
      <c r="M440" s="20">
        <v>114875.74</v>
      </c>
      <c r="N440" s="20">
        <v>153120</v>
      </c>
      <c r="O440" s="20">
        <f>VLOOKUP(A440,TB!A:F,3)</f>
        <v>78090.03</v>
      </c>
      <c r="P440" s="163">
        <f t="shared" si="117"/>
        <v>153120</v>
      </c>
      <c r="Q440" s="160">
        <v>153120</v>
      </c>
      <c r="R440" s="233">
        <f>VLOOKUP(A440,TB!A:F,6)</f>
        <v>153120</v>
      </c>
      <c r="S440" s="233">
        <f t="shared" si="118"/>
        <v>0</v>
      </c>
    </row>
    <row r="441" spans="1:19" ht="15.75" customHeight="1" x14ac:dyDescent="0.25">
      <c r="A441" s="66" t="s">
        <v>733</v>
      </c>
      <c r="B441" s="66" t="s">
        <v>88</v>
      </c>
      <c r="C441" s="295"/>
      <c r="D441" s="160">
        <v>400</v>
      </c>
      <c r="E441" s="160" t="e">
        <f>D441*#REF!</f>
        <v>#REF!</v>
      </c>
      <c r="F441" s="160" t="e">
        <f>D441*#REF!</f>
        <v>#REF!</v>
      </c>
      <c r="G441" s="160" t="e">
        <f>(D441*#REF!)*#REF!</f>
        <v>#REF!</v>
      </c>
      <c r="H441" s="296">
        <f t="shared" si="115"/>
        <v>0</v>
      </c>
      <c r="I441" s="147" t="e">
        <f t="shared" si="116"/>
        <v>#REF!</v>
      </c>
      <c r="J441" s="97">
        <v>0</v>
      </c>
      <c r="K441" s="295"/>
      <c r="L441" s="20">
        <v>7495</v>
      </c>
      <c r="M441" s="20">
        <v>8428.66</v>
      </c>
      <c r="N441" s="20">
        <v>37500</v>
      </c>
      <c r="O441" s="20">
        <f>VLOOKUP(A441,TB!A:F,3)</f>
        <v>5346.5</v>
      </c>
      <c r="P441" s="163">
        <f t="shared" si="117"/>
        <v>37500</v>
      </c>
      <c r="Q441" s="160">
        <v>24300</v>
      </c>
      <c r="R441" s="233">
        <f>VLOOKUP(A441,TB!A:F,6)</f>
        <v>24300</v>
      </c>
      <c r="S441" s="233">
        <f t="shared" si="118"/>
        <v>0</v>
      </c>
    </row>
    <row r="442" spans="1:19" ht="15.75" customHeight="1" x14ac:dyDescent="0.25">
      <c r="A442" s="66" t="s">
        <v>734</v>
      </c>
      <c r="B442" s="66" t="s">
        <v>90</v>
      </c>
      <c r="C442" s="295"/>
      <c r="D442" s="160">
        <v>3932</v>
      </c>
      <c r="E442" s="160" t="e">
        <f>D442*#REF!</f>
        <v>#REF!</v>
      </c>
      <c r="F442" s="160" t="e">
        <f>D442*#REF!</f>
        <v>#REF!</v>
      </c>
      <c r="G442" s="160" t="e">
        <f>(D442*#REF!)*#REF!</f>
        <v>#REF!</v>
      </c>
      <c r="H442" s="296">
        <f t="shared" si="115"/>
        <v>0</v>
      </c>
      <c r="I442" s="147" t="e">
        <f t="shared" si="116"/>
        <v>#REF!</v>
      </c>
      <c r="J442" s="97">
        <v>0</v>
      </c>
      <c r="K442" s="295"/>
      <c r="L442" s="20">
        <v>6013</v>
      </c>
      <c r="M442" s="20">
        <v>5483.81</v>
      </c>
      <c r="N442" s="20">
        <v>8300</v>
      </c>
      <c r="O442" s="20">
        <f>VLOOKUP(A442,TB!A:F,3)</f>
        <v>642.79999999999995</v>
      </c>
      <c r="P442" s="163">
        <f t="shared" si="117"/>
        <v>8300</v>
      </c>
      <c r="Q442" s="160">
        <v>6500</v>
      </c>
      <c r="R442" s="233">
        <f>VLOOKUP(A442,TB!A:F,6)</f>
        <v>6500</v>
      </c>
      <c r="S442" s="233">
        <f t="shared" si="118"/>
        <v>0</v>
      </c>
    </row>
    <row r="443" spans="1:19" ht="15.75" customHeight="1" x14ac:dyDescent="0.25">
      <c r="A443" s="74" t="s">
        <v>735</v>
      </c>
      <c r="B443" s="75"/>
      <c r="C443" s="299"/>
      <c r="D443" s="189">
        <f t="shared" ref="D443:G443" si="119">SUM(D439:D442)</f>
        <v>21998</v>
      </c>
      <c r="E443" s="189" t="e">
        <f t="shared" si="119"/>
        <v>#REF!</v>
      </c>
      <c r="F443" s="189" t="e">
        <f t="shared" si="119"/>
        <v>#REF!</v>
      </c>
      <c r="G443" s="189" t="e">
        <f t="shared" si="119"/>
        <v>#REF!</v>
      </c>
      <c r="H443" s="300">
        <f t="shared" si="115"/>
        <v>0</v>
      </c>
      <c r="I443" s="189" t="e">
        <f t="shared" si="116"/>
        <v>#REF!</v>
      </c>
      <c r="J443" s="301">
        <f>SUM(J439:J442)</f>
        <v>0</v>
      </c>
      <c r="K443" s="299"/>
      <c r="L443" s="77">
        <f t="shared" ref="L443:S443" si="120">SUM(L439:L442)</f>
        <v>45679</v>
      </c>
      <c r="M443" s="77">
        <f t="shared" si="120"/>
        <v>159479.54</v>
      </c>
      <c r="N443" s="77">
        <f t="shared" si="120"/>
        <v>228920</v>
      </c>
      <c r="O443" s="77">
        <f t="shared" si="120"/>
        <v>103300.37000000001</v>
      </c>
      <c r="P443" s="189">
        <f t="shared" si="120"/>
        <v>228920</v>
      </c>
      <c r="Q443" s="189">
        <f t="shared" si="120"/>
        <v>226920</v>
      </c>
      <c r="R443" s="77">
        <f t="shared" si="120"/>
        <v>226920</v>
      </c>
      <c r="S443" s="77">
        <f t="shared" si="120"/>
        <v>0</v>
      </c>
    </row>
    <row r="444" spans="1:19" ht="15.75" customHeight="1" x14ac:dyDescent="0.25">
      <c r="C444" s="287"/>
      <c r="K444" s="287"/>
      <c r="L444" s="54"/>
      <c r="M444" s="54"/>
      <c r="N444" s="54"/>
      <c r="O444" s="20"/>
      <c r="P444" s="54"/>
      <c r="Q444" s="54"/>
      <c r="R444" s="83"/>
      <c r="S444" s="83"/>
    </row>
    <row r="445" spans="1:19" ht="15.75" customHeight="1" x14ac:dyDescent="0.2">
      <c r="A445" s="69" t="s">
        <v>184</v>
      </c>
      <c r="C445" s="287"/>
      <c r="K445" s="287"/>
      <c r="L445" s="54"/>
      <c r="M445" s="54"/>
      <c r="N445" s="54"/>
      <c r="O445" s="54"/>
      <c r="P445" s="54"/>
      <c r="Q445" s="54"/>
      <c r="R445" s="83"/>
      <c r="S445" s="83"/>
    </row>
    <row r="446" spans="1:19" ht="15.75" customHeight="1" x14ac:dyDescent="0.25">
      <c r="C446" s="307"/>
      <c r="D446" s="147"/>
      <c r="E446" s="160" t="e">
        <f>D446*#REF!</f>
        <v>#REF!</v>
      </c>
      <c r="F446" s="160" t="e">
        <f>D446*#REF!</f>
        <v>#REF!</v>
      </c>
      <c r="G446" s="160" t="e">
        <f>(D446*#REF!)*#REF!</f>
        <v>#REF!</v>
      </c>
      <c r="H446" s="296">
        <f t="shared" ref="H446:H447" si="121">IFERROR(((Q446-G446)/G446),0)</f>
        <v>0</v>
      </c>
      <c r="I446" s="147" t="e">
        <f t="shared" ref="I446:I447" si="122">Q446-G446</f>
        <v>#REF!</v>
      </c>
      <c r="J446" s="97">
        <v>0</v>
      </c>
      <c r="K446" s="307"/>
      <c r="L446" s="54"/>
      <c r="M446" s="54"/>
      <c r="N446" s="54"/>
      <c r="O446" s="54"/>
      <c r="P446" s="54"/>
      <c r="Q446" s="54"/>
      <c r="R446" s="81"/>
      <c r="S446" s="81"/>
    </row>
    <row r="447" spans="1:19" ht="15.75" customHeight="1" x14ac:dyDescent="0.2">
      <c r="A447" s="239" t="s">
        <v>189</v>
      </c>
      <c r="B447" s="75"/>
      <c r="C447" s="299"/>
      <c r="D447" s="189">
        <f t="shared" ref="D447:G447" si="123">SUM(D446)</f>
        <v>0</v>
      </c>
      <c r="E447" s="189" t="e">
        <f t="shared" si="123"/>
        <v>#REF!</v>
      </c>
      <c r="F447" s="189" t="e">
        <f t="shared" si="123"/>
        <v>#REF!</v>
      </c>
      <c r="G447" s="189" t="e">
        <f t="shared" si="123"/>
        <v>#REF!</v>
      </c>
      <c r="H447" s="300">
        <f t="shared" si="121"/>
        <v>0</v>
      </c>
      <c r="I447" s="189" t="e">
        <f t="shared" si="122"/>
        <v>#REF!</v>
      </c>
      <c r="J447" s="189">
        <v>0</v>
      </c>
      <c r="K447" s="299"/>
      <c r="L447" s="77">
        <f t="shared" ref="L447:S447" si="124">SUM(L446)</f>
        <v>0</v>
      </c>
      <c r="M447" s="77">
        <f t="shared" si="124"/>
        <v>0</v>
      </c>
      <c r="N447" s="77">
        <f t="shared" si="124"/>
        <v>0</v>
      </c>
      <c r="O447" s="77">
        <f t="shared" si="124"/>
        <v>0</v>
      </c>
      <c r="P447" s="189">
        <f t="shared" si="124"/>
        <v>0</v>
      </c>
      <c r="Q447" s="189">
        <f t="shared" si="124"/>
        <v>0</v>
      </c>
      <c r="R447" s="77">
        <f t="shared" si="124"/>
        <v>0</v>
      </c>
      <c r="S447" s="77">
        <f t="shared" si="124"/>
        <v>0</v>
      </c>
    </row>
    <row r="448" spans="1:19" ht="15.75" customHeight="1" x14ac:dyDescent="0.2">
      <c r="C448" s="287"/>
      <c r="K448" s="287"/>
      <c r="L448" s="54"/>
      <c r="M448" s="54"/>
      <c r="N448" s="54"/>
      <c r="O448" s="54"/>
      <c r="P448" s="54"/>
      <c r="Q448" s="54"/>
      <c r="R448" s="83"/>
      <c r="S448" s="83"/>
    </row>
    <row r="449" spans="1:30" ht="15.75" customHeight="1" x14ac:dyDescent="0.2">
      <c r="A449" s="69" t="s">
        <v>190</v>
      </c>
      <c r="B449" s="51"/>
      <c r="C449" s="309"/>
      <c r="D449" s="193">
        <f t="shared" ref="D449:G449" si="125">D443+D447</f>
        <v>21998</v>
      </c>
      <c r="E449" s="193" t="e">
        <f t="shared" si="125"/>
        <v>#REF!</v>
      </c>
      <c r="F449" s="193" t="e">
        <f t="shared" si="125"/>
        <v>#REF!</v>
      </c>
      <c r="G449" s="193" t="e">
        <f t="shared" si="125"/>
        <v>#REF!</v>
      </c>
      <c r="H449" s="310">
        <f>IFERROR(((Q449-G449)/G449),0)</f>
        <v>0</v>
      </c>
      <c r="I449" s="193" t="e">
        <f>Q449-G449</f>
        <v>#REF!</v>
      </c>
      <c r="J449" s="193">
        <f>J447+J443</f>
        <v>0</v>
      </c>
      <c r="K449" s="309"/>
      <c r="L449" s="245">
        <f t="shared" ref="L449:S449" si="126">L443+L447</f>
        <v>45679</v>
      </c>
      <c r="M449" s="245">
        <f t="shared" si="126"/>
        <v>159479.54</v>
      </c>
      <c r="N449" s="245">
        <f t="shared" si="126"/>
        <v>228920</v>
      </c>
      <c r="O449" s="245">
        <f t="shared" si="126"/>
        <v>103300.37000000001</v>
      </c>
      <c r="P449" s="193">
        <f t="shared" si="126"/>
        <v>228920</v>
      </c>
      <c r="Q449" s="193">
        <f t="shared" si="126"/>
        <v>226920</v>
      </c>
      <c r="R449" s="245">
        <f t="shared" si="126"/>
        <v>226920</v>
      </c>
      <c r="S449" s="245">
        <f t="shared" si="126"/>
        <v>0</v>
      </c>
      <c r="W449" s="56"/>
      <c r="X449" s="56"/>
      <c r="Y449" s="56"/>
      <c r="Z449" s="56"/>
      <c r="AA449" s="56"/>
      <c r="AB449" s="56"/>
      <c r="AC449" s="56"/>
      <c r="AD449" s="56"/>
    </row>
    <row r="450" spans="1:30" ht="15.75" customHeight="1" x14ac:dyDescent="0.2">
      <c r="C450" s="287"/>
      <c r="K450" s="287"/>
    </row>
    <row r="451" spans="1:30" ht="15.75" customHeight="1" x14ac:dyDescent="0.2">
      <c r="C451" s="287"/>
      <c r="K451" s="287"/>
    </row>
    <row r="452" spans="1:30" ht="15.75" customHeight="1" x14ac:dyDescent="0.2">
      <c r="C452" s="288"/>
      <c r="K452" s="288"/>
      <c r="L452" s="269" t="s">
        <v>60</v>
      </c>
      <c r="M452" s="114" t="s">
        <v>61</v>
      </c>
      <c r="N452" s="269" t="s">
        <v>62</v>
      </c>
      <c r="O452" s="269" t="s">
        <v>541</v>
      </c>
      <c r="P452" s="269" t="s">
        <v>64</v>
      </c>
      <c r="Q452" s="269" t="s">
        <v>65</v>
      </c>
      <c r="R452" s="114" t="s">
        <v>586</v>
      </c>
    </row>
    <row r="453" spans="1:30" ht="15.75" customHeight="1" x14ac:dyDescent="0.2">
      <c r="C453" s="289"/>
      <c r="K453" s="289"/>
      <c r="L453" s="63">
        <f t="shared" ref="L453:R453" si="127">L449</f>
        <v>45679</v>
      </c>
      <c r="M453" s="63">
        <f t="shared" si="127"/>
        <v>159479.54</v>
      </c>
      <c r="N453" s="63">
        <f t="shared" si="127"/>
        <v>228920</v>
      </c>
      <c r="O453" s="63">
        <f t="shared" si="127"/>
        <v>103300.37000000001</v>
      </c>
      <c r="P453" s="63">
        <f t="shared" si="127"/>
        <v>228920</v>
      </c>
      <c r="Q453" s="63">
        <f t="shared" si="127"/>
        <v>226920</v>
      </c>
      <c r="R453" s="63">
        <f t="shared" si="127"/>
        <v>226920</v>
      </c>
    </row>
    <row r="454" spans="1:30" ht="15.75" customHeight="1" x14ac:dyDescent="0.2">
      <c r="C454" s="287"/>
      <c r="K454" s="287"/>
    </row>
    <row r="455" spans="1:30" ht="15.75" customHeight="1" x14ac:dyDescent="0.2">
      <c r="C455" s="287"/>
      <c r="K455" s="287"/>
    </row>
    <row r="456" spans="1:30" ht="15.75" customHeight="1" x14ac:dyDescent="0.2">
      <c r="C456" s="287"/>
      <c r="K456" s="287"/>
    </row>
    <row r="457" spans="1:30" ht="15.75" customHeight="1" x14ac:dyDescent="0.2">
      <c r="C457" s="287"/>
      <c r="K457" s="287"/>
    </row>
    <row r="458" spans="1:30" ht="15.75" customHeight="1" x14ac:dyDescent="0.2">
      <c r="C458" s="287"/>
      <c r="K458" s="287"/>
    </row>
    <row r="459" spans="1:30" ht="15.75" customHeight="1" x14ac:dyDescent="0.2">
      <c r="C459" s="287"/>
      <c r="K459" s="287"/>
    </row>
    <row r="460" spans="1:30" ht="15.75" customHeight="1" x14ac:dyDescent="0.2">
      <c r="C460" s="287"/>
      <c r="K460" s="287"/>
    </row>
    <row r="461" spans="1:30" ht="15.75" customHeight="1" x14ac:dyDescent="0.2">
      <c r="C461" s="287"/>
      <c r="K461" s="287"/>
    </row>
    <row r="462" spans="1:30" ht="15.75" customHeight="1" x14ac:dyDescent="0.2">
      <c r="C462" s="287"/>
      <c r="K462" s="287"/>
    </row>
    <row r="463" spans="1:30" ht="15.75" customHeight="1" x14ac:dyDescent="0.2">
      <c r="C463" s="287"/>
      <c r="K463" s="287"/>
    </row>
    <row r="464" spans="1:30" ht="15.75" customHeight="1" x14ac:dyDescent="0.2">
      <c r="C464" s="287"/>
      <c r="K464" s="287"/>
    </row>
    <row r="465" spans="3:11" ht="15.75" customHeight="1" x14ac:dyDescent="0.2">
      <c r="C465" s="287"/>
      <c r="K465" s="287"/>
    </row>
    <row r="466" spans="3:11" ht="15.75" customHeight="1" x14ac:dyDescent="0.2">
      <c r="C466" s="287"/>
      <c r="K466" s="287"/>
    </row>
    <row r="467" spans="3:11" ht="15.75" customHeight="1" x14ac:dyDescent="0.2">
      <c r="C467" s="287"/>
      <c r="K467" s="287"/>
    </row>
    <row r="468" spans="3:11" ht="15.75" customHeight="1" x14ac:dyDescent="0.2">
      <c r="C468" s="287"/>
      <c r="K468" s="287"/>
    </row>
    <row r="469" spans="3:11" ht="15.75" customHeight="1" x14ac:dyDescent="0.2">
      <c r="C469" s="287"/>
      <c r="K469" s="287"/>
    </row>
    <row r="470" spans="3:11" ht="15.75" customHeight="1" x14ac:dyDescent="0.2">
      <c r="C470" s="287"/>
      <c r="K470" s="287"/>
    </row>
    <row r="471" spans="3:11" ht="15.75" customHeight="1" x14ac:dyDescent="0.2">
      <c r="C471" s="287"/>
      <c r="K471" s="287"/>
    </row>
    <row r="472" spans="3:11" ht="15.75" customHeight="1" x14ac:dyDescent="0.2">
      <c r="C472" s="287"/>
      <c r="K472" s="287"/>
    </row>
    <row r="473" spans="3:11" ht="15.75" customHeight="1" x14ac:dyDescent="0.2">
      <c r="C473" s="287"/>
      <c r="K473" s="287"/>
    </row>
    <row r="474" spans="3:11" ht="15.75" customHeight="1" x14ac:dyDescent="0.2">
      <c r="C474" s="287"/>
      <c r="K474" s="287"/>
    </row>
    <row r="475" spans="3:11" ht="15.75" customHeight="1" x14ac:dyDescent="0.2">
      <c r="C475" s="287"/>
      <c r="K475" s="287"/>
    </row>
    <row r="476" spans="3:11" ht="15.75" customHeight="1" x14ac:dyDescent="0.2">
      <c r="C476" s="287"/>
      <c r="K476" s="287"/>
    </row>
    <row r="477" spans="3:11" ht="15.75" customHeight="1" x14ac:dyDescent="0.2">
      <c r="C477" s="287"/>
      <c r="K477" s="287"/>
    </row>
    <row r="478" spans="3:11" ht="15.75" customHeight="1" x14ac:dyDescent="0.2">
      <c r="C478" s="287"/>
      <c r="K478" s="287"/>
    </row>
    <row r="479" spans="3:11" ht="15.75" customHeight="1" x14ac:dyDescent="0.2">
      <c r="C479" s="287"/>
      <c r="K479" s="287"/>
    </row>
    <row r="480" spans="3:11" ht="15.75" customHeight="1" x14ac:dyDescent="0.2">
      <c r="C480" s="287"/>
      <c r="K480" s="287"/>
    </row>
    <row r="481" spans="3:11" ht="15.75" customHeight="1" x14ac:dyDescent="0.2">
      <c r="C481" s="287"/>
      <c r="K481" s="287"/>
    </row>
    <row r="482" spans="3:11" ht="1.5" customHeight="1" x14ac:dyDescent="0.2">
      <c r="C482" s="287"/>
      <c r="K482" s="287"/>
    </row>
    <row r="483" spans="3:11" ht="15.75" customHeight="1" x14ac:dyDescent="0.2">
      <c r="C483" s="287"/>
      <c r="K483" s="287"/>
    </row>
    <row r="484" spans="3:11" ht="15.75" customHeight="1" x14ac:dyDescent="0.2">
      <c r="C484" s="287"/>
      <c r="K484" s="287"/>
    </row>
    <row r="485" spans="3:11" ht="15.75" customHeight="1" x14ac:dyDescent="0.2">
      <c r="C485" s="287"/>
      <c r="K485" s="287"/>
    </row>
    <row r="486" spans="3:11" ht="15.75" customHeight="1" x14ac:dyDescent="0.2">
      <c r="C486" s="287"/>
      <c r="K486" s="287"/>
    </row>
    <row r="487" spans="3:11" ht="15.75" customHeight="1" x14ac:dyDescent="0.2">
      <c r="C487" s="287"/>
      <c r="K487" s="287"/>
    </row>
    <row r="488" spans="3:11" ht="15.75" customHeight="1" x14ac:dyDescent="0.2">
      <c r="C488" s="287"/>
      <c r="K488" s="287"/>
    </row>
    <row r="489" spans="3:11" ht="15.75" customHeight="1" x14ac:dyDescent="0.2">
      <c r="C489" s="287"/>
      <c r="K489" s="287"/>
    </row>
    <row r="490" spans="3:11" ht="15.75" customHeight="1" x14ac:dyDescent="0.2">
      <c r="C490" s="287"/>
      <c r="K490" s="287"/>
    </row>
    <row r="491" spans="3:11" ht="15.75" customHeight="1" x14ac:dyDescent="0.2">
      <c r="C491" s="287"/>
      <c r="K491" s="287"/>
    </row>
    <row r="492" spans="3:11" ht="15.75" customHeight="1" x14ac:dyDescent="0.2">
      <c r="C492" s="287"/>
      <c r="K492" s="287"/>
    </row>
    <row r="493" spans="3:11" ht="15.75" customHeight="1" x14ac:dyDescent="0.2">
      <c r="C493" s="287"/>
      <c r="K493" s="287"/>
    </row>
    <row r="494" spans="3:11" ht="15.75" customHeight="1" x14ac:dyDescent="0.2">
      <c r="C494" s="287"/>
      <c r="K494" s="287"/>
    </row>
    <row r="495" spans="3:11" ht="15.75" customHeight="1" x14ac:dyDescent="0.2">
      <c r="C495" s="287"/>
      <c r="K495" s="287"/>
    </row>
    <row r="496" spans="3:11" ht="15.75" customHeight="1" x14ac:dyDescent="0.2">
      <c r="C496" s="287"/>
      <c r="K496" s="287"/>
    </row>
    <row r="497" spans="1:19" ht="15.75" customHeight="1" x14ac:dyDescent="0.2">
      <c r="C497" s="287"/>
      <c r="K497" s="287"/>
    </row>
    <row r="498" spans="1:19" ht="15.75" customHeight="1" x14ac:dyDescent="0.2">
      <c r="C498" s="287"/>
      <c r="K498" s="287"/>
    </row>
    <row r="499" spans="1:19" ht="15.75" customHeight="1" x14ac:dyDescent="0.2">
      <c r="C499" s="287"/>
      <c r="K499" s="287"/>
    </row>
    <row r="500" spans="1:19" ht="15.75" customHeight="1" x14ac:dyDescent="0.2">
      <c r="C500" s="287"/>
      <c r="K500" s="287"/>
    </row>
    <row r="501" spans="1:19" ht="15.75" customHeight="1" x14ac:dyDescent="0.2">
      <c r="C501" s="287"/>
      <c r="K501" s="287"/>
    </row>
    <row r="502" spans="1:19" ht="15.75" customHeight="1" x14ac:dyDescent="0.2">
      <c r="C502" s="287"/>
      <c r="K502" s="287"/>
    </row>
    <row r="503" spans="1:19" ht="15.75" customHeight="1" x14ac:dyDescent="0.2">
      <c r="C503" s="287"/>
      <c r="K503" s="287"/>
    </row>
    <row r="504" spans="1:19" ht="15.75" customHeight="1" x14ac:dyDescent="0.2">
      <c r="C504" s="287"/>
      <c r="K504" s="287"/>
    </row>
    <row r="505" spans="1:19" ht="15.75" customHeight="1" x14ac:dyDescent="0.2">
      <c r="A505" s="3" t="s">
        <v>50</v>
      </c>
      <c r="B505" s="3" t="s">
        <v>51</v>
      </c>
      <c r="C505" s="292"/>
      <c r="D505" s="99" t="s">
        <v>52</v>
      </c>
      <c r="E505" s="100" t="s">
        <v>53</v>
      </c>
      <c r="F505" s="100" t="s">
        <v>54</v>
      </c>
      <c r="G505" s="100" t="s">
        <v>55</v>
      </c>
      <c r="H505" s="24" t="s">
        <v>56</v>
      </c>
      <c r="I505" s="24" t="s">
        <v>57</v>
      </c>
      <c r="J505" s="101" t="s">
        <v>58</v>
      </c>
      <c r="K505" s="292"/>
      <c r="L505" s="3" t="s">
        <v>59</v>
      </c>
      <c r="M505" s="3" t="s">
        <v>60</v>
      </c>
      <c r="N505" s="3" t="s">
        <v>61</v>
      </c>
      <c r="O505" s="3" t="s">
        <v>62</v>
      </c>
      <c r="P505" s="293" t="s">
        <v>541</v>
      </c>
      <c r="Q505" s="293" t="s">
        <v>64</v>
      </c>
      <c r="R505" s="293" t="s">
        <v>65</v>
      </c>
      <c r="S505" s="293" t="s">
        <v>586</v>
      </c>
    </row>
    <row r="506" spans="1:19" ht="15.75" customHeight="1" x14ac:dyDescent="0.25">
      <c r="A506" s="565" t="s">
        <v>736</v>
      </c>
      <c r="B506" s="566"/>
      <c r="C506" s="566"/>
      <c r="D506" s="566"/>
      <c r="E506" s="65"/>
      <c r="F506" s="65"/>
      <c r="G506" s="275"/>
      <c r="H506" s="234"/>
      <c r="L506" s="65"/>
      <c r="M506" s="165"/>
      <c r="N506" s="65"/>
      <c r="O506" s="165"/>
      <c r="P506" s="157"/>
      <c r="Q506" s="157"/>
      <c r="R506" s="275"/>
      <c r="S506" s="275"/>
    </row>
    <row r="507" spans="1:19" ht="15.75" customHeight="1" x14ac:dyDescent="0.25">
      <c r="A507" s="66" t="s">
        <v>737</v>
      </c>
      <c r="B507" s="66" t="s">
        <v>68</v>
      </c>
      <c r="C507" s="295"/>
      <c r="D507" s="160">
        <v>104878</v>
      </c>
      <c r="E507" s="160" t="e">
        <f>D507*#REF!</f>
        <v>#REF!</v>
      </c>
      <c r="F507" s="160" t="e">
        <f>D507*#REF!</f>
        <v>#REF!</v>
      </c>
      <c r="G507" s="160" t="e">
        <f>(D507*#REF!)*#REF!</f>
        <v>#REF!</v>
      </c>
      <c r="H507" s="296">
        <f t="shared" ref="H507:H518" si="128">IFERROR(((Q507-G507)/G507),0)</f>
        <v>0</v>
      </c>
      <c r="I507" s="147" t="e">
        <f t="shared" ref="I507:I518" si="129">Q507-G507</f>
        <v>#REF!</v>
      </c>
      <c r="J507" s="97">
        <v>0</v>
      </c>
      <c r="K507" s="295"/>
      <c r="L507" s="20">
        <v>134117</v>
      </c>
      <c r="M507" s="20">
        <v>122614.05</v>
      </c>
      <c r="N507" s="20">
        <v>290931</v>
      </c>
      <c r="O507" s="20">
        <f>VLOOKUP(A507,TB!A:F,3)</f>
        <v>192571.31</v>
      </c>
      <c r="P507" s="160">
        <f t="shared" ref="P507:P510" si="130">O507/20*26</f>
        <v>250342.70300000001</v>
      </c>
      <c r="Q507" s="160">
        <v>313000</v>
      </c>
      <c r="R507" s="233">
        <f>VLOOKUP(A507,TB!A:F,6)</f>
        <v>313000</v>
      </c>
      <c r="S507" s="233">
        <f t="shared" ref="S507:S517" si="131">Q507-R507</f>
        <v>0</v>
      </c>
    </row>
    <row r="508" spans="1:19" ht="15.75" customHeight="1" x14ac:dyDescent="0.25">
      <c r="A508" s="66" t="s">
        <v>738</v>
      </c>
      <c r="B508" s="66" t="s">
        <v>70</v>
      </c>
      <c r="C508" s="295"/>
      <c r="D508" s="160">
        <v>1517</v>
      </c>
      <c r="E508" s="160" t="e">
        <f>D508*#REF!</f>
        <v>#REF!</v>
      </c>
      <c r="F508" s="160" t="e">
        <f>D508*#REF!</f>
        <v>#REF!</v>
      </c>
      <c r="G508" s="160" t="e">
        <f>(D508*#REF!)*#REF!</f>
        <v>#REF!</v>
      </c>
      <c r="H508" s="296">
        <f t="shared" si="128"/>
        <v>0</v>
      </c>
      <c r="I508" s="147" t="e">
        <f t="shared" si="129"/>
        <v>#REF!</v>
      </c>
      <c r="J508" s="97">
        <v>0</v>
      </c>
      <c r="K508" s="295"/>
      <c r="L508" s="20">
        <v>4044</v>
      </c>
      <c r="M508" s="20">
        <v>6586.39</v>
      </c>
      <c r="N508" s="20">
        <v>6500</v>
      </c>
      <c r="O508" s="20">
        <f>VLOOKUP(A508,TB!A:F,3)</f>
        <v>7421.51</v>
      </c>
      <c r="P508" s="160">
        <f t="shared" si="130"/>
        <v>9647.9630000000016</v>
      </c>
      <c r="Q508" s="160">
        <v>8800</v>
      </c>
      <c r="R508" s="233">
        <f>VLOOKUP(A508,TB!A:F,6)</f>
        <v>8800</v>
      </c>
      <c r="S508" s="233">
        <f t="shared" si="131"/>
        <v>0</v>
      </c>
    </row>
    <row r="509" spans="1:19" ht="15.75" customHeight="1" x14ac:dyDescent="0.25">
      <c r="A509" s="66" t="s">
        <v>739</v>
      </c>
      <c r="B509" s="66" t="s">
        <v>72</v>
      </c>
      <c r="C509" s="295"/>
      <c r="D509" s="160">
        <v>37761</v>
      </c>
      <c r="E509" s="160" t="e">
        <f>D509*#REF!</f>
        <v>#REF!</v>
      </c>
      <c r="F509" s="160" t="e">
        <f>D509*#REF!</f>
        <v>#REF!</v>
      </c>
      <c r="G509" s="160" t="e">
        <f>(D509*#REF!)*#REF!</f>
        <v>#REF!</v>
      </c>
      <c r="H509" s="296">
        <f t="shared" si="128"/>
        <v>0</v>
      </c>
      <c r="I509" s="147" t="e">
        <f t="shared" si="129"/>
        <v>#REF!</v>
      </c>
      <c r="J509" s="97">
        <v>0</v>
      </c>
      <c r="K509" s="295"/>
      <c r="L509" s="20">
        <v>51348</v>
      </c>
      <c r="M509" s="20">
        <v>60632.49</v>
      </c>
      <c r="N509" s="20">
        <v>166400</v>
      </c>
      <c r="O509" s="20">
        <f>VLOOKUP(A509,TB!A:F,3)</f>
        <v>95391.6</v>
      </c>
      <c r="P509" s="160">
        <f t="shared" si="130"/>
        <v>124009.08</v>
      </c>
      <c r="Q509" s="160">
        <v>157800</v>
      </c>
      <c r="R509" s="233">
        <f>VLOOKUP(A509,TB!A:F,6)</f>
        <v>157800</v>
      </c>
      <c r="S509" s="233">
        <f t="shared" si="131"/>
        <v>0</v>
      </c>
    </row>
    <row r="510" spans="1:19" ht="15.75" customHeight="1" x14ac:dyDescent="0.25">
      <c r="A510" s="66" t="s">
        <v>740</v>
      </c>
      <c r="B510" s="66" t="s">
        <v>451</v>
      </c>
      <c r="C510" s="295"/>
      <c r="D510" s="160">
        <v>480</v>
      </c>
      <c r="E510" s="160" t="e">
        <f>D510*#REF!</f>
        <v>#REF!</v>
      </c>
      <c r="F510" s="160" t="e">
        <f>D510*#REF!</f>
        <v>#REF!</v>
      </c>
      <c r="G510" s="160" t="e">
        <f>(D510*#REF!)*#REF!</f>
        <v>#REF!</v>
      </c>
      <c r="H510" s="296">
        <f t="shared" si="128"/>
        <v>0</v>
      </c>
      <c r="I510" s="147" t="e">
        <f t="shared" si="129"/>
        <v>#REF!</v>
      </c>
      <c r="J510" s="97">
        <v>0</v>
      </c>
      <c r="K510" s="295"/>
      <c r="L510" s="20">
        <v>983</v>
      </c>
      <c r="M510" s="20">
        <v>1172.67</v>
      </c>
      <c r="N510" s="20">
        <v>2800</v>
      </c>
      <c r="O510" s="20">
        <f>VLOOKUP(A510,TB!A:F,3)</f>
        <v>278.91000000000003</v>
      </c>
      <c r="P510" s="160">
        <f t="shared" si="130"/>
        <v>362.58300000000003</v>
      </c>
      <c r="Q510" s="160">
        <v>2800</v>
      </c>
      <c r="R510" s="233">
        <f>VLOOKUP(A510,TB!A:F,6)</f>
        <v>2800</v>
      </c>
      <c r="S510" s="233">
        <f t="shared" si="131"/>
        <v>0</v>
      </c>
    </row>
    <row r="511" spans="1:19" ht="15.75" customHeight="1" x14ac:dyDescent="0.25">
      <c r="A511" s="66" t="s">
        <v>741</v>
      </c>
      <c r="B511" s="66" t="s">
        <v>742</v>
      </c>
      <c r="C511" s="295"/>
      <c r="D511" s="160">
        <v>9550</v>
      </c>
      <c r="E511" s="160" t="e">
        <f>D511*#REF!</f>
        <v>#REF!</v>
      </c>
      <c r="F511" s="160" t="e">
        <f>D511*#REF!</f>
        <v>#REF!</v>
      </c>
      <c r="G511" s="160" t="e">
        <f>(D511*#REF!)*#REF!</f>
        <v>#REF!</v>
      </c>
      <c r="H511" s="296">
        <f t="shared" si="128"/>
        <v>0</v>
      </c>
      <c r="I511" s="147" t="e">
        <f t="shared" si="129"/>
        <v>#REF!</v>
      </c>
      <c r="J511" s="97">
        <v>0</v>
      </c>
      <c r="K511" s="295"/>
      <c r="L511" s="20">
        <v>7283</v>
      </c>
      <c r="M511" s="20">
        <v>3461.73</v>
      </c>
      <c r="N511" s="20">
        <v>19000</v>
      </c>
      <c r="O511" s="20">
        <f>VLOOKUP(A511,TB!A:F,3)</f>
        <v>1144.4100000000001</v>
      </c>
      <c r="P511" s="163">
        <f>N511</f>
        <v>19000</v>
      </c>
      <c r="Q511" s="160">
        <v>7500</v>
      </c>
      <c r="R511" s="233">
        <f>VLOOKUP(A511,TB!A:F,6)</f>
        <v>7500</v>
      </c>
      <c r="S511" s="233">
        <f t="shared" si="131"/>
        <v>0</v>
      </c>
    </row>
    <row r="512" spans="1:19" ht="15.75" customHeight="1" x14ac:dyDescent="0.25">
      <c r="A512" s="66" t="s">
        <v>743</v>
      </c>
      <c r="B512" s="66" t="s">
        <v>76</v>
      </c>
      <c r="C512" s="295"/>
      <c r="D512" s="160">
        <v>0</v>
      </c>
      <c r="E512" s="160" t="e">
        <f>D512*#REF!</f>
        <v>#REF!</v>
      </c>
      <c r="F512" s="160" t="e">
        <f>D512*#REF!</f>
        <v>#REF!</v>
      </c>
      <c r="G512" s="160" t="e">
        <f>(D512*#REF!)*#REF!</f>
        <v>#REF!</v>
      </c>
      <c r="H512" s="296">
        <f t="shared" si="128"/>
        <v>0</v>
      </c>
      <c r="I512" s="147" t="e">
        <f t="shared" si="129"/>
        <v>#REF!</v>
      </c>
      <c r="J512" s="97">
        <v>0</v>
      </c>
      <c r="K512" s="295"/>
      <c r="L512" s="20">
        <v>0</v>
      </c>
      <c r="M512" s="20">
        <v>1122</v>
      </c>
      <c r="N512" s="20">
        <v>1500</v>
      </c>
      <c r="O512" s="20">
        <f>VLOOKUP(A512,TB!A:F,3)</f>
        <v>1557.2</v>
      </c>
      <c r="P512" s="160">
        <f>O512/9*12</f>
        <v>2076.2666666666669</v>
      </c>
      <c r="Q512" s="160">
        <v>2000</v>
      </c>
      <c r="R512" s="233">
        <f>VLOOKUP(A512,TB!A:F,6)</f>
        <v>2000</v>
      </c>
      <c r="S512" s="233">
        <f t="shared" si="131"/>
        <v>0</v>
      </c>
    </row>
    <row r="513" spans="1:30" ht="15.75" customHeight="1" x14ac:dyDescent="0.25">
      <c r="A513" s="66" t="s">
        <v>744</v>
      </c>
      <c r="B513" s="66" t="s">
        <v>115</v>
      </c>
      <c r="C513" s="295"/>
      <c r="D513" s="160">
        <v>46</v>
      </c>
      <c r="E513" s="160" t="e">
        <f>D513*#REF!</f>
        <v>#REF!</v>
      </c>
      <c r="F513" s="160" t="e">
        <f>D513*#REF!</f>
        <v>#REF!</v>
      </c>
      <c r="G513" s="160" t="e">
        <f>(D513*#REF!)*#REF!</f>
        <v>#REF!</v>
      </c>
      <c r="H513" s="296">
        <f t="shared" si="128"/>
        <v>0</v>
      </c>
      <c r="I513" s="147" t="e">
        <f t="shared" si="129"/>
        <v>#REF!</v>
      </c>
      <c r="J513" s="97">
        <v>0</v>
      </c>
      <c r="K513" s="295"/>
      <c r="L513" s="20">
        <v>0</v>
      </c>
      <c r="M513" s="20">
        <v>831.97</v>
      </c>
      <c r="N513" s="20">
        <v>2500</v>
      </c>
      <c r="O513" s="20">
        <f>VLOOKUP(A513,TB!A:F,3)</f>
        <v>931.1</v>
      </c>
      <c r="P513" s="163">
        <f>N513</f>
        <v>2500</v>
      </c>
      <c r="Q513" s="160">
        <v>9000</v>
      </c>
      <c r="R513" s="233">
        <f>VLOOKUP(A513,TB!A:F,6)</f>
        <v>9000</v>
      </c>
      <c r="S513" s="233">
        <f t="shared" si="131"/>
        <v>0</v>
      </c>
    </row>
    <row r="514" spans="1:30" ht="15.75" customHeight="1" x14ac:dyDescent="0.25">
      <c r="A514" s="66" t="s">
        <v>745</v>
      </c>
      <c r="B514" s="66" t="s">
        <v>210</v>
      </c>
      <c r="C514" s="295"/>
      <c r="D514" s="160">
        <v>8742</v>
      </c>
      <c r="E514" s="160" t="e">
        <f>D514*#REF!</f>
        <v>#REF!</v>
      </c>
      <c r="F514" s="160" t="e">
        <f>D514*#REF!</f>
        <v>#REF!</v>
      </c>
      <c r="G514" s="160" t="e">
        <f>(D514*#REF!)*#REF!</f>
        <v>#REF!</v>
      </c>
      <c r="H514" s="296">
        <f t="shared" si="128"/>
        <v>0</v>
      </c>
      <c r="I514" s="147" t="e">
        <f t="shared" si="129"/>
        <v>#REF!</v>
      </c>
      <c r="J514" s="97">
        <v>0</v>
      </c>
      <c r="K514" s="295"/>
      <c r="L514" s="20">
        <v>13646</v>
      </c>
      <c r="M514" s="20">
        <v>0</v>
      </c>
      <c r="N514" s="20">
        <v>0</v>
      </c>
      <c r="O514" s="20">
        <f>VLOOKUP(A514,TB!A:F,3)</f>
        <v>0</v>
      </c>
      <c r="P514" s="160">
        <f>O514/9*12</f>
        <v>0</v>
      </c>
      <c r="Q514" s="160">
        <v>0</v>
      </c>
      <c r="R514" s="233">
        <f>VLOOKUP(A514,TB!A:F,6)</f>
        <v>0</v>
      </c>
      <c r="S514" s="233">
        <f t="shared" si="131"/>
        <v>0</v>
      </c>
    </row>
    <row r="515" spans="1:30" ht="15.75" customHeight="1" x14ac:dyDescent="0.25">
      <c r="A515" s="66" t="s">
        <v>746</v>
      </c>
      <c r="B515" s="66" t="s">
        <v>90</v>
      </c>
      <c r="C515" s="295"/>
      <c r="D515" s="160">
        <v>0</v>
      </c>
      <c r="E515" s="160" t="e">
        <f>D515*#REF!</f>
        <v>#REF!</v>
      </c>
      <c r="F515" s="160" t="e">
        <f>D515*#REF!</f>
        <v>#REF!</v>
      </c>
      <c r="G515" s="160" t="e">
        <f>(D515*#REF!)*#REF!</f>
        <v>#REF!</v>
      </c>
      <c r="H515" s="296">
        <f t="shared" si="128"/>
        <v>0</v>
      </c>
      <c r="I515" s="147" t="e">
        <f t="shared" si="129"/>
        <v>#REF!</v>
      </c>
      <c r="J515" s="97">
        <v>0</v>
      </c>
      <c r="K515" s="295"/>
      <c r="L515" s="20">
        <v>0</v>
      </c>
      <c r="M515" s="20">
        <v>2337</v>
      </c>
      <c r="N515" s="20">
        <v>2500</v>
      </c>
      <c r="O515" s="20">
        <f>VLOOKUP(A515,TB!A:F,3)</f>
        <v>310</v>
      </c>
      <c r="P515" s="163">
        <f>N515</f>
        <v>2500</v>
      </c>
      <c r="Q515" s="160">
        <v>2500</v>
      </c>
      <c r="R515" s="233">
        <f>VLOOKUP(A515,TB!A:F,6)</f>
        <v>2500</v>
      </c>
      <c r="S515" s="233">
        <f t="shared" si="131"/>
        <v>0</v>
      </c>
    </row>
    <row r="516" spans="1:30" ht="15.75" customHeight="1" x14ac:dyDescent="0.25">
      <c r="A516" s="66" t="s">
        <v>747</v>
      </c>
      <c r="B516" s="66" t="s">
        <v>502</v>
      </c>
      <c r="C516" s="295"/>
      <c r="D516" s="160">
        <v>1202</v>
      </c>
      <c r="E516" s="160" t="e">
        <f>D516*#REF!</f>
        <v>#REF!</v>
      </c>
      <c r="F516" s="160" t="e">
        <f>D516*#REF!</f>
        <v>#REF!</v>
      </c>
      <c r="G516" s="160" t="e">
        <f>(D516*#REF!)*#REF!</f>
        <v>#REF!</v>
      </c>
      <c r="H516" s="296">
        <f t="shared" si="128"/>
        <v>0</v>
      </c>
      <c r="I516" s="147" t="e">
        <f t="shared" si="129"/>
        <v>#REF!</v>
      </c>
      <c r="J516" s="97">
        <v>0</v>
      </c>
      <c r="K516" s="295"/>
      <c r="L516" s="20">
        <v>1568</v>
      </c>
      <c r="M516" s="20">
        <v>154.22</v>
      </c>
      <c r="N516" s="20">
        <v>0</v>
      </c>
      <c r="O516" s="20">
        <f>VLOOKUP(A516,TB!A:F,3)</f>
        <v>0</v>
      </c>
      <c r="P516" s="160">
        <f t="shared" ref="P516:P517" si="132">O516/9*12</f>
        <v>0</v>
      </c>
      <c r="Q516" s="160">
        <v>0</v>
      </c>
      <c r="R516" s="233">
        <f>VLOOKUP(A516,TB!A:F,6)</f>
        <v>0</v>
      </c>
      <c r="S516" s="233">
        <f t="shared" si="131"/>
        <v>0</v>
      </c>
    </row>
    <row r="517" spans="1:30" ht="15.75" customHeight="1" x14ac:dyDescent="0.25">
      <c r="A517" s="66" t="s">
        <v>748</v>
      </c>
      <c r="B517" s="66" t="s">
        <v>92</v>
      </c>
      <c r="C517" s="295"/>
      <c r="D517" s="160">
        <v>0</v>
      </c>
      <c r="E517" s="160" t="e">
        <f>D517*#REF!</f>
        <v>#REF!</v>
      </c>
      <c r="F517" s="160" t="e">
        <f>D517*#REF!</f>
        <v>#REF!</v>
      </c>
      <c r="G517" s="160" t="e">
        <f>(D517*#REF!)*#REF!</f>
        <v>#REF!</v>
      </c>
      <c r="H517" s="296">
        <f t="shared" si="128"/>
        <v>0</v>
      </c>
      <c r="I517" s="147" t="e">
        <f t="shared" si="129"/>
        <v>#REF!</v>
      </c>
      <c r="J517" s="97">
        <v>0</v>
      </c>
      <c r="K517" s="295"/>
      <c r="L517" s="20">
        <v>1089</v>
      </c>
      <c r="M517" s="20">
        <v>0</v>
      </c>
      <c r="N517" s="20">
        <v>0</v>
      </c>
      <c r="O517" s="20">
        <f>VLOOKUP(A517,TB!A:F,3)</f>
        <v>0</v>
      </c>
      <c r="P517" s="160">
        <f t="shared" si="132"/>
        <v>0</v>
      </c>
      <c r="Q517" s="160">
        <v>0</v>
      </c>
      <c r="R517" s="233">
        <f>VLOOKUP(A517,TB!A:F,6)</f>
        <v>0</v>
      </c>
      <c r="S517" s="233">
        <f t="shared" si="131"/>
        <v>0</v>
      </c>
    </row>
    <row r="518" spans="1:30" ht="15.75" customHeight="1" x14ac:dyDescent="0.25">
      <c r="A518" s="74" t="s">
        <v>749</v>
      </c>
      <c r="B518" s="75"/>
      <c r="C518" s="299"/>
      <c r="D518" s="189">
        <f t="shared" ref="D518:G518" si="133">SUM(D507:D517)</f>
        <v>164176</v>
      </c>
      <c r="E518" s="189" t="e">
        <f t="shared" si="133"/>
        <v>#REF!</v>
      </c>
      <c r="F518" s="189" t="e">
        <f t="shared" si="133"/>
        <v>#REF!</v>
      </c>
      <c r="G518" s="189" t="e">
        <f t="shared" si="133"/>
        <v>#REF!</v>
      </c>
      <c r="H518" s="300">
        <f t="shared" si="128"/>
        <v>0</v>
      </c>
      <c r="I518" s="189" t="e">
        <f t="shared" si="129"/>
        <v>#REF!</v>
      </c>
      <c r="J518" s="301">
        <v>0</v>
      </c>
      <c r="K518" s="299"/>
      <c r="L518" s="77">
        <f t="shared" ref="L518:S518" si="134">SUM(L507:L517)</f>
        <v>214078</v>
      </c>
      <c r="M518" s="77">
        <f t="shared" si="134"/>
        <v>198912.52000000002</v>
      </c>
      <c r="N518" s="77">
        <f t="shared" si="134"/>
        <v>492131</v>
      </c>
      <c r="O518" s="77">
        <f t="shared" si="134"/>
        <v>299606.03999999998</v>
      </c>
      <c r="P518" s="189">
        <f t="shared" si="134"/>
        <v>410438.59566666663</v>
      </c>
      <c r="Q518" s="189">
        <f t="shared" si="134"/>
        <v>503400</v>
      </c>
      <c r="R518" s="77">
        <f t="shared" si="134"/>
        <v>503400</v>
      </c>
      <c r="S518" s="77">
        <f t="shared" si="134"/>
        <v>0</v>
      </c>
    </row>
    <row r="519" spans="1:30" ht="15.75" customHeight="1" x14ac:dyDescent="0.2">
      <c r="C519" s="287"/>
      <c r="K519" s="287"/>
      <c r="L519" s="54"/>
      <c r="M519" s="54"/>
      <c r="N519" s="54"/>
      <c r="O519" s="54"/>
      <c r="P519" s="54"/>
      <c r="Q519" s="54"/>
      <c r="R519" s="81"/>
      <c r="S519" s="81"/>
    </row>
    <row r="520" spans="1:30" ht="15.75" customHeight="1" x14ac:dyDescent="0.2">
      <c r="A520" s="69" t="s">
        <v>184</v>
      </c>
      <c r="C520" s="287"/>
      <c r="K520" s="287"/>
      <c r="L520" s="54"/>
      <c r="M520" s="54"/>
      <c r="N520" s="54"/>
      <c r="O520" s="54"/>
      <c r="P520" s="54"/>
      <c r="Q520" s="54"/>
      <c r="R520" s="81"/>
      <c r="S520" s="81"/>
    </row>
    <row r="521" spans="1:30" ht="15.75" customHeight="1" x14ac:dyDescent="0.25">
      <c r="A521" s="51" t="s">
        <v>750</v>
      </c>
      <c r="B521" s="51" t="s">
        <v>751</v>
      </c>
      <c r="C521" s="307"/>
      <c r="D521" s="147">
        <v>-79616</v>
      </c>
      <c r="E521" s="160" t="e">
        <f>D521*#REF!</f>
        <v>#REF!</v>
      </c>
      <c r="F521" s="160" t="e">
        <f>D521*#REF!</f>
        <v>#REF!</v>
      </c>
      <c r="G521" s="160" t="e">
        <f>(D521*#REF!)*#REF!</f>
        <v>#REF!</v>
      </c>
      <c r="H521" s="296">
        <f t="shared" ref="H521:H522" si="135">IFERROR(((Q521-G521)/G521),0)</f>
        <v>0</v>
      </c>
      <c r="I521" s="147" t="e">
        <f t="shared" ref="I521:I522" si="136">Q521-G521</f>
        <v>#REF!</v>
      </c>
      <c r="J521" s="97">
        <v>0</v>
      </c>
      <c r="K521" s="307"/>
      <c r="L521" s="54">
        <v>-79616</v>
      </c>
      <c r="M521" s="54">
        <v>-83037.02</v>
      </c>
      <c r="N521" s="54">
        <v>-96000</v>
      </c>
      <c r="O521" s="20">
        <f>VLOOKUP(A521,TB!A:F,3)</f>
        <v>-89879.01</v>
      </c>
      <c r="P521" s="308">
        <f>N521</f>
        <v>-96000</v>
      </c>
      <c r="Q521" s="54">
        <v>-84000</v>
      </c>
      <c r="R521" s="233">
        <f>VLOOKUP(A521,TB!A:F,6)</f>
        <v>-84000</v>
      </c>
      <c r="S521" s="233">
        <f>Q521-R521</f>
        <v>0</v>
      </c>
    </row>
    <row r="522" spans="1:30" ht="15.75" customHeight="1" x14ac:dyDescent="0.2">
      <c r="A522" s="239" t="s">
        <v>189</v>
      </c>
      <c r="B522" s="75"/>
      <c r="C522" s="299"/>
      <c r="D522" s="189">
        <f t="shared" ref="D522:G522" si="137">SUM(D521)</f>
        <v>-79616</v>
      </c>
      <c r="E522" s="189" t="e">
        <f t="shared" si="137"/>
        <v>#REF!</v>
      </c>
      <c r="F522" s="189" t="e">
        <f t="shared" si="137"/>
        <v>#REF!</v>
      </c>
      <c r="G522" s="189" t="e">
        <f t="shared" si="137"/>
        <v>#REF!</v>
      </c>
      <c r="H522" s="300">
        <f t="shared" si="135"/>
        <v>0</v>
      </c>
      <c r="I522" s="189" t="e">
        <f t="shared" si="136"/>
        <v>#REF!</v>
      </c>
      <c r="J522" s="189">
        <f>SUM(J521)</f>
        <v>0</v>
      </c>
      <c r="K522" s="299"/>
      <c r="L522" s="77">
        <f t="shared" ref="L522:S522" si="138">SUM(L521)</f>
        <v>-79616</v>
      </c>
      <c r="M522" s="77">
        <f t="shared" si="138"/>
        <v>-83037.02</v>
      </c>
      <c r="N522" s="77">
        <f t="shared" si="138"/>
        <v>-96000</v>
      </c>
      <c r="O522" s="77">
        <f t="shared" si="138"/>
        <v>-89879.01</v>
      </c>
      <c r="P522" s="189">
        <f t="shared" si="138"/>
        <v>-96000</v>
      </c>
      <c r="Q522" s="189">
        <f t="shared" si="138"/>
        <v>-84000</v>
      </c>
      <c r="R522" s="77">
        <f t="shared" si="138"/>
        <v>-84000</v>
      </c>
      <c r="S522" s="77">
        <f t="shared" si="138"/>
        <v>0</v>
      </c>
    </row>
    <row r="523" spans="1:30" ht="15.75" customHeight="1" x14ac:dyDescent="0.2">
      <c r="C523" s="287"/>
      <c r="K523" s="287"/>
      <c r="L523" s="54"/>
      <c r="M523" s="54"/>
      <c r="N523" s="54"/>
      <c r="O523" s="54"/>
      <c r="P523" s="54"/>
      <c r="Q523" s="54"/>
      <c r="R523" s="81"/>
      <c r="S523" s="81"/>
    </row>
    <row r="524" spans="1:30" ht="15.75" customHeight="1" x14ac:dyDescent="0.2">
      <c r="A524" s="69" t="s">
        <v>190</v>
      </c>
      <c r="B524" s="51"/>
      <c r="C524" s="309"/>
      <c r="D524" s="193">
        <f t="shared" ref="D524:G524" si="139">D518+D522</f>
        <v>84560</v>
      </c>
      <c r="E524" s="193" t="e">
        <f t="shared" si="139"/>
        <v>#REF!</v>
      </c>
      <c r="F524" s="193" t="e">
        <f t="shared" si="139"/>
        <v>#REF!</v>
      </c>
      <c r="G524" s="193" t="e">
        <f t="shared" si="139"/>
        <v>#REF!</v>
      </c>
      <c r="H524" s="310">
        <f>IFERROR(((Q524-G524)/G524),0)</f>
        <v>0</v>
      </c>
      <c r="I524" s="193" t="e">
        <f>Q524-G524</f>
        <v>#REF!</v>
      </c>
      <c r="J524" s="193">
        <f>J518+J522</f>
        <v>0</v>
      </c>
      <c r="K524" s="309"/>
      <c r="L524" s="245">
        <f t="shared" ref="L524:S524" si="140">L518+L522</f>
        <v>134462</v>
      </c>
      <c r="M524" s="245">
        <f t="shared" si="140"/>
        <v>115875.50000000001</v>
      </c>
      <c r="N524" s="245">
        <f t="shared" si="140"/>
        <v>396131</v>
      </c>
      <c r="O524" s="245">
        <f t="shared" si="140"/>
        <v>209727.02999999997</v>
      </c>
      <c r="P524" s="193">
        <f t="shared" si="140"/>
        <v>314438.59566666663</v>
      </c>
      <c r="Q524" s="193">
        <f t="shared" si="140"/>
        <v>419400</v>
      </c>
      <c r="R524" s="245">
        <f t="shared" si="140"/>
        <v>419400</v>
      </c>
      <c r="S524" s="245">
        <f t="shared" si="140"/>
        <v>0</v>
      </c>
      <c r="W524" s="56"/>
      <c r="X524" s="56"/>
      <c r="Y524" s="56"/>
      <c r="Z524" s="56"/>
      <c r="AA524" s="56"/>
      <c r="AB524" s="56"/>
      <c r="AC524" s="56"/>
      <c r="AD524" s="56"/>
    </row>
    <row r="525" spans="1:30" ht="15.75" customHeight="1" x14ac:dyDescent="0.2">
      <c r="C525" s="287"/>
      <c r="K525" s="287"/>
    </row>
    <row r="526" spans="1:30" ht="15.75" customHeight="1" x14ac:dyDescent="0.2">
      <c r="C526" s="288"/>
      <c r="K526" s="288"/>
      <c r="L526" s="173" t="e">
        <f t="shared" ref="L526:R526" si="141">#REF!</f>
        <v>#REF!</v>
      </c>
      <c r="M526" s="173" t="e">
        <f t="shared" si="141"/>
        <v>#REF!</v>
      </c>
      <c r="N526" s="173" t="e">
        <f t="shared" si="141"/>
        <v>#REF!</v>
      </c>
      <c r="O526" s="173" t="e">
        <f t="shared" si="141"/>
        <v>#REF!</v>
      </c>
      <c r="P526" s="173" t="e">
        <f t="shared" si="141"/>
        <v>#REF!</v>
      </c>
      <c r="Q526" s="173" t="e">
        <f t="shared" si="141"/>
        <v>#REF!</v>
      </c>
      <c r="R526" s="173" t="e">
        <f t="shared" si="141"/>
        <v>#REF!</v>
      </c>
    </row>
    <row r="527" spans="1:30" ht="15.75" customHeight="1" x14ac:dyDescent="0.2">
      <c r="C527" s="289"/>
      <c r="K527" s="289"/>
      <c r="L527" s="63">
        <f t="shared" ref="L527:R527" si="142">L524</f>
        <v>134462</v>
      </c>
      <c r="M527" s="63">
        <f t="shared" si="142"/>
        <v>115875.50000000001</v>
      </c>
      <c r="N527" s="63">
        <f t="shared" si="142"/>
        <v>396131</v>
      </c>
      <c r="O527" s="63">
        <f t="shared" si="142"/>
        <v>209727.02999999997</v>
      </c>
      <c r="P527" s="63">
        <f t="shared" si="142"/>
        <v>314438.59566666663</v>
      </c>
      <c r="Q527" s="63">
        <f t="shared" si="142"/>
        <v>419400</v>
      </c>
      <c r="R527" s="63">
        <f t="shared" si="142"/>
        <v>419400</v>
      </c>
    </row>
    <row r="528" spans="1:30" ht="15.75" customHeight="1" x14ac:dyDescent="0.2">
      <c r="C528" s="287"/>
      <c r="K528" s="287"/>
    </row>
    <row r="529" spans="3:11" ht="15.75" customHeight="1" x14ac:dyDescent="0.2">
      <c r="C529" s="287"/>
      <c r="K529" s="287"/>
    </row>
    <row r="530" spans="3:11" ht="15.75" customHeight="1" x14ac:dyDescent="0.2">
      <c r="C530" s="287"/>
      <c r="K530" s="287"/>
    </row>
    <row r="531" spans="3:11" ht="15.75" customHeight="1" x14ac:dyDescent="0.2">
      <c r="C531" s="287"/>
      <c r="K531" s="287"/>
    </row>
    <row r="532" spans="3:11" ht="15.75" customHeight="1" x14ac:dyDescent="0.2">
      <c r="C532" s="287"/>
      <c r="K532" s="287"/>
    </row>
    <row r="533" spans="3:11" ht="15.75" customHeight="1" x14ac:dyDescent="0.2">
      <c r="C533" s="287"/>
      <c r="K533" s="287"/>
    </row>
    <row r="534" spans="3:11" ht="15.75" customHeight="1" x14ac:dyDescent="0.2">
      <c r="C534" s="287"/>
      <c r="K534" s="287"/>
    </row>
    <row r="535" spans="3:11" ht="15.75" customHeight="1" x14ac:dyDescent="0.2">
      <c r="C535" s="287"/>
      <c r="K535" s="287"/>
    </row>
    <row r="536" spans="3:11" ht="15.75" customHeight="1" x14ac:dyDescent="0.2">
      <c r="C536" s="287"/>
      <c r="K536" s="287"/>
    </row>
    <row r="537" spans="3:11" ht="15.75" customHeight="1" x14ac:dyDescent="0.2">
      <c r="C537" s="287"/>
      <c r="K537" s="287"/>
    </row>
    <row r="538" spans="3:11" ht="15.75" customHeight="1" x14ac:dyDescent="0.2">
      <c r="C538" s="287"/>
      <c r="K538" s="287"/>
    </row>
    <row r="539" spans="3:11" ht="15.75" customHeight="1" x14ac:dyDescent="0.2">
      <c r="C539" s="287"/>
      <c r="K539" s="287"/>
    </row>
    <row r="540" spans="3:11" ht="15.75" customHeight="1" x14ac:dyDescent="0.2">
      <c r="C540" s="287"/>
      <c r="K540" s="287"/>
    </row>
    <row r="541" spans="3:11" ht="15.75" customHeight="1" x14ac:dyDescent="0.2">
      <c r="C541" s="287"/>
      <c r="K541" s="287"/>
    </row>
    <row r="542" spans="3:11" ht="15.75" customHeight="1" x14ac:dyDescent="0.2">
      <c r="C542" s="287"/>
      <c r="K542" s="287"/>
    </row>
    <row r="543" spans="3:11" ht="15.75" customHeight="1" x14ac:dyDescent="0.2">
      <c r="C543" s="287"/>
      <c r="K543" s="287"/>
    </row>
    <row r="544" spans="3:11" ht="15.75" customHeight="1" x14ac:dyDescent="0.2">
      <c r="C544" s="287"/>
      <c r="K544" s="287"/>
    </row>
    <row r="545" spans="3:11" ht="15.75" customHeight="1" x14ac:dyDescent="0.2">
      <c r="C545" s="287"/>
      <c r="K545" s="287"/>
    </row>
    <row r="546" spans="3:11" ht="15.75" customHeight="1" x14ac:dyDescent="0.2">
      <c r="C546" s="287"/>
      <c r="K546" s="287"/>
    </row>
    <row r="547" spans="3:11" ht="15.75" customHeight="1" x14ac:dyDescent="0.2">
      <c r="C547" s="287"/>
      <c r="K547" s="287"/>
    </row>
    <row r="548" spans="3:11" ht="15.75" customHeight="1" x14ac:dyDescent="0.2">
      <c r="C548" s="287"/>
      <c r="K548" s="287"/>
    </row>
    <row r="549" spans="3:11" ht="15.75" customHeight="1" x14ac:dyDescent="0.2">
      <c r="C549" s="287"/>
      <c r="K549" s="287"/>
    </row>
    <row r="550" spans="3:11" ht="15.75" customHeight="1" x14ac:dyDescent="0.2">
      <c r="C550" s="287"/>
      <c r="K550" s="287"/>
    </row>
    <row r="551" spans="3:11" ht="15.75" customHeight="1" x14ac:dyDescent="0.2">
      <c r="C551" s="287"/>
      <c r="K551" s="287"/>
    </row>
    <row r="552" spans="3:11" ht="15.75" customHeight="1" x14ac:dyDescent="0.2">
      <c r="C552" s="287"/>
      <c r="K552" s="287"/>
    </row>
    <row r="553" spans="3:11" ht="15.75" customHeight="1" x14ac:dyDescent="0.2">
      <c r="C553" s="287"/>
      <c r="K553" s="287"/>
    </row>
    <row r="554" spans="3:11" ht="15.75" customHeight="1" x14ac:dyDescent="0.2">
      <c r="C554" s="287"/>
      <c r="K554" s="287"/>
    </row>
    <row r="555" spans="3:11" ht="15.75" customHeight="1" x14ac:dyDescent="0.2">
      <c r="C555" s="287"/>
      <c r="K555" s="287"/>
    </row>
    <row r="556" spans="3:11" ht="15.75" customHeight="1" x14ac:dyDescent="0.2">
      <c r="C556" s="287"/>
      <c r="K556" s="287"/>
    </row>
    <row r="557" spans="3:11" ht="15.75" customHeight="1" x14ac:dyDescent="0.2">
      <c r="C557" s="287"/>
      <c r="K557" s="287"/>
    </row>
    <row r="558" spans="3:11" ht="15.75" customHeight="1" x14ac:dyDescent="0.2">
      <c r="C558" s="287"/>
      <c r="K558" s="287"/>
    </row>
    <row r="559" spans="3:11" ht="15.75" customHeight="1" x14ac:dyDescent="0.2">
      <c r="C559" s="287"/>
      <c r="K559" s="287"/>
    </row>
    <row r="560" spans="3:11" ht="15.75" customHeight="1" x14ac:dyDescent="0.2">
      <c r="C560" s="287"/>
      <c r="K560" s="287"/>
    </row>
    <row r="561" spans="3:11" ht="15.75" customHeight="1" x14ac:dyDescent="0.2">
      <c r="C561" s="287"/>
      <c r="K561" s="287"/>
    </row>
    <row r="562" spans="3:11" ht="15.75" customHeight="1" x14ac:dyDescent="0.2">
      <c r="C562" s="287"/>
      <c r="K562" s="287"/>
    </row>
    <row r="563" spans="3:11" ht="15.75" customHeight="1" x14ac:dyDescent="0.2">
      <c r="C563" s="287"/>
      <c r="K563" s="287"/>
    </row>
    <row r="564" spans="3:11" ht="15.75" customHeight="1" x14ac:dyDescent="0.2">
      <c r="C564" s="287"/>
      <c r="K564" s="287"/>
    </row>
    <row r="565" spans="3:11" ht="15.75" customHeight="1" x14ac:dyDescent="0.2">
      <c r="C565" s="287"/>
      <c r="K565" s="287"/>
    </row>
    <row r="566" spans="3:11" ht="15.75" customHeight="1" x14ac:dyDescent="0.2">
      <c r="C566" s="287"/>
      <c r="K566" s="287"/>
    </row>
    <row r="567" spans="3:11" ht="15.75" customHeight="1" x14ac:dyDescent="0.2">
      <c r="C567" s="287"/>
      <c r="K567" s="287"/>
    </row>
    <row r="568" spans="3:11" ht="15.75" customHeight="1" x14ac:dyDescent="0.2">
      <c r="C568" s="287"/>
      <c r="K568" s="287"/>
    </row>
    <row r="569" spans="3:11" ht="15.75" customHeight="1" x14ac:dyDescent="0.2">
      <c r="C569" s="287"/>
      <c r="K569" s="287"/>
    </row>
    <row r="570" spans="3:11" ht="15.75" customHeight="1" x14ac:dyDescent="0.2">
      <c r="C570" s="287"/>
      <c r="K570" s="287"/>
    </row>
    <row r="571" spans="3:11" ht="15.75" customHeight="1" x14ac:dyDescent="0.2">
      <c r="C571" s="287"/>
      <c r="K571" s="287"/>
    </row>
    <row r="572" spans="3:11" ht="15.75" customHeight="1" x14ac:dyDescent="0.2">
      <c r="C572" s="287"/>
      <c r="K572" s="287"/>
    </row>
    <row r="573" spans="3:11" ht="15.75" customHeight="1" x14ac:dyDescent="0.2">
      <c r="C573" s="287"/>
      <c r="K573" s="287"/>
    </row>
    <row r="574" spans="3:11" ht="15.75" customHeight="1" x14ac:dyDescent="0.2">
      <c r="C574" s="287"/>
      <c r="K574" s="287"/>
    </row>
    <row r="575" spans="3:11" ht="15.75" customHeight="1" x14ac:dyDescent="0.2">
      <c r="C575" s="287"/>
      <c r="K575" s="287"/>
    </row>
    <row r="576" spans="3:11" ht="15.75" customHeight="1" x14ac:dyDescent="0.2">
      <c r="C576" s="287"/>
      <c r="K576" s="287"/>
    </row>
    <row r="577" spans="1:19" ht="15.75" customHeight="1" x14ac:dyDescent="0.2">
      <c r="A577" s="3" t="s">
        <v>50</v>
      </c>
      <c r="B577" s="3" t="s">
        <v>51</v>
      </c>
      <c r="C577" s="292"/>
      <c r="D577" s="99" t="s">
        <v>52</v>
      </c>
      <c r="E577" s="100" t="s">
        <v>53</v>
      </c>
      <c r="F577" s="100" t="s">
        <v>54</v>
      </c>
      <c r="G577" s="100" t="s">
        <v>55</v>
      </c>
      <c r="H577" s="24" t="s">
        <v>56</v>
      </c>
      <c r="I577" s="24" t="s">
        <v>57</v>
      </c>
      <c r="J577" s="101" t="s">
        <v>58</v>
      </c>
      <c r="K577" s="292"/>
      <c r="L577" s="3" t="s">
        <v>59</v>
      </c>
      <c r="M577" s="3" t="s">
        <v>60</v>
      </c>
      <c r="N577" s="3" t="s">
        <v>61</v>
      </c>
      <c r="O577" s="3" t="s">
        <v>62</v>
      </c>
      <c r="P577" s="293" t="s">
        <v>541</v>
      </c>
      <c r="Q577" s="293" t="s">
        <v>64</v>
      </c>
      <c r="R577" s="293" t="s">
        <v>65</v>
      </c>
      <c r="S577" s="293" t="s">
        <v>586</v>
      </c>
    </row>
    <row r="578" spans="1:19" ht="15.75" customHeight="1" x14ac:dyDescent="0.25">
      <c r="A578" s="565" t="s">
        <v>752</v>
      </c>
      <c r="B578" s="566"/>
      <c r="C578" s="311"/>
      <c r="D578" s="66"/>
      <c r="E578" s="65"/>
      <c r="F578" s="65"/>
      <c r="G578" s="275"/>
      <c r="H578" s="234"/>
      <c r="K578" s="311"/>
      <c r="L578" s="65"/>
      <c r="M578" s="165"/>
      <c r="N578" s="65"/>
      <c r="O578" s="165"/>
      <c r="P578" s="157"/>
      <c r="Q578" s="157"/>
      <c r="R578" s="275"/>
      <c r="S578" s="275"/>
    </row>
    <row r="579" spans="1:19" ht="15.75" customHeight="1" x14ac:dyDescent="0.25">
      <c r="A579" s="66" t="s">
        <v>753</v>
      </c>
      <c r="B579" s="66" t="s">
        <v>68</v>
      </c>
      <c r="C579" s="295"/>
      <c r="D579" s="160">
        <v>0</v>
      </c>
      <c r="E579" s="160" t="e">
        <f>D579*#REF!</f>
        <v>#REF!</v>
      </c>
      <c r="F579" s="160" t="e">
        <f>D579*#REF!</f>
        <v>#REF!</v>
      </c>
      <c r="G579" s="160" t="e">
        <f>(D579*#REF!)*#REF!</f>
        <v>#REF!</v>
      </c>
      <c r="H579" s="296">
        <f t="shared" ref="H579:H597" si="143">IFERROR(((Q579-G579)/G579),0)</f>
        <v>0</v>
      </c>
      <c r="I579" s="147" t="e">
        <f t="shared" ref="I579:I597" si="144">Q579-G579</f>
        <v>#REF!</v>
      </c>
      <c r="J579" s="97">
        <v>0</v>
      </c>
      <c r="K579" s="295"/>
      <c r="L579" s="20">
        <v>131453</v>
      </c>
      <c r="M579" s="20">
        <v>159816.60999999999</v>
      </c>
      <c r="N579" s="20">
        <v>204830</v>
      </c>
      <c r="O579" s="20">
        <f>VLOOKUP(A579,TB!A:F,3)</f>
        <v>145154.47</v>
      </c>
      <c r="P579" s="160">
        <f t="shared" ref="P579:P583" si="145">O579/20*26</f>
        <v>188700.81099999999</v>
      </c>
      <c r="Q579" s="160">
        <v>219200</v>
      </c>
      <c r="R579" s="233">
        <f>VLOOKUP(A579,TB!A:F,6)</f>
        <v>219200</v>
      </c>
      <c r="S579" s="233">
        <f t="shared" ref="S579:S596" si="146">Q579-R579</f>
        <v>0</v>
      </c>
    </row>
    <row r="580" spans="1:19" ht="15.75" customHeight="1" x14ac:dyDescent="0.25">
      <c r="A580" s="66" t="s">
        <v>754</v>
      </c>
      <c r="B580" s="66" t="s">
        <v>70</v>
      </c>
      <c r="C580" s="295"/>
      <c r="D580" s="160">
        <v>0</v>
      </c>
      <c r="E580" s="160" t="e">
        <f>D580*#REF!</f>
        <v>#REF!</v>
      </c>
      <c r="F580" s="160" t="e">
        <f>D580*#REF!</f>
        <v>#REF!</v>
      </c>
      <c r="G580" s="160" t="e">
        <f>(D580*#REF!)*#REF!</f>
        <v>#REF!</v>
      </c>
      <c r="H580" s="296">
        <f t="shared" si="143"/>
        <v>0</v>
      </c>
      <c r="I580" s="147" t="e">
        <f t="shared" si="144"/>
        <v>#REF!</v>
      </c>
      <c r="J580" s="97">
        <v>0</v>
      </c>
      <c r="K580" s="295"/>
      <c r="L580" s="20">
        <v>1473</v>
      </c>
      <c r="M580" s="20">
        <v>4448.6099999999997</v>
      </c>
      <c r="N580" s="20">
        <v>6500</v>
      </c>
      <c r="O580" s="20">
        <f>VLOOKUP(A580,TB!A:F,3)</f>
        <v>3562.59</v>
      </c>
      <c r="P580" s="160">
        <f t="shared" si="145"/>
        <v>4631.3670000000002</v>
      </c>
      <c r="Q580" s="160">
        <v>6500</v>
      </c>
      <c r="R580" s="233">
        <f>VLOOKUP(A580,TB!A:F,6)</f>
        <v>6500</v>
      </c>
      <c r="S580" s="233">
        <f t="shared" si="146"/>
        <v>0</v>
      </c>
    </row>
    <row r="581" spans="1:19" ht="15.75" customHeight="1" x14ac:dyDescent="0.25">
      <c r="A581" s="66" t="s">
        <v>755</v>
      </c>
      <c r="B581" s="66" t="s">
        <v>132</v>
      </c>
      <c r="C581" s="295"/>
      <c r="D581" s="160">
        <v>0</v>
      </c>
      <c r="E581" s="160" t="e">
        <f>D581*#REF!</f>
        <v>#REF!</v>
      </c>
      <c r="F581" s="160" t="e">
        <f>D581*#REF!</f>
        <v>#REF!</v>
      </c>
      <c r="G581" s="160" t="e">
        <f>(D581*#REF!)*#REF!</f>
        <v>#REF!</v>
      </c>
      <c r="H581" s="296">
        <f t="shared" si="143"/>
        <v>0</v>
      </c>
      <c r="I581" s="147" t="e">
        <f t="shared" si="144"/>
        <v>#REF!</v>
      </c>
      <c r="J581" s="97">
        <v>0</v>
      </c>
      <c r="K581" s="295"/>
      <c r="L581" s="20">
        <v>78724</v>
      </c>
      <c r="M581" s="20">
        <v>71576.3</v>
      </c>
      <c r="N581" s="20">
        <v>64498</v>
      </c>
      <c r="O581" s="20">
        <f>VLOOKUP(A581,TB!A:F,3)</f>
        <v>49197.13</v>
      </c>
      <c r="P581" s="160">
        <f t="shared" si="145"/>
        <v>63956.269</v>
      </c>
      <c r="Q581" s="160">
        <v>86000</v>
      </c>
      <c r="R581" s="233">
        <f>VLOOKUP(A581,TB!A:F,6)</f>
        <v>86000</v>
      </c>
      <c r="S581" s="233">
        <f t="shared" si="146"/>
        <v>0</v>
      </c>
    </row>
    <row r="582" spans="1:19" ht="15.75" customHeight="1" x14ac:dyDescent="0.25">
      <c r="A582" s="66" t="s">
        <v>756</v>
      </c>
      <c r="B582" s="66" t="s">
        <v>108</v>
      </c>
      <c r="C582" s="295"/>
      <c r="D582" s="160">
        <v>0</v>
      </c>
      <c r="E582" s="160" t="e">
        <f>D582*#REF!</f>
        <v>#REF!</v>
      </c>
      <c r="F582" s="160" t="e">
        <f>D582*#REF!</f>
        <v>#REF!</v>
      </c>
      <c r="G582" s="160" t="e">
        <f>(D582*#REF!)*#REF!</f>
        <v>#REF!</v>
      </c>
      <c r="H582" s="296">
        <f t="shared" si="143"/>
        <v>0</v>
      </c>
      <c r="I582" s="147" t="e">
        <f t="shared" si="144"/>
        <v>#REF!</v>
      </c>
      <c r="J582" s="97">
        <v>0</v>
      </c>
      <c r="K582" s="295"/>
      <c r="L582" s="20">
        <v>0</v>
      </c>
      <c r="M582" s="20">
        <v>0</v>
      </c>
      <c r="N582" s="20">
        <v>0</v>
      </c>
      <c r="O582" s="20">
        <f>VLOOKUP(A582,TB!A:F,3)</f>
        <v>49197.13</v>
      </c>
      <c r="P582" s="160">
        <f t="shared" si="145"/>
        <v>63956.269</v>
      </c>
      <c r="Q582" s="160">
        <v>0</v>
      </c>
      <c r="R582" s="233">
        <v>0</v>
      </c>
      <c r="S582" s="233">
        <f t="shared" si="146"/>
        <v>0</v>
      </c>
    </row>
    <row r="583" spans="1:19" ht="15.75" customHeight="1" x14ac:dyDescent="0.25">
      <c r="A583" s="66" t="s">
        <v>757</v>
      </c>
      <c r="B583" s="66" t="s">
        <v>72</v>
      </c>
      <c r="C583" s="295"/>
      <c r="D583" s="160">
        <v>0</v>
      </c>
      <c r="E583" s="160" t="e">
        <f>D583*#REF!</f>
        <v>#REF!</v>
      </c>
      <c r="F583" s="160" t="e">
        <f>D583*#REF!</f>
        <v>#REF!</v>
      </c>
      <c r="G583" s="160" t="e">
        <f>(D583*#REF!)*#REF!</f>
        <v>#REF!</v>
      </c>
      <c r="H583" s="296">
        <f t="shared" si="143"/>
        <v>0</v>
      </c>
      <c r="I583" s="147" t="e">
        <f t="shared" si="144"/>
        <v>#REF!</v>
      </c>
      <c r="J583" s="97">
        <v>0</v>
      </c>
      <c r="K583" s="295"/>
      <c r="L583" s="20">
        <v>71360</v>
      </c>
      <c r="M583" s="20">
        <v>79982.98</v>
      </c>
      <c r="N583" s="20">
        <v>99908</v>
      </c>
      <c r="O583" s="20">
        <f>VLOOKUP(A583,TB!A:F,3)</f>
        <v>70541.740000000005</v>
      </c>
      <c r="P583" s="160">
        <f t="shared" si="145"/>
        <v>91704.262000000017</v>
      </c>
      <c r="Q583" s="160">
        <v>109600</v>
      </c>
      <c r="R583" s="233">
        <f>VLOOKUP(A583,TB!A:F,6)</f>
        <v>109600</v>
      </c>
      <c r="S583" s="233">
        <f t="shared" si="146"/>
        <v>0</v>
      </c>
    </row>
    <row r="584" spans="1:19" ht="15.75" customHeight="1" x14ac:dyDescent="0.25">
      <c r="A584" s="66" t="s">
        <v>758</v>
      </c>
      <c r="B584" s="66" t="s">
        <v>74</v>
      </c>
      <c r="C584" s="295"/>
      <c r="D584" s="160">
        <v>0</v>
      </c>
      <c r="E584" s="160" t="e">
        <f>D584*#REF!</f>
        <v>#REF!</v>
      </c>
      <c r="F584" s="160" t="e">
        <f>D584*#REF!</f>
        <v>#REF!</v>
      </c>
      <c r="G584" s="160" t="e">
        <f>(D584*#REF!)*#REF!</f>
        <v>#REF!</v>
      </c>
      <c r="H584" s="296">
        <f t="shared" si="143"/>
        <v>0</v>
      </c>
      <c r="I584" s="147" t="e">
        <f t="shared" si="144"/>
        <v>#REF!</v>
      </c>
      <c r="J584" s="97">
        <v>0</v>
      </c>
      <c r="K584" s="295"/>
      <c r="L584" s="20">
        <v>147</v>
      </c>
      <c r="M584" s="20">
        <v>0</v>
      </c>
      <c r="N584" s="20">
        <v>500</v>
      </c>
      <c r="O584" s="20">
        <f>VLOOKUP(A584,TB!A:F,3)</f>
        <v>0</v>
      </c>
      <c r="P584" s="163">
        <f t="shared" ref="P584:P588" si="147">N584</f>
        <v>500</v>
      </c>
      <c r="Q584" s="160">
        <v>500</v>
      </c>
      <c r="R584" s="233">
        <f>VLOOKUP(A584,TB!A:F,6)</f>
        <v>500</v>
      </c>
      <c r="S584" s="233">
        <f t="shared" si="146"/>
        <v>0</v>
      </c>
    </row>
    <row r="585" spans="1:19" ht="15.75" customHeight="1" x14ac:dyDescent="0.25">
      <c r="A585" s="66" t="s">
        <v>759</v>
      </c>
      <c r="B585" s="66" t="s">
        <v>76</v>
      </c>
      <c r="C585" s="295"/>
      <c r="D585" s="160">
        <v>0</v>
      </c>
      <c r="E585" s="160" t="e">
        <f>D585*#REF!</f>
        <v>#REF!</v>
      </c>
      <c r="F585" s="160" t="e">
        <f>D585*#REF!</f>
        <v>#REF!</v>
      </c>
      <c r="G585" s="160" t="e">
        <f>(D585*#REF!)*#REF!</f>
        <v>#REF!</v>
      </c>
      <c r="H585" s="296">
        <f t="shared" si="143"/>
        <v>0</v>
      </c>
      <c r="I585" s="147" t="e">
        <f t="shared" si="144"/>
        <v>#REF!</v>
      </c>
      <c r="J585" s="97">
        <v>0</v>
      </c>
      <c r="K585" s="295"/>
      <c r="L585" s="20">
        <v>0</v>
      </c>
      <c r="M585" s="20">
        <v>0</v>
      </c>
      <c r="N585" s="20">
        <v>1000</v>
      </c>
      <c r="O585" s="20">
        <f>VLOOKUP(A585,TB!A:F,3)</f>
        <v>0</v>
      </c>
      <c r="P585" s="163">
        <f t="shared" si="147"/>
        <v>1000</v>
      </c>
      <c r="Q585" s="160">
        <v>500</v>
      </c>
      <c r="R585" s="233">
        <f>VLOOKUP(A585,TB!A:F,6)</f>
        <v>500</v>
      </c>
      <c r="S585" s="233">
        <f t="shared" si="146"/>
        <v>0</v>
      </c>
    </row>
    <row r="586" spans="1:19" ht="15.75" customHeight="1" x14ac:dyDescent="0.25">
      <c r="A586" s="66" t="s">
        <v>760</v>
      </c>
      <c r="B586" s="66" t="s">
        <v>80</v>
      </c>
      <c r="C586" s="295"/>
      <c r="D586" s="160">
        <v>0</v>
      </c>
      <c r="E586" s="160" t="e">
        <f>D586*#REF!</f>
        <v>#REF!</v>
      </c>
      <c r="F586" s="160" t="e">
        <f>D586*#REF!</f>
        <v>#REF!</v>
      </c>
      <c r="G586" s="160" t="e">
        <f>(D586*#REF!)*#REF!</f>
        <v>#REF!</v>
      </c>
      <c r="H586" s="296">
        <f t="shared" si="143"/>
        <v>0</v>
      </c>
      <c r="I586" s="147" t="e">
        <f t="shared" si="144"/>
        <v>#REF!</v>
      </c>
      <c r="J586" s="97">
        <v>0</v>
      </c>
      <c r="K586" s="295"/>
      <c r="L586" s="20">
        <v>5600</v>
      </c>
      <c r="M586" s="20">
        <v>1585.54</v>
      </c>
      <c r="N586" s="20">
        <v>3000</v>
      </c>
      <c r="O586" s="20">
        <f>VLOOKUP(A586,TB!A:F,3)</f>
        <v>2074.5</v>
      </c>
      <c r="P586" s="163">
        <f t="shared" si="147"/>
        <v>3000</v>
      </c>
      <c r="Q586" s="160">
        <v>3010</v>
      </c>
      <c r="R586" s="233">
        <f>VLOOKUP(A586,TB!A:F,6)</f>
        <v>3010</v>
      </c>
      <c r="S586" s="233">
        <f t="shared" si="146"/>
        <v>0</v>
      </c>
    </row>
    <row r="587" spans="1:19" ht="15.75" customHeight="1" x14ac:dyDescent="0.25">
      <c r="A587" s="66" t="s">
        <v>761</v>
      </c>
      <c r="B587" s="66" t="s">
        <v>82</v>
      </c>
      <c r="C587" s="295"/>
      <c r="D587" s="160">
        <v>0</v>
      </c>
      <c r="E587" s="160" t="e">
        <f>D587*#REF!</f>
        <v>#REF!</v>
      </c>
      <c r="F587" s="160" t="e">
        <f>D587*#REF!</f>
        <v>#REF!</v>
      </c>
      <c r="G587" s="160" t="e">
        <f>(D587*#REF!)*#REF!</f>
        <v>#REF!</v>
      </c>
      <c r="H587" s="296">
        <f t="shared" si="143"/>
        <v>0</v>
      </c>
      <c r="I587" s="147" t="e">
        <f t="shared" si="144"/>
        <v>#REF!</v>
      </c>
      <c r="J587" s="97">
        <v>0</v>
      </c>
      <c r="K587" s="295"/>
      <c r="L587" s="20">
        <v>21054</v>
      </c>
      <c r="M587" s="20">
        <v>65665.67</v>
      </c>
      <c r="N587" s="20">
        <v>64000</v>
      </c>
      <c r="O587" s="20">
        <f>VLOOKUP(A587,TB!A:F,3)</f>
        <v>25390.87</v>
      </c>
      <c r="P587" s="163">
        <f t="shared" si="147"/>
        <v>64000</v>
      </c>
      <c r="Q587" s="160">
        <v>30000</v>
      </c>
      <c r="R587" s="233">
        <f>VLOOKUP(A587,TB!A:F,6)</f>
        <v>30000</v>
      </c>
      <c r="S587" s="233">
        <f t="shared" si="146"/>
        <v>0</v>
      </c>
    </row>
    <row r="588" spans="1:19" ht="15.75" customHeight="1" x14ac:dyDescent="0.25">
      <c r="A588" s="66" t="s">
        <v>762</v>
      </c>
      <c r="B588" s="66" t="s">
        <v>115</v>
      </c>
      <c r="C588" s="295"/>
      <c r="D588" s="160">
        <v>0</v>
      </c>
      <c r="E588" s="160" t="e">
        <f>D588*#REF!</f>
        <v>#REF!</v>
      </c>
      <c r="F588" s="160" t="e">
        <f>D588*#REF!</f>
        <v>#REF!</v>
      </c>
      <c r="G588" s="160" t="e">
        <f>(D588*#REF!)*#REF!</f>
        <v>#REF!</v>
      </c>
      <c r="H588" s="296">
        <f t="shared" si="143"/>
        <v>0</v>
      </c>
      <c r="I588" s="147" t="e">
        <f t="shared" si="144"/>
        <v>#REF!</v>
      </c>
      <c r="J588" s="97">
        <v>0</v>
      </c>
      <c r="K588" s="295"/>
      <c r="L588" s="20">
        <v>16320</v>
      </c>
      <c r="M588" s="20">
        <v>8172.88</v>
      </c>
      <c r="N588" s="20">
        <v>35225</v>
      </c>
      <c r="O588" s="20">
        <f>VLOOKUP(A588,TB!A:F,3)</f>
        <v>16637.16</v>
      </c>
      <c r="P588" s="160">
        <f t="shared" si="147"/>
        <v>35225</v>
      </c>
      <c r="Q588" s="160">
        <v>15389</v>
      </c>
      <c r="R588" s="233">
        <f>VLOOKUP(A588,TB!A:F,6)</f>
        <v>15388.51</v>
      </c>
      <c r="S588" s="233">
        <f t="shared" si="146"/>
        <v>0.48999999999978172</v>
      </c>
    </row>
    <row r="589" spans="1:19" ht="15.75" customHeight="1" x14ac:dyDescent="0.25">
      <c r="A589" s="66" t="s">
        <v>763</v>
      </c>
      <c r="B589" s="66" t="s">
        <v>84</v>
      </c>
      <c r="C589" s="295"/>
      <c r="D589" s="160">
        <v>0</v>
      </c>
      <c r="E589" s="160" t="e">
        <f>D589*#REF!</f>
        <v>#REF!</v>
      </c>
      <c r="F589" s="160" t="e">
        <f>D589*#REF!</f>
        <v>#REF!</v>
      </c>
      <c r="G589" s="160" t="e">
        <f>(D589*#REF!)*#REF!</f>
        <v>#REF!</v>
      </c>
      <c r="H589" s="296">
        <f t="shared" si="143"/>
        <v>0</v>
      </c>
      <c r="I589" s="147" t="e">
        <f t="shared" si="144"/>
        <v>#REF!</v>
      </c>
      <c r="J589" s="97">
        <v>0</v>
      </c>
      <c r="K589" s="295"/>
      <c r="L589" s="20">
        <v>182</v>
      </c>
      <c r="M589" s="20">
        <v>0</v>
      </c>
      <c r="N589" s="20">
        <v>0</v>
      </c>
      <c r="O589" s="20">
        <f>VLOOKUP(A589,TB!A:F,3)</f>
        <v>0</v>
      </c>
      <c r="P589" s="160">
        <f t="shared" ref="P589:P590" si="148">O589/9*12</f>
        <v>0</v>
      </c>
      <c r="Q589" s="160">
        <v>0</v>
      </c>
      <c r="R589" s="233">
        <f>VLOOKUP(A589,TB!A:F,6)</f>
        <v>0</v>
      </c>
      <c r="S589" s="233">
        <f t="shared" si="146"/>
        <v>0</v>
      </c>
    </row>
    <row r="590" spans="1:19" ht="15.75" customHeight="1" x14ac:dyDescent="0.25">
      <c r="A590" s="66" t="s">
        <v>764</v>
      </c>
      <c r="B590" s="66" t="s">
        <v>210</v>
      </c>
      <c r="C590" s="295"/>
      <c r="D590" s="160">
        <v>0</v>
      </c>
      <c r="E590" s="160" t="e">
        <f>D590*#REF!</f>
        <v>#REF!</v>
      </c>
      <c r="F590" s="160" t="e">
        <f>D590*#REF!</f>
        <v>#REF!</v>
      </c>
      <c r="G590" s="160" t="e">
        <f>(D590*#REF!)*#REF!</f>
        <v>#REF!</v>
      </c>
      <c r="H590" s="296">
        <f t="shared" si="143"/>
        <v>0</v>
      </c>
      <c r="I590" s="147" t="e">
        <f t="shared" si="144"/>
        <v>#REF!</v>
      </c>
      <c r="J590" s="97">
        <v>0</v>
      </c>
      <c r="K590" s="295"/>
      <c r="L590" s="20">
        <v>848</v>
      </c>
      <c r="M590" s="20">
        <v>0</v>
      </c>
      <c r="N590" s="20">
        <v>0</v>
      </c>
      <c r="O590" s="20">
        <f>VLOOKUP(A590,TB!A:F,3)</f>
        <v>0</v>
      </c>
      <c r="P590" s="160">
        <f t="shared" si="148"/>
        <v>0</v>
      </c>
      <c r="Q590" s="160">
        <v>0</v>
      </c>
      <c r="R590" s="233">
        <f>VLOOKUP(A590,TB!A:F,6)</f>
        <v>0</v>
      </c>
      <c r="S590" s="233">
        <f t="shared" si="146"/>
        <v>0</v>
      </c>
    </row>
    <row r="591" spans="1:19" ht="15.75" customHeight="1" x14ac:dyDescent="0.25">
      <c r="A591" s="66" t="s">
        <v>765</v>
      </c>
      <c r="B591" s="66" t="s">
        <v>86</v>
      </c>
      <c r="C591" s="295"/>
      <c r="D591" s="160">
        <v>0</v>
      </c>
      <c r="E591" s="160" t="e">
        <f>D591*#REF!</f>
        <v>#REF!</v>
      </c>
      <c r="F591" s="160" t="e">
        <f>D591*#REF!</f>
        <v>#REF!</v>
      </c>
      <c r="G591" s="160" t="e">
        <f>(D591*#REF!)*#REF!</f>
        <v>#REF!</v>
      </c>
      <c r="H591" s="296">
        <f t="shared" si="143"/>
        <v>0</v>
      </c>
      <c r="I591" s="147" t="e">
        <f t="shared" si="144"/>
        <v>#REF!</v>
      </c>
      <c r="J591" s="97">
        <v>0</v>
      </c>
      <c r="K591" s="295"/>
      <c r="L591" s="20">
        <v>0</v>
      </c>
      <c r="M591" s="20">
        <v>0</v>
      </c>
      <c r="N591" s="20">
        <v>80000</v>
      </c>
      <c r="O591" s="20">
        <f>VLOOKUP(A591,TB!A:F,3)</f>
        <v>29194</v>
      </c>
      <c r="P591" s="163">
        <f t="shared" ref="P591:P595" si="149">N591</f>
        <v>80000</v>
      </c>
      <c r="Q591" s="160">
        <v>45040</v>
      </c>
      <c r="R591" s="233">
        <f>VLOOKUP(A591,TB!A:F,6)</f>
        <v>45040</v>
      </c>
      <c r="S591" s="233">
        <f t="shared" si="146"/>
        <v>0</v>
      </c>
    </row>
    <row r="592" spans="1:19" ht="15.75" customHeight="1" x14ac:dyDescent="0.25">
      <c r="A592" s="66" t="s">
        <v>766</v>
      </c>
      <c r="B592" s="66" t="s">
        <v>88</v>
      </c>
      <c r="C592" s="295"/>
      <c r="D592" s="160">
        <v>0</v>
      </c>
      <c r="E592" s="160" t="e">
        <f>D592*#REF!</f>
        <v>#REF!</v>
      </c>
      <c r="F592" s="160" t="e">
        <f>D592*#REF!</f>
        <v>#REF!</v>
      </c>
      <c r="G592" s="160" t="e">
        <f>(D592*#REF!)*#REF!</f>
        <v>#REF!</v>
      </c>
      <c r="H592" s="296">
        <f t="shared" si="143"/>
        <v>0</v>
      </c>
      <c r="I592" s="147" t="e">
        <f t="shared" si="144"/>
        <v>#REF!</v>
      </c>
      <c r="J592" s="97">
        <v>0</v>
      </c>
      <c r="K592" s="295"/>
      <c r="L592" s="20">
        <v>0</v>
      </c>
      <c r="M592" s="20">
        <v>524</v>
      </c>
      <c r="N592" s="20">
        <v>2000</v>
      </c>
      <c r="O592" s="20">
        <f>VLOOKUP(A592,TB!A:F,3)</f>
        <v>402</v>
      </c>
      <c r="P592" s="163">
        <f t="shared" si="149"/>
        <v>2000</v>
      </c>
      <c r="Q592" s="160">
        <v>1000</v>
      </c>
      <c r="R592" s="233">
        <f>VLOOKUP(A592,TB!A:F,6)</f>
        <v>1000</v>
      </c>
      <c r="S592" s="233">
        <f t="shared" si="146"/>
        <v>0</v>
      </c>
    </row>
    <row r="593" spans="1:30" ht="15.75" customHeight="1" x14ac:dyDescent="0.25">
      <c r="A593" s="66" t="s">
        <v>767</v>
      </c>
      <c r="B593" s="66" t="s">
        <v>90</v>
      </c>
      <c r="C593" s="295"/>
      <c r="D593" s="160">
        <v>0</v>
      </c>
      <c r="E593" s="160" t="e">
        <f>D593*#REF!</f>
        <v>#REF!</v>
      </c>
      <c r="F593" s="160" t="e">
        <f>D593*#REF!</f>
        <v>#REF!</v>
      </c>
      <c r="G593" s="160" t="e">
        <f>(D593*#REF!)*#REF!</f>
        <v>#REF!</v>
      </c>
      <c r="H593" s="296">
        <f t="shared" si="143"/>
        <v>0</v>
      </c>
      <c r="I593" s="147" t="e">
        <f t="shared" si="144"/>
        <v>#REF!</v>
      </c>
      <c r="J593" s="97">
        <v>0</v>
      </c>
      <c r="K593" s="295"/>
      <c r="L593" s="20">
        <v>0</v>
      </c>
      <c r="M593" s="20">
        <v>99.84</v>
      </c>
      <c r="N593" s="20">
        <v>3000</v>
      </c>
      <c r="O593" s="20">
        <f>VLOOKUP(A593,TB!A:F,3)</f>
        <v>0</v>
      </c>
      <c r="P593" s="163">
        <f t="shared" si="149"/>
        <v>3000</v>
      </c>
      <c r="Q593" s="160">
        <v>3000</v>
      </c>
      <c r="R593" s="233">
        <f>VLOOKUP(A593,TB!A:F,6)</f>
        <v>3000</v>
      </c>
      <c r="S593" s="233">
        <f t="shared" si="146"/>
        <v>0</v>
      </c>
    </row>
    <row r="594" spans="1:30" ht="15.75" customHeight="1" x14ac:dyDescent="0.25">
      <c r="A594" s="66" t="s">
        <v>768</v>
      </c>
      <c r="B594" s="66" t="s">
        <v>252</v>
      </c>
      <c r="C594" s="295"/>
      <c r="D594" s="160">
        <v>0</v>
      </c>
      <c r="E594" s="160" t="e">
        <f>D594*#REF!</f>
        <v>#REF!</v>
      </c>
      <c r="F594" s="160" t="e">
        <f>D594*#REF!</f>
        <v>#REF!</v>
      </c>
      <c r="G594" s="160" t="e">
        <f>(D594*#REF!)*#REF!</f>
        <v>#REF!</v>
      </c>
      <c r="H594" s="296">
        <f t="shared" si="143"/>
        <v>0</v>
      </c>
      <c r="I594" s="147" t="e">
        <f t="shared" si="144"/>
        <v>#REF!</v>
      </c>
      <c r="J594" s="97">
        <v>0</v>
      </c>
      <c r="K594" s="295"/>
      <c r="L594" s="20">
        <v>22206</v>
      </c>
      <c r="M594" s="20">
        <v>20420.349999999999</v>
      </c>
      <c r="N594" s="20">
        <v>25000</v>
      </c>
      <c r="O594" s="20">
        <f>VLOOKUP(A594,TB!A:F,3)</f>
        <v>19418.7</v>
      </c>
      <c r="P594" s="163">
        <f t="shared" si="149"/>
        <v>25000</v>
      </c>
      <c r="Q594" s="160">
        <v>34900</v>
      </c>
      <c r="R594" s="233">
        <f>VLOOKUP(A594,TB!A:F,6)</f>
        <v>34900</v>
      </c>
      <c r="S594" s="233">
        <f t="shared" si="146"/>
        <v>0</v>
      </c>
    </row>
    <row r="595" spans="1:30" ht="15.75" customHeight="1" x14ac:dyDescent="0.25">
      <c r="A595" s="66" t="s">
        <v>769</v>
      </c>
      <c r="B595" s="66" t="s">
        <v>502</v>
      </c>
      <c r="C595" s="295"/>
      <c r="D595" s="160">
        <v>0</v>
      </c>
      <c r="E595" s="160" t="e">
        <f>D595*#REF!</f>
        <v>#REF!</v>
      </c>
      <c r="F595" s="160" t="e">
        <f>D595*#REF!</f>
        <v>#REF!</v>
      </c>
      <c r="G595" s="160" t="e">
        <f>(D595*#REF!)*#REF!</f>
        <v>#REF!</v>
      </c>
      <c r="H595" s="296">
        <f t="shared" si="143"/>
        <v>0</v>
      </c>
      <c r="I595" s="147" t="e">
        <f t="shared" si="144"/>
        <v>#REF!</v>
      </c>
      <c r="J595" s="97">
        <v>0</v>
      </c>
      <c r="K595" s="295"/>
      <c r="L595" s="20">
        <v>1132</v>
      </c>
      <c r="M595" s="20">
        <v>2029.31</v>
      </c>
      <c r="N595" s="20">
        <v>6000</v>
      </c>
      <c r="O595" s="20">
        <f>VLOOKUP(A595,TB!A:F,3)</f>
        <v>2312.7600000000002</v>
      </c>
      <c r="P595" s="163">
        <f t="shared" si="149"/>
        <v>6000</v>
      </c>
      <c r="Q595" s="160">
        <v>5400</v>
      </c>
      <c r="R595" s="233">
        <f>VLOOKUP(A595,TB!A:F,6)</f>
        <v>5400</v>
      </c>
      <c r="S595" s="233">
        <f t="shared" si="146"/>
        <v>0</v>
      </c>
    </row>
    <row r="596" spans="1:30" ht="15.75" customHeight="1" x14ac:dyDescent="0.25">
      <c r="A596" s="66" t="s">
        <v>770</v>
      </c>
      <c r="B596" s="66" t="s">
        <v>92</v>
      </c>
      <c r="C596" s="295"/>
      <c r="D596" s="160">
        <v>0</v>
      </c>
      <c r="E596" s="160" t="e">
        <f>D596*#REF!</f>
        <v>#REF!</v>
      </c>
      <c r="F596" s="160" t="e">
        <f>D596*#REF!</f>
        <v>#REF!</v>
      </c>
      <c r="G596" s="160" t="e">
        <f>(D596*#REF!)*#REF!</f>
        <v>#REF!</v>
      </c>
      <c r="H596" s="296">
        <f t="shared" si="143"/>
        <v>0</v>
      </c>
      <c r="I596" s="147" t="e">
        <f t="shared" si="144"/>
        <v>#REF!</v>
      </c>
      <c r="J596" s="97">
        <v>0</v>
      </c>
      <c r="K596" s="295"/>
      <c r="L596" s="20">
        <v>4327</v>
      </c>
      <c r="M596" s="20">
        <v>0</v>
      </c>
      <c r="N596" s="20">
        <v>0</v>
      </c>
      <c r="O596" s="20">
        <f>VLOOKUP(A596,TB!A:F,3)</f>
        <v>0</v>
      </c>
      <c r="P596" s="160">
        <f>O596/9*12</f>
        <v>0</v>
      </c>
      <c r="Q596" s="160">
        <v>0</v>
      </c>
      <c r="R596" s="233">
        <f>VLOOKUP(A596,TB!A:F,6)</f>
        <v>0</v>
      </c>
      <c r="S596" s="233">
        <f t="shared" si="146"/>
        <v>0</v>
      </c>
    </row>
    <row r="597" spans="1:30" ht="15.75" customHeight="1" x14ac:dyDescent="0.25">
      <c r="A597" s="74" t="s">
        <v>771</v>
      </c>
      <c r="B597" s="75"/>
      <c r="C597" s="299"/>
      <c r="D597" s="189">
        <f t="shared" ref="D597:G597" si="150">SUM(D579:D596)</f>
        <v>0</v>
      </c>
      <c r="E597" s="189" t="e">
        <f t="shared" si="150"/>
        <v>#REF!</v>
      </c>
      <c r="F597" s="189" t="e">
        <f t="shared" si="150"/>
        <v>#REF!</v>
      </c>
      <c r="G597" s="189" t="e">
        <f t="shared" si="150"/>
        <v>#REF!</v>
      </c>
      <c r="H597" s="300">
        <f t="shared" si="143"/>
        <v>0</v>
      </c>
      <c r="I597" s="189" t="e">
        <f t="shared" si="144"/>
        <v>#REF!</v>
      </c>
      <c r="J597" s="301">
        <f>SUM(J579:J596)</f>
        <v>0</v>
      </c>
      <c r="K597" s="299"/>
      <c r="L597" s="77">
        <f t="shared" ref="L597:S597" si="151">SUM(L579:L596)</f>
        <v>354826</v>
      </c>
      <c r="M597" s="77">
        <f t="shared" si="151"/>
        <v>414322.08999999991</v>
      </c>
      <c r="N597" s="77">
        <f t="shared" si="151"/>
        <v>595461</v>
      </c>
      <c r="O597" s="77">
        <f t="shared" si="151"/>
        <v>413083.05</v>
      </c>
      <c r="P597" s="189">
        <f t="shared" si="151"/>
        <v>632673.978</v>
      </c>
      <c r="Q597" s="189">
        <f t="shared" si="151"/>
        <v>560039</v>
      </c>
      <c r="R597" s="77">
        <f t="shared" si="151"/>
        <v>560038.51</v>
      </c>
      <c r="S597" s="77">
        <f t="shared" si="151"/>
        <v>0.48999999999978172</v>
      </c>
    </row>
    <row r="598" spans="1:30" ht="15.75" customHeight="1" x14ac:dyDescent="0.2">
      <c r="C598" s="287"/>
      <c r="K598" s="287"/>
      <c r="L598" s="54"/>
      <c r="M598" s="54"/>
      <c r="N598" s="54"/>
      <c r="O598" s="54"/>
      <c r="P598" s="54"/>
      <c r="Q598" s="54"/>
      <c r="R598" s="81"/>
      <c r="S598" s="81"/>
    </row>
    <row r="599" spans="1:30" ht="15.75" customHeight="1" x14ac:dyDescent="0.25">
      <c r="A599" s="66" t="s">
        <v>772</v>
      </c>
      <c r="B599" s="66" t="s">
        <v>99</v>
      </c>
      <c r="C599" s="295"/>
      <c r="D599" s="160">
        <v>0</v>
      </c>
      <c r="E599" s="160" t="e">
        <f>D599*#REF!</f>
        <v>#REF!</v>
      </c>
      <c r="F599" s="160" t="e">
        <f>D599*#REF!</f>
        <v>#REF!</v>
      </c>
      <c r="G599" s="160" t="e">
        <f>(D599*#REF!)*#REF!</f>
        <v>#REF!</v>
      </c>
      <c r="H599" s="296">
        <f t="shared" ref="H599:H600" si="152">IFERROR(((Q599-G599)/G599),0)</f>
        <v>0</v>
      </c>
      <c r="I599" s="147" t="e">
        <f t="shared" ref="I599:I600" si="153">Q599-G599</f>
        <v>#REF!</v>
      </c>
      <c r="J599" s="97">
        <v>0</v>
      </c>
      <c r="K599" s="295"/>
      <c r="L599" s="20">
        <v>0</v>
      </c>
      <c r="M599" s="20">
        <v>13843</v>
      </c>
      <c r="N599" s="20">
        <v>0</v>
      </c>
      <c r="O599" s="20">
        <f>VLOOKUP(A599,TB!A:F,3)</f>
        <v>0</v>
      </c>
      <c r="P599" s="160">
        <f>O599</f>
        <v>0</v>
      </c>
      <c r="Q599" s="160">
        <v>0</v>
      </c>
      <c r="R599" s="233">
        <f>VLOOKUP(A599,TB!A:F,6)</f>
        <v>0</v>
      </c>
      <c r="S599" s="233">
        <f>Q599-R599</f>
        <v>0</v>
      </c>
    </row>
    <row r="600" spans="1:30" ht="15.75" customHeight="1" x14ac:dyDescent="0.25">
      <c r="A600" s="74" t="s">
        <v>771</v>
      </c>
      <c r="B600" s="75"/>
      <c r="C600" s="299"/>
      <c r="D600" s="189">
        <f t="shared" ref="D600:G600" si="154">SUM(D599)</f>
        <v>0</v>
      </c>
      <c r="E600" s="189" t="e">
        <f t="shared" si="154"/>
        <v>#REF!</v>
      </c>
      <c r="F600" s="189" t="e">
        <f t="shared" si="154"/>
        <v>#REF!</v>
      </c>
      <c r="G600" s="189" t="e">
        <f t="shared" si="154"/>
        <v>#REF!</v>
      </c>
      <c r="H600" s="300">
        <f t="shared" si="152"/>
        <v>0</v>
      </c>
      <c r="I600" s="189" t="e">
        <f t="shared" si="153"/>
        <v>#REF!</v>
      </c>
      <c r="J600" s="301">
        <v>0</v>
      </c>
      <c r="K600" s="299"/>
      <c r="L600" s="77">
        <f t="shared" ref="L600:S600" si="155">SUM(L599)</f>
        <v>0</v>
      </c>
      <c r="M600" s="77">
        <f t="shared" si="155"/>
        <v>13843</v>
      </c>
      <c r="N600" s="77">
        <f t="shared" si="155"/>
        <v>0</v>
      </c>
      <c r="O600" s="77">
        <f t="shared" si="155"/>
        <v>0</v>
      </c>
      <c r="P600" s="189">
        <f t="shared" si="155"/>
        <v>0</v>
      </c>
      <c r="Q600" s="189">
        <f t="shared" si="155"/>
        <v>0</v>
      </c>
      <c r="R600" s="77">
        <f t="shared" si="155"/>
        <v>0</v>
      </c>
      <c r="S600" s="77">
        <f t="shared" si="155"/>
        <v>0</v>
      </c>
    </row>
    <row r="601" spans="1:30" ht="15.75" customHeight="1" x14ac:dyDescent="0.2">
      <c r="C601" s="287"/>
      <c r="K601" s="287"/>
      <c r="R601" s="83"/>
      <c r="S601" s="83"/>
    </row>
    <row r="602" spans="1:30" ht="15.75" customHeight="1" x14ac:dyDescent="0.25">
      <c r="A602" s="74" t="s">
        <v>773</v>
      </c>
      <c r="B602" s="305"/>
      <c r="C602" s="306"/>
      <c r="D602" s="189">
        <f t="shared" ref="D602:G602" si="156">D597+D600</f>
        <v>0</v>
      </c>
      <c r="E602" s="189" t="e">
        <f t="shared" si="156"/>
        <v>#REF!</v>
      </c>
      <c r="F602" s="189" t="e">
        <f t="shared" si="156"/>
        <v>#REF!</v>
      </c>
      <c r="G602" s="189" t="e">
        <f t="shared" si="156"/>
        <v>#REF!</v>
      </c>
      <c r="H602" s="300">
        <f>IFERROR(((Q602-G602)/G602),0)</f>
        <v>0</v>
      </c>
      <c r="I602" s="189" t="e">
        <f>Q602-G602</f>
        <v>#REF!</v>
      </c>
      <c r="J602" s="301">
        <v>0</v>
      </c>
      <c r="K602" s="306"/>
      <c r="L602" s="77">
        <f t="shared" ref="L602:S602" si="157">L597+L600</f>
        <v>354826</v>
      </c>
      <c r="M602" s="77">
        <f t="shared" si="157"/>
        <v>428165.08999999991</v>
      </c>
      <c r="N602" s="77">
        <f t="shared" si="157"/>
        <v>595461</v>
      </c>
      <c r="O602" s="77">
        <f t="shared" si="157"/>
        <v>413083.05</v>
      </c>
      <c r="P602" s="189">
        <f t="shared" si="157"/>
        <v>632673.978</v>
      </c>
      <c r="Q602" s="189">
        <f t="shared" si="157"/>
        <v>560039</v>
      </c>
      <c r="R602" s="77">
        <f t="shared" si="157"/>
        <v>560038.51</v>
      </c>
      <c r="S602" s="77">
        <f t="shared" si="157"/>
        <v>0.48999999999978172</v>
      </c>
    </row>
    <row r="603" spans="1:30" ht="15.75" customHeight="1" x14ac:dyDescent="0.2">
      <c r="C603" s="287"/>
      <c r="K603" s="287"/>
      <c r="R603" s="83"/>
      <c r="S603" s="83"/>
    </row>
    <row r="604" spans="1:30" ht="15.75" customHeight="1" x14ac:dyDescent="0.2">
      <c r="A604" s="69" t="s">
        <v>184</v>
      </c>
      <c r="C604" s="287"/>
      <c r="K604" s="287"/>
      <c r="R604" s="83"/>
      <c r="S604" s="83"/>
    </row>
    <row r="605" spans="1:30" ht="15.75" customHeight="1" x14ac:dyDescent="0.25">
      <c r="A605" s="51" t="s">
        <v>774</v>
      </c>
      <c r="B605" s="51" t="s">
        <v>775</v>
      </c>
      <c r="C605" s="307"/>
      <c r="D605" s="147">
        <v>0</v>
      </c>
      <c r="E605" s="160" t="e">
        <f>D605*#REF!</f>
        <v>#REF!</v>
      </c>
      <c r="F605" s="160" t="e">
        <f>D605*#REF!</f>
        <v>#REF!</v>
      </c>
      <c r="G605" s="160" t="e">
        <f>(D605*#REF!)*#REF!</f>
        <v>#REF!</v>
      </c>
      <c r="H605" s="296">
        <f t="shared" ref="H605:H606" si="158">IFERROR(((Q605-G605)/G605),0)</f>
        <v>0</v>
      </c>
      <c r="I605" s="147" t="e">
        <f t="shared" ref="I605:I606" si="159">Q605-G605</f>
        <v>#REF!</v>
      </c>
      <c r="J605" s="97">
        <v>0</v>
      </c>
      <c r="K605" s="307"/>
      <c r="L605" s="54">
        <v>-34570</v>
      </c>
      <c r="M605" s="54">
        <v>-63463.63</v>
      </c>
      <c r="N605" s="54">
        <v>-91000</v>
      </c>
      <c r="O605" s="20">
        <f>VLOOKUP(A605,TB!A:F,3)</f>
        <v>-45306.36</v>
      </c>
      <c r="P605" s="308">
        <f>N605</f>
        <v>-91000</v>
      </c>
      <c r="Q605" s="54">
        <v>-90000</v>
      </c>
      <c r="R605" s="233">
        <f>VLOOKUP(A605,TB!A:F,6)</f>
        <v>-90000</v>
      </c>
      <c r="S605" s="233">
        <f>Q605-R605</f>
        <v>0</v>
      </c>
    </row>
    <row r="606" spans="1:30" ht="15.75" customHeight="1" x14ac:dyDescent="0.2">
      <c r="A606" s="239" t="s">
        <v>189</v>
      </c>
      <c r="B606" s="75"/>
      <c r="C606" s="299"/>
      <c r="D606" s="189">
        <f t="shared" ref="D606:G606" si="160">SUM(D605)</f>
        <v>0</v>
      </c>
      <c r="E606" s="189" t="e">
        <f t="shared" si="160"/>
        <v>#REF!</v>
      </c>
      <c r="F606" s="189" t="e">
        <f t="shared" si="160"/>
        <v>#REF!</v>
      </c>
      <c r="G606" s="189" t="e">
        <f t="shared" si="160"/>
        <v>#REF!</v>
      </c>
      <c r="H606" s="300">
        <f t="shared" si="158"/>
        <v>0</v>
      </c>
      <c r="I606" s="189" t="e">
        <f t="shared" si="159"/>
        <v>#REF!</v>
      </c>
      <c r="J606" s="189">
        <f>SUM(J605)</f>
        <v>0</v>
      </c>
      <c r="K606" s="299"/>
      <c r="L606" s="77">
        <f t="shared" ref="L606:S606" si="161">SUM(L605)</f>
        <v>-34570</v>
      </c>
      <c r="M606" s="77">
        <f t="shared" si="161"/>
        <v>-63463.63</v>
      </c>
      <c r="N606" s="77">
        <f t="shared" si="161"/>
        <v>-91000</v>
      </c>
      <c r="O606" s="77">
        <f t="shared" si="161"/>
        <v>-45306.36</v>
      </c>
      <c r="P606" s="189">
        <f t="shared" si="161"/>
        <v>-91000</v>
      </c>
      <c r="Q606" s="189">
        <f t="shared" si="161"/>
        <v>-90000</v>
      </c>
      <c r="R606" s="77">
        <f t="shared" si="161"/>
        <v>-90000</v>
      </c>
      <c r="S606" s="77">
        <f t="shared" si="161"/>
        <v>0</v>
      </c>
    </row>
    <row r="607" spans="1:30" ht="15.75" customHeight="1" x14ac:dyDescent="0.2">
      <c r="C607" s="287"/>
      <c r="K607" s="287"/>
      <c r="R607" s="83"/>
      <c r="S607" s="83"/>
    </row>
    <row r="608" spans="1:30" ht="15.75" customHeight="1" x14ac:dyDescent="0.2">
      <c r="A608" s="69" t="s">
        <v>190</v>
      </c>
      <c r="B608" s="51"/>
      <c r="C608" s="309"/>
      <c r="D608" s="193">
        <f t="shared" ref="D608:G608" si="162">D602+D606</f>
        <v>0</v>
      </c>
      <c r="E608" s="193" t="e">
        <f t="shared" si="162"/>
        <v>#REF!</v>
      </c>
      <c r="F608" s="193" t="e">
        <f t="shared" si="162"/>
        <v>#REF!</v>
      </c>
      <c r="G608" s="193" t="e">
        <f t="shared" si="162"/>
        <v>#REF!</v>
      </c>
      <c r="H608" s="310">
        <f>IFERROR(((Q608-G608)/G608),0)</f>
        <v>0</v>
      </c>
      <c r="I608" s="193" t="e">
        <f>Q608-G608</f>
        <v>#REF!</v>
      </c>
      <c r="J608" s="193">
        <f>J606+J600+J597</f>
        <v>0</v>
      </c>
      <c r="K608" s="309"/>
      <c r="L608" s="245">
        <f t="shared" ref="L608:S608" si="163">L602+L606</f>
        <v>320256</v>
      </c>
      <c r="M608" s="245">
        <f t="shared" si="163"/>
        <v>364701.4599999999</v>
      </c>
      <c r="N608" s="245">
        <f t="shared" si="163"/>
        <v>504461</v>
      </c>
      <c r="O608" s="245">
        <f t="shared" si="163"/>
        <v>367776.69</v>
      </c>
      <c r="P608" s="193">
        <f t="shared" si="163"/>
        <v>541673.978</v>
      </c>
      <c r="Q608" s="193">
        <f t="shared" si="163"/>
        <v>470039</v>
      </c>
      <c r="R608" s="245">
        <f t="shared" si="163"/>
        <v>470038.51</v>
      </c>
      <c r="S608" s="245">
        <f t="shared" si="163"/>
        <v>0.48999999999978172</v>
      </c>
      <c r="W608" s="56"/>
      <c r="X608" s="56"/>
      <c r="Y608" s="56"/>
      <c r="Z608" s="56"/>
      <c r="AA608" s="56"/>
      <c r="AB608" s="56"/>
      <c r="AC608" s="56"/>
      <c r="AD608" s="56"/>
    </row>
    <row r="609" spans="3:19" ht="15.75" customHeight="1" x14ac:dyDescent="0.2">
      <c r="C609" s="287"/>
      <c r="K609" s="287"/>
      <c r="R609" s="83"/>
      <c r="S609" s="83"/>
    </row>
    <row r="610" spans="3:19" ht="15.75" customHeight="1" x14ac:dyDescent="0.2">
      <c r="C610" s="287"/>
      <c r="K610" s="287"/>
    </row>
    <row r="611" spans="3:19" ht="15.75" customHeight="1" x14ac:dyDescent="0.2">
      <c r="C611" s="288"/>
      <c r="K611" s="288"/>
      <c r="L611" s="199" t="e">
        <f t="shared" ref="L611:R611" si="164">#REF!</f>
        <v>#REF!</v>
      </c>
      <c r="M611" s="199" t="e">
        <f t="shared" si="164"/>
        <v>#REF!</v>
      </c>
      <c r="N611" s="199" t="e">
        <f t="shared" si="164"/>
        <v>#REF!</v>
      </c>
      <c r="O611" s="199" t="e">
        <f t="shared" si="164"/>
        <v>#REF!</v>
      </c>
      <c r="P611" s="199" t="e">
        <f t="shared" si="164"/>
        <v>#REF!</v>
      </c>
      <c r="Q611" s="199" t="e">
        <f t="shared" si="164"/>
        <v>#REF!</v>
      </c>
      <c r="R611" s="173" t="e">
        <f t="shared" si="164"/>
        <v>#REF!</v>
      </c>
    </row>
    <row r="612" spans="3:19" ht="15.75" customHeight="1" x14ac:dyDescent="0.2">
      <c r="C612" s="289"/>
      <c r="K612" s="289"/>
      <c r="L612" s="290">
        <f t="shared" ref="L612:R612" si="165">L608</f>
        <v>320256</v>
      </c>
      <c r="M612" s="290">
        <f t="shared" si="165"/>
        <v>364701.4599999999</v>
      </c>
      <c r="N612" s="290">
        <f t="shared" si="165"/>
        <v>504461</v>
      </c>
      <c r="O612" s="290">
        <f t="shared" si="165"/>
        <v>367776.69</v>
      </c>
      <c r="P612" s="290">
        <f t="shared" si="165"/>
        <v>541673.978</v>
      </c>
      <c r="Q612" s="290">
        <f t="shared" si="165"/>
        <v>470039</v>
      </c>
      <c r="R612" s="291">
        <f t="shared" si="165"/>
        <v>470038.51</v>
      </c>
    </row>
    <row r="613" spans="3:19" ht="15.75" customHeight="1" x14ac:dyDescent="0.2">
      <c r="C613" s="287"/>
      <c r="K613" s="287"/>
    </row>
    <row r="614" spans="3:19" ht="15.75" customHeight="1" x14ac:dyDescent="0.2">
      <c r="C614" s="287"/>
      <c r="K614" s="287"/>
    </row>
    <row r="615" spans="3:19" ht="15.75" customHeight="1" x14ac:dyDescent="0.2">
      <c r="C615" s="287"/>
      <c r="K615" s="287"/>
    </row>
    <row r="616" spans="3:19" ht="15.75" customHeight="1" x14ac:dyDescent="0.2">
      <c r="C616" s="287"/>
      <c r="K616" s="287"/>
    </row>
    <row r="617" spans="3:19" ht="15.75" customHeight="1" x14ac:dyDescent="0.2">
      <c r="C617" s="287"/>
      <c r="K617" s="287"/>
    </row>
    <row r="618" spans="3:19" ht="15.75" customHeight="1" x14ac:dyDescent="0.2">
      <c r="C618" s="287"/>
      <c r="K618" s="287"/>
    </row>
    <row r="619" spans="3:19" ht="15.75" customHeight="1" x14ac:dyDescent="0.2">
      <c r="C619" s="287"/>
      <c r="K619" s="287"/>
    </row>
    <row r="620" spans="3:19" ht="15.75" customHeight="1" x14ac:dyDescent="0.2">
      <c r="C620" s="287"/>
      <c r="K620" s="287"/>
    </row>
    <row r="621" spans="3:19" ht="15.75" customHeight="1" x14ac:dyDescent="0.2">
      <c r="C621" s="287"/>
      <c r="K621" s="287"/>
    </row>
    <row r="622" spans="3:19" ht="15.75" customHeight="1" x14ac:dyDescent="0.2">
      <c r="C622" s="287"/>
      <c r="K622" s="287"/>
    </row>
    <row r="623" spans="3:19" ht="15.75" customHeight="1" x14ac:dyDescent="0.2">
      <c r="C623" s="287"/>
      <c r="K623" s="287"/>
    </row>
    <row r="624" spans="3:19" ht="15.75" customHeight="1" x14ac:dyDescent="0.2">
      <c r="C624" s="287"/>
      <c r="K624" s="287"/>
    </row>
    <row r="625" spans="3:11" ht="15.75" customHeight="1" x14ac:dyDescent="0.2">
      <c r="C625" s="287"/>
      <c r="K625" s="287"/>
    </row>
    <row r="626" spans="3:11" ht="15.75" customHeight="1" x14ac:dyDescent="0.2">
      <c r="C626" s="287"/>
      <c r="K626" s="287"/>
    </row>
    <row r="627" spans="3:11" ht="15.75" customHeight="1" x14ac:dyDescent="0.2">
      <c r="C627" s="287"/>
      <c r="K627" s="287"/>
    </row>
    <row r="628" spans="3:11" ht="15.75" customHeight="1" x14ac:dyDescent="0.2">
      <c r="C628" s="287"/>
      <c r="K628" s="287"/>
    </row>
    <row r="629" spans="3:11" ht="15.75" customHeight="1" x14ac:dyDescent="0.2">
      <c r="C629" s="287"/>
      <c r="K629" s="287"/>
    </row>
    <row r="630" spans="3:11" ht="15.75" customHeight="1" x14ac:dyDescent="0.2">
      <c r="C630" s="287"/>
      <c r="K630" s="287"/>
    </row>
    <row r="631" spans="3:11" ht="15.75" customHeight="1" x14ac:dyDescent="0.2">
      <c r="C631" s="287"/>
      <c r="K631" s="287"/>
    </row>
    <row r="632" spans="3:11" ht="15.75" customHeight="1" x14ac:dyDescent="0.2">
      <c r="C632" s="287"/>
      <c r="K632" s="287"/>
    </row>
    <row r="633" spans="3:11" ht="15.75" customHeight="1" x14ac:dyDescent="0.2">
      <c r="C633" s="287"/>
      <c r="K633" s="287"/>
    </row>
    <row r="634" spans="3:11" ht="15.75" customHeight="1" x14ac:dyDescent="0.2">
      <c r="C634" s="287"/>
      <c r="K634" s="287"/>
    </row>
    <row r="635" spans="3:11" ht="15.75" customHeight="1" x14ac:dyDescent="0.2">
      <c r="C635" s="287"/>
      <c r="K635" s="287"/>
    </row>
    <row r="636" spans="3:11" ht="15.75" customHeight="1" x14ac:dyDescent="0.2">
      <c r="C636" s="287"/>
      <c r="K636" s="287"/>
    </row>
    <row r="637" spans="3:11" ht="15.75" customHeight="1" x14ac:dyDescent="0.2">
      <c r="C637" s="287"/>
      <c r="K637" s="287"/>
    </row>
    <row r="638" spans="3:11" ht="15.75" customHeight="1" x14ac:dyDescent="0.2">
      <c r="C638" s="287"/>
      <c r="K638" s="287"/>
    </row>
    <row r="639" spans="3:11" ht="15.75" customHeight="1" x14ac:dyDescent="0.2">
      <c r="C639" s="287"/>
      <c r="K639" s="287"/>
    </row>
    <row r="640" spans="3:11" ht="15.75" customHeight="1" x14ac:dyDescent="0.2">
      <c r="C640" s="287"/>
      <c r="K640" s="287"/>
    </row>
    <row r="641" spans="3:11" ht="15.75" customHeight="1" x14ac:dyDescent="0.2">
      <c r="C641" s="287"/>
      <c r="K641" s="287"/>
    </row>
    <row r="642" spans="3:11" ht="15.75" customHeight="1" x14ac:dyDescent="0.2">
      <c r="C642" s="287"/>
      <c r="K642" s="287"/>
    </row>
    <row r="643" spans="3:11" ht="15.75" customHeight="1" x14ac:dyDescent="0.2">
      <c r="C643" s="287"/>
      <c r="K643" s="287"/>
    </row>
    <row r="644" spans="3:11" ht="15.75" customHeight="1" x14ac:dyDescent="0.2">
      <c r="C644" s="287"/>
      <c r="K644" s="287"/>
    </row>
    <row r="645" spans="3:11" ht="15.75" customHeight="1" x14ac:dyDescent="0.2">
      <c r="C645" s="287"/>
      <c r="K645" s="287"/>
    </row>
    <row r="646" spans="3:11" ht="15.75" customHeight="1" x14ac:dyDescent="0.2">
      <c r="C646" s="287"/>
      <c r="K646" s="287"/>
    </row>
    <row r="647" spans="3:11" ht="15.75" customHeight="1" x14ac:dyDescent="0.2">
      <c r="C647" s="287"/>
      <c r="K647" s="287"/>
    </row>
    <row r="648" spans="3:11" ht="15.75" customHeight="1" x14ac:dyDescent="0.2">
      <c r="C648" s="287"/>
      <c r="K648" s="287"/>
    </row>
    <row r="649" spans="3:11" ht="15.75" customHeight="1" x14ac:dyDescent="0.2">
      <c r="C649" s="287"/>
      <c r="K649" s="287"/>
    </row>
    <row r="650" spans="3:11" ht="15.75" customHeight="1" x14ac:dyDescent="0.2">
      <c r="C650" s="287"/>
      <c r="K650" s="287"/>
    </row>
    <row r="651" spans="3:11" ht="15.75" customHeight="1" x14ac:dyDescent="0.2">
      <c r="C651" s="287"/>
      <c r="K651" s="287"/>
    </row>
    <row r="652" spans="3:11" ht="15.75" customHeight="1" x14ac:dyDescent="0.2">
      <c r="C652" s="287"/>
      <c r="K652" s="287"/>
    </row>
    <row r="653" spans="3:11" ht="15.75" customHeight="1" x14ac:dyDescent="0.2">
      <c r="C653" s="287"/>
      <c r="K653" s="287"/>
    </row>
    <row r="654" spans="3:11" ht="15.75" customHeight="1" x14ac:dyDescent="0.2">
      <c r="C654" s="287"/>
      <c r="K654" s="287"/>
    </row>
    <row r="655" spans="3:11" ht="15.75" customHeight="1" x14ac:dyDescent="0.2">
      <c r="C655" s="287"/>
      <c r="K655" s="287"/>
    </row>
    <row r="656" spans="3:11" ht="15.75" customHeight="1" x14ac:dyDescent="0.2">
      <c r="C656" s="287"/>
      <c r="K656" s="287"/>
    </row>
    <row r="657" spans="1:19" ht="15.75" customHeight="1" x14ac:dyDescent="0.2">
      <c r="C657" s="287"/>
      <c r="K657" s="287"/>
    </row>
    <row r="658" spans="1:19" ht="15.75" customHeight="1" x14ac:dyDescent="0.2">
      <c r="C658" s="287"/>
      <c r="K658" s="287"/>
    </row>
    <row r="659" spans="1:19" ht="15.75" customHeight="1" x14ac:dyDescent="0.2">
      <c r="C659" s="287"/>
      <c r="K659" s="287"/>
    </row>
    <row r="660" spans="1:19" ht="15.75" customHeight="1" x14ac:dyDescent="0.2">
      <c r="C660" s="287"/>
      <c r="K660" s="287"/>
    </row>
    <row r="661" spans="1:19" ht="15.75" customHeight="1" x14ac:dyDescent="0.2">
      <c r="C661" s="287"/>
      <c r="K661" s="287"/>
    </row>
    <row r="662" spans="1:19" ht="15.75" customHeight="1" x14ac:dyDescent="0.2">
      <c r="C662" s="287"/>
      <c r="K662" s="287"/>
    </row>
    <row r="663" spans="1:19" ht="15.75" customHeight="1" x14ac:dyDescent="0.2">
      <c r="C663" s="287"/>
      <c r="K663" s="287"/>
    </row>
    <row r="664" spans="1:19" ht="15.75" customHeight="1" x14ac:dyDescent="0.2">
      <c r="C664" s="287"/>
      <c r="K664" s="287"/>
    </row>
    <row r="665" spans="1:19" ht="15.75" customHeight="1" x14ac:dyDescent="0.2">
      <c r="A665" s="3" t="s">
        <v>50</v>
      </c>
      <c r="B665" s="3" t="s">
        <v>51</v>
      </c>
      <c r="C665" s="292"/>
      <c r="D665" s="99" t="s">
        <v>52</v>
      </c>
      <c r="E665" s="100" t="s">
        <v>53</v>
      </c>
      <c r="F665" s="100" t="s">
        <v>54</v>
      </c>
      <c r="G665" s="100" t="s">
        <v>55</v>
      </c>
      <c r="H665" s="24" t="s">
        <v>56</v>
      </c>
      <c r="I665" s="24" t="s">
        <v>57</v>
      </c>
      <c r="J665" s="101" t="s">
        <v>58</v>
      </c>
      <c r="K665" s="292"/>
      <c r="L665" s="3" t="s">
        <v>59</v>
      </c>
      <c r="M665" s="3" t="s">
        <v>60</v>
      </c>
      <c r="N665" s="3" t="s">
        <v>61</v>
      </c>
      <c r="O665" s="3" t="s">
        <v>62</v>
      </c>
      <c r="P665" s="293" t="s">
        <v>541</v>
      </c>
      <c r="Q665" s="293" t="s">
        <v>64</v>
      </c>
      <c r="R665" s="293" t="s">
        <v>65</v>
      </c>
      <c r="S665" s="293" t="s">
        <v>586</v>
      </c>
    </row>
    <row r="666" spans="1:19" ht="15.75" customHeight="1" x14ac:dyDescent="0.25">
      <c r="A666" s="565" t="s">
        <v>776</v>
      </c>
      <c r="B666" s="566"/>
      <c r="C666" s="566"/>
      <c r="D666" s="566"/>
      <c r="E666" s="566"/>
      <c r="F666" s="65"/>
      <c r="G666" s="275"/>
      <c r="H666" s="234"/>
      <c r="L666" s="65"/>
      <c r="M666" s="165"/>
      <c r="N666" s="65"/>
      <c r="O666" s="165"/>
      <c r="P666" s="157"/>
      <c r="Q666" s="157"/>
      <c r="R666" s="275"/>
      <c r="S666" s="275"/>
    </row>
    <row r="667" spans="1:19" ht="15.75" customHeight="1" x14ac:dyDescent="0.25">
      <c r="A667" s="66" t="s">
        <v>777</v>
      </c>
      <c r="B667" s="66" t="s">
        <v>68</v>
      </c>
      <c r="C667" s="295"/>
      <c r="D667" s="160">
        <v>61497</v>
      </c>
      <c r="E667" s="160" t="e">
        <f>D667*#REF!</f>
        <v>#REF!</v>
      </c>
      <c r="F667" s="160" t="e">
        <f>D667*#REF!</f>
        <v>#REF!</v>
      </c>
      <c r="G667" s="160" t="e">
        <f>(D667*#REF!)*#REF!</f>
        <v>#REF!</v>
      </c>
      <c r="H667" s="296">
        <f t="shared" ref="H667:H686" si="166">IFERROR(((Q667-G667)/G667),0)</f>
        <v>0</v>
      </c>
      <c r="I667" s="147" t="e">
        <f t="shared" ref="I667:I686" si="167">Q667-G667</f>
        <v>#REF!</v>
      </c>
      <c r="J667" s="97">
        <v>0</v>
      </c>
      <c r="K667" s="295"/>
      <c r="L667" s="20">
        <v>72451</v>
      </c>
      <c r="M667" s="20">
        <v>73886.2</v>
      </c>
      <c r="N667" s="20">
        <v>78302</v>
      </c>
      <c r="O667" s="20">
        <f>VLOOKUP(A667,TB!A:F,3)</f>
        <v>59240.800000000003</v>
      </c>
      <c r="P667" s="160">
        <f t="shared" ref="P667:P670" si="168">O667/20*26</f>
        <v>77013.039999999994</v>
      </c>
      <c r="Q667" s="160">
        <v>85200</v>
      </c>
      <c r="R667" s="233">
        <f>VLOOKUP(A667,TB!A:F,6)</f>
        <v>85200</v>
      </c>
      <c r="S667" s="233">
        <f t="shared" ref="S667:S685" si="169">Q667-R667</f>
        <v>0</v>
      </c>
    </row>
    <row r="668" spans="1:19" ht="15.75" customHeight="1" x14ac:dyDescent="0.25">
      <c r="A668" s="66" t="s">
        <v>778</v>
      </c>
      <c r="B668" s="66" t="s">
        <v>70</v>
      </c>
      <c r="C668" s="295"/>
      <c r="D668" s="160">
        <v>0</v>
      </c>
      <c r="E668" s="160" t="e">
        <f>D668*#REF!</f>
        <v>#REF!</v>
      </c>
      <c r="F668" s="160" t="e">
        <f>D668*#REF!</f>
        <v>#REF!</v>
      </c>
      <c r="G668" s="160" t="e">
        <f>(D668*#REF!)*#REF!</f>
        <v>#REF!</v>
      </c>
      <c r="H668" s="296">
        <f t="shared" si="166"/>
        <v>0</v>
      </c>
      <c r="I668" s="147" t="e">
        <f t="shared" si="167"/>
        <v>#REF!</v>
      </c>
      <c r="J668" s="97">
        <v>0</v>
      </c>
      <c r="K668" s="295"/>
      <c r="L668" s="20">
        <v>0</v>
      </c>
      <c r="M668" s="20">
        <v>0</v>
      </c>
      <c r="N668" s="20">
        <v>4000</v>
      </c>
      <c r="O668" s="20">
        <f>VLOOKUP(A668,TB!A:F,3)</f>
        <v>0</v>
      </c>
      <c r="P668" s="160">
        <f t="shared" si="168"/>
        <v>0</v>
      </c>
      <c r="Q668" s="160">
        <v>4000</v>
      </c>
      <c r="R668" s="233">
        <f>VLOOKUP(A668,TB!A:F,6)</f>
        <v>4000</v>
      </c>
      <c r="S668" s="233">
        <f t="shared" si="169"/>
        <v>0</v>
      </c>
    </row>
    <row r="669" spans="1:19" ht="15.75" customHeight="1" x14ac:dyDescent="0.25">
      <c r="A669" s="66" t="s">
        <v>779</v>
      </c>
      <c r="B669" s="66" t="s">
        <v>132</v>
      </c>
      <c r="C669" s="295"/>
      <c r="D669" s="160">
        <v>0</v>
      </c>
      <c r="E669" s="160" t="e">
        <f>D669*#REF!</f>
        <v>#REF!</v>
      </c>
      <c r="F669" s="160" t="e">
        <f>D669*#REF!</f>
        <v>#REF!</v>
      </c>
      <c r="G669" s="160" t="e">
        <f>(D669*#REF!)*#REF!</f>
        <v>#REF!</v>
      </c>
      <c r="H669" s="296">
        <f t="shared" si="166"/>
        <v>0</v>
      </c>
      <c r="I669" s="147" t="e">
        <f t="shared" si="167"/>
        <v>#REF!</v>
      </c>
      <c r="J669" s="97">
        <v>0</v>
      </c>
      <c r="K669" s="295"/>
      <c r="L669" s="20">
        <v>0</v>
      </c>
      <c r="M669" s="20">
        <v>18381.5</v>
      </c>
      <c r="N669" s="20">
        <v>24371</v>
      </c>
      <c r="O669" s="20">
        <f>VLOOKUP(A669,TB!A:F,3)</f>
        <v>1430</v>
      </c>
      <c r="P669" s="160">
        <f t="shared" si="168"/>
        <v>1859</v>
      </c>
      <c r="Q669" s="160">
        <v>26000</v>
      </c>
      <c r="R669" s="233">
        <f>VLOOKUP(A669,TB!A:F,6)</f>
        <v>26000</v>
      </c>
      <c r="S669" s="233">
        <f t="shared" si="169"/>
        <v>0</v>
      </c>
    </row>
    <row r="670" spans="1:19" ht="15.75" customHeight="1" x14ac:dyDescent="0.25">
      <c r="A670" s="66" t="s">
        <v>780</v>
      </c>
      <c r="B670" s="66" t="s">
        <v>72</v>
      </c>
      <c r="C670" s="295"/>
      <c r="D670" s="160">
        <v>33572</v>
      </c>
      <c r="E670" s="160" t="e">
        <f>D670*#REF!</f>
        <v>#REF!</v>
      </c>
      <c r="F670" s="160" t="e">
        <f>D670*#REF!</f>
        <v>#REF!</v>
      </c>
      <c r="G670" s="160" t="e">
        <f>(D670*#REF!)*#REF!</f>
        <v>#REF!</v>
      </c>
      <c r="H670" s="296">
        <f t="shared" si="166"/>
        <v>0</v>
      </c>
      <c r="I670" s="147" t="e">
        <f t="shared" si="167"/>
        <v>#REF!</v>
      </c>
      <c r="J670" s="97">
        <v>0</v>
      </c>
      <c r="K670" s="295"/>
      <c r="L670" s="20">
        <v>39206</v>
      </c>
      <c r="M670" s="20">
        <v>46854.55</v>
      </c>
      <c r="N670" s="20">
        <v>55321</v>
      </c>
      <c r="O670" s="20">
        <f>VLOOKUP(A670,TB!A:F,3)</f>
        <v>33161.879999999997</v>
      </c>
      <c r="P670" s="160">
        <f t="shared" si="168"/>
        <v>43110.443999999996</v>
      </c>
      <c r="Q670" s="160">
        <v>50300</v>
      </c>
      <c r="R670" s="233">
        <f>VLOOKUP(A670,TB!A:F,6)</f>
        <v>50300</v>
      </c>
      <c r="S670" s="233">
        <f t="shared" si="169"/>
        <v>0</v>
      </c>
    </row>
    <row r="671" spans="1:19" ht="15.75" customHeight="1" x14ac:dyDescent="0.25">
      <c r="A671" s="66" t="s">
        <v>781</v>
      </c>
      <c r="B671" s="66" t="s">
        <v>74</v>
      </c>
      <c r="C671" s="295"/>
      <c r="D671" s="160">
        <v>789</v>
      </c>
      <c r="E671" s="160" t="e">
        <f>D671*#REF!</f>
        <v>#REF!</v>
      </c>
      <c r="F671" s="160" t="e">
        <f>D671*#REF!</f>
        <v>#REF!</v>
      </c>
      <c r="G671" s="160" t="e">
        <f>(D671*#REF!)*#REF!</f>
        <v>#REF!</v>
      </c>
      <c r="H671" s="296">
        <f t="shared" si="166"/>
        <v>0</v>
      </c>
      <c r="I671" s="147" t="e">
        <f t="shared" si="167"/>
        <v>#REF!</v>
      </c>
      <c r="J671" s="97">
        <v>0</v>
      </c>
      <c r="K671" s="295"/>
      <c r="L671" s="20">
        <v>279</v>
      </c>
      <c r="M671" s="20">
        <v>439</v>
      </c>
      <c r="N671" s="20">
        <v>2500</v>
      </c>
      <c r="O671" s="20">
        <f>VLOOKUP(A671,TB!A:F,3)</f>
        <v>80</v>
      </c>
      <c r="P671" s="163">
        <f t="shared" ref="P671:P672" si="170">N671</f>
        <v>2500</v>
      </c>
      <c r="Q671" s="160">
        <v>1000</v>
      </c>
      <c r="R671" s="233">
        <f>VLOOKUP(A671,TB!A:F,6)</f>
        <v>1000</v>
      </c>
      <c r="S671" s="233">
        <f t="shared" si="169"/>
        <v>0</v>
      </c>
    </row>
    <row r="672" spans="1:19" ht="15.75" customHeight="1" x14ac:dyDescent="0.25">
      <c r="A672" s="66" t="s">
        <v>782</v>
      </c>
      <c r="B672" s="66" t="s">
        <v>76</v>
      </c>
      <c r="C672" s="295"/>
      <c r="D672" s="160">
        <v>113</v>
      </c>
      <c r="E672" s="160" t="e">
        <f>D672*#REF!</f>
        <v>#REF!</v>
      </c>
      <c r="F672" s="160" t="e">
        <f>D672*#REF!</f>
        <v>#REF!</v>
      </c>
      <c r="G672" s="160" t="e">
        <f>(D672*#REF!)*#REF!</f>
        <v>#REF!</v>
      </c>
      <c r="H672" s="296">
        <f t="shared" si="166"/>
        <v>0</v>
      </c>
      <c r="I672" s="147" t="e">
        <f t="shared" si="167"/>
        <v>#REF!</v>
      </c>
      <c r="J672" s="97">
        <v>0</v>
      </c>
      <c r="K672" s="295"/>
      <c r="L672" s="20">
        <v>0</v>
      </c>
      <c r="M672" s="20">
        <v>1177</v>
      </c>
      <c r="N672" s="20">
        <v>3500</v>
      </c>
      <c r="O672" s="20">
        <f>VLOOKUP(A672,TB!A:F,3)</f>
        <v>143.81</v>
      </c>
      <c r="P672" s="163">
        <f t="shared" si="170"/>
        <v>3500</v>
      </c>
      <c r="Q672" s="160">
        <v>3500</v>
      </c>
      <c r="R672" s="233">
        <f>VLOOKUP(A672,TB!A:F,6)</f>
        <v>3500</v>
      </c>
      <c r="S672" s="233">
        <f t="shared" si="169"/>
        <v>0</v>
      </c>
    </row>
    <row r="673" spans="1:19" ht="15.75" customHeight="1" x14ac:dyDescent="0.25">
      <c r="A673" s="66" t="s">
        <v>783</v>
      </c>
      <c r="B673" s="66" t="s">
        <v>80</v>
      </c>
      <c r="C673" s="295"/>
      <c r="D673" s="160">
        <v>465</v>
      </c>
      <c r="E673" s="160" t="e">
        <f>D673*#REF!</f>
        <v>#REF!</v>
      </c>
      <c r="F673" s="160" t="e">
        <f>D673*#REF!</f>
        <v>#REF!</v>
      </c>
      <c r="G673" s="160" t="e">
        <f>(D673*#REF!)*#REF!</f>
        <v>#REF!</v>
      </c>
      <c r="H673" s="296">
        <f t="shared" si="166"/>
        <v>0</v>
      </c>
      <c r="I673" s="147" t="e">
        <f t="shared" si="167"/>
        <v>#REF!</v>
      </c>
      <c r="J673" s="97">
        <v>0</v>
      </c>
      <c r="K673" s="295"/>
      <c r="L673" s="20">
        <v>0</v>
      </c>
      <c r="M673" s="20">
        <v>566.62</v>
      </c>
      <c r="N673" s="20">
        <v>1000</v>
      </c>
      <c r="O673" s="20">
        <f>VLOOKUP(A673,TB!A:F,3)</f>
        <v>1146.07</v>
      </c>
      <c r="P673" s="163">
        <f>O673/9*12</f>
        <v>1528.0933333333332</v>
      </c>
      <c r="Q673" s="160">
        <v>1500</v>
      </c>
      <c r="R673" s="233">
        <f>VLOOKUP(A673,TB!A:F,6)</f>
        <v>1500</v>
      </c>
      <c r="S673" s="233">
        <f t="shared" si="169"/>
        <v>0</v>
      </c>
    </row>
    <row r="674" spans="1:19" ht="15.75" customHeight="1" x14ac:dyDescent="0.25">
      <c r="A674" s="66" t="s">
        <v>784</v>
      </c>
      <c r="B674" s="66" t="s">
        <v>82</v>
      </c>
      <c r="C674" s="295"/>
      <c r="D674" s="160">
        <v>2844</v>
      </c>
      <c r="E674" s="160" t="e">
        <f>D674*#REF!</f>
        <v>#REF!</v>
      </c>
      <c r="F674" s="160" t="e">
        <f>D674*#REF!</f>
        <v>#REF!</v>
      </c>
      <c r="G674" s="160" t="e">
        <f>(D674*#REF!)*#REF!</f>
        <v>#REF!</v>
      </c>
      <c r="H674" s="296">
        <f t="shared" si="166"/>
        <v>0</v>
      </c>
      <c r="I674" s="147" t="e">
        <f t="shared" si="167"/>
        <v>#REF!</v>
      </c>
      <c r="J674" s="97">
        <v>0</v>
      </c>
      <c r="K674" s="295"/>
      <c r="L674" s="20">
        <v>3392</v>
      </c>
      <c r="M674" s="20">
        <v>1304.6300000000001</v>
      </c>
      <c r="N674" s="20">
        <v>3500</v>
      </c>
      <c r="O674" s="20">
        <f>VLOOKUP(A674,TB!A:F,3)</f>
        <v>1332.57</v>
      </c>
      <c r="P674" s="163">
        <f t="shared" ref="P674:P675" si="171">N674</f>
        <v>3500</v>
      </c>
      <c r="Q674" s="160">
        <v>3500</v>
      </c>
      <c r="R674" s="233">
        <f>VLOOKUP(A674,TB!A:F,6)</f>
        <v>3500</v>
      </c>
      <c r="S674" s="233">
        <f t="shared" si="169"/>
        <v>0</v>
      </c>
    </row>
    <row r="675" spans="1:19" ht="15.75" customHeight="1" x14ac:dyDescent="0.25">
      <c r="A675" s="66" t="s">
        <v>785</v>
      </c>
      <c r="B675" s="66" t="s">
        <v>115</v>
      </c>
      <c r="C675" s="295"/>
      <c r="D675" s="160">
        <v>4763</v>
      </c>
      <c r="E675" s="160" t="e">
        <f>D675*#REF!</f>
        <v>#REF!</v>
      </c>
      <c r="F675" s="160" t="e">
        <f>D675*#REF!</f>
        <v>#REF!</v>
      </c>
      <c r="G675" s="160" t="e">
        <f>(D675*#REF!)*#REF!</f>
        <v>#REF!</v>
      </c>
      <c r="H675" s="296">
        <f t="shared" si="166"/>
        <v>0</v>
      </c>
      <c r="I675" s="147" t="e">
        <f t="shared" si="167"/>
        <v>#REF!</v>
      </c>
      <c r="J675" s="97">
        <v>0</v>
      </c>
      <c r="K675" s="295"/>
      <c r="L675" s="20">
        <v>7121</v>
      </c>
      <c r="M675" s="20">
        <v>1621.04</v>
      </c>
      <c r="N675" s="20">
        <v>29000</v>
      </c>
      <c r="O675" s="20">
        <f>VLOOKUP(A675,TB!A:F,3)</f>
        <v>2144.17</v>
      </c>
      <c r="P675" s="163">
        <f t="shared" si="171"/>
        <v>29000</v>
      </c>
      <c r="Q675" s="160">
        <v>29000</v>
      </c>
      <c r="R675" s="233">
        <f>VLOOKUP(A675,TB!A:F,6)</f>
        <v>29000</v>
      </c>
      <c r="S675" s="233">
        <f t="shared" si="169"/>
        <v>0</v>
      </c>
    </row>
    <row r="676" spans="1:19" ht="15.75" customHeight="1" x14ac:dyDescent="0.25">
      <c r="A676" s="66" t="s">
        <v>786</v>
      </c>
      <c r="B676" s="66" t="s">
        <v>787</v>
      </c>
      <c r="C676" s="295"/>
      <c r="D676" s="160">
        <v>0</v>
      </c>
      <c r="E676" s="160" t="e">
        <f>D676*#REF!</f>
        <v>#REF!</v>
      </c>
      <c r="F676" s="160" t="e">
        <f>D676*#REF!</f>
        <v>#REF!</v>
      </c>
      <c r="G676" s="160" t="e">
        <f>(D676*#REF!)*#REF!</f>
        <v>#REF!</v>
      </c>
      <c r="H676" s="296">
        <f t="shared" si="166"/>
        <v>0</v>
      </c>
      <c r="I676" s="147" t="e">
        <f t="shared" si="167"/>
        <v>#REF!</v>
      </c>
      <c r="J676" s="97">
        <v>0</v>
      </c>
      <c r="K676" s="295"/>
      <c r="L676" s="20">
        <v>0</v>
      </c>
      <c r="M676" s="20">
        <v>0</v>
      </c>
      <c r="N676" s="20">
        <v>0</v>
      </c>
      <c r="O676" s="20">
        <f>VLOOKUP(A676,TB!A:F,3)</f>
        <v>2144.17</v>
      </c>
      <c r="P676" s="160">
        <f>O676/9*12</f>
        <v>2858.8933333333334</v>
      </c>
      <c r="Q676" s="160">
        <v>0</v>
      </c>
      <c r="R676" s="233">
        <v>0</v>
      </c>
      <c r="S676" s="233">
        <f t="shared" si="169"/>
        <v>0</v>
      </c>
    </row>
    <row r="677" spans="1:19" ht="15.75" customHeight="1" x14ac:dyDescent="0.25">
      <c r="A677" s="66" t="s">
        <v>788</v>
      </c>
      <c r="B677" s="66" t="s">
        <v>84</v>
      </c>
      <c r="C677" s="295"/>
      <c r="D677" s="160">
        <v>1105</v>
      </c>
      <c r="E677" s="160" t="e">
        <f>D677*#REF!</f>
        <v>#REF!</v>
      </c>
      <c r="F677" s="160" t="e">
        <f>D677*#REF!</f>
        <v>#REF!</v>
      </c>
      <c r="G677" s="160" t="e">
        <f>(D677*#REF!)*#REF!</f>
        <v>#REF!</v>
      </c>
      <c r="H677" s="296">
        <f t="shared" si="166"/>
        <v>0</v>
      </c>
      <c r="I677" s="147" t="e">
        <f t="shared" si="167"/>
        <v>#REF!</v>
      </c>
      <c r="J677" s="97">
        <v>0</v>
      </c>
      <c r="K677" s="295"/>
      <c r="L677" s="20">
        <v>11244</v>
      </c>
      <c r="M677" s="20">
        <v>9050.2900000000009</v>
      </c>
      <c r="N677" s="20">
        <v>12000</v>
      </c>
      <c r="O677" s="20">
        <f>VLOOKUP(A677,TB!A:F,3)</f>
        <v>9329.19</v>
      </c>
      <c r="P677" s="163">
        <f>N677</f>
        <v>12000</v>
      </c>
      <c r="Q677" s="160">
        <v>13000</v>
      </c>
      <c r="R677" s="233">
        <f>VLOOKUP(A677,TB!A:F,6)</f>
        <v>13000</v>
      </c>
      <c r="S677" s="233">
        <f t="shared" si="169"/>
        <v>0</v>
      </c>
    </row>
    <row r="678" spans="1:19" ht="15.75" customHeight="1" x14ac:dyDescent="0.25">
      <c r="A678" s="66" t="s">
        <v>789</v>
      </c>
      <c r="B678" s="66" t="s">
        <v>210</v>
      </c>
      <c r="C678" s="295"/>
      <c r="D678" s="160">
        <v>9253</v>
      </c>
      <c r="E678" s="160" t="e">
        <f>D678*#REF!</f>
        <v>#REF!</v>
      </c>
      <c r="F678" s="160" t="e">
        <f>D678*#REF!</f>
        <v>#REF!</v>
      </c>
      <c r="G678" s="160" t="e">
        <f>(D678*#REF!)*#REF!</f>
        <v>#REF!</v>
      </c>
      <c r="H678" s="296">
        <f t="shared" si="166"/>
        <v>0</v>
      </c>
      <c r="I678" s="147" t="e">
        <f t="shared" si="167"/>
        <v>#REF!</v>
      </c>
      <c r="J678" s="97">
        <v>0</v>
      </c>
      <c r="K678" s="295"/>
      <c r="L678" s="20">
        <v>10417</v>
      </c>
      <c r="M678" s="20">
        <v>971.55</v>
      </c>
      <c r="N678" s="20">
        <v>0</v>
      </c>
      <c r="O678" s="20">
        <f>VLOOKUP(A678,TB!A:F,3)</f>
        <v>0</v>
      </c>
      <c r="P678" s="160">
        <f>O678/9*12</f>
        <v>0</v>
      </c>
      <c r="Q678" s="160">
        <v>0</v>
      </c>
      <c r="R678" s="233">
        <f>VLOOKUP(A678,TB!A:F,6)</f>
        <v>0</v>
      </c>
      <c r="S678" s="233">
        <f t="shared" si="169"/>
        <v>0</v>
      </c>
    </row>
    <row r="679" spans="1:19" ht="15.75" customHeight="1" x14ac:dyDescent="0.25">
      <c r="A679" s="66" t="s">
        <v>790</v>
      </c>
      <c r="B679" s="66" t="s">
        <v>88</v>
      </c>
      <c r="C679" s="295"/>
      <c r="D679" s="160">
        <v>0</v>
      </c>
      <c r="E679" s="160" t="e">
        <f>D679*#REF!</f>
        <v>#REF!</v>
      </c>
      <c r="F679" s="160" t="e">
        <f>D679*#REF!</f>
        <v>#REF!</v>
      </c>
      <c r="G679" s="160" t="e">
        <f>(D679*#REF!)*#REF!</f>
        <v>#REF!</v>
      </c>
      <c r="H679" s="296">
        <f t="shared" si="166"/>
        <v>0</v>
      </c>
      <c r="I679" s="147" t="e">
        <f t="shared" si="167"/>
        <v>#REF!</v>
      </c>
      <c r="J679" s="97">
        <v>0</v>
      </c>
      <c r="K679" s="295"/>
      <c r="L679" s="20">
        <v>0</v>
      </c>
      <c r="M679" s="20">
        <v>0</v>
      </c>
      <c r="N679" s="20">
        <v>1500</v>
      </c>
      <c r="O679" s="20">
        <f>VLOOKUP(A679,TB!A:F,3)</f>
        <v>0</v>
      </c>
      <c r="P679" s="163">
        <f>N679</f>
        <v>1500</v>
      </c>
      <c r="Q679" s="160">
        <v>2500</v>
      </c>
      <c r="R679" s="233">
        <f>VLOOKUP(A679,TB!A:F,6)</f>
        <v>2500</v>
      </c>
      <c r="S679" s="233">
        <f t="shared" si="169"/>
        <v>0</v>
      </c>
    </row>
    <row r="680" spans="1:19" ht="15.75" customHeight="1" x14ac:dyDescent="0.25">
      <c r="A680" s="66" t="s">
        <v>791</v>
      </c>
      <c r="B680" s="66" t="s">
        <v>90</v>
      </c>
      <c r="C680" s="295"/>
      <c r="D680" s="160">
        <v>1516</v>
      </c>
      <c r="E680" s="160" t="e">
        <f>D680*#REF!</f>
        <v>#REF!</v>
      </c>
      <c r="F680" s="160" t="e">
        <f>D680*#REF!</f>
        <v>#REF!</v>
      </c>
      <c r="G680" s="160" t="e">
        <f>(D680*#REF!)*#REF!</f>
        <v>#REF!</v>
      </c>
      <c r="H680" s="296">
        <f t="shared" si="166"/>
        <v>0</v>
      </c>
      <c r="I680" s="147" t="e">
        <f t="shared" si="167"/>
        <v>#REF!</v>
      </c>
      <c r="J680" s="97">
        <v>0</v>
      </c>
      <c r="K680" s="295"/>
      <c r="L680" s="20">
        <v>264</v>
      </c>
      <c r="M680" s="20">
        <v>1044.95</v>
      </c>
      <c r="N680" s="20">
        <v>2800</v>
      </c>
      <c r="O680" s="20">
        <f>VLOOKUP(A680,TB!A:F,3)</f>
        <v>3116.11</v>
      </c>
      <c r="P680" s="160">
        <f>O680/9*12</f>
        <v>4154.8133333333335</v>
      </c>
      <c r="Q680" s="160">
        <v>2800</v>
      </c>
      <c r="R680" s="233">
        <f>VLOOKUP(A680,TB!A:F,6)</f>
        <v>2800</v>
      </c>
      <c r="S680" s="233">
        <f t="shared" si="169"/>
        <v>0</v>
      </c>
    </row>
    <row r="681" spans="1:19" ht="15.75" customHeight="1" x14ac:dyDescent="0.25">
      <c r="A681" s="66" t="s">
        <v>792</v>
      </c>
      <c r="B681" s="66" t="s">
        <v>252</v>
      </c>
      <c r="C681" s="295"/>
      <c r="D681" s="160">
        <v>951</v>
      </c>
      <c r="E681" s="160" t="e">
        <f>D681*#REF!</f>
        <v>#REF!</v>
      </c>
      <c r="F681" s="160" t="e">
        <f>D681*#REF!</f>
        <v>#REF!</v>
      </c>
      <c r="G681" s="160" t="e">
        <f>(D681*#REF!)*#REF!</f>
        <v>#REF!</v>
      </c>
      <c r="H681" s="296">
        <f t="shared" si="166"/>
        <v>0</v>
      </c>
      <c r="I681" s="147" t="e">
        <f t="shared" si="167"/>
        <v>#REF!</v>
      </c>
      <c r="J681" s="97">
        <v>0</v>
      </c>
      <c r="K681" s="295"/>
      <c r="L681" s="20">
        <v>0</v>
      </c>
      <c r="M681" s="20">
        <v>945.56</v>
      </c>
      <c r="N681" s="20">
        <v>1000</v>
      </c>
      <c r="O681" s="20">
        <f>VLOOKUP(A681,TB!A:F,3)</f>
        <v>69</v>
      </c>
      <c r="P681" s="163">
        <f>N681</f>
        <v>1000</v>
      </c>
      <c r="Q681" s="160">
        <v>1000</v>
      </c>
      <c r="R681" s="233">
        <f>VLOOKUP(A681,TB!A:F,6)</f>
        <v>1000</v>
      </c>
      <c r="S681" s="233">
        <f t="shared" si="169"/>
        <v>0</v>
      </c>
    </row>
    <row r="682" spans="1:19" ht="15.75" customHeight="1" x14ac:dyDescent="0.25">
      <c r="A682" s="66" t="s">
        <v>793</v>
      </c>
      <c r="B682" s="66" t="s">
        <v>466</v>
      </c>
      <c r="C682" s="295"/>
      <c r="D682" s="160">
        <v>0</v>
      </c>
      <c r="E682" s="160" t="e">
        <f>D682*#REF!</f>
        <v>#REF!</v>
      </c>
      <c r="F682" s="160" t="e">
        <f>D682*#REF!</f>
        <v>#REF!</v>
      </c>
      <c r="G682" s="160" t="e">
        <f>(D682*#REF!)*#REF!</f>
        <v>#REF!</v>
      </c>
      <c r="H682" s="296">
        <f t="shared" si="166"/>
        <v>0</v>
      </c>
      <c r="I682" s="147" t="e">
        <f t="shared" si="167"/>
        <v>#REF!</v>
      </c>
      <c r="J682" s="97">
        <v>0</v>
      </c>
      <c r="K682" s="295"/>
      <c r="L682" s="20">
        <v>152800</v>
      </c>
      <c r="M682" s="20">
        <v>0</v>
      </c>
      <c r="N682" s="20">
        <v>0</v>
      </c>
      <c r="O682" s="20">
        <f>VLOOKUP(A682,TB!A:F,3)</f>
        <v>0</v>
      </c>
      <c r="P682" s="160">
        <f>O682/9*12</f>
        <v>0</v>
      </c>
      <c r="Q682" s="160">
        <v>0</v>
      </c>
      <c r="R682" s="233">
        <f>VLOOKUP(A682,TB!A:F,6)</f>
        <v>0</v>
      </c>
      <c r="S682" s="233">
        <f t="shared" si="169"/>
        <v>0</v>
      </c>
    </row>
    <row r="683" spans="1:19" ht="15.75" customHeight="1" x14ac:dyDescent="0.25">
      <c r="A683" s="66" t="s">
        <v>794</v>
      </c>
      <c r="B683" s="66" t="s">
        <v>502</v>
      </c>
      <c r="C683" s="295"/>
      <c r="D683" s="160">
        <v>0</v>
      </c>
      <c r="E683" s="160" t="e">
        <f>D683*#REF!</f>
        <v>#REF!</v>
      </c>
      <c r="F683" s="160" t="e">
        <f>D683*#REF!</f>
        <v>#REF!</v>
      </c>
      <c r="G683" s="160" t="e">
        <f>(D683*#REF!)*#REF!</f>
        <v>#REF!</v>
      </c>
      <c r="H683" s="296">
        <f t="shared" si="166"/>
        <v>0</v>
      </c>
      <c r="I683" s="147" t="e">
        <f t="shared" si="167"/>
        <v>#REF!</v>
      </c>
      <c r="J683" s="97">
        <v>0</v>
      </c>
      <c r="K683" s="295"/>
      <c r="L683" s="20">
        <v>694</v>
      </c>
      <c r="M683" s="20">
        <v>35.39</v>
      </c>
      <c r="N683" s="20">
        <v>1000</v>
      </c>
      <c r="O683" s="20">
        <f>VLOOKUP(A683,TB!A:F,3)</f>
        <v>232.96</v>
      </c>
      <c r="P683" s="163">
        <f t="shared" ref="P683:P685" si="172">N683</f>
        <v>1000</v>
      </c>
      <c r="Q683" s="160">
        <v>1000</v>
      </c>
      <c r="R683" s="233">
        <f>VLOOKUP(A683,TB!A:F,6)</f>
        <v>1000</v>
      </c>
      <c r="S683" s="233">
        <f t="shared" si="169"/>
        <v>0</v>
      </c>
    </row>
    <row r="684" spans="1:19" ht="15.75" customHeight="1" x14ac:dyDescent="0.25">
      <c r="A684" s="66" t="s">
        <v>795</v>
      </c>
      <c r="B684" s="66" t="s">
        <v>92</v>
      </c>
      <c r="C684" s="295"/>
      <c r="D684" s="160">
        <v>0</v>
      </c>
      <c r="E684" s="160" t="e">
        <f>D684*#REF!</f>
        <v>#REF!</v>
      </c>
      <c r="F684" s="160" t="e">
        <f>D684*#REF!</f>
        <v>#REF!</v>
      </c>
      <c r="G684" s="160" t="e">
        <f>(D684*#REF!)*#REF!</f>
        <v>#REF!</v>
      </c>
      <c r="H684" s="296">
        <f t="shared" si="166"/>
        <v>0</v>
      </c>
      <c r="I684" s="147" t="e">
        <f t="shared" si="167"/>
        <v>#REF!</v>
      </c>
      <c r="J684" s="97">
        <v>0</v>
      </c>
      <c r="K684" s="295"/>
      <c r="L684" s="20">
        <v>682</v>
      </c>
      <c r="M684" s="20">
        <v>0</v>
      </c>
      <c r="N684" s="20">
        <v>700</v>
      </c>
      <c r="O684" s="20">
        <f>VLOOKUP(A684,TB!A:F,3)</f>
        <v>0</v>
      </c>
      <c r="P684" s="163">
        <f t="shared" si="172"/>
        <v>700</v>
      </c>
      <c r="Q684" s="160">
        <v>1000</v>
      </c>
      <c r="R684" s="233">
        <f>VLOOKUP(A684,TB!A:F,6)</f>
        <v>1000</v>
      </c>
      <c r="S684" s="233">
        <f t="shared" si="169"/>
        <v>0</v>
      </c>
    </row>
    <row r="685" spans="1:19" ht="15.75" customHeight="1" x14ac:dyDescent="0.25">
      <c r="A685" s="66" t="s">
        <v>796</v>
      </c>
      <c r="B685" s="66" t="s">
        <v>797</v>
      </c>
      <c r="C685" s="295"/>
      <c r="D685" s="160">
        <v>4998</v>
      </c>
      <c r="E685" s="160" t="e">
        <f>D685*#REF!</f>
        <v>#REF!</v>
      </c>
      <c r="F685" s="160" t="e">
        <f>D685*#REF!</f>
        <v>#REF!</v>
      </c>
      <c r="G685" s="160" t="e">
        <f>(D685*#REF!)*#REF!</f>
        <v>#REF!</v>
      </c>
      <c r="H685" s="296">
        <f t="shared" si="166"/>
        <v>0</v>
      </c>
      <c r="I685" s="147" t="e">
        <f t="shared" si="167"/>
        <v>#REF!</v>
      </c>
      <c r="J685" s="97">
        <v>0</v>
      </c>
      <c r="K685" s="295"/>
      <c r="L685" s="20">
        <v>3448</v>
      </c>
      <c r="M685" s="20">
        <v>4249.41</v>
      </c>
      <c r="N685" s="20">
        <v>8000</v>
      </c>
      <c r="O685" s="20">
        <f>VLOOKUP(A685,TB!A:F,3)</f>
        <v>4490.03</v>
      </c>
      <c r="P685" s="163">
        <f t="shared" si="172"/>
        <v>8000</v>
      </c>
      <c r="Q685" s="160">
        <v>8000</v>
      </c>
      <c r="R685" s="233">
        <f>VLOOKUP(A685,TB!A:F,6)</f>
        <v>8000</v>
      </c>
      <c r="S685" s="233">
        <f t="shared" si="169"/>
        <v>0</v>
      </c>
    </row>
    <row r="686" spans="1:19" ht="15.75" customHeight="1" x14ac:dyDescent="0.25">
      <c r="A686" s="74" t="s">
        <v>798</v>
      </c>
      <c r="B686" s="75"/>
      <c r="C686" s="299"/>
      <c r="D686" s="189">
        <f t="shared" ref="D686:G686" si="173">SUM(D667:D685)</f>
        <v>121866</v>
      </c>
      <c r="E686" s="189" t="e">
        <f t="shared" si="173"/>
        <v>#REF!</v>
      </c>
      <c r="F686" s="189" t="e">
        <f t="shared" si="173"/>
        <v>#REF!</v>
      </c>
      <c r="G686" s="189" t="e">
        <f t="shared" si="173"/>
        <v>#REF!</v>
      </c>
      <c r="H686" s="300">
        <f t="shared" si="166"/>
        <v>0</v>
      </c>
      <c r="I686" s="189" t="e">
        <f t="shared" si="167"/>
        <v>#REF!</v>
      </c>
      <c r="J686" s="301">
        <f>SUM(J667:J685)</f>
        <v>0</v>
      </c>
      <c r="K686" s="299"/>
      <c r="L686" s="77">
        <f t="shared" ref="L686:S686" si="174">SUM(L667:L685)</f>
        <v>301998</v>
      </c>
      <c r="M686" s="77">
        <f t="shared" si="174"/>
        <v>160527.69000000003</v>
      </c>
      <c r="N686" s="77">
        <f t="shared" si="174"/>
        <v>228494</v>
      </c>
      <c r="O686" s="77">
        <f t="shared" si="174"/>
        <v>118060.76000000001</v>
      </c>
      <c r="P686" s="189">
        <f t="shared" si="174"/>
        <v>193224.28399999999</v>
      </c>
      <c r="Q686" s="189">
        <f t="shared" si="174"/>
        <v>233300</v>
      </c>
      <c r="R686" s="77">
        <f t="shared" si="174"/>
        <v>233300</v>
      </c>
      <c r="S686" s="77">
        <f t="shared" si="174"/>
        <v>0</v>
      </c>
    </row>
    <row r="687" spans="1:19" ht="15.75" customHeight="1" x14ac:dyDescent="0.2">
      <c r="C687" s="287"/>
      <c r="K687" s="287"/>
      <c r="L687" s="54"/>
      <c r="M687" s="54"/>
      <c r="N687" s="54"/>
      <c r="O687" s="54"/>
      <c r="P687" s="54"/>
      <c r="Q687" s="54"/>
      <c r="R687" s="83"/>
      <c r="S687" s="83"/>
    </row>
    <row r="688" spans="1:19" ht="15.75" customHeight="1" x14ac:dyDescent="0.2">
      <c r="A688" s="69" t="s">
        <v>184</v>
      </c>
      <c r="C688" s="287"/>
      <c r="K688" s="287"/>
      <c r="L688" s="54"/>
      <c r="M688" s="54"/>
      <c r="N688" s="54"/>
      <c r="O688" s="54"/>
      <c r="P688" s="54"/>
      <c r="Q688" s="54"/>
      <c r="R688" s="83"/>
      <c r="S688" s="83"/>
    </row>
    <row r="689" spans="1:19" ht="15.75" customHeight="1" x14ac:dyDescent="0.25">
      <c r="A689" s="51" t="s">
        <v>799</v>
      </c>
      <c r="B689" s="51" t="s">
        <v>800</v>
      </c>
      <c r="C689" s="307"/>
      <c r="D689" s="147">
        <v>-23243</v>
      </c>
      <c r="E689" s="160" t="e">
        <f>D689*#REF!</f>
        <v>#REF!</v>
      </c>
      <c r="F689" s="160" t="e">
        <f>D689*#REF!</f>
        <v>#REF!</v>
      </c>
      <c r="G689" s="160" t="e">
        <f>(D689*#REF!)*#REF!</f>
        <v>#REF!</v>
      </c>
      <c r="H689" s="296">
        <f t="shared" ref="H689:H690" si="175">IFERROR(((Q689-G689)/G689),0)</f>
        <v>0</v>
      </c>
      <c r="I689" s="147" t="e">
        <f t="shared" ref="I689:I690" si="176">Q689-G689</f>
        <v>#REF!</v>
      </c>
      <c r="J689" s="97">
        <v>0</v>
      </c>
      <c r="K689" s="307"/>
      <c r="L689" s="54">
        <v>0</v>
      </c>
      <c r="M689" s="54">
        <v>0</v>
      </c>
      <c r="N689" s="54">
        <v>0</v>
      </c>
      <c r="O689" s="20">
        <v>0</v>
      </c>
      <c r="P689" s="54"/>
      <c r="Q689" s="54">
        <v>0</v>
      </c>
      <c r="R689" s="81">
        <v>0</v>
      </c>
      <c r="S689" s="233">
        <f>Q689-R689</f>
        <v>0</v>
      </c>
    </row>
    <row r="690" spans="1:19" ht="15.75" customHeight="1" x14ac:dyDescent="0.2">
      <c r="A690" s="239" t="s">
        <v>189</v>
      </c>
      <c r="B690" s="75"/>
      <c r="C690" s="299"/>
      <c r="D690" s="189">
        <f t="shared" ref="D690:G690" si="177">SUM(D689)</f>
        <v>-23243</v>
      </c>
      <c r="E690" s="189" t="e">
        <f t="shared" si="177"/>
        <v>#REF!</v>
      </c>
      <c r="F690" s="189" t="e">
        <f t="shared" si="177"/>
        <v>#REF!</v>
      </c>
      <c r="G690" s="189" t="e">
        <f t="shared" si="177"/>
        <v>#REF!</v>
      </c>
      <c r="H690" s="300">
        <f t="shared" si="175"/>
        <v>0</v>
      </c>
      <c r="I690" s="189" t="e">
        <f t="shared" si="176"/>
        <v>#REF!</v>
      </c>
      <c r="J690" s="189">
        <f>SUM(J689)</f>
        <v>0</v>
      </c>
      <c r="K690" s="299"/>
      <c r="L690" s="77">
        <f t="shared" ref="L690:S690" si="178">SUM(L689)</f>
        <v>0</v>
      </c>
      <c r="M690" s="77">
        <f t="shared" si="178"/>
        <v>0</v>
      </c>
      <c r="N690" s="77">
        <f t="shared" si="178"/>
        <v>0</v>
      </c>
      <c r="O690" s="77">
        <f t="shared" si="178"/>
        <v>0</v>
      </c>
      <c r="P690" s="189">
        <f t="shared" si="178"/>
        <v>0</v>
      </c>
      <c r="Q690" s="189">
        <f t="shared" si="178"/>
        <v>0</v>
      </c>
      <c r="R690" s="77">
        <f t="shared" si="178"/>
        <v>0</v>
      </c>
      <c r="S690" s="77">
        <f t="shared" si="178"/>
        <v>0</v>
      </c>
    </row>
    <row r="691" spans="1:19" ht="15.75" customHeight="1" x14ac:dyDescent="0.2">
      <c r="C691" s="287"/>
      <c r="K691" s="287"/>
      <c r="L691" s="54"/>
      <c r="M691" s="54"/>
      <c r="N691" s="54"/>
      <c r="O691" s="54"/>
      <c r="P691" s="54"/>
      <c r="Q691" s="54"/>
      <c r="R691" s="83"/>
      <c r="S691" s="83"/>
    </row>
    <row r="692" spans="1:19" ht="15.75" customHeight="1" x14ac:dyDescent="0.2">
      <c r="A692" s="69" t="s">
        <v>190</v>
      </c>
      <c r="B692" s="51"/>
      <c r="C692" s="309"/>
      <c r="D692" s="193">
        <f t="shared" ref="D692:G692" si="179">D686+D690</f>
        <v>98623</v>
      </c>
      <c r="E692" s="193" t="e">
        <f t="shared" si="179"/>
        <v>#REF!</v>
      </c>
      <c r="F692" s="193" t="e">
        <f t="shared" si="179"/>
        <v>#REF!</v>
      </c>
      <c r="G692" s="193" t="e">
        <f t="shared" si="179"/>
        <v>#REF!</v>
      </c>
      <c r="H692" s="310">
        <f>IFERROR(((Q692-G692)/G692),0)</f>
        <v>0</v>
      </c>
      <c r="I692" s="193" t="e">
        <f>Q692-G692</f>
        <v>#REF!</v>
      </c>
      <c r="J692" s="193">
        <f>J690+J686+J683</f>
        <v>0</v>
      </c>
      <c r="K692" s="309"/>
      <c r="L692" s="245">
        <f t="shared" ref="L692:S692" si="180">L686+L690</f>
        <v>301998</v>
      </c>
      <c r="M692" s="245">
        <f t="shared" si="180"/>
        <v>160527.69000000003</v>
      </c>
      <c r="N692" s="245">
        <f t="shared" si="180"/>
        <v>228494</v>
      </c>
      <c r="O692" s="245">
        <f t="shared" si="180"/>
        <v>118060.76000000001</v>
      </c>
      <c r="P692" s="193">
        <f t="shared" si="180"/>
        <v>193224.28399999999</v>
      </c>
      <c r="Q692" s="193">
        <f t="shared" si="180"/>
        <v>233300</v>
      </c>
      <c r="R692" s="245">
        <f t="shared" si="180"/>
        <v>233300</v>
      </c>
      <c r="S692" s="245">
        <f t="shared" si="180"/>
        <v>0</v>
      </c>
    </row>
    <row r="693" spans="1:19" ht="15.75" customHeight="1" x14ac:dyDescent="0.2">
      <c r="C693" s="287"/>
      <c r="K693" s="287"/>
      <c r="L693" s="62"/>
      <c r="M693" s="62"/>
      <c r="N693" s="62"/>
      <c r="O693" s="62"/>
      <c r="P693" s="62"/>
      <c r="Q693" s="62"/>
      <c r="R693" s="62"/>
    </row>
    <row r="694" spans="1:19" ht="15.75" customHeight="1" x14ac:dyDescent="0.2">
      <c r="C694" s="288"/>
      <c r="K694" s="288"/>
      <c r="L694" s="199" t="e">
        <f t="shared" ref="L694:R694" si="181">#REF!</f>
        <v>#REF!</v>
      </c>
      <c r="M694" s="199" t="e">
        <f t="shared" si="181"/>
        <v>#REF!</v>
      </c>
      <c r="N694" s="199" t="e">
        <f t="shared" si="181"/>
        <v>#REF!</v>
      </c>
      <c r="O694" s="199" t="e">
        <f t="shared" si="181"/>
        <v>#REF!</v>
      </c>
      <c r="P694" s="199" t="e">
        <f t="shared" si="181"/>
        <v>#REF!</v>
      </c>
      <c r="Q694" s="199" t="e">
        <f t="shared" si="181"/>
        <v>#REF!</v>
      </c>
      <c r="R694" s="173" t="e">
        <f t="shared" si="181"/>
        <v>#REF!</v>
      </c>
    </row>
    <row r="695" spans="1:19" ht="15.75" customHeight="1" x14ac:dyDescent="0.2">
      <c r="C695" s="289"/>
      <c r="K695" s="289"/>
      <c r="L695" s="290">
        <f t="shared" ref="L695:R695" si="182">L692</f>
        <v>301998</v>
      </c>
      <c r="M695" s="290">
        <f t="shared" si="182"/>
        <v>160527.69000000003</v>
      </c>
      <c r="N695" s="290">
        <f t="shared" si="182"/>
        <v>228494</v>
      </c>
      <c r="O695" s="290">
        <f t="shared" si="182"/>
        <v>118060.76000000001</v>
      </c>
      <c r="P695" s="290">
        <f t="shared" si="182"/>
        <v>193224.28399999999</v>
      </c>
      <c r="Q695" s="290">
        <f t="shared" si="182"/>
        <v>233300</v>
      </c>
      <c r="R695" s="291">
        <f t="shared" si="182"/>
        <v>233300</v>
      </c>
    </row>
    <row r="696" spans="1:19" ht="15.75" customHeight="1" x14ac:dyDescent="0.2">
      <c r="C696" s="287"/>
      <c r="K696" s="287"/>
    </row>
    <row r="697" spans="1:19" ht="15.75" customHeight="1" x14ac:dyDescent="0.2">
      <c r="C697" s="287"/>
      <c r="K697" s="287"/>
    </row>
    <row r="698" spans="1:19" ht="15.75" customHeight="1" x14ac:dyDescent="0.2">
      <c r="C698" s="287"/>
      <c r="K698" s="287"/>
    </row>
    <row r="699" spans="1:19" ht="15.75" customHeight="1" x14ac:dyDescent="0.2">
      <c r="C699" s="287"/>
      <c r="K699" s="287"/>
    </row>
    <row r="700" spans="1:19" ht="15.75" customHeight="1" x14ac:dyDescent="0.2">
      <c r="C700" s="287"/>
      <c r="K700" s="287"/>
    </row>
    <row r="701" spans="1:19" ht="15.75" customHeight="1" x14ac:dyDescent="0.2">
      <c r="C701" s="287"/>
      <c r="K701" s="287"/>
    </row>
    <row r="702" spans="1:19" ht="15.75" customHeight="1" x14ac:dyDescent="0.2">
      <c r="C702" s="287"/>
      <c r="K702" s="287"/>
    </row>
    <row r="703" spans="1:19" ht="15.75" customHeight="1" x14ac:dyDescent="0.2">
      <c r="C703" s="287"/>
      <c r="K703" s="287"/>
    </row>
    <row r="704" spans="1:19" ht="15.75" customHeight="1" x14ac:dyDescent="0.2">
      <c r="C704" s="287"/>
      <c r="K704" s="287"/>
    </row>
    <row r="705" spans="3:11" ht="15.75" customHeight="1" x14ac:dyDescent="0.2">
      <c r="C705" s="287"/>
      <c r="K705" s="287"/>
    </row>
    <row r="706" spans="3:11" ht="15.75" customHeight="1" x14ac:dyDescent="0.2">
      <c r="C706" s="287"/>
      <c r="K706" s="287"/>
    </row>
    <row r="707" spans="3:11" ht="15.75" customHeight="1" x14ac:dyDescent="0.2">
      <c r="C707" s="287"/>
      <c r="K707" s="287"/>
    </row>
    <row r="708" spans="3:11" ht="15.75" customHeight="1" x14ac:dyDescent="0.2">
      <c r="C708" s="287"/>
      <c r="K708" s="287"/>
    </row>
    <row r="709" spans="3:11" ht="15.75" customHeight="1" x14ac:dyDescent="0.2">
      <c r="C709" s="287"/>
      <c r="K709" s="287"/>
    </row>
    <row r="710" spans="3:11" ht="15.75" customHeight="1" x14ac:dyDescent="0.2">
      <c r="C710" s="287"/>
      <c r="K710" s="287"/>
    </row>
    <row r="711" spans="3:11" ht="15.75" customHeight="1" x14ac:dyDescent="0.2">
      <c r="C711" s="287"/>
      <c r="K711" s="287"/>
    </row>
    <row r="712" spans="3:11" ht="15.75" customHeight="1" x14ac:dyDescent="0.2">
      <c r="C712" s="287"/>
      <c r="K712" s="287"/>
    </row>
    <row r="713" spans="3:11" ht="15.75" customHeight="1" x14ac:dyDescent="0.2">
      <c r="C713" s="287"/>
      <c r="K713" s="287"/>
    </row>
    <row r="714" spans="3:11" ht="15.75" customHeight="1" x14ac:dyDescent="0.2">
      <c r="C714" s="287"/>
      <c r="K714" s="287"/>
    </row>
    <row r="715" spans="3:11" ht="15.75" customHeight="1" x14ac:dyDescent="0.2">
      <c r="C715" s="287"/>
      <c r="K715" s="287"/>
    </row>
    <row r="716" spans="3:11" ht="15.75" customHeight="1" x14ac:dyDescent="0.2">
      <c r="C716" s="287"/>
      <c r="K716" s="287"/>
    </row>
    <row r="717" spans="3:11" ht="15.75" customHeight="1" x14ac:dyDescent="0.2">
      <c r="C717" s="287"/>
      <c r="K717" s="287"/>
    </row>
    <row r="718" spans="3:11" ht="15.75" customHeight="1" x14ac:dyDescent="0.2">
      <c r="C718" s="287"/>
      <c r="K718" s="287"/>
    </row>
    <row r="719" spans="3:11" ht="15.75" customHeight="1" x14ac:dyDescent="0.2">
      <c r="C719" s="287"/>
      <c r="K719" s="287"/>
    </row>
    <row r="720" spans="3:11" ht="15.75" customHeight="1" x14ac:dyDescent="0.2">
      <c r="C720" s="287"/>
      <c r="K720" s="287"/>
    </row>
    <row r="721" spans="3:11" ht="15.75" customHeight="1" x14ac:dyDescent="0.2">
      <c r="C721" s="287"/>
      <c r="K721" s="287"/>
    </row>
    <row r="722" spans="3:11" ht="15.75" customHeight="1" x14ac:dyDescent="0.2">
      <c r="C722" s="287"/>
      <c r="K722" s="287"/>
    </row>
    <row r="723" spans="3:11" ht="15.75" customHeight="1" x14ac:dyDescent="0.2">
      <c r="C723" s="287"/>
      <c r="K723" s="287"/>
    </row>
    <row r="724" spans="3:11" ht="15.75" customHeight="1" x14ac:dyDescent="0.2">
      <c r="C724" s="287"/>
      <c r="K724" s="287"/>
    </row>
    <row r="725" spans="3:11" ht="15.75" customHeight="1" x14ac:dyDescent="0.2">
      <c r="C725" s="287"/>
      <c r="K725" s="287"/>
    </row>
    <row r="726" spans="3:11" ht="15.75" customHeight="1" x14ac:dyDescent="0.2">
      <c r="C726" s="287"/>
      <c r="K726" s="287"/>
    </row>
    <row r="727" spans="3:11" ht="15.75" customHeight="1" x14ac:dyDescent="0.2">
      <c r="C727" s="287"/>
      <c r="K727" s="287"/>
    </row>
    <row r="728" spans="3:11" ht="15.75" customHeight="1" x14ac:dyDescent="0.2">
      <c r="C728" s="287"/>
      <c r="K728" s="287"/>
    </row>
    <row r="729" spans="3:11" ht="15.75" customHeight="1" x14ac:dyDescent="0.2">
      <c r="C729" s="287"/>
      <c r="K729" s="287"/>
    </row>
    <row r="730" spans="3:11" ht="15.75" customHeight="1" x14ac:dyDescent="0.2">
      <c r="C730" s="287"/>
      <c r="K730" s="287"/>
    </row>
    <row r="731" spans="3:11" ht="15.75" customHeight="1" x14ac:dyDescent="0.2">
      <c r="C731" s="287"/>
      <c r="K731" s="287"/>
    </row>
    <row r="732" spans="3:11" ht="15.75" customHeight="1" x14ac:dyDescent="0.2">
      <c r="C732" s="287"/>
      <c r="K732" s="287"/>
    </row>
    <row r="733" spans="3:11" ht="15.75" customHeight="1" x14ac:dyDescent="0.2">
      <c r="C733" s="287"/>
      <c r="K733" s="287"/>
    </row>
    <row r="734" spans="3:11" ht="15.75" customHeight="1" x14ac:dyDescent="0.2">
      <c r="C734" s="287"/>
      <c r="K734" s="287"/>
    </row>
    <row r="735" spans="3:11" ht="15.75" customHeight="1" x14ac:dyDescent="0.2">
      <c r="C735" s="287"/>
      <c r="K735" s="287"/>
    </row>
    <row r="736" spans="3:11" ht="15.75" customHeight="1" x14ac:dyDescent="0.2">
      <c r="C736" s="287"/>
      <c r="K736" s="287"/>
    </row>
    <row r="737" spans="3:11" ht="15.75" customHeight="1" x14ac:dyDescent="0.2">
      <c r="C737" s="287"/>
      <c r="K737" s="287"/>
    </row>
    <row r="738" spans="3:11" ht="15.75" customHeight="1" x14ac:dyDescent="0.2">
      <c r="C738" s="287"/>
      <c r="K738" s="287"/>
    </row>
    <row r="739" spans="3:11" ht="15.75" customHeight="1" x14ac:dyDescent="0.2">
      <c r="C739" s="287"/>
      <c r="K739" s="287"/>
    </row>
    <row r="740" spans="3:11" ht="15.75" customHeight="1" x14ac:dyDescent="0.2">
      <c r="C740" s="287"/>
      <c r="K740" s="287"/>
    </row>
    <row r="741" spans="3:11" ht="15.75" customHeight="1" x14ac:dyDescent="0.2">
      <c r="C741" s="287"/>
      <c r="K741" s="287"/>
    </row>
    <row r="742" spans="3:11" ht="15.75" customHeight="1" x14ac:dyDescent="0.2">
      <c r="C742" s="287"/>
      <c r="K742" s="287"/>
    </row>
    <row r="743" spans="3:11" ht="15.75" customHeight="1" x14ac:dyDescent="0.2">
      <c r="C743" s="287"/>
      <c r="K743" s="287"/>
    </row>
    <row r="744" spans="3:11" ht="15.75" customHeight="1" x14ac:dyDescent="0.2">
      <c r="C744" s="287"/>
      <c r="K744" s="287"/>
    </row>
    <row r="745" spans="3:11" ht="15.75" customHeight="1" x14ac:dyDescent="0.2">
      <c r="C745" s="287"/>
      <c r="K745" s="287"/>
    </row>
    <row r="746" spans="3:11" ht="15.75" customHeight="1" x14ac:dyDescent="0.2">
      <c r="C746" s="287"/>
      <c r="K746" s="287"/>
    </row>
    <row r="747" spans="3:11" ht="15.75" customHeight="1" x14ac:dyDescent="0.2">
      <c r="C747" s="287"/>
      <c r="K747" s="287"/>
    </row>
    <row r="748" spans="3:11" ht="15.75" customHeight="1" x14ac:dyDescent="0.2">
      <c r="C748" s="287"/>
      <c r="K748" s="287"/>
    </row>
    <row r="749" spans="3:11" ht="15.75" customHeight="1" x14ac:dyDescent="0.2">
      <c r="C749" s="287"/>
      <c r="K749" s="287"/>
    </row>
    <row r="750" spans="3:11" ht="15.75" customHeight="1" x14ac:dyDescent="0.2">
      <c r="C750" s="287"/>
      <c r="K750" s="287"/>
    </row>
    <row r="751" spans="3:11" ht="15.75" customHeight="1" x14ac:dyDescent="0.2">
      <c r="C751" s="287"/>
      <c r="K751" s="287"/>
    </row>
    <row r="752" spans="3:11" ht="15.75" customHeight="1" x14ac:dyDescent="0.2">
      <c r="C752" s="287"/>
      <c r="K752" s="287"/>
    </row>
    <row r="753" spans="3:11" ht="15.75" customHeight="1" x14ac:dyDescent="0.2">
      <c r="C753" s="287"/>
      <c r="K753" s="287"/>
    </row>
    <row r="754" spans="3:11" ht="15.75" customHeight="1" x14ac:dyDescent="0.2">
      <c r="C754" s="287"/>
      <c r="K754" s="287"/>
    </row>
    <row r="755" spans="3:11" ht="15.75" customHeight="1" x14ac:dyDescent="0.2">
      <c r="C755" s="287"/>
      <c r="K755" s="287"/>
    </row>
    <row r="756" spans="3:11" ht="15.75" customHeight="1" x14ac:dyDescent="0.2">
      <c r="C756" s="287"/>
      <c r="K756" s="287"/>
    </row>
    <row r="757" spans="3:11" ht="15.75" customHeight="1" x14ac:dyDescent="0.2">
      <c r="C757" s="287"/>
      <c r="K757" s="287"/>
    </row>
    <row r="758" spans="3:11" ht="15.75" customHeight="1" x14ac:dyDescent="0.2">
      <c r="C758" s="287"/>
      <c r="K758" s="287"/>
    </row>
    <row r="759" spans="3:11" ht="15.75" customHeight="1" x14ac:dyDescent="0.2">
      <c r="C759" s="287"/>
      <c r="K759" s="287"/>
    </row>
    <row r="760" spans="3:11" ht="15.75" customHeight="1" x14ac:dyDescent="0.2">
      <c r="C760" s="287"/>
      <c r="K760" s="287"/>
    </row>
    <row r="761" spans="3:11" ht="15.75" customHeight="1" x14ac:dyDescent="0.2">
      <c r="C761" s="287"/>
      <c r="K761" s="287"/>
    </row>
    <row r="762" spans="3:11" ht="15.75" customHeight="1" x14ac:dyDescent="0.2">
      <c r="C762" s="287"/>
      <c r="K762" s="287"/>
    </row>
    <row r="763" spans="3:11" ht="15.75" customHeight="1" x14ac:dyDescent="0.2">
      <c r="C763" s="287"/>
      <c r="K763" s="287"/>
    </row>
    <row r="764" spans="3:11" ht="15.75" customHeight="1" x14ac:dyDescent="0.2">
      <c r="C764" s="287"/>
      <c r="K764" s="287"/>
    </row>
    <row r="765" spans="3:11" ht="15.75" customHeight="1" x14ac:dyDescent="0.2">
      <c r="C765" s="287"/>
      <c r="K765" s="287"/>
    </row>
    <row r="766" spans="3:11" ht="15.75" customHeight="1" x14ac:dyDescent="0.2">
      <c r="C766" s="287"/>
      <c r="K766" s="287"/>
    </row>
    <row r="767" spans="3:11" ht="15.75" customHeight="1" x14ac:dyDescent="0.2">
      <c r="C767" s="287"/>
      <c r="K767" s="287"/>
    </row>
    <row r="768" spans="3:11" ht="15.75" customHeight="1" x14ac:dyDescent="0.2">
      <c r="C768" s="287"/>
      <c r="K768" s="287"/>
    </row>
    <row r="769" spans="3:11" ht="15.75" customHeight="1" x14ac:dyDescent="0.2">
      <c r="C769" s="287"/>
      <c r="K769" s="287"/>
    </row>
    <row r="770" spans="3:11" ht="15.75" customHeight="1" x14ac:dyDescent="0.2">
      <c r="C770" s="287"/>
      <c r="K770" s="287"/>
    </row>
    <row r="771" spans="3:11" ht="15.75" customHeight="1" x14ac:dyDescent="0.2">
      <c r="C771" s="287"/>
      <c r="K771" s="287"/>
    </row>
    <row r="772" spans="3:11" ht="15.75" customHeight="1" x14ac:dyDescent="0.2">
      <c r="C772" s="287"/>
      <c r="K772" s="287"/>
    </row>
    <row r="773" spans="3:11" ht="15.75" customHeight="1" x14ac:dyDescent="0.2">
      <c r="C773" s="287"/>
      <c r="K773" s="287"/>
    </row>
    <row r="774" spans="3:11" ht="15.75" customHeight="1" x14ac:dyDescent="0.2">
      <c r="C774" s="287"/>
      <c r="K774" s="287"/>
    </row>
    <row r="775" spans="3:11" ht="15.75" customHeight="1" x14ac:dyDescent="0.2">
      <c r="C775" s="287"/>
      <c r="K775" s="287"/>
    </row>
    <row r="776" spans="3:11" ht="15.75" customHeight="1" x14ac:dyDescent="0.2">
      <c r="C776" s="287"/>
      <c r="K776" s="287"/>
    </row>
    <row r="777" spans="3:11" ht="15.75" customHeight="1" x14ac:dyDescent="0.2">
      <c r="C777" s="287"/>
      <c r="K777" s="287"/>
    </row>
    <row r="778" spans="3:11" ht="15.75" customHeight="1" x14ac:dyDescent="0.2">
      <c r="C778" s="287"/>
      <c r="K778" s="287"/>
    </row>
    <row r="779" spans="3:11" ht="15.75" customHeight="1" x14ac:dyDescent="0.2">
      <c r="C779" s="287"/>
      <c r="K779" s="287"/>
    </row>
    <row r="780" spans="3:11" ht="15.75" customHeight="1" x14ac:dyDescent="0.2">
      <c r="C780" s="287"/>
      <c r="K780" s="287"/>
    </row>
    <row r="781" spans="3:11" ht="15.75" customHeight="1" x14ac:dyDescent="0.2">
      <c r="C781" s="287"/>
      <c r="K781" s="287"/>
    </row>
    <row r="782" spans="3:11" ht="15.75" customHeight="1" x14ac:dyDescent="0.2">
      <c r="C782" s="287"/>
      <c r="K782" s="287"/>
    </row>
    <row r="783" spans="3:11" ht="15.75" customHeight="1" x14ac:dyDescent="0.2">
      <c r="C783" s="287"/>
      <c r="K783" s="287"/>
    </row>
    <row r="784" spans="3:11" ht="15.75" customHeight="1" x14ac:dyDescent="0.2">
      <c r="C784" s="287"/>
      <c r="K784" s="287"/>
    </row>
    <row r="785" spans="3:11" ht="15.75" customHeight="1" x14ac:dyDescent="0.2">
      <c r="C785" s="287"/>
      <c r="K785" s="287"/>
    </row>
    <row r="786" spans="3:11" ht="15.75" customHeight="1" x14ac:dyDescent="0.2">
      <c r="C786" s="287"/>
      <c r="K786" s="287"/>
    </row>
    <row r="787" spans="3:11" ht="15.75" customHeight="1" x14ac:dyDescent="0.2">
      <c r="C787" s="287"/>
      <c r="K787" s="287"/>
    </row>
    <row r="788" spans="3:11" ht="15.75" customHeight="1" x14ac:dyDescent="0.2">
      <c r="C788" s="287"/>
      <c r="K788" s="287"/>
    </row>
    <row r="789" spans="3:11" ht="15.75" customHeight="1" x14ac:dyDescent="0.2">
      <c r="C789" s="287"/>
      <c r="K789" s="287"/>
    </row>
    <row r="790" spans="3:11" ht="15.75" customHeight="1" x14ac:dyDescent="0.2">
      <c r="C790" s="287"/>
      <c r="K790" s="287"/>
    </row>
    <row r="791" spans="3:11" ht="15.75" customHeight="1" x14ac:dyDescent="0.2">
      <c r="C791" s="287"/>
      <c r="K791" s="287"/>
    </row>
    <row r="792" spans="3:11" ht="15.75" customHeight="1" x14ac:dyDescent="0.2">
      <c r="C792" s="287"/>
      <c r="K792" s="287"/>
    </row>
    <row r="793" spans="3:11" ht="15.75" customHeight="1" x14ac:dyDescent="0.2">
      <c r="C793" s="287"/>
      <c r="K793" s="287"/>
    </row>
    <row r="794" spans="3:11" ht="15.75" customHeight="1" x14ac:dyDescent="0.2">
      <c r="C794" s="287"/>
      <c r="K794" s="287"/>
    </row>
    <row r="795" spans="3:11" ht="15.75" customHeight="1" x14ac:dyDescent="0.2">
      <c r="C795" s="287"/>
      <c r="K795" s="287"/>
    </row>
    <row r="796" spans="3:11" ht="15.75" customHeight="1" x14ac:dyDescent="0.2">
      <c r="C796" s="287"/>
      <c r="K796" s="287"/>
    </row>
    <row r="797" spans="3:11" ht="15.75" customHeight="1" x14ac:dyDescent="0.2">
      <c r="C797" s="287"/>
      <c r="K797" s="287"/>
    </row>
    <row r="798" spans="3:11" ht="15.75" customHeight="1" x14ac:dyDescent="0.2">
      <c r="C798" s="287"/>
      <c r="K798" s="287"/>
    </row>
    <row r="799" spans="3:11" ht="15.75" customHeight="1" x14ac:dyDescent="0.2">
      <c r="C799" s="287"/>
      <c r="K799" s="287"/>
    </row>
    <row r="800" spans="3:11" ht="15.75" customHeight="1" x14ac:dyDescent="0.2">
      <c r="C800" s="287"/>
      <c r="K800" s="287"/>
    </row>
    <row r="801" spans="3:11" ht="15.75" customHeight="1" x14ac:dyDescent="0.2">
      <c r="C801" s="287"/>
      <c r="K801" s="287"/>
    </row>
    <row r="802" spans="3:11" ht="15.75" customHeight="1" x14ac:dyDescent="0.2">
      <c r="C802" s="287"/>
      <c r="K802" s="287"/>
    </row>
    <row r="803" spans="3:11" ht="15.75" customHeight="1" x14ac:dyDescent="0.2">
      <c r="C803" s="287"/>
      <c r="K803" s="287"/>
    </row>
    <row r="804" spans="3:11" ht="15.75" customHeight="1" x14ac:dyDescent="0.2">
      <c r="C804" s="287"/>
      <c r="K804" s="287"/>
    </row>
    <row r="805" spans="3:11" ht="15.75" customHeight="1" x14ac:dyDescent="0.2">
      <c r="C805" s="287"/>
      <c r="K805" s="287"/>
    </row>
    <row r="806" spans="3:11" ht="15.75" customHeight="1" x14ac:dyDescent="0.2">
      <c r="C806" s="287"/>
      <c r="K806" s="287"/>
    </row>
    <row r="807" spans="3:11" ht="15.75" customHeight="1" x14ac:dyDescent="0.2">
      <c r="C807" s="287"/>
      <c r="K807" s="287"/>
    </row>
    <row r="808" spans="3:11" ht="15.75" customHeight="1" x14ac:dyDescent="0.2">
      <c r="C808" s="287"/>
      <c r="K808" s="287"/>
    </row>
    <row r="809" spans="3:11" ht="15.75" customHeight="1" x14ac:dyDescent="0.2">
      <c r="C809" s="287"/>
      <c r="K809" s="287"/>
    </row>
    <row r="810" spans="3:11" ht="15.75" customHeight="1" x14ac:dyDescent="0.2">
      <c r="C810" s="287"/>
      <c r="K810" s="287"/>
    </row>
    <row r="811" spans="3:11" ht="15.75" customHeight="1" x14ac:dyDescent="0.2">
      <c r="C811" s="287"/>
      <c r="K811" s="287"/>
    </row>
    <row r="812" spans="3:11" ht="15.75" customHeight="1" x14ac:dyDescent="0.2">
      <c r="C812" s="287"/>
      <c r="K812" s="287"/>
    </row>
    <row r="813" spans="3:11" ht="15.75" customHeight="1" x14ac:dyDescent="0.2">
      <c r="C813" s="287"/>
      <c r="K813" s="287"/>
    </row>
    <row r="814" spans="3:11" ht="15.75" customHeight="1" x14ac:dyDescent="0.2">
      <c r="C814" s="287"/>
      <c r="K814" s="287"/>
    </row>
    <row r="815" spans="3:11" ht="15.75" customHeight="1" x14ac:dyDescent="0.2">
      <c r="C815" s="287"/>
      <c r="K815" s="287"/>
    </row>
    <row r="816" spans="3:11" ht="15.75" customHeight="1" x14ac:dyDescent="0.2">
      <c r="C816" s="287"/>
      <c r="K816" s="287"/>
    </row>
    <row r="817" spans="3:11" ht="15.75" customHeight="1" x14ac:dyDescent="0.2">
      <c r="C817" s="287"/>
      <c r="K817" s="287"/>
    </row>
    <row r="818" spans="3:11" ht="15.75" customHeight="1" x14ac:dyDescent="0.2">
      <c r="C818" s="287"/>
      <c r="K818" s="287"/>
    </row>
    <row r="819" spans="3:11" ht="15.75" customHeight="1" x14ac:dyDescent="0.2">
      <c r="C819" s="287"/>
      <c r="K819" s="287"/>
    </row>
    <row r="820" spans="3:11" ht="15.75" customHeight="1" x14ac:dyDescent="0.2">
      <c r="C820" s="287"/>
      <c r="K820" s="287"/>
    </row>
    <row r="821" spans="3:11" ht="15.75" customHeight="1" x14ac:dyDescent="0.2">
      <c r="C821" s="287"/>
      <c r="K821" s="287"/>
    </row>
    <row r="822" spans="3:11" ht="15.75" customHeight="1" x14ac:dyDescent="0.2">
      <c r="C822" s="287"/>
      <c r="K822" s="287"/>
    </row>
    <row r="823" spans="3:11" ht="15.75" customHeight="1" x14ac:dyDescent="0.2">
      <c r="C823" s="287"/>
      <c r="K823" s="287"/>
    </row>
    <row r="824" spans="3:11" ht="15.75" customHeight="1" x14ac:dyDescent="0.2">
      <c r="C824" s="287"/>
      <c r="K824" s="287"/>
    </row>
    <row r="825" spans="3:11" ht="15.75" customHeight="1" x14ac:dyDescent="0.2">
      <c r="C825" s="287"/>
      <c r="K825" s="287"/>
    </row>
    <row r="826" spans="3:11" ht="15.75" customHeight="1" x14ac:dyDescent="0.2">
      <c r="C826" s="287"/>
      <c r="K826" s="287"/>
    </row>
    <row r="827" spans="3:11" ht="15.75" customHeight="1" x14ac:dyDescent="0.2">
      <c r="C827" s="287"/>
      <c r="K827" s="287"/>
    </row>
    <row r="828" spans="3:11" ht="15.75" customHeight="1" x14ac:dyDescent="0.2">
      <c r="C828" s="287"/>
      <c r="K828" s="287"/>
    </row>
    <row r="829" spans="3:11" ht="15.75" customHeight="1" x14ac:dyDescent="0.2">
      <c r="C829" s="287"/>
      <c r="K829" s="287"/>
    </row>
    <row r="830" spans="3:11" ht="15.75" customHeight="1" x14ac:dyDescent="0.2">
      <c r="C830" s="287"/>
      <c r="K830" s="287"/>
    </row>
    <row r="831" spans="3:11" ht="15.75" customHeight="1" x14ac:dyDescent="0.2">
      <c r="C831" s="287"/>
      <c r="K831" s="287"/>
    </row>
    <row r="832" spans="3:11" ht="15.75" customHeight="1" x14ac:dyDescent="0.2">
      <c r="C832" s="287"/>
      <c r="K832" s="287"/>
    </row>
    <row r="833" spans="3:11" ht="15.75" customHeight="1" x14ac:dyDescent="0.2">
      <c r="C833" s="287"/>
      <c r="K833" s="287"/>
    </row>
    <row r="834" spans="3:11" ht="15.75" customHeight="1" x14ac:dyDescent="0.2">
      <c r="C834" s="287"/>
      <c r="K834" s="287"/>
    </row>
    <row r="835" spans="3:11" ht="15.75" customHeight="1" x14ac:dyDescent="0.2">
      <c r="C835" s="287"/>
      <c r="K835" s="287"/>
    </row>
    <row r="836" spans="3:11" ht="15.75" customHeight="1" x14ac:dyDescent="0.2">
      <c r="C836" s="287"/>
      <c r="K836" s="287"/>
    </row>
    <row r="837" spans="3:11" ht="15.75" customHeight="1" x14ac:dyDescent="0.2">
      <c r="C837" s="287"/>
      <c r="K837" s="287"/>
    </row>
    <row r="838" spans="3:11" ht="15.75" customHeight="1" x14ac:dyDescent="0.2">
      <c r="C838" s="287"/>
      <c r="K838" s="287"/>
    </row>
    <row r="839" spans="3:11" ht="15.75" customHeight="1" x14ac:dyDescent="0.2">
      <c r="C839" s="287"/>
      <c r="K839" s="287"/>
    </row>
    <row r="840" spans="3:11" ht="15.75" customHeight="1" x14ac:dyDescent="0.2">
      <c r="C840" s="287"/>
      <c r="K840" s="287"/>
    </row>
    <row r="841" spans="3:11" ht="15.75" customHeight="1" x14ac:dyDescent="0.2">
      <c r="C841" s="287"/>
      <c r="K841" s="287"/>
    </row>
    <row r="842" spans="3:11" ht="15.75" customHeight="1" x14ac:dyDescent="0.2">
      <c r="C842" s="287"/>
      <c r="K842" s="287"/>
    </row>
    <row r="843" spans="3:11" ht="15.75" customHeight="1" x14ac:dyDescent="0.2">
      <c r="C843" s="287"/>
      <c r="K843" s="287"/>
    </row>
    <row r="844" spans="3:11" ht="15.75" customHeight="1" x14ac:dyDescent="0.2">
      <c r="C844" s="287"/>
      <c r="K844" s="287"/>
    </row>
    <row r="845" spans="3:11" ht="15.75" customHeight="1" x14ac:dyDescent="0.2">
      <c r="C845" s="287"/>
      <c r="K845" s="287"/>
    </row>
    <row r="846" spans="3:11" ht="15.75" customHeight="1" x14ac:dyDescent="0.2">
      <c r="C846" s="287"/>
      <c r="K846" s="287"/>
    </row>
    <row r="847" spans="3:11" ht="15.75" customHeight="1" x14ac:dyDescent="0.2">
      <c r="C847" s="287"/>
      <c r="K847" s="287"/>
    </row>
    <row r="848" spans="3:11" ht="15.75" customHeight="1" x14ac:dyDescent="0.2">
      <c r="C848" s="287"/>
      <c r="K848" s="287"/>
    </row>
    <row r="849" spans="3:11" ht="15.75" customHeight="1" x14ac:dyDescent="0.2">
      <c r="C849" s="287"/>
      <c r="K849" s="287"/>
    </row>
    <row r="850" spans="3:11" ht="15.75" customHeight="1" x14ac:dyDescent="0.2">
      <c r="C850" s="287"/>
      <c r="K850" s="287"/>
    </row>
    <row r="851" spans="3:11" ht="15.75" customHeight="1" x14ac:dyDescent="0.2">
      <c r="C851" s="287"/>
      <c r="K851" s="287"/>
    </row>
    <row r="852" spans="3:11" ht="15.75" customHeight="1" x14ac:dyDescent="0.2">
      <c r="C852" s="287"/>
      <c r="K852" s="287"/>
    </row>
    <row r="853" spans="3:11" ht="15.75" customHeight="1" x14ac:dyDescent="0.2">
      <c r="C853" s="287"/>
      <c r="K853" s="287"/>
    </row>
    <row r="854" spans="3:11" ht="15.75" customHeight="1" x14ac:dyDescent="0.2">
      <c r="C854" s="287"/>
      <c r="K854" s="287"/>
    </row>
    <row r="855" spans="3:11" ht="15.75" customHeight="1" x14ac:dyDescent="0.2">
      <c r="C855" s="287"/>
      <c r="K855" s="287"/>
    </row>
    <row r="856" spans="3:11" ht="15.75" customHeight="1" x14ac:dyDescent="0.2">
      <c r="C856" s="287"/>
      <c r="K856" s="287"/>
    </row>
    <row r="857" spans="3:11" ht="15.75" customHeight="1" x14ac:dyDescent="0.2">
      <c r="C857" s="287"/>
      <c r="K857" s="287"/>
    </row>
    <row r="858" spans="3:11" ht="15.75" customHeight="1" x14ac:dyDescent="0.2">
      <c r="C858" s="287"/>
      <c r="K858" s="287"/>
    </row>
    <row r="859" spans="3:11" ht="15.75" customHeight="1" x14ac:dyDescent="0.2">
      <c r="C859" s="287"/>
      <c r="K859" s="287"/>
    </row>
    <row r="860" spans="3:11" ht="15.75" customHeight="1" x14ac:dyDescent="0.2">
      <c r="C860" s="287"/>
      <c r="K860" s="287"/>
    </row>
    <row r="861" spans="3:11" ht="15.75" customHeight="1" x14ac:dyDescent="0.2">
      <c r="C861" s="287"/>
      <c r="K861" s="287"/>
    </row>
    <row r="862" spans="3:11" ht="15.75" customHeight="1" x14ac:dyDescent="0.2">
      <c r="C862" s="287"/>
      <c r="K862" s="287"/>
    </row>
    <row r="863" spans="3:11" ht="15.75" customHeight="1" x14ac:dyDescent="0.2">
      <c r="C863" s="287"/>
      <c r="K863" s="287"/>
    </row>
    <row r="864" spans="3:11" ht="15.75" customHeight="1" x14ac:dyDescent="0.2">
      <c r="C864" s="287"/>
      <c r="K864" s="287"/>
    </row>
    <row r="865" spans="3:11" ht="15.75" customHeight="1" x14ac:dyDescent="0.2">
      <c r="C865" s="287"/>
      <c r="K865" s="287"/>
    </row>
    <row r="866" spans="3:11" ht="15.75" customHeight="1" x14ac:dyDescent="0.2">
      <c r="C866" s="287"/>
      <c r="K866" s="287"/>
    </row>
    <row r="867" spans="3:11" ht="15.75" customHeight="1" x14ac:dyDescent="0.2">
      <c r="C867" s="287"/>
      <c r="K867" s="287"/>
    </row>
    <row r="868" spans="3:11" ht="15.75" customHeight="1" x14ac:dyDescent="0.2">
      <c r="C868" s="287"/>
      <c r="K868" s="287"/>
    </row>
    <row r="869" spans="3:11" ht="15.75" customHeight="1" x14ac:dyDescent="0.2">
      <c r="C869" s="287"/>
      <c r="K869" s="287"/>
    </row>
    <row r="870" spans="3:11" ht="15.75" customHeight="1" x14ac:dyDescent="0.2">
      <c r="C870" s="287"/>
      <c r="K870" s="287"/>
    </row>
    <row r="871" spans="3:11" ht="15.75" customHeight="1" x14ac:dyDescent="0.2">
      <c r="C871" s="287"/>
      <c r="K871" s="287"/>
    </row>
    <row r="872" spans="3:11" ht="15.75" customHeight="1" x14ac:dyDescent="0.2">
      <c r="C872" s="287"/>
      <c r="K872" s="287"/>
    </row>
    <row r="873" spans="3:11" ht="15.75" customHeight="1" x14ac:dyDescent="0.2">
      <c r="C873" s="287"/>
      <c r="K873" s="287"/>
    </row>
    <row r="874" spans="3:11" ht="15.75" customHeight="1" x14ac:dyDescent="0.2">
      <c r="C874" s="287"/>
      <c r="K874" s="287"/>
    </row>
    <row r="875" spans="3:11" ht="15.75" customHeight="1" x14ac:dyDescent="0.2">
      <c r="C875" s="287"/>
      <c r="K875" s="287"/>
    </row>
    <row r="876" spans="3:11" ht="15.75" customHeight="1" x14ac:dyDescent="0.2">
      <c r="C876" s="287"/>
      <c r="K876" s="287"/>
    </row>
    <row r="877" spans="3:11" ht="15.75" customHeight="1" x14ac:dyDescent="0.2">
      <c r="C877" s="287"/>
      <c r="K877" s="287"/>
    </row>
    <row r="878" spans="3:11" ht="15.75" customHeight="1" x14ac:dyDescent="0.2">
      <c r="C878" s="287"/>
      <c r="K878" s="287"/>
    </row>
    <row r="879" spans="3:11" ht="15.75" customHeight="1" x14ac:dyDescent="0.2">
      <c r="C879" s="287"/>
      <c r="K879" s="287"/>
    </row>
    <row r="880" spans="3:11" ht="15.75" customHeight="1" x14ac:dyDescent="0.2">
      <c r="C880" s="287"/>
      <c r="K880" s="287"/>
    </row>
    <row r="881" spans="3:11" ht="15.75" customHeight="1" x14ac:dyDescent="0.2">
      <c r="C881" s="287"/>
      <c r="K881" s="287"/>
    </row>
    <row r="882" spans="3:11" ht="15.75" customHeight="1" x14ac:dyDescent="0.2">
      <c r="C882" s="287"/>
      <c r="K882" s="287"/>
    </row>
    <row r="883" spans="3:11" ht="15.75" customHeight="1" x14ac:dyDescent="0.2">
      <c r="C883" s="287"/>
      <c r="K883" s="287"/>
    </row>
    <row r="884" spans="3:11" ht="15.75" customHeight="1" x14ac:dyDescent="0.2">
      <c r="C884" s="287"/>
      <c r="K884" s="287"/>
    </row>
    <row r="885" spans="3:11" ht="15.75" customHeight="1" x14ac:dyDescent="0.2">
      <c r="C885" s="287"/>
      <c r="K885" s="287"/>
    </row>
    <row r="886" spans="3:11" ht="15.75" customHeight="1" x14ac:dyDescent="0.2">
      <c r="C886" s="287"/>
      <c r="K886" s="287"/>
    </row>
    <row r="887" spans="3:11" ht="15.75" customHeight="1" x14ac:dyDescent="0.2">
      <c r="C887" s="287"/>
      <c r="K887" s="287"/>
    </row>
    <row r="888" spans="3:11" ht="15.75" customHeight="1" x14ac:dyDescent="0.2">
      <c r="C888" s="287"/>
      <c r="K888" s="287"/>
    </row>
    <row r="889" spans="3:11" ht="15.75" customHeight="1" x14ac:dyDescent="0.2">
      <c r="C889" s="287"/>
      <c r="K889" s="287"/>
    </row>
    <row r="890" spans="3:11" ht="15.75" customHeight="1" x14ac:dyDescent="0.2">
      <c r="C890" s="287"/>
      <c r="K890" s="287"/>
    </row>
    <row r="891" spans="3:11" ht="15.75" customHeight="1" x14ac:dyDescent="0.2">
      <c r="C891" s="287"/>
      <c r="K891" s="287"/>
    </row>
    <row r="892" spans="3:11" ht="15.75" customHeight="1" x14ac:dyDescent="0.2">
      <c r="C892" s="287"/>
      <c r="K892" s="287"/>
    </row>
    <row r="893" spans="3:11" ht="15.75" customHeight="1" x14ac:dyDescent="0.2">
      <c r="C893" s="287"/>
      <c r="K893" s="287"/>
    </row>
    <row r="894" spans="3:11" ht="15.75" customHeight="1" x14ac:dyDescent="0.2">
      <c r="C894" s="287"/>
      <c r="K894" s="287"/>
    </row>
    <row r="895" spans="3:11" ht="15.75" customHeight="1" x14ac:dyDescent="0.2">
      <c r="C895" s="287"/>
      <c r="K895" s="287"/>
    </row>
  </sheetData>
  <mergeCells count="8">
    <mergeCell ref="A506:D506"/>
    <mergeCell ref="A578:B578"/>
    <mergeCell ref="A666:E666"/>
    <mergeCell ref="A77:D77"/>
    <mergeCell ref="A177:D177"/>
    <mergeCell ref="A260:B260"/>
    <mergeCell ref="A329:D329"/>
    <mergeCell ref="A438:B438"/>
  </mergeCells>
  <conditionalFormatting sqref="H3:H12 H15 H77:H101 H103:H107 H109 H112:H114 H177:H192 H194:H196 H198 H201:H203 H260:H267 H270 H330:H356 H358:H360 H362 H365:H379 H439:H443 H446 H507:H518 H521 H579:H597 H599:H600 H602 H605 H667:H686 H689">
    <cfRule type="cellIs" dxfId="22" priority="1" operator="lessThan">
      <formula>0</formula>
    </cfRule>
  </conditionalFormatting>
  <printOptions horizontalCentered="1" verticalCentered="1"/>
  <pageMargins left="0.25" right="0.25" top="0.75" bottom="0.75" header="0.3" footer="0.3"/>
  <pageSetup scale="87" fitToHeight="0" orientation="landscape" r:id="rId1"/>
  <headerFooter>
    <oddHeader>&amp;A</oddHeader>
    <oddFooter>Page 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000"/>
  <sheetViews>
    <sheetView workbookViewId="0">
      <selection sqref="A1:D1"/>
    </sheetView>
  </sheetViews>
  <sheetFormatPr defaultColWidth="12.5703125" defaultRowHeight="15" customHeight="1" outlineLevelCol="1" x14ac:dyDescent="0.2"/>
  <cols>
    <col min="2" max="2" width="40" customWidth="1"/>
    <col min="3" max="3" width="3.42578125" hidden="1" customWidth="1" outlineLevel="1"/>
    <col min="4" max="10" width="0.140625" hidden="1" customWidth="1" outlineLevel="1"/>
    <col min="11" max="11" width="3.42578125" hidden="1" customWidth="1" outlineLevel="1"/>
    <col min="12" max="12" width="12.5703125" collapsed="1"/>
    <col min="13" max="13" width="14.85546875" customWidth="1"/>
    <col min="23" max="23" width="3.140625" customWidth="1"/>
  </cols>
  <sheetData>
    <row r="1" spans="1:19" ht="30" customHeight="1" x14ac:dyDescent="0.35">
      <c r="A1" s="567" t="s">
        <v>587</v>
      </c>
      <c r="B1" s="568"/>
      <c r="C1" s="568"/>
      <c r="D1" s="558"/>
      <c r="E1" s="103"/>
      <c r="F1" s="103"/>
      <c r="G1" s="313"/>
      <c r="H1" s="211"/>
      <c r="I1" s="5"/>
      <c r="J1" s="5"/>
      <c r="K1" s="5"/>
      <c r="L1" s="265"/>
      <c r="M1" s="314"/>
      <c r="N1" s="265"/>
      <c r="O1" s="314"/>
      <c r="P1" s="266"/>
      <c r="Q1" s="266"/>
      <c r="R1" s="315"/>
      <c r="S1" s="315"/>
    </row>
    <row r="2" spans="1:19" ht="51.75" customHeight="1" x14ac:dyDescent="0.2">
      <c r="A2" s="3" t="s">
        <v>50</v>
      </c>
      <c r="B2" s="3" t="s">
        <v>51</v>
      </c>
      <c r="C2" s="292"/>
      <c r="D2" s="99" t="s">
        <v>52</v>
      </c>
      <c r="E2" s="100" t="s">
        <v>53</v>
      </c>
      <c r="F2" s="100" t="s">
        <v>54</v>
      </c>
      <c r="G2" s="100" t="s">
        <v>55</v>
      </c>
      <c r="H2" s="24" t="s">
        <v>56</v>
      </c>
      <c r="I2" s="24" t="s">
        <v>57</v>
      </c>
      <c r="J2" s="101" t="s">
        <v>58</v>
      </c>
      <c r="K2" s="292"/>
      <c r="L2" s="3" t="s">
        <v>59</v>
      </c>
      <c r="M2" s="3" t="s">
        <v>60</v>
      </c>
      <c r="N2" s="3" t="s">
        <v>61</v>
      </c>
      <c r="O2" s="3" t="s">
        <v>62</v>
      </c>
      <c r="P2" s="293" t="s">
        <v>541</v>
      </c>
      <c r="Q2" s="293" t="s">
        <v>64</v>
      </c>
      <c r="R2" s="294" t="s">
        <v>65</v>
      </c>
      <c r="S2" s="294" t="s">
        <v>66</v>
      </c>
    </row>
    <row r="3" spans="1:19" ht="15.75" customHeight="1" x14ac:dyDescent="0.25">
      <c r="A3" s="103" t="s">
        <v>588</v>
      </c>
      <c r="B3" s="103" t="s">
        <v>68</v>
      </c>
      <c r="C3" s="280"/>
      <c r="D3" s="142">
        <v>408884</v>
      </c>
      <c r="E3" s="142" t="e">
        <f>D3*#REF!</f>
        <v>#REF!</v>
      </c>
      <c r="F3" s="142" t="e">
        <f>D3*#REF!</f>
        <v>#REF!</v>
      </c>
      <c r="G3" s="142" t="e">
        <f>(D3*#REF!)*#REF!</f>
        <v>#REF!</v>
      </c>
      <c r="H3" s="33">
        <f t="shared" ref="H3:H26" si="0">IFERROR(((Q3-G3)/G3),0)</f>
        <v>0</v>
      </c>
      <c r="I3" s="16" t="e">
        <f t="shared" ref="I3:I26" si="1">Q3-G3</f>
        <v>#REF!</v>
      </c>
      <c r="J3" s="18">
        <v>0</v>
      </c>
      <c r="K3" s="280"/>
      <c r="L3" s="216">
        <v>546142</v>
      </c>
      <c r="M3" s="216">
        <v>717391.03</v>
      </c>
      <c r="N3" s="216">
        <v>848140</v>
      </c>
      <c r="O3" s="216">
        <f>VLOOKUP(A3,TB!A:F,3)</f>
        <v>575485.72</v>
      </c>
      <c r="P3" s="142">
        <f t="shared" ref="P3:P6" si="2">O3/20*26</f>
        <v>748131.43599999999</v>
      </c>
      <c r="Q3" s="142">
        <v>847100</v>
      </c>
      <c r="R3" s="281">
        <f>VLOOKUP(A3,TB!A:F,6)</f>
        <v>847100</v>
      </c>
      <c r="S3" s="281">
        <f t="shared" ref="S3:S25" si="3">Q3-R3</f>
        <v>0</v>
      </c>
    </row>
    <row r="4" spans="1:19" ht="15.75" customHeight="1" x14ac:dyDescent="0.25">
      <c r="A4" s="103" t="s">
        <v>589</v>
      </c>
      <c r="B4" s="103" t="s">
        <v>70</v>
      </c>
      <c r="C4" s="280"/>
      <c r="D4" s="142">
        <v>3121</v>
      </c>
      <c r="E4" s="142" t="e">
        <f>D4*#REF!</f>
        <v>#REF!</v>
      </c>
      <c r="F4" s="142" t="e">
        <f>D4*#REF!</f>
        <v>#REF!</v>
      </c>
      <c r="G4" s="142" t="e">
        <f>(D4*#REF!)*#REF!</f>
        <v>#REF!</v>
      </c>
      <c r="H4" s="33">
        <f t="shared" si="0"/>
        <v>0</v>
      </c>
      <c r="I4" s="16" t="e">
        <f t="shared" si="1"/>
        <v>#REF!</v>
      </c>
      <c r="J4" s="18">
        <v>0</v>
      </c>
      <c r="K4" s="280"/>
      <c r="L4" s="216">
        <v>5258</v>
      </c>
      <c r="M4" s="216">
        <v>27489.63</v>
      </c>
      <c r="N4" s="216">
        <v>15000</v>
      </c>
      <c r="O4" s="216">
        <f>VLOOKUP(A4,TB!A:F,3)</f>
        <v>10383.83</v>
      </c>
      <c r="P4" s="142">
        <f t="shared" si="2"/>
        <v>13498.979000000001</v>
      </c>
      <c r="Q4" s="142">
        <v>15000</v>
      </c>
      <c r="R4" s="281">
        <f>VLOOKUP(A4,TB!A:F,6)</f>
        <v>15000</v>
      </c>
      <c r="S4" s="281">
        <f t="shared" si="3"/>
        <v>0</v>
      </c>
    </row>
    <row r="5" spans="1:19" ht="15.75" customHeight="1" x14ac:dyDescent="0.25">
      <c r="A5" s="103" t="s">
        <v>590</v>
      </c>
      <c r="B5" s="103" t="s">
        <v>132</v>
      </c>
      <c r="C5" s="280"/>
      <c r="D5" s="142">
        <v>28991</v>
      </c>
      <c r="E5" s="142" t="e">
        <f>D5*#REF!</f>
        <v>#REF!</v>
      </c>
      <c r="F5" s="142" t="e">
        <f>D5*#REF!</f>
        <v>#REF!</v>
      </c>
      <c r="G5" s="142" t="e">
        <f>(D5*#REF!)*#REF!</f>
        <v>#REF!</v>
      </c>
      <c r="H5" s="33">
        <f t="shared" si="0"/>
        <v>0</v>
      </c>
      <c r="I5" s="16" t="e">
        <f t="shared" si="1"/>
        <v>#REF!</v>
      </c>
      <c r="J5" s="18">
        <v>0</v>
      </c>
      <c r="K5" s="280"/>
      <c r="L5" s="216">
        <v>52166</v>
      </c>
      <c r="M5" s="216">
        <v>46211.5</v>
      </c>
      <c r="N5" s="216">
        <v>36904</v>
      </c>
      <c r="O5" s="216">
        <f>VLOOKUP(A5,TB!A:F,3)</f>
        <v>29053.4</v>
      </c>
      <c r="P5" s="142">
        <f t="shared" si="2"/>
        <v>37769.42</v>
      </c>
      <c r="Q5" s="142">
        <v>70800</v>
      </c>
      <c r="R5" s="281">
        <f>VLOOKUP(A5,TB!A:F,6)</f>
        <v>70800</v>
      </c>
      <c r="S5" s="281">
        <f t="shared" si="3"/>
        <v>0</v>
      </c>
    </row>
    <row r="6" spans="1:19" ht="15.75" customHeight="1" x14ac:dyDescent="0.25">
      <c r="A6" s="103" t="s">
        <v>591</v>
      </c>
      <c r="B6" s="103" t="s">
        <v>72</v>
      </c>
      <c r="C6" s="280"/>
      <c r="D6" s="142">
        <v>220165</v>
      </c>
      <c r="E6" s="142" t="e">
        <f>D6*#REF!</f>
        <v>#REF!</v>
      </c>
      <c r="F6" s="142" t="e">
        <f>D6*#REF!</f>
        <v>#REF!</v>
      </c>
      <c r="G6" s="142" t="e">
        <f>(D6*#REF!)*#REF!</f>
        <v>#REF!</v>
      </c>
      <c r="H6" s="33">
        <f t="shared" si="0"/>
        <v>0</v>
      </c>
      <c r="I6" s="16" t="e">
        <f t="shared" si="1"/>
        <v>#REF!</v>
      </c>
      <c r="J6" s="18">
        <v>0</v>
      </c>
      <c r="K6" s="280"/>
      <c r="L6" s="216">
        <v>285834</v>
      </c>
      <c r="M6" s="216">
        <v>420996.54</v>
      </c>
      <c r="N6" s="216">
        <v>507086</v>
      </c>
      <c r="O6" s="216">
        <f>VLOOKUP(A6,TB!A:F,3)</f>
        <v>325224.90000000002</v>
      </c>
      <c r="P6" s="142">
        <f t="shared" si="2"/>
        <v>422792.37</v>
      </c>
      <c r="Q6" s="142">
        <v>499100</v>
      </c>
      <c r="R6" s="281">
        <f>VLOOKUP(A6,TB!A:F,6)</f>
        <v>499100</v>
      </c>
      <c r="S6" s="281">
        <f t="shared" si="3"/>
        <v>0</v>
      </c>
    </row>
    <row r="7" spans="1:19" ht="15.75" customHeight="1" x14ac:dyDescent="0.25">
      <c r="A7" s="103" t="s">
        <v>592</v>
      </c>
      <c r="B7" s="103" t="s">
        <v>74</v>
      </c>
      <c r="C7" s="280"/>
      <c r="D7" s="142">
        <v>1535</v>
      </c>
      <c r="E7" s="142" t="e">
        <f>D7*#REF!</f>
        <v>#REF!</v>
      </c>
      <c r="F7" s="142" t="e">
        <f>D7*#REF!</f>
        <v>#REF!</v>
      </c>
      <c r="G7" s="142" t="e">
        <f>(D7*#REF!)*#REF!</f>
        <v>#REF!</v>
      </c>
      <c r="H7" s="33">
        <f t="shared" si="0"/>
        <v>0</v>
      </c>
      <c r="I7" s="16" t="e">
        <f t="shared" si="1"/>
        <v>#REF!</v>
      </c>
      <c r="J7" s="18">
        <v>0</v>
      </c>
      <c r="K7" s="280"/>
      <c r="L7" s="216">
        <v>18489</v>
      </c>
      <c r="M7" s="216">
        <v>9748.0499999999993</v>
      </c>
      <c r="N7" s="216">
        <v>74600</v>
      </c>
      <c r="O7" s="216">
        <f>VLOOKUP(A7,TB!A:F,3)</f>
        <v>28534.35</v>
      </c>
      <c r="P7" s="272">
        <f t="shared" ref="P7:P9" si="4">N7</f>
        <v>74600</v>
      </c>
      <c r="Q7" s="142">
        <v>212835</v>
      </c>
      <c r="R7" s="281">
        <f>VLOOKUP(A7,TB!A:F,6)</f>
        <v>212835.24</v>
      </c>
      <c r="S7" s="281">
        <f t="shared" si="3"/>
        <v>-0.23999999999068677</v>
      </c>
    </row>
    <row r="8" spans="1:19" ht="15.75" customHeight="1" x14ac:dyDescent="0.25">
      <c r="A8" s="103" t="s">
        <v>593</v>
      </c>
      <c r="B8" s="103" t="s">
        <v>76</v>
      </c>
      <c r="C8" s="280"/>
      <c r="D8" s="142">
        <v>6498</v>
      </c>
      <c r="E8" s="142" t="e">
        <f>D8*#REF!</f>
        <v>#REF!</v>
      </c>
      <c r="F8" s="142" t="e">
        <f>D8*#REF!</f>
        <v>#REF!</v>
      </c>
      <c r="G8" s="142" t="e">
        <f>(D8*#REF!)*#REF!</f>
        <v>#REF!</v>
      </c>
      <c r="H8" s="33">
        <f t="shared" si="0"/>
        <v>0</v>
      </c>
      <c r="I8" s="16" t="e">
        <f t="shared" si="1"/>
        <v>#REF!</v>
      </c>
      <c r="J8" s="18">
        <v>0</v>
      </c>
      <c r="K8" s="280"/>
      <c r="L8" s="216">
        <v>7221</v>
      </c>
      <c r="M8" s="216">
        <v>4168.42</v>
      </c>
      <c r="N8" s="216">
        <v>10000</v>
      </c>
      <c r="O8" s="216">
        <f>VLOOKUP(A8,TB!A:F,3)</f>
        <v>6252.74</v>
      </c>
      <c r="P8" s="272">
        <f t="shared" si="4"/>
        <v>10000</v>
      </c>
      <c r="Q8" s="142">
        <v>5500</v>
      </c>
      <c r="R8" s="281">
        <f>VLOOKUP(A8,TB!A:F,6)</f>
        <v>5500</v>
      </c>
      <c r="S8" s="281">
        <f t="shared" si="3"/>
        <v>0</v>
      </c>
    </row>
    <row r="9" spans="1:19" ht="15.75" customHeight="1" x14ac:dyDescent="0.25">
      <c r="A9" s="103" t="s">
        <v>594</v>
      </c>
      <c r="B9" s="103" t="s">
        <v>80</v>
      </c>
      <c r="C9" s="280"/>
      <c r="D9" s="142">
        <v>9082</v>
      </c>
      <c r="E9" s="142" t="e">
        <f>D9*#REF!</f>
        <v>#REF!</v>
      </c>
      <c r="F9" s="142" t="e">
        <f>D9*#REF!</f>
        <v>#REF!</v>
      </c>
      <c r="G9" s="142" t="e">
        <f>(D9*#REF!)*#REF!</f>
        <v>#REF!</v>
      </c>
      <c r="H9" s="33">
        <f t="shared" si="0"/>
        <v>0</v>
      </c>
      <c r="I9" s="16" t="e">
        <f t="shared" si="1"/>
        <v>#REF!</v>
      </c>
      <c r="J9" s="18">
        <v>0</v>
      </c>
      <c r="K9" s="280"/>
      <c r="L9" s="216">
        <v>29388</v>
      </c>
      <c r="M9" s="216">
        <v>84666.93</v>
      </c>
      <c r="N9" s="216">
        <v>75000</v>
      </c>
      <c r="O9" s="216">
        <f>VLOOKUP(A9,TB!A:F,3)</f>
        <v>53615.1</v>
      </c>
      <c r="P9" s="272">
        <f t="shared" si="4"/>
        <v>75000</v>
      </c>
      <c r="Q9" s="142">
        <v>83250</v>
      </c>
      <c r="R9" s="281">
        <f>VLOOKUP(A9,TB!A:F,6)</f>
        <v>83250</v>
      </c>
      <c r="S9" s="281">
        <f t="shared" si="3"/>
        <v>0</v>
      </c>
    </row>
    <row r="10" spans="1:19" ht="15.75" customHeight="1" x14ac:dyDescent="0.25">
      <c r="A10" s="103" t="s">
        <v>595</v>
      </c>
      <c r="B10" s="103" t="s">
        <v>596</v>
      </c>
      <c r="C10" s="280"/>
      <c r="D10" s="142">
        <v>14134</v>
      </c>
      <c r="E10" s="142" t="e">
        <f>D10*#REF!</f>
        <v>#REF!</v>
      </c>
      <c r="F10" s="142" t="e">
        <f>D10*#REF!</f>
        <v>#REF!</v>
      </c>
      <c r="G10" s="142" t="e">
        <f>(D10*#REF!)*#REF!</f>
        <v>#REF!</v>
      </c>
      <c r="H10" s="33">
        <f t="shared" si="0"/>
        <v>0</v>
      </c>
      <c r="I10" s="16" t="e">
        <f t="shared" si="1"/>
        <v>#REF!</v>
      </c>
      <c r="J10" s="18">
        <v>0</v>
      </c>
      <c r="K10" s="280"/>
      <c r="L10" s="216">
        <v>20856</v>
      </c>
      <c r="M10" s="216">
        <v>132017.1</v>
      </c>
      <c r="N10" s="216">
        <v>75500</v>
      </c>
      <c r="O10" s="216">
        <f>VLOOKUP(A10,TB!A:F,3)</f>
        <v>125965.79</v>
      </c>
      <c r="P10" s="142">
        <f>O10/9*12</f>
        <v>167954.38666666666</v>
      </c>
      <c r="Q10" s="142">
        <v>63500</v>
      </c>
      <c r="R10" s="281">
        <f>VLOOKUP(A10,TB!A:F,6)</f>
        <v>63500</v>
      </c>
      <c r="S10" s="281">
        <f t="shared" si="3"/>
        <v>0</v>
      </c>
    </row>
    <row r="11" spans="1:19" ht="15.75" customHeight="1" x14ac:dyDescent="0.25">
      <c r="A11" s="103" t="s">
        <v>597</v>
      </c>
      <c r="B11" s="103" t="s">
        <v>115</v>
      </c>
      <c r="C11" s="280"/>
      <c r="D11" s="142">
        <v>7979</v>
      </c>
      <c r="E11" s="142" t="e">
        <f>D11*#REF!</f>
        <v>#REF!</v>
      </c>
      <c r="F11" s="142" t="e">
        <f>D11*#REF!</f>
        <v>#REF!</v>
      </c>
      <c r="G11" s="142" t="e">
        <f>(D11*#REF!)*#REF!</f>
        <v>#REF!</v>
      </c>
      <c r="H11" s="33">
        <f t="shared" si="0"/>
        <v>0</v>
      </c>
      <c r="I11" s="16" t="e">
        <f t="shared" si="1"/>
        <v>#REF!</v>
      </c>
      <c r="J11" s="18">
        <v>0</v>
      </c>
      <c r="K11" s="280"/>
      <c r="L11" s="216">
        <v>21483</v>
      </c>
      <c r="M11" s="216">
        <v>13699.52</v>
      </c>
      <c r="N11" s="216">
        <v>66000</v>
      </c>
      <c r="O11" s="216">
        <f>VLOOKUP(A11,TB!A:F,3)</f>
        <v>47019.79</v>
      </c>
      <c r="P11" s="272">
        <f>N11</f>
        <v>66000</v>
      </c>
      <c r="Q11" s="142">
        <v>86100</v>
      </c>
      <c r="R11" s="281">
        <f>VLOOKUP(A11,TB!A:F,6)</f>
        <v>86100</v>
      </c>
      <c r="S11" s="281">
        <f t="shared" si="3"/>
        <v>0</v>
      </c>
    </row>
    <row r="12" spans="1:19" ht="15.75" customHeight="1" x14ac:dyDescent="0.25">
      <c r="A12" s="103" t="s">
        <v>598</v>
      </c>
      <c r="B12" s="103" t="s">
        <v>555</v>
      </c>
      <c r="C12" s="280"/>
      <c r="D12" s="142">
        <v>120134</v>
      </c>
      <c r="E12" s="142" t="e">
        <f>D12*#REF!</f>
        <v>#REF!</v>
      </c>
      <c r="F12" s="142" t="e">
        <f>D12*#REF!</f>
        <v>#REF!</v>
      </c>
      <c r="G12" s="142" t="e">
        <f>(D12*#REF!)*#REF!</f>
        <v>#REF!</v>
      </c>
      <c r="H12" s="33">
        <f t="shared" si="0"/>
        <v>0</v>
      </c>
      <c r="I12" s="16" t="e">
        <f t="shared" si="1"/>
        <v>#REF!</v>
      </c>
      <c r="J12" s="18">
        <v>0</v>
      </c>
      <c r="K12" s="280"/>
      <c r="L12" s="216">
        <v>106354</v>
      </c>
      <c r="M12" s="216">
        <v>161121.07</v>
      </c>
      <c r="N12" s="216">
        <v>160500</v>
      </c>
      <c r="O12" s="216">
        <f>VLOOKUP(A12,TB!A:F,3)</f>
        <v>168253.26</v>
      </c>
      <c r="P12" s="142">
        <f>O12/9*12</f>
        <v>224337.68</v>
      </c>
      <c r="Q12" s="142">
        <v>168500</v>
      </c>
      <c r="R12" s="281">
        <f>VLOOKUP(A12,TB!A:F,6)</f>
        <v>168500</v>
      </c>
      <c r="S12" s="281">
        <f t="shared" si="3"/>
        <v>0</v>
      </c>
    </row>
    <row r="13" spans="1:19" ht="15.75" customHeight="1" x14ac:dyDescent="0.25">
      <c r="A13" s="103" t="s">
        <v>599</v>
      </c>
      <c r="B13" s="103" t="s">
        <v>277</v>
      </c>
      <c r="C13" s="280"/>
      <c r="D13" s="142">
        <v>212465</v>
      </c>
      <c r="E13" s="142" t="e">
        <f>D13*#REF!</f>
        <v>#REF!</v>
      </c>
      <c r="F13" s="142" t="e">
        <f>D13*#REF!</f>
        <v>#REF!</v>
      </c>
      <c r="G13" s="142" t="e">
        <f>(D13*#REF!)*#REF!</f>
        <v>#REF!</v>
      </c>
      <c r="H13" s="33">
        <f t="shared" si="0"/>
        <v>0</v>
      </c>
      <c r="I13" s="16" t="e">
        <f t="shared" si="1"/>
        <v>#REF!</v>
      </c>
      <c r="J13" s="18">
        <v>0</v>
      </c>
      <c r="K13" s="280"/>
      <c r="L13" s="216">
        <v>365338</v>
      </c>
      <c r="M13" s="216">
        <v>275618</v>
      </c>
      <c r="N13" s="216">
        <v>315500</v>
      </c>
      <c r="O13" s="216">
        <f>VLOOKUP(A13,TB!A:F,3)</f>
        <v>220596.22</v>
      </c>
      <c r="P13" s="272">
        <f>N13</f>
        <v>315500</v>
      </c>
      <c r="Q13" s="142">
        <v>315000</v>
      </c>
      <c r="R13" s="281">
        <f>VLOOKUP(A13,TB!A:F,6)</f>
        <v>315000</v>
      </c>
      <c r="S13" s="281">
        <f t="shared" si="3"/>
        <v>0</v>
      </c>
    </row>
    <row r="14" spans="1:19" ht="15.75" customHeight="1" x14ac:dyDescent="0.25">
      <c r="A14" s="103" t="s">
        <v>600</v>
      </c>
      <c r="B14" s="103" t="s">
        <v>84</v>
      </c>
      <c r="C14" s="280"/>
      <c r="D14" s="142">
        <v>0</v>
      </c>
      <c r="E14" s="142" t="e">
        <f>D14*#REF!</f>
        <v>#REF!</v>
      </c>
      <c r="F14" s="142" t="e">
        <f>D14*#REF!</f>
        <v>#REF!</v>
      </c>
      <c r="G14" s="142" t="e">
        <f>(D14*#REF!)*#REF!</f>
        <v>#REF!</v>
      </c>
      <c r="H14" s="33">
        <f t="shared" si="0"/>
        <v>0</v>
      </c>
      <c r="I14" s="16" t="e">
        <f t="shared" si="1"/>
        <v>#REF!</v>
      </c>
      <c r="J14" s="18">
        <v>0</v>
      </c>
      <c r="K14" s="280"/>
      <c r="L14" s="216">
        <v>1045</v>
      </c>
      <c r="M14" s="216">
        <v>465</v>
      </c>
      <c r="N14" s="216">
        <v>0</v>
      </c>
      <c r="O14" s="216">
        <f>VLOOKUP(A14,TB!A:F,3)</f>
        <v>255</v>
      </c>
      <c r="P14" s="142">
        <f>O14/9*12</f>
        <v>340</v>
      </c>
      <c r="Q14" s="142">
        <v>0</v>
      </c>
      <c r="R14" s="281">
        <f>VLOOKUP(A14,TB!A:F,6)</f>
        <v>0</v>
      </c>
      <c r="S14" s="281">
        <f t="shared" si="3"/>
        <v>0</v>
      </c>
    </row>
    <row r="15" spans="1:19" ht="15.75" customHeight="1" x14ac:dyDescent="0.25">
      <c r="A15" s="103" t="s">
        <v>601</v>
      </c>
      <c r="B15" s="103" t="s">
        <v>210</v>
      </c>
      <c r="C15" s="280"/>
      <c r="D15" s="142">
        <v>6207</v>
      </c>
      <c r="E15" s="142" t="e">
        <f>D15*#REF!</f>
        <v>#REF!</v>
      </c>
      <c r="F15" s="142" t="e">
        <f>D15*#REF!</f>
        <v>#REF!</v>
      </c>
      <c r="G15" s="142" t="e">
        <f>(D15*#REF!)*#REF!</f>
        <v>#REF!</v>
      </c>
      <c r="H15" s="33">
        <f t="shared" si="0"/>
        <v>0</v>
      </c>
      <c r="I15" s="16" t="e">
        <f t="shared" si="1"/>
        <v>#REF!</v>
      </c>
      <c r="J15" s="18">
        <v>0</v>
      </c>
      <c r="K15" s="280"/>
      <c r="L15" s="216">
        <v>27636</v>
      </c>
      <c r="M15" s="216">
        <v>249838.68</v>
      </c>
      <c r="N15" s="216">
        <v>198500</v>
      </c>
      <c r="O15" s="216">
        <f>VLOOKUP(A15,TB!A:F,3)</f>
        <v>160605.81</v>
      </c>
      <c r="P15" s="272">
        <f t="shared" ref="P15:P16" si="5">N15</f>
        <v>198500</v>
      </c>
      <c r="Q15" s="142">
        <v>198500</v>
      </c>
      <c r="R15" s="281">
        <f>VLOOKUP(A15,TB!A:F,6)</f>
        <v>198500</v>
      </c>
      <c r="S15" s="281">
        <f t="shared" si="3"/>
        <v>0</v>
      </c>
    </row>
    <row r="16" spans="1:19" ht="15.75" customHeight="1" x14ac:dyDescent="0.25">
      <c r="A16" s="103" t="s">
        <v>602</v>
      </c>
      <c r="B16" s="103" t="s">
        <v>86</v>
      </c>
      <c r="C16" s="280"/>
      <c r="D16" s="142">
        <v>0</v>
      </c>
      <c r="E16" s="142" t="e">
        <f>D16*#REF!</f>
        <v>#REF!</v>
      </c>
      <c r="F16" s="142" t="e">
        <f>D16*#REF!</f>
        <v>#REF!</v>
      </c>
      <c r="G16" s="142" t="e">
        <f>(D16*#REF!)*#REF!</f>
        <v>#REF!</v>
      </c>
      <c r="H16" s="33">
        <f t="shared" si="0"/>
        <v>0</v>
      </c>
      <c r="I16" s="16" t="e">
        <f t="shared" si="1"/>
        <v>#REF!</v>
      </c>
      <c r="J16" s="18">
        <v>0</v>
      </c>
      <c r="K16" s="280"/>
      <c r="L16" s="216">
        <v>450</v>
      </c>
      <c r="M16" s="216">
        <v>1492434.49</v>
      </c>
      <c r="N16" s="216">
        <v>77000</v>
      </c>
      <c r="O16" s="216">
        <f>VLOOKUP(A16,TB!A:F,3)</f>
        <v>52273.62</v>
      </c>
      <c r="P16" s="272">
        <f t="shared" si="5"/>
        <v>77000</v>
      </c>
      <c r="Q16" s="142">
        <v>80800</v>
      </c>
      <c r="R16" s="281">
        <f>VLOOKUP(A16,TB!A:F,6)</f>
        <v>80800</v>
      </c>
      <c r="S16" s="281">
        <f t="shared" si="3"/>
        <v>0</v>
      </c>
    </row>
    <row r="17" spans="1:19" ht="15.75" customHeight="1" x14ac:dyDescent="0.25">
      <c r="A17" s="103" t="s">
        <v>603</v>
      </c>
      <c r="B17" s="103" t="s">
        <v>88</v>
      </c>
      <c r="C17" s="280"/>
      <c r="D17" s="142">
        <v>122103</v>
      </c>
      <c r="E17" s="142" t="e">
        <f>D17*#REF!</f>
        <v>#REF!</v>
      </c>
      <c r="F17" s="142" t="e">
        <f>D17*#REF!</f>
        <v>#REF!</v>
      </c>
      <c r="G17" s="142" t="e">
        <f>(D17*#REF!)*#REF!</f>
        <v>#REF!</v>
      </c>
      <c r="H17" s="33">
        <f t="shared" si="0"/>
        <v>0</v>
      </c>
      <c r="I17" s="16" t="e">
        <f t="shared" si="1"/>
        <v>#REF!</v>
      </c>
      <c r="J17" s="18">
        <v>0</v>
      </c>
      <c r="K17" s="280"/>
      <c r="L17" s="216">
        <v>151754</v>
      </c>
      <c r="M17" s="216">
        <v>158958.48000000001</v>
      </c>
      <c r="N17" s="216">
        <v>244200</v>
      </c>
      <c r="O17" s="216">
        <f>VLOOKUP(A17,TB!A:F,3)</f>
        <v>258451.8</v>
      </c>
      <c r="P17" s="142">
        <f>O17/9*12</f>
        <v>344602.39999999997</v>
      </c>
      <c r="Q17" s="142">
        <v>114108</v>
      </c>
      <c r="R17" s="281">
        <f>VLOOKUP(A17,TB!A:F,6)</f>
        <v>114108</v>
      </c>
      <c r="S17" s="281">
        <f t="shared" si="3"/>
        <v>0</v>
      </c>
    </row>
    <row r="18" spans="1:19" ht="15.75" customHeight="1" x14ac:dyDescent="0.25">
      <c r="A18" s="103" t="s">
        <v>604</v>
      </c>
      <c r="B18" s="103" t="s">
        <v>90</v>
      </c>
      <c r="C18" s="280"/>
      <c r="D18" s="142">
        <v>3996</v>
      </c>
      <c r="E18" s="142" t="e">
        <f>D18*#REF!</f>
        <v>#REF!</v>
      </c>
      <c r="F18" s="142" t="e">
        <f>D18*#REF!</f>
        <v>#REF!</v>
      </c>
      <c r="G18" s="142" t="e">
        <f>(D18*#REF!)*#REF!</f>
        <v>#REF!</v>
      </c>
      <c r="H18" s="33">
        <f t="shared" si="0"/>
        <v>0</v>
      </c>
      <c r="I18" s="16" t="e">
        <f t="shared" si="1"/>
        <v>#REF!</v>
      </c>
      <c r="J18" s="18">
        <v>0</v>
      </c>
      <c r="K18" s="280"/>
      <c r="L18" s="216">
        <v>10677</v>
      </c>
      <c r="M18" s="216">
        <v>7117.2</v>
      </c>
      <c r="N18" s="216">
        <v>10000</v>
      </c>
      <c r="O18" s="216">
        <f>VLOOKUP(A18,TB!A:F,3)</f>
        <v>2791.65</v>
      </c>
      <c r="P18" s="272">
        <f>N18</f>
        <v>10000</v>
      </c>
      <c r="Q18" s="142">
        <v>6000</v>
      </c>
      <c r="R18" s="281">
        <f>VLOOKUP(A18,TB!A:F,6)</f>
        <v>6000</v>
      </c>
      <c r="S18" s="281">
        <f t="shared" si="3"/>
        <v>0</v>
      </c>
    </row>
    <row r="19" spans="1:19" ht="15.75" customHeight="1" x14ac:dyDescent="0.25">
      <c r="A19" s="103" t="s">
        <v>605</v>
      </c>
      <c r="B19" s="103" t="s">
        <v>606</v>
      </c>
      <c r="C19" s="280"/>
      <c r="D19" s="142">
        <v>0</v>
      </c>
      <c r="E19" s="142" t="e">
        <f>D19*#REF!</f>
        <v>#REF!</v>
      </c>
      <c r="F19" s="142" t="e">
        <f>D19*#REF!</f>
        <v>#REF!</v>
      </c>
      <c r="G19" s="142" t="e">
        <f>(D19*#REF!)*#REF!</f>
        <v>#REF!</v>
      </c>
      <c r="H19" s="33">
        <f t="shared" si="0"/>
        <v>0</v>
      </c>
      <c r="I19" s="16" t="e">
        <f t="shared" si="1"/>
        <v>#REF!</v>
      </c>
      <c r="J19" s="18">
        <v>0</v>
      </c>
      <c r="K19" s="280"/>
      <c r="L19" s="216">
        <v>0</v>
      </c>
      <c r="M19" s="216">
        <v>0</v>
      </c>
      <c r="N19" s="216">
        <v>0</v>
      </c>
      <c r="O19" s="216">
        <f>VLOOKUP(A19,TB!A:F,3)</f>
        <v>0</v>
      </c>
      <c r="P19" s="142">
        <f t="shared" ref="P19:P20" si="6">O19/9*12</f>
        <v>0</v>
      </c>
      <c r="Q19" s="142">
        <v>10500</v>
      </c>
      <c r="R19" s="281">
        <f>VLOOKUP(A19,TB!A:F,6)</f>
        <v>10500</v>
      </c>
      <c r="S19" s="281">
        <f t="shared" si="3"/>
        <v>0</v>
      </c>
    </row>
    <row r="20" spans="1:19" ht="15.75" customHeight="1" x14ac:dyDescent="0.25">
      <c r="A20" s="103" t="s">
        <v>607</v>
      </c>
      <c r="B20" s="103" t="s">
        <v>608</v>
      </c>
      <c r="C20" s="280"/>
      <c r="D20" s="142">
        <v>0</v>
      </c>
      <c r="E20" s="142" t="e">
        <f>D20*#REF!</f>
        <v>#REF!</v>
      </c>
      <c r="F20" s="142" t="e">
        <f>D20*#REF!</f>
        <v>#REF!</v>
      </c>
      <c r="G20" s="142" t="e">
        <f>(D20*#REF!)*#REF!</f>
        <v>#REF!</v>
      </c>
      <c r="H20" s="33">
        <f t="shared" si="0"/>
        <v>0</v>
      </c>
      <c r="I20" s="16" t="e">
        <f t="shared" si="1"/>
        <v>#REF!</v>
      </c>
      <c r="J20" s="18">
        <v>0</v>
      </c>
      <c r="K20" s="280"/>
      <c r="L20" s="216">
        <v>0</v>
      </c>
      <c r="M20" s="216">
        <v>458501.62</v>
      </c>
      <c r="N20" s="216">
        <v>0</v>
      </c>
      <c r="O20" s="216">
        <f>VLOOKUP(A20,TB!A:F,3)</f>
        <v>0</v>
      </c>
      <c r="P20" s="142">
        <f t="shared" si="6"/>
        <v>0</v>
      </c>
      <c r="Q20" s="142">
        <v>0</v>
      </c>
      <c r="R20" s="281">
        <f>VLOOKUP(A20,TB!A:F,6)</f>
        <v>0</v>
      </c>
      <c r="S20" s="281">
        <f t="shared" si="3"/>
        <v>0</v>
      </c>
    </row>
    <row r="21" spans="1:19" ht="15.75" customHeight="1" x14ac:dyDescent="0.25">
      <c r="A21" s="103" t="s">
        <v>609</v>
      </c>
      <c r="B21" s="103" t="s">
        <v>610</v>
      </c>
      <c r="C21" s="280"/>
      <c r="D21" s="142">
        <v>0</v>
      </c>
      <c r="E21" s="142" t="e">
        <f>D21*#REF!</f>
        <v>#REF!</v>
      </c>
      <c r="F21" s="142" t="e">
        <f>D21*#REF!</f>
        <v>#REF!</v>
      </c>
      <c r="G21" s="142" t="e">
        <f>(D21*#REF!)*#REF!</f>
        <v>#REF!</v>
      </c>
      <c r="H21" s="33">
        <f t="shared" si="0"/>
        <v>0</v>
      </c>
      <c r="I21" s="16" t="e">
        <f t="shared" si="1"/>
        <v>#REF!</v>
      </c>
      <c r="J21" s="18">
        <v>0</v>
      </c>
      <c r="K21" s="280"/>
      <c r="L21" s="216">
        <v>40</v>
      </c>
      <c r="M21" s="216">
        <v>325.62</v>
      </c>
      <c r="N21" s="216">
        <v>7500</v>
      </c>
      <c r="O21" s="216">
        <f>VLOOKUP(A21,TB!A:F,3)</f>
        <v>1600.46</v>
      </c>
      <c r="P21" s="272">
        <f>N21</f>
        <v>7500</v>
      </c>
      <c r="Q21" s="142">
        <v>4000</v>
      </c>
      <c r="R21" s="281">
        <f>VLOOKUP(A21,TB!A:F,6)</f>
        <v>4000</v>
      </c>
      <c r="S21" s="281">
        <f t="shared" si="3"/>
        <v>0</v>
      </c>
    </row>
    <row r="22" spans="1:19" ht="15.75" customHeight="1" x14ac:dyDescent="0.25">
      <c r="A22" s="103" t="s">
        <v>611</v>
      </c>
      <c r="B22" s="103" t="s">
        <v>583</v>
      </c>
      <c r="C22" s="280"/>
      <c r="D22" s="142">
        <v>21033</v>
      </c>
      <c r="E22" s="142" t="e">
        <f>D22*#REF!</f>
        <v>#REF!</v>
      </c>
      <c r="F22" s="142" t="e">
        <f>D22*#REF!</f>
        <v>#REF!</v>
      </c>
      <c r="G22" s="142" t="e">
        <f>(D22*#REF!)*#REF!</f>
        <v>#REF!</v>
      </c>
      <c r="H22" s="33">
        <f t="shared" si="0"/>
        <v>0</v>
      </c>
      <c r="I22" s="16" t="e">
        <f t="shared" si="1"/>
        <v>#REF!</v>
      </c>
      <c r="J22" s="18">
        <v>0</v>
      </c>
      <c r="K22" s="280"/>
      <c r="L22" s="216">
        <v>29368</v>
      </c>
      <c r="M22" s="216">
        <v>90186.22</v>
      </c>
      <c r="N22" s="216">
        <v>89100</v>
      </c>
      <c r="O22" s="216">
        <f>VLOOKUP(A22,TB!A:F,3)</f>
        <v>88824.14</v>
      </c>
      <c r="P22" s="142">
        <f>O22/9*12</f>
        <v>118432.18666666668</v>
      </c>
      <c r="Q22" s="142">
        <v>80000</v>
      </c>
      <c r="R22" s="281">
        <f>VLOOKUP(A22,TB!A:F,6)</f>
        <v>80000</v>
      </c>
      <c r="S22" s="281">
        <f t="shared" si="3"/>
        <v>0</v>
      </c>
    </row>
    <row r="23" spans="1:19" ht="15.75" customHeight="1" x14ac:dyDescent="0.25">
      <c r="A23" s="314" t="s">
        <v>612</v>
      </c>
      <c r="B23" s="314" t="s">
        <v>502</v>
      </c>
      <c r="C23" s="316"/>
      <c r="D23" s="317">
        <v>4782</v>
      </c>
      <c r="E23" s="142" t="e">
        <f>D23*#REF!</f>
        <v>#REF!</v>
      </c>
      <c r="F23" s="142" t="e">
        <f>D23*#REF!</f>
        <v>#REF!</v>
      </c>
      <c r="G23" s="142" t="e">
        <f>(D23*#REF!)*#REF!</f>
        <v>#REF!</v>
      </c>
      <c r="H23" s="33">
        <f t="shared" si="0"/>
        <v>0</v>
      </c>
      <c r="I23" s="16" t="e">
        <f t="shared" si="1"/>
        <v>#REF!</v>
      </c>
      <c r="J23" s="18">
        <v>0</v>
      </c>
      <c r="K23" s="316"/>
      <c r="L23" s="216">
        <v>12447</v>
      </c>
      <c r="M23" s="216">
        <v>174273.91</v>
      </c>
      <c r="N23" s="216">
        <v>173000</v>
      </c>
      <c r="O23" s="216">
        <f>VLOOKUP(A23,TB!A:F,3)</f>
        <v>130862.44</v>
      </c>
      <c r="P23" s="272">
        <f t="shared" ref="P23:P24" si="7">N23</f>
        <v>173000</v>
      </c>
      <c r="Q23" s="142">
        <v>210100</v>
      </c>
      <c r="R23" s="281">
        <f>VLOOKUP(A23,TB!A:F,6)</f>
        <v>210100</v>
      </c>
      <c r="S23" s="281">
        <f t="shared" si="3"/>
        <v>0</v>
      </c>
    </row>
    <row r="24" spans="1:19" ht="15.75" customHeight="1" x14ac:dyDescent="0.25">
      <c r="A24" s="103" t="s">
        <v>613</v>
      </c>
      <c r="B24" s="103" t="s">
        <v>92</v>
      </c>
      <c r="C24" s="280"/>
      <c r="D24" s="142">
        <v>0</v>
      </c>
      <c r="E24" s="142" t="e">
        <f>D24*#REF!</f>
        <v>#REF!</v>
      </c>
      <c r="F24" s="142" t="e">
        <f>D24*#REF!</f>
        <v>#REF!</v>
      </c>
      <c r="G24" s="142" t="e">
        <f>(D24*#REF!)*#REF!</f>
        <v>#REF!</v>
      </c>
      <c r="H24" s="33">
        <f t="shared" si="0"/>
        <v>0</v>
      </c>
      <c r="I24" s="16" t="e">
        <f t="shared" si="1"/>
        <v>#REF!</v>
      </c>
      <c r="J24" s="18">
        <v>0</v>
      </c>
      <c r="K24" s="280"/>
      <c r="L24" s="216">
        <v>6424</v>
      </c>
      <c r="M24" s="216">
        <v>182849.08</v>
      </c>
      <c r="N24" s="216">
        <v>165900</v>
      </c>
      <c r="O24" s="216">
        <f>VLOOKUP(A24,TB!A:F,3)</f>
        <v>205879.08</v>
      </c>
      <c r="P24" s="272">
        <f t="shared" si="7"/>
        <v>165900</v>
      </c>
      <c r="Q24" s="142">
        <v>165900</v>
      </c>
      <c r="R24" s="281">
        <f>VLOOKUP(A24,TB!A:F,6)</f>
        <v>165900</v>
      </c>
      <c r="S24" s="281">
        <f t="shared" si="3"/>
        <v>0</v>
      </c>
    </row>
    <row r="25" spans="1:19" ht="15.75" customHeight="1" x14ac:dyDescent="0.25">
      <c r="A25" s="103" t="s">
        <v>614</v>
      </c>
      <c r="B25" s="103" t="s">
        <v>94</v>
      </c>
      <c r="C25" s="280"/>
      <c r="D25" s="142">
        <v>0</v>
      </c>
      <c r="E25" s="142" t="e">
        <f>D25*#REF!</f>
        <v>#REF!</v>
      </c>
      <c r="F25" s="142" t="e">
        <f>D25*#REF!</f>
        <v>#REF!</v>
      </c>
      <c r="G25" s="142" t="e">
        <f>(D25*#REF!)*#REF!</f>
        <v>#REF!</v>
      </c>
      <c r="H25" s="33">
        <f t="shared" si="0"/>
        <v>0</v>
      </c>
      <c r="I25" s="16" t="e">
        <f t="shared" si="1"/>
        <v>#REF!</v>
      </c>
      <c r="J25" s="18">
        <v>0</v>
      </c>
      <c r="K25" s="280"/>
      <c r="L25" s="216">
        <v>0</v>
      </c>
      <c r="M25" s="216">
        <v>0</v>
      </c>
      <c r="N25" s="216">
        <v>0</v>
      </c>
      <c r="O25" s="216">
        <v>0</v>
      </c>
      <c r="P25" s="142">
        <f>O25/9*12</f>
        <v>0</v>
      </c>
      <c r="Q25" s="142">
        <v>0</v>
      </c>
      <c r="R25" s="281">
        <v>0</v>
      </c>
      <c r="S25" s="281">
        <f t="shared" si="3"/>
        <v>0</v>
      </c>
    </row>
    <row r="26" spans="1:19" ht="15.75" customHeight="1" x14ac:dyDescent="0.25">
      <c r="A26" s="47" t="s">
        <v>585</v>
      </c>
      <c r="B26" s="48"/>
      <c r="C26" s="282"/>
      <c r="D26" s="50">
        <f t="shared" ref="D26:G26" si="8">SUM(D3:D25)</f>
        <v>1191109</v>
      </c>
      <c r="E26" s="50" t="e">
        <f t="shared" si="8"/>
        <v>#REF!</v>
      </c>
      <c r="F26" s="50" t="e">
        <f t="shared" si="8"/>
        <v>#REF!</v>
      </c>
      <c r="G26" s="50" t="e">
        <f t="shared" si="8"/>
        <v>#REF!</v>
      </c>
      <c r="H26" s="42">
        <f t="shared" si="0"/>
        <v>0</v>
      </c>
      <c r="I26" s="50" t="e">
        <f t="shared" si="1"/>
        <v>#REF!</v>
      </c>
      <c r="J26" s="283">
        <f>SUM(J3:J25)</f>
        <v>0</v>
      </c>
      <c r="K26" s="282"/>
      <c r="L26" s="12">
        <f t="shared" ref="L26:S26" si="9">SUM(L3:L25)</f>
        <v>1698370</v>
      </c>
      <c r="M26" s="12">
        <f t="shared" si="9"/>
        <v>4708078.09</v>
      </c>
      <c r="N26" s="12">
        <f t="shared" si="9"/>
        <v>3149430</v>
      </c>
      <c r="O26" s="12">
        <f t="shared" si="9"/>
        <v>2491929.1</v>
      </c>
      <c r="P26" s="50">
        <f t="shared" si="9"/>
        <v>3250858.8583333329</v>
      </c>
      <c r="Q26" s="50">
        <f t="shared" si="9"/>
        <v>3236593</v>
      </c>
      <c r="R26" s="12">
        <f t="shared" si="9"/>
        <v>3236593.24</v>
      </c>
      <c r="S26" s="12">
        <f t="shared" si="9"/>
        <v>-0.23999999999068677</v>
      </c>
    </row>
    <row r="27" spans="1:19" ht="15.75" customHeight="1" x14ac:dyDescent="0.2">
      <c r="A27" s="5"/>
      <c r="B27" s="5"/>
      <c r="C27" s="284"/>
      <c r="D27" s="5"/>
      <c r="E27" s="5"/>
      <c r="F27" s="5"/>
      <c r="G27" s="5"/>
      <c r="H27" s="5"/>
      <c r="I27" s="5"/>
      <c r="J27" s="5"/>
      <c r="K27" s="284"/>
      <c r="L27" s="5"/>
      <c r="M27" s="5"/>
      <c r="N27" s="5"/>
      <c r="O27" s="5"/>
      <c r="P27" s="5"/>
      <c r="Q27" s="5"/>
      <c r="R27" s="5"/>
      <c r="S27" s="5"/>
    </row>
    <row r="28" spans="1:19" ht="15.75" customHeight="1" x14ac:dyDescent="0.25">
      <c r="A28" s="103"/>
      <c r="B28" s="103"/>
      <c r="C28" s="280"/>
      <c r="D28" s="216"/>
      <c r="E28" s="216"/>
      <c r="F28" s="216"/>
      <c r="G28" s="216"/>
      <c r="H28" s="211"/>
      <c r="I28" s="5"/>
      <c r="J28" s="5"/>
      <c r="K28" s="280"/>
      <c r="L28" s="318"/>
      <c r="M28" s="318"/>
      <c r="N28" s="318"/>
      <c r="O28" s="318"/>
      <c r="P28" s="319"/>
      <c r="Q28" s="319"/>
      <c r="R28" s="319"/>
      <c r="S28" s="319"/>
    </row>
    <row r="29" spans="1:19" ht="15.75" customHeight="1" x14ac:dyDescent="0.25">
      <c r="A29" s="103" t="s">
        <v>615</v>
      </c>
      <c r="B29" s="103" t="s">
        <v>532</v>
      </c>
      <c r="C29" s="280"/>
      <c r="D29" s="142">
        <v>0</v>
      </c>
      <c r="E29" s="142">
        <v>0</v>
      </c>
      <c r="F29" s="142">
        <v>0</v>
      </c>
      <c r="G29" s="142">
        <v>0</v>
      </c>
      <c r="H29" s="33">
        <f t="shared" ref="H29:H32" si="10">IFERROR(((Q29-G29)/G29),0)</f>
        <v>0</v>
      </c>
      <c r="I29" s="16">
        <f t="shared" ref="I29:I32" si="11">Q29-G29</f>
        <v>100000</v>
      </c>
      <c r="J29" s="18">
        <v>0</v>
      </c>
      <c r="K29" s="280"/>
      <c r="L29" s="216">
        <v>0</v>
      </c>
      <c r="M29" s="216">
        <v>0</v>
      </c>
      <c r="N29" s="216">
        <v>50000</v>
      </c>
      <c r="O29" s="216">
        <f>VLOOKUP(A29,TB!A:F,3)</f>
        <v>9339.58</v>
      </c>
      <c r="P29" s="272">
        <f t="shared" ref="P29:P31" si="12">N29</f>
        <v>50000</v>
      </c>
      <c r="Q29" s="142">
        <v>100000</v>
      </c>
      <c r="R29" s="281">
        <f>VLOOKUP(A29,TB!A:F,6)</f>
        <v>100000</v>
      </c>
      <c r="S29" s="281">
        <f t="shared" ref="S29:S31" si="13">Q29-R29</f>
        <v>0</v>
      </c>
    </row>
    <row r="30" spans="1:19" ht="15.75" customHeight="1" x14ac:dyDescent="0.25">
      <c r="A30" s="103" t="s">
        <v>616</v>
      </c>
      <c r="B30" s="103" t="s">
        <v>617</v>
      </c>
      <c r="C30" s="280"/>
      <c r="D30" s="142">
        <v>216080</v>
      </c>
      <c r="E30" s="142" t="e">
        <f>D30*#REF!</f>
        <v>#REF!</v>
      </c>
      <c r="F30" s="142" t="e">
        <f>D30*#REF!</f>
        <v>#REF!</v>
      </c>
      <c r="G30" s="142" t="e">
        <f>(D30*#REF!)*#REF!</f>
        <v>#REF!</v>
      </c>
      <c r="H30" s="33">
        <f t="shared" si="10"/>
        <v>0</v>
      </c>
      <c r="I30" s="16" t="e">
        <f t="shared" si="11"/>
        <v>#REF!</v>
      </c>
      <c r="J30" s="18"/>
      <c r="K30" s="280"/>
      <c r="L30" s="216">
        <v>37833</v>
      </c>
      <c r="M30" s="216">
        <v>0</v>
      </c>
      <c r="N30" s="216">
        <v>372500</v>
      </c>
      <c r="O30" s="216">
        <f>VLOOKUP(A30,TB!A:F,3)</f>
        <v>372500</v>
      </c>
      <c r="P30" s="272">
        <f t="shared" si="12"/>
        <v>372500</v>
      </c>
      <c r="Q30" s="320">
        <v>0</v>
      </c>
      <c r="R30" s="281">
        <f>VLOOKUP(A30,TB!A:F,6)</f>
        <v>0</v>
      </c>
      <c r="S30" s="281">
        <f t="shared" si="13"/>
        <v>0</v>
      </c>
    </row>
    <row r="31" spans="1:19" ht="15.75" customHeight="1" x14ac:dyDescent="0.25">
      <c r="A31" s="103" t="s">
        <v>618</v>
      </c>
      <c r="B31" s="103" t="s">
        <v>99</v>
      </c>
      <c r="C31" s="280"/>
      <c r="D31" s="142">
        <v>7867</v>
      </c>
      <c r="E31" s="142" t="e">
        <f>D31*#REF!</f>
        <v>#REF!</v>
      </c>
      <c r="F31" s="142" t="e">
        <f>D31*#REF!</f>
        <v>#REF!</v>
      </c>
      <c r="G31" s="142" t="e">
        <f>(D31*#REF!)*#REF!</f>
        <v>#REF!</v>
      </c>
      <c r="H31" s="33">
        <f t="shared" si="10"/>
        <v>0</v>
      </c>
      <c r="I31" s="16" t="e">
        <f t="shared" si="11"/>
        <v>#REF!</v>
      </c>
      <c r="J31" s="18"/>
      <c r="K31" s="280"/>
      <c r="L31" s="216">
        <v>25488</v>
      </c>
      <c r="M31" s="216">
        <v>555699.85</v>
      </c>
      <c r="N31" s="216">
        <v>243100</v>
      </c>
      <c r="O31" s="216">
        <f>VLOOKUP(A31,TB!A:F,3)</f>
        <v>222851.89</v>
      </c>
      <c r="P31" s="272">
        <f t="shared" si="12"/>
        <v>243100</v>
      </c>
      <c r="Q31" s="142">
        <v>65000</v>
      </c>
      <c r="R31" s="281">
        <f>VLOOKUP(A31,TB!A:F,6)</f>
        <v>65000</v>
      </c>
      <c r="S31" s="281">
        <f t="shared" si="13"/>
        <v>0</v>
      </c>
    </row>
    <row r="32" spans="1:19" ht="15.75" customHeight="1" x14ac:dyDescent="0.25">
      <c r="A32" s="47" t="s">
        <v>619</v>
      </c>
      <c r="B32" s="48"/>
      <c r="C32" s="282"/>
      <c r="D32" s="50">
        <f t="shared" ref="D32:G32" si="14">SUM(D30:D31)</f>
        <v>223947</v>
      </c>
      <c r="E32" s="50" t="e">
        <f t="shared" si="14"/>
        <v>#REF!</v>
      </c>
      <c r="F32" s="50" t="e">
        <f t="shared" si="14"/>
        <v>#REF!</v>
      </c>
      <c r="G32" s="50" t="e">
        <f t="shared" si="14"/>
        <v>#REF!</v>
      </c>
      <c r="H32" s="42">
        <f t="shared" si="10"/>
        <v>0</v>
      </c>
      <c r="I32" s="50" t="e">
        <f t="shared" si="11"/>
        <v>#REF!</v>
      </c>
      <c r="J32" s="283">
        <f>SUM(J29:J31)</f>
        <v>0</v>
      </c>
      <c r="K32" s="282"/>
      <c r="L32" s="12">
        <f t="shared" ref="L32:M32" si="15">SUM(L30:L31)</f>
        <v>63321</v>
      </c>
      <c r="M32" s="12">
        <f t="shared" si="15"/>
        <v>555699.85</v>
      </c>
      <c r="N32" s="12">
        <f t="shared" ref="N32:S32" si="16">SUM(N29:N31)</f>
        <v>665600</v>
      </c>
      <c r="O32" s="12">
        <f t="shared" si="16"/>
        <v>604691.47</v>
      </c>
      <c r="P32" s="50">
        <f t="shared" si="16"/>
        <v>665600</v>
      </c>
      <c r="Q32" s="50">
        <f t="shared" si="16"/>
        <v>165000</v>
      </c>
      <c r="R32" s="12">
        <f t="shared" si="16"/>
        <v>165000</v>
      </c>
      <c r="S32" s="12">
        <f t="shared" si="16"/>
        <v>0</v>
      </c>
    </row>
    <row r="33" spans="1:30" ht="15.75" customHeight="1" x14ac:dyDescent="0.2">
      <c r="A33" s="5"/>
      <c r="B33" s="5"/>
      <c r="C33" s="284"/>
      <c r="D33" s="5"/>
      <c r="E33" s="5"/>
      <c r="F33" s="5"/>
      <c r="G33" s="5"/>
      <c r="H33" s="5"/>
      <c r="I33" s="5"/>
      <c r="J33" s="5"/>
      <c r="K33" s="284"/>
      <c r="L33" s="5"/>
      <c r="M33" s="5"/>
      <c r="N33" s="5"/>
      <c r="O33" s="5"/>
      <c r="P33" s="5"/>
      <c r="Q33" s="5"/>
      <c r="R33" s="267"/>
      <c r="S33" s="267"/>
    </row>
    <row r="34" spans="1:30" ht="15.75" customHeight="1" x14ac:dyDescent="0.25">
      <c r="A34" s="47" t="s">
        <v>620</v>
      </c>
      <c r="B34" s="6"/>
      <c r="C34" s="321"/>
      <c r="D34" s="50">
        <f t="shared" ref="D34:G34" si="17">D26+D32</f>
        <v>1415056</v>
      </c>
      <c r="E34" s="50" t="e">
        <f t="shared" si="17"/>
        <v>#REF!</v>
      </c>
      <c r="F34" s="50" t="e">
        <f t="shared" si="17"/>
        <v>#REF!</v>
      </c>
      <c r="G34" s="50" t="e">
        <f t="shared" si="17"/>
        <v>#REF!</v>
      </c>
      <c r="H34" s="42">
        <f>IFERROR(((Q34-G34)/G34),0)</f>
        <v>0</v>
      </c>
      <c r="I34" s="50" t="e">
        <f>Q34-G34</f>
        <v>#REF!</v>
      </c>
      <c r="J34" s="283">
        <f>J33</f>
        <v>0</v>
      </c>
      <c r="K34" s="321"/>
      <c r="L34" s="12">
        <f t="shared" ref="L34:S34" si="18">L26+L32</f>
        <v>1761691</v>
      </c>
      <c r="M34" s="12">
        <f t="shared" si="18"/>
        <v>5263777.9399999995</v>
      </c>
      <c r="N34" s="12">
        <f t="shared" si="18"/>
        <v>3815030</v>
      </c>
      <c r="O34" s="12">
        <f t="shared" si="18"/>
        <v>3096620.5700000003</v>
      </c>
      <c r="P34" s="50">
        <f t="shared" si="18"/>
        <v>3916458.8583333329</v>
      </c>
      <c r="Q34" s="50">
        <f t="shared" si="18"/>
        <v>3401593</v>
      </c>
      <c r="R34" s="12">
        <f t="shared" si="18"/>
        <v>3401593.24</v>
      </c>
      <c r="S34" s="12">
        <f t="shared" si="18"/>
        <v>-0.23999999999068677</v>
      </c>
    </row>
    <row r="35" spans="1:30" ht="15.75" customHeight="1" x14ac:dyDescent="0.2">
      <c r="A35" s="5"/>
      <c r="B35" s="5"/>
      <c r="C35" s="284"/>
      <c r="D35" s="5"/>
      <c r="E35" s="5"/>
      <c r="F35" s="5"/>
      <c r="G35" s="5"/>
      <c r="H35" s="5"/>
      <c r="I35" s="5"/>
      <c r="J35" s="5"/>
      <c r="K35" s="284"/>
      <c r="L35" s="5"/>
      <c r="M35" s="5"/>
      <c r="N35" s="5"/>
      <c r="O35" s="5"/>
      <c r="P35" s="5"/>
      <c r="Q35" s="5"/>
      <c r="R35" s="267"/>
      <c r="S35" s="267"/>
    </row>
    <row r="36" spans="1:30" ht="15.75" customHeight="1" x14ac:dyDescent="0.25">
      <c r="A36" s="11" t="s">
        <v>184</v>
      </c>
      <c r="B36" s="5"/>
      <c r="C36" s="284"/>
      <c r="D36" s="5"/>
      <c r="E36" s="5"/>
      <c r="F36" s="5"/>
      <c r="G36" s="5"/>
      <c r="H36" s="5"/>
      <c r="I36" s="5"/>
      <c r="J36" s="5"/>
      <c r="K36" s="284"/>
      <c r="L36" s="5"/>
      <c r="M36" s="5"/>
      <c r="N36" s="5"/>
      <c r="O36" s="216"/>
      <c r="P36" s="5"/>
      <c r="Q36" s="5"/>
      <c r="R36" s="267"/>
      <c r="S36" s="267"/>
    </row>
    <row r="37" spans="1:30" ht="15.75" customHeight="1" x14ac:dyDescent="0.25">
      <c r="A37" s="6" t="s">
        <v>621</v>
      </c>
      <c r="B37" s="6" t="s">
        <v>622</v>
      </c>
      <c r="C37" s="285"/>
      <c r="D37" s="16">
        <v>-2255</v>
      </c>
      <c r="E37" s="142" t="e">
        <f>D37*#REF!</f>
        <v>#REF!</v>
      </c>
      <c r="F37" s="142" t="e">
        <f>D37*#REF!</f>
        <v>#REF!</v>
      </c>
      <c r="G37" s="142" t="e">
        <f>(D37*#REF!)*#REF!</f>
        <v>#REF!</v>
      </c>
      <c r="H37" s="33">
        <f t="shared" ref="H37:H40" si="19">IFERROR(((Q37-G37)/G37),0)</f>
        <v>0</v>
      </c>
      <c r="I37" s="16" t="e">
        <f t="shared" ref="I37:I40" si="20">Q37-G37</f>
        <v>#REF!</v>
      </c>
      <c r="J37" s="18">
        <v>0</v>
      </c>
      <c r="K37" s="285"/>
      <c r="L37" s="7">
        <v>-6310</v>
      </c>
      <c r="M37" s="7">
        <v>-3406.8</v>
      </c>
      <c r="N37" s="7">
        <v>-1500</v>
      </c>
      <c r="O37" s="216">
        <f>VLOOKUP(A37,TB!A:F,3)</f>
        <v>-4669.4799999999996</v>
      </c>
      <c r="P37" s="322">
        <f>O37/9*12</f>
        <v>-6225.9733333333334</v>
      </c>
      <c r="Q37" s="16">
        <v>-3500</v>
      </c>
      <c r="R37" s="281">
        <f>VLOOKUP(A37,TB!A:F,6)</f>
        <v>-3500</v>
      </c>
      <c r="S37" s="281">
        <f t="shared" ref="S37:S39" si="21">Q37-R37</f>
        <v>0</v>
      </c>
    </row>
    <row r="38" spans="1:30" ht="15.75" customHeight="1" x14ac:dyDescent="0.25">
      <c r="A38" s="6" t="s">
        <v>623</v>
      </c>
      <c r="B38" s="6" t="s">
        <v>624</v>
      </c>
      <c r="C38" s="285"/>
      <c r="D38" s="16">
        <v>-44452</v>
      </c>
      <c r="E38" s="142" t="e">
        <f>D38*#REF!</f>
        <v>#REF!</v>
      </c>
      <c r="F38" s="142" t="e">
        <f>D38*#REF!</f>
        <v>#REF!</v>
      </c>
      <c r="G38" s="142" t="e">
        <f>(D38*#REF!)*#REF!</f>
        <v>#REF!</v>
      </c>
      <c r="H38" s="33">
        <f t="shared" si="19"/>
        <v>0</v>
      </c>
      <c r="I38" s="16" t="e">
        <f t="shared" si="20"/>
        <v>#REF!</v>
      </c>
      <c r="J38" s="18">
        <v>0</v>
      </c>
      <c r="K38" s="285"/>
      <c r="L38" s="7">
        <v>-39834</v>
      </c>
      <c r="M38" s="7">
        <v>-44505</v>
      </c>
      <c r="N38" s="7">
        <v>-48900</v>
      </c>
      <c r="O38" s="216">
        <f>VLOOKUP(A38,TB!A:F,3)</f>
        <v>-29910</v>
      </c>
      <c r="P38" s="322">
        <f t="shared" ref="P38:P39" si="22">N38</f>
        <v>-48900</v>
      </c>
      <c r="Q38" s="16">
        <v>-45000</v>
      </c>
      <c r="R38" s="281">
        <f>VLOOKUP(A38,TB!A:F,6)</f>
        <v>-45000</v>
      </c>
      <c r="S38" s="281">
        <f t="shared" si="21"/>
        <v>0</v>
      </c>
    </row>
    <row r="39" spans="1:30" ht="15.75" customHeight="1" x14ac:dyDescent="0.25">
      <c r="A39" s="6" t="s">
        <v>625</v>
      </c>
      <c r="B39" s="6" t="s">
        <v>626</v>
      </c>
      <c r="C39" s="285"/>
      <c r="D39" s="16">
        <v>0</v>
      </c>
      <c r="E39" s="142" t="e">
        <f>D39*#REF!</f>
        <v>#REF!</v>
      </c>
      <c r="F39" s="142" t="e">
        <f>D39*#REF!</f>
        <v>#REF!</v>
      </c>
      <c r="G39" s="142" t="e">
        <f>(D39*#REF!)*#REF!</f>
        <v>#REF!</v>
      </c>
      <c r="H39" s="33">
        <f t="shared" si="19"/>
        <v>0</v>
      </c>
      <c r="I39" s="16" t="e">
        <f t="shared" si="20"/>
        <v>#REF!</v>
      </c>
      <c r="J39" s="18">
        <v>0</v>
      </c>
      <c r="K39" s="285"/>
      <c r="L39" s="7">
        <v>-39444</v>
      </c>
      <c r="M39" s="7">
        <v>-314.04000000000002</v>
      </c>
      <c r="N39" s="7">
        <v>-7000</v>
      </c>
      <c r="O39" s="216">
        <f>VLOOKUP(A39,TB!A:F,3)</f>
        <v>-4917.04</v>
      </c>
      <c r="P39" s="322">
        <f t="shared" si="22"/>
        <v>-7000</v>
      </c>
      <c r="Q39" s="16">
        <v>-5000</v>
      </c>
      <c r="R39" s="281">
        <f>VLOOKUP(A39,TB!A:F,6)</f>
        <v>-5000</v>
      </c>
      <c r="S39" s="281">
        <f t="shared" si="21"/>
        <v>0</v>
      </c>
    </row>
    <row r="40" spans="1:30" ht="15.75" customHeight="1" x14ac:dyDescent="0.2">
      <c r="A40" s="11" t="s">
        <v>189</v>
      </c>
      <c r="B40" s="48"/>
      <c r="C40" s="282"/>
      <c r="D40" s="50">
        <f t="shared" ref="D40:G40" si="23">SUM(D37:D39)</f>
        <v>-46707</v>
      </c>
      <c r="E40" s="50" t="e">
        <f t="shared" si="23"/>
        <v>#REF!</v>
      </c>
      <c r="F40" s="50" t="e">
        <f t="shared" si="23"/>
        <v>#REF!</v>
      </c>
      <c r="G40" s="50" t="e">
        <f t="shared" si="23"/>
        <v>#REF!</v>
      </c>
      <c r="H40" s="42">
        <f t="shared" si="19"/>
        <v>0</v>
      </c>
      <c r="I40" s="50" t="e">
        <f t="shared" si="20"/>
        <v>#REF!</v>
      </c>
      <c r="J40" s="50">
        <v>0</v>
      </c>
      <c r="K40" s="282"/>
      <c r="L40" s="12">
        <f t="shared" ref="L40:S40" si="24">SUM(L37:L39)</f>
        <v>-85588</v>
      </c>
      <c r="M40" s="12">
        <f t="shared" si="24"/>
        <v>-48225.840000000004</v>
      </c>
      <c r="N40" s="12">
        <f t="shared" si="24"/>
        <v>-57400</v>
      </c>
      <c r="O40" s="12">
        <f t="shared" si="24"/>
        <v>-39496.519999999997</v>
      </c>
      <c r="P40" s="50">
        <f t="shared" si="24"/>
        <v>-62125.973333333335</v>
      </c>
      <c r="Q40" s="50">
        <f t="shared" si="24"/>
        <v>-53500</v>
      </c>
      <c r="R40" s="12">
        <f t="shared" si="24"/>
        <v>-53500</v>
      </c>
      <c r="S40" s="12">
        <f t="shared" si="24"/>
        <v>0</v>
      </c>
    </row>
    <row r="41" spans="1:30" ht="15.75" customHeight="1" x14ac:dyDescent="0.2">
      <c r="A41" s="5"/>
      <c r="B41" s="5"/>
      <c r="C41" s="284"/>
      <c r="D41" s="5"/>
      <c r="E41" s="5"/>
      <c r="F41" s="5"/>
      <c r="G41" s="5"/>
      <c r="H41" s="5"/>
      <c r="I41" s="5"/>
      <c r="J41" s="5"/>
      <c r="K41" s="284"/>
      <c r="L41" s="5"/>
      <c r="M41" s="5"/>
      <c r="N41" s="5"/>
      <c r="O41" s="5"/>
      <c r="P41" s="5"/>
      <c r="Q41" s="5"/>
      <c r="R41" s="267"/>
      <c r="S41" s="267"/>
    </row>
    <row r="42" spans="1:30" ht="15.75" customHeight="1" x14ac:dyDescent="0.2">
      <c r="A42" s="11" t="s">
        <v>190</v>
      </c>
      <c r="B42" s="6"/>
      <c r="C42" s="286"/>
      <c r="D42" s="178">
        <f t="shared" ref="D42:G42" si="25">D34+D40</f>
        <v>1368349</v>
      </c>
      <c r="E42" s="178" t="e">
        <f t="shared" si="25"/>
        <v>#REF!</v>
      </c>
      <c r="F42" s="178" t="e">
        <f t="shared" si="25"/>
        <v>#REF!</v>
      </c>
      <c r="G42" s="178" t="e">
        <f t="shared" si="25"/>
        <v>#REF!</v>
      </c>
      <c r="H42" s="273">
        <f>IFERROR(((Q42-G42)/G42),0)</f>
        <v>0</v>
      </c>
      <c r="I42" s="178" t="e">
        <f>Q42-G42</f>
        <v>#REF!</v>
      </c>
      <c r="J42" s="178">
        <f>J40+J39</f>
        <v>0</v>
      </c>
      <c r="K42" s="286"/>
      <c r="L42" s="227">
        <f t="shared" ref="L42:S42" si="26">L34+L40</f>
        <v>1676103</v>
      </c>
      <c r="M42" s="227">
        <f t="shared" si="26"/>
        <v>5215552.0999999996</v>
      </c>
      <c r="N42" s="227">
        <f t="shared" si="26"/>
        <v>3757630</v>
      </c>
      <c r="O42" s="227">
        <f t="shared" si="26"/>
        <v>3057124.0500000003</v>
      </c>
      <c r="P42" s="178">
        <f t="shared" si="26"/>
        <v>3854332.8849999998</v>
      </c>
      <c r="Q42" s="178">
        <f t="shared" si="26"/>
        <v>3348093</v>
      </c>
      <c r="R42" s="227">
        <f t="shared" si="26"/>
        <v>3348093.24</v>
      </c>
      <c r="S42" s="227">
        <f t="shared" si="26"/>
        <v>-0.23999999999068677</v>
      </c>
      <c r="W42" s="56"/>
      <c r="X42" s="56"/>
      <c r="Y42" s="56"/>
      <c r="Z42" s="56"/>
      <c r="AA42" s="56"/>
      <c r="AB42" s="56"/>
      <c r="AC42" s="56"/>
      <c r="AD42" s="56"/>
    </row>
    <row r="43" spans="1:30" ht="15.75" customHeight="1" x14ac:dyDescent="0.2">
      <c r="C43" s="287"/>
      <c r="K43" s="287"/>
    </row>
    <row r="44" spans="1:30" ht="15.75" customHeight="1" x14ac:dyDescent="0.2">
      <c r="C44" s="287"/>
      <c r="K44" s="287"/>
    </row>
    <row r="45" spans="1:30" ht="15.75" customHeight="1" x14ac:dyDescent="0.2">
      <c r="C45" s="288"/>
      <c r="K45" s="288"/>
      <c r="L45" s="199" t="e">
        <f t="shared" ref="L45:R45" si="27">#REF!</f>
        <v>#REF!</v>
      </c>
      <c r="M45" s="199" t="e">
        <f t="shared" si="27"/>
        <v>#REF!</v>
      </c>
      <c r="N45" s="199" t="e">
        <f t="shared" si="27"/>
        <v>#REF!</v>
      </c>
      <c r="O45" s="199" t="e">
        <f t="shared" si="27"/>
        <v>#REF!</v>
      </c>
      <c r="P45" s="199" t="e">
        <f t="shared" si="27"/>
        <v>#REF!</v>
      </c>
      <c r="Q45" s="199" t="e">
        <f t="shared" si="27"/>
        <v>#REF!</v>
      </c>
      <c r="R45" s="173" t="e">
        <f t="shared" si="27"/>
        <v>#REF!</v>
      </c>
    </row>
    <row r="46" spans="1:30" ht="15.75" customHeight="1" x14ac:dyDescent="0.2">
      <c r="C46" s="289"/>
      <c r="K46" s="289"/>
      <c r="L46" s="290">
        <f t="shared" ref="L46:R46" si="28">L42</f>
        <v>1676103</v>
      </c>
      <c r="M46" s="290">
        <f t="shared" si="28"/>
        <v>5215552.0999999996</v>
      </c>
      <c r="N46" s="290">
        <f t="shared" si="28"/>
        <v>3757630</v>
      </c>
      <c r="O46" s="290">
        <f t="shared" si="28"/>
        <v>3057124.0500000003</v>
      </c>
      <c r="P46" s="290">
        <f t="shared" si="28"/>
        <v>3854332.8849999998</v>
      </c>
      <c r="Q46" s="290">
        <f t="shared" si="28"/>
        <v>3348093</v>
      </c>
      <c r="R46" s="291">
        <f t="shared" si="28"/>
        <v>3348093.24</v>
      </c>
    </row>
    <row r="47" spans="1:30" ht="15.75" customHeight="1" x14ac:dyDescent="0.2">
      <c r="C47" s="287"/>
      <c r="K47" s="287"/>
    </row>
    <row r="48" spans="1:30" ht="15.75" customHeight="1" x14ac:dyDescent="0.2">
      <c r="C48" s="287"/>
      <c r="K48" s="287"/>
    </row>
    <row r="49" spans="3:11" ht="15.75" customHeight="1" x14ac:dyDescent="0.2">
      <c r="C49" s="287"/>
      <c r="K49" s="287"/>
    </row>
    <row r="50" spans="3:11" ht="15.75" customHeight="1" x14ac:dyDescent="0.2">
      <c r="C50" s="287"/>
      <c r="K50" s="287"/>
    </row>
    <row r="51" spans="3:11" ht="15.75" customHeight="1" x14ac:dyDescent="0.2">
      <c r="C51" s="287"/>
      <c r="K51" s="287"/>
    </row>
    <row r="52" spans="3:11" ht="15.75" customHeight="1" x14ac:dyDescent="0.2">
      <c r="C52" s="287"/>
      <c r="K52" s="287"/>
    </row>
    <row r="53" spans="3:11" ht="15.75" customHeight="1" x14ac:dyDescent="0.2">
      <c r="C53" s="287"/>
      <c r="K53" s="287"/>
    </row>
    <row r="54" spans="3:11" ht="15.75" customHeight="1" x14ac:dyDescent="0.2">
      <c r="C54" s="287"/>
      <c r="K54" s="287"/>
    </row>
    <row r="55" spans="3:11" ht="15.75" customHeight="1" x14ac:dyDescent="0.2">
      <c r="C55" s="287"/>
      <c r="K55" s="287"/>
    </row>
    <row r="56" spans="3:11" ht="15.75" customHeight="1" x14ac:dyDescent="0.2">
      <c r="C56" s="287"/>
      <c r="K56" s="287"/>
    </row>
    <row r="57" spans="3:11" ht="15.75" customHeight="1" x14ac:dyDescent="0.2">
      <c r="C57" s="287"/>
      <c r="K57" s="287"/>
    </row>
    <row r="58" spans="3:11" ht="15.75" customHeight="1" x14ac:dyDescent="0.2">
      <c r="C58" s="287"/>
      <c r="K58" s="287"/>
    </row>
    <row r="59" spans="3:11" ht="15.75" customHeight="1" x14ac:dyDescent="0.2">
      <c r="C59" s="287"/>
      <c r="K59" s="287"/>
    </row>
    <row r="60" spans="3:11" ht="15.75" customHeight="1" x14ac:dyDescent="0.2">
      <c r="C60" s="287"/>
      <c r="K60" s="287"/>
    </row>
    <row r="61" spans="3:11" ht="15.75" customHeight="1" x14ac:dyDescent="0.2">
      <c r="C61" s="287"/>
      <c r="K61" s="287"/>
    </row>
    <row r="62" spans="3:11" ht="15.75" customHeight="1" x14ac:dyDescent="0.2">
      <c r="C62" s="287"/>
      <c r="K62" s="287"/>
    </row>
    <row r="63" spans="3:11" ht="15.75" customHeight="1" x14ac:dyDescent="0.2">
      <c r="C63" s="287"/>
      <c r="K63" s="287"/>
    </row>
    <row r="64" spans="3:11" ht="15.75" customHeight="1" x14ac:dyDescent="0.2">
      <c r="C64" s="287"/>
      <c r="K64" s="287"/>
    </row>
    <row r="65" spans="3:11" ht="15.75" customHeight="1" x14ac:dyDescent="0.2">
      <c r="C65" s="287"/>
      <c r="K65" s="287"/>
    </row>
    <row r="66" spans="3:11" ht="15.75" customHeight="1" x14ac:dyDescent="0.2">
      <c r="C66" s="287"/>
      <c r="K66" s="287"/>
    </row>
    <row r="67" spans="3:11" ht="15.75" customHeight="1" x14ac:dyDescent="0.2">
      <c r="C67" s="287"/>
      <c r="K67" s="287"/>
    </row>
    <row r="68" spans="3:11" ht="15.75" customHeight="1" x14ac:dyDescent="0.2">
      <c r="C68" s="287"/>
      <c r="K68" s="287"/>
    </row>
    <row r="69" spans="3:11" ht="15.75" customHeight="1" x14ac:dyDescent="0.2">
      <c r="C69" s="287"/>
      <c r="K69" s="287"/>
    </row>
    <row r="70" spans="3:11" ht="15.75" customHeight="1" x14ac:dyDescent="0.2">
      <c r="C70" s="287"/>
      <c r="K70" s="287"/>
    </row>
    <row r="71" spans="3:11" ht="15.75" customHeight="1" x14ac:dyDescent="0.2">
      <c r="C71" s="287"/>
      <c r="K71" s="287"/>
    </row>
    <row r="72" spans="3:11" ht="15.75" customHeight="1" x14ac:dyDescent="0.2">
      <c r="C72" s="287"/>
      <c r="K72" s="287"/>
    </row>
    <row r="73" spans="3:11" ht="15.75" customHeight="1" x14ac:dyDescent="0.2">
      <c r="C73" s="287"/>
      <c r="K73" s="287"/>
    </row>
    <row r="74" spans="3:11" ht="15.75" customHeight="1" x14ac:dyDescent="0.2">
      <c r="C74" s="287"/>
      <c r="K74" s="287"/>
    </row>
    <row r="75" spans="3:11" ht="15.75" customHeight="1" x14ac:dyDescent="0.2">
      <c r="C75" s="287"/>
      <c r="K75" s="287"/>
    </row>
    <row r="76" spans="3:11" ht="15.75" customHeight="1" x14ac:dyDescent="0.2">
      <c r="C76" s="287"/>
      <c r="K76" s="287"/>
    </row>
    <row r="77" spans="3:11" ht="15.75" customHeight="1" x14ac:dyDescent="0.2">
      <c r="C77" s="287"/>
      <c r="K77" s="287"/>
    </row>
    <row r="78" spans="3:11" ht="15.75" customHeight="1" x14ac:dyDescent="0.2">
      <c r="C78" s="287"/>
      <c r="K78" s="287"/>
    </row>
    <row r="79" spans="3:11" ht="15.75" customHeight="1" x14ac:dyDescent="0.2">
      <c r="C79" s="287"/>
      <c r="K79" s="287"/>
    </row>
    <row r="80" spans="3:11" ht="15.75" customHeight="1" x14ac:dyDescent="0.2">
      <c r="C80" s="287"/>
      <c r="K80" s="287"/>
    </row>
    <row r="81" spans="3:11" ht="15.75" customHeight="1" x14ac:dyDescent="0.2">
      <c r="C81" s="287"/>
      <c r="K81" s="287"/>
    </row>
    <row r="82" spans="3:11" ht="15.75" customHeight="1" x14ac:dyDescent="0.2">
      <c r="C82" s="287"/>
      <c r="K82" s="287"/>
    </row>
    <row r="83" spans="3:11" ht="15.75" customHeight="1" x14ac:dyDescent="0.2">
      <c r="C83" s="287"/>
      <c r="K83" s="287"/>
    </row>
    <row r="84" spans="3:11" ht="15.75" customHeight="1" x14ac:dyDescent="0.2">
      <c r="C84" s="287"/>
      <c r="K84" s="287"/>
    </row>
    <row r="85" spans="3:11" ht="15.75" customHeight="1" x14ac:dyDescent="0.2">
      <c r="C85" s="287"/>
      <c r="K85" s="287"/>
    </row>
    <row r="86" spans="3:11" ht="15.75" customHeight="1" x14ac:dyDescent="0.2">
      <c r="C86" s="287"/>
      <c r="K86" s="287"/>
    </row>
    <row r="87" spans="3:11" ht="15.75" customHeight="1" x14ac:dyDescent="0.2">
      <c r="C87" s="287"/>
      <c r="K87" s="287"/>
    </row>
    <row r="88" spans="3:11" ht="15.75" customHeight="1" x14ac:dyDescent="0.2">
      <c r="C88" s="287"/>
      <c r="K88" s="287"/>
    </row>
    <row r="89" spans="3:11" ht="15.75" customHeight="1" x14ac:dyDescent="0.2">
      <c r="C89" s="287"/>
      <c r="K89" s="287"/>
    </row>
    <row r="90" spans="3:11" ht="15.75" customHeight="1" x14ac:dyDescent="0.2">
      <c r="C90" s="287"/>
      <c r="K90" s="287"/>
    </row>
    <row r="91" spans="3:11" ht="15.75" customHeight="1" x14ac:dyDescent="0.2">
      <c r="C91" s="287"/>
      <c r="K91" s="287"/>
    </row>
    <row r="92" spans="3:11" ht="15.75" customHeight="1" x14ac:dyDescent="0.2">
      <c r="C92" s="287"/>
      <c r="K92" s="287"/>
    </row>
    <row r="93" spans="3:11" ht="15.75" customHeight="1" x14ac:dyDescent="0.2">
      <c r="C93" s="287"/>
      <c r="K93" s="287"/>
    </row>
    <row r="94" spans="3:11" ht="15.75" customHeight="1" x14ac:dyDescent="0.2">
      <c r="C94" s="287"/>
      <c r="K94" s="287"/>
    </row>
    <row r="95" spans="3:11" ht="15.75" customHeight="1" x14ac:dyDescent="0.2">
      <c r="C95" s="287"/>
      <c r="K95" s="287"/>
    </row>
    <row r="96" spans="3:11" ht="15.75" customHeight="1" x14ac:dyDescent="0.2">
      <c r="C96" s="287"/>
      <c r="K96" s="287"/>
    </row>
    <row r="97" spans="1:19" ht="15.75" customHeight="1" x14ac:dyDescent="0.2">
      <c r="C97" s="287"/>
      <c r="K97" s="287"/>
    </row>
    <row r="98" spans="1:19" ht="15.75" customHeight="1" x14ac:dyDescent="0.2">
      <c r="C98" s="287"/>
      <c r="K98" s="287"/>
    </row>
    <row r="99" spans="1:19" ht="15.75" customHeight="1" x14ac:dyDescent="0.2">
      <c r="C99" s="287"/>
      <c r="K99" s="287"/>
    </row>
    <row r="100" spans="1:19" ht="15.75" customHeight="1" x14ac:dyDescent="0.2">
      <c r="C100" s="287"/>
      <c r="K100" s="287"/>
    </row>
    <row r="101" spans="1:19" ht="15.75" customHeight="1" x14ac:dyDescent="0.2">
      <c r="A101" s="3" t="s">
        <v>50</v>
      </c>
      <c r="B101" s="3" t="s">
        <v>51</v>
      </c>
      <c r="C101" s="292"/>
      <c r="D101" s="99" t="s">
        <v>52</v>
      </c>
      <c r="E101" s="100" t="s">
        <v>53</v>
      </c>
      <c r="F101" s="100" t="s">
        <v>54</v>
      </c>
      <c r="G101" s="100" t="s">
        <v>55</v>
      </c>
      <c r="H101" s="24" t="s">
        <v>56</v>
      </c>
      <c r="I101" s="24" t="s">
        <v>57</v>
      </c>
      <c r="J101" s="101" t="s">
        <v>58</v>
      </c>
      <c r="K101" s="292"/>
      <c r="L101" s="3" t="s">
        <v>59</v>
      </c>
      <c r="M101" s="3" t="s">
        <v>60</v>
      </c>
      <c r="N101" s="3" t="s">
        <v>61</v>
      </c>
      <c r="O101" s="3" t="s">
        <v>62</v>
      </c>
      <c r="P101" s="293" t="s">
        <v>541</v>
      </c>
      <c r="Q101" s="293" t="s">
        <v>64</v>
      </c>
      <c r="R101" s="293" t="s">
        <v>65</v>
      </c>
      <c r="S101" s="293" t="s">
        <v>586</v>
      </c>
    </row>
    <row r="102" spans="1:19" ht="15.75" customHeight="1" x14ac:dyDescent="0.25">
      <c r="A102" s="565" t="s">
        <v>627</v>
      </c>
      <c r="B102" s="566"/>
      <c r="C102" s="566"/>
      <c r="D102" s="566"/>
      <c r="E102" s="66"/>
      <c r="F102" s="66"/>
      <c r="G102" s="66"/>
      <c r="H102" s="234"/>
      <c r="L102" s="65"/>
      <c r="M102" s="165"/>
      <c r="N102" s="65"/>
      <c r="O102" s="165"/>
      <c r="P102" s="65"/>
      <c r="Q102" s="65"/>
      <c r="R102" s="65"/>
      <c r="S102" s="65"/>
    </row>
    <row r="103" spans="1:19" ht="15.75" customHeight="1" x14ac:dyDescent="0.25">
      <c r="A103" s="66" t="s">
        <v>628</v>
      </c>
      <c r="B103" s="66" t="s">
        <v>74</v>
      </c>
      <c r="C103" s="295"/>
      <c r="D103" s="160">
        <v>2530</v>
      </c>
      <c r="E103" s="160" t="e">
        <f>D103*#REF!</f>
        <v>#REF!</v>
      </c>
      <c r="F103" s="160" t="e">
        <f>D103*#REF!</f>
        <v>#REF!</v>
      </c>
      <c r="G103" s="160" t="e">
        <f>(D103*#REF!)*#REF!</f>
        <v>#REF!</v>
      </c>
      <c r="H103" s="296">
        <f t="shared" ref="H103:H117" si="29">IFERROR(((Q103-G103)/G103),0)</f>
        <v>0</v>
      </c>
      <c r="I103" s="147" t="e">
        <f t="shared" ref="I103:I117" si="30">Q103-G103</f>
        <v>#REF!</v>
      </c>
      <c r="J103" s="97">
        <v>0</v>
      </c>
      <c r="K103" s="295"/>
      <c r="L103" s="20">
        <v>2227</v>
      </c>
      <c r="M103" s="302">
        <v>5042.45</v>
      </c>
      <c r="N103" s="20">
        <v>5600</v>
      </c>
      <c r="O103" s="20">
        <f>VLOOKUP(A103,TB!A:F,3)</f>
        <v>787.14</v>
      </c>
      <c r="P103" s="163">
        <f>N103</f>
        <v>5600</v>
      </c>
      <c r="Q103" s="160">
        <v>6000</v>
      </c>
      <c r="R103" s="233">
        <f>VLOOKUP(A103,TB!A:F,6)</f>
        <v>6000</v>
      </c>
      <c r="S103" s="233">
        <f t="shared" ref="S103:S116" si="31">Q103-R103</f>
        <v>0</v>
      </c>
    </row>
    <row r="104" spans="1:19" ht="15.75" customHeight="1" x14ac:dyDescent="0.25">
      <c r="A104" s="66" t="s">
        <v>629</v>
      </c>
      <c r="B104" s="66" t="s">
        <v>76</v>
      </c>
      <c r="C104" s="295"/>
      <c r="D104" s="160">
        <v>3984</v>
      </c>
      <c r="E104" s="160" t="e">
        <f>D104*#REF!</f>
        <v>#REF!</v>
      </c>
      <c r="F104" s="160" t="e">
        <f>D104*#REF!</f>
        <v>#REF!</v>
      </c>
      <c r="G104" s="160" t="e">
        <f>(D104*#REF!)*#REF!</f>
        <v>#REF!</v>
      </c>
      <c r="H104" s="296">
        <f t="shared" si="29"/>
        <v>0</v>
      </c>
      <c r="I104" s="147" t="e">
        <f t="shared" si="30"/>
        <v>#REF!</v>
      </c>
      <c r="J104" s="97">
        <v>0</v>
      </c>
      <c r="K104" s="295"/>
      <c r="L104" s="20">
        <v>1665</v>
      </c>
      <c r="M104" s="302">
        <v>1414.74</v>
      </c>
      <c r="N104" s="20">
        <v>6000</v>
      </c>
      <c r="O104" s="20">
        <f>VLOOKUP(A104,TB!A:F,3)</f>
        <v>4536.21</v>
      </c>
      <c r="P104" s="160">
        <f>O104/9*12</f>
        <v>6048.28</v>
      </c>
      <c r="Q104" s="160">
        <v>6000</v>
      </c>
      <c r="R104" s="233">
        <f>VLOOKUP(A104,TB!A:F,6)</f>
        <v>6000</v>
      </c>
      <c r="S104" s="233">
        <f t="shared" si="31"/>
        <v>0</v>
      </c>
    </row>
    <row r="105" spans="1:19" ht="15.75" customHeight="1" x14ac:dyDescent="0.25">
      <c r="A105" s="66" t="s">
        <v>630</v>
      </c>
      <c r="B105" s="66" t="s">
        <v>80</v>
      </c>
      <c r="C105" s="295"/>
      <c r="D105" s="160">
        <v>130</v>
      </c>
      <c r="E105" s="160" t="e">
        <f>D105*#REF!</f>
        <v>#REF!</v>
      </c>
      <c r="F105" s="160" t="e">
        <f>D105*#REF!</f>
        <v>#REF!</v>
      </c>
      <c r="G105" s="160" t="e">
        <f>(D105*#REF!)*#REF!</f>
        <v>#REF!</v>
      </c>
      <c r="H105" s="296">
        <f t="shared" si="29"/>
        <v>0</v>
      </c>
      <c r="I105" s="147" t="e">
        <f t="shared" si="30"/>
        <v>#REF!</v>
      </c>
      <c r="J105" s="97">
        <v>0</v>
      </c>
      <c r="K105" s="295"/>
      <c r="L105" s="20">
        <v>50</v>
      </c>
      <c r="M105" s="302">
        <v>0</v>
      </c>
      <c r="N105" s="20">
        <v>500</v>
      </c>
      <c r="O105" s="20">
        <f>VLOOKUP(A105,TB!A:F,3)</f>
        <v>0</v>
      </c>
      <c r="P105" s="163">
        <f t="shared" ref="P105:P107" si="32">N105</f>
        <v>500</v>
      </c>
      <c r="Q105" s="160">
        <v>750</v>
      </c>
      <c r="R105" s="233">
        <f>VLOOKUP(A105,TB!A:F,6)</f>
        <v>750</v>
      </c>
      <c r="S105" s="233">
        <f t="shared" si="31"/>
        <v>0</v>
      </c>
    </row>
    <row r="106" spans="1:19" ht="15.75" customHeight="1" x14ac:dyDescent="0.25">
      <c r="A106" s="66" t="s">
        <v>631</v>
      </c>
      <c r="B106" s="66" t="s">
        <v>82</v>
      </c>
      <c r="C106" s="295"/>
      <c r="D106" s="160">
        <v>14690</v>
      </c>
      <c r="E106" s="160" t="e">
        <f>D106*#REF!</f>
        <v>#REF!</v>
      </c>
      <c r="F106" s="160" t="e">
        <f>D106*#REF!</f>
        <v>#REF!</v>
      </c>
      <c r="G106" s="160" t="e">
        <f>(D106*#REF!)*#REF!</f>
        <v>#REF!</v>
      </c>
      <c r="H106" s="296">
        <f t="shared" si="29"/>
        <v>0</v>
      </c>
      <c r="I106" s="147" t="e">
        <f t="shared" si="30"/>
        <v>#REF!</v>
      </c>
      <c r="J106" s="97">
        <v>0</v>
      </c>
      <c r="K106" s="295"/>
      <c r="L106" s="20">
        <v>11176</v>
      </c>
      <c r="M106" s="302">
        <v>11334.28</v>
      </c>
      <c r="N106" s="20">
        <v>12000</v>
      </c>
      <c r="O106" s="20">
        <f>VLOOKUP(A106,TB!A:F,3)</f>
        <v>9370.16</v>
      </c>
      <c r="P106" s="163">
        <f t="shared" si="32"/>
        <v>12000</v>
      </c>
      <c r="Q106" s="160">
        <v>14000</v>
      </c>
      <c r="R106" s="233">
        <f>VLOOKUP(A106,TB!A:F,6)</f>
        <v>14000</v>
      </c>
      <c r="S106" s="233">
        <f t="shared" si="31"/>
        <v>0</v>
      </c>
    </row>
    <row r="107" spans="1:19" ht="15.75" customHeight="1" x14ac:dyDescent="0.25">
      <c r="A107" s="66" t="s">
        <v>632</v>
      </c>
      <c r="B107" s="66" t="s">
        <v>115</v>
      </c>
      <c r="C107" s="295"/>
      <c r="D107" s="160">
        <v>17515</v>
      </c>
      <c r="E107" s="160" t="e">
        <f>D107*#REF!</f>
        <v>#REF!</v>
      </c>
      <c r="F107" s="160" t="e">
        <f>D107*#REF!</f>
        <v>#REF!</v>
      </c>
      <c r="G107" s="160" t="e">
        <f>(D107*#REF!)*#REF!</f>
        <v>#REF!</v>
      </c>
      <c r="H107" s="296">
        <f t="shared" si="29"/>
        <v>0</v>
      </c>
      <c r="I107" s="147" t="e">
        <f t="shared" si="30"/>
        <v>#REF!</v>
      </c>
      <c r="J107" s="97">
        <v>0</v>
      </c>
      <c r="K107" s="295"/>
      <c r="L107" s="20">
        <v>22416</v>
      </c>
      <c r="M107" s="302">
        <v>22594.26</v>
      </c>
      <c r="N107" s="20">
        <v>30500</v>
      </c>
      <c r="O107" s="20">
        <f>VLOOKUP(A107,TB!A:F,3)</f>
        <v>9211.3799999999992</v>
      </c>
      <c r="P107" s="163">
        <f t="shared" si="32"/>
        <v>30500</v>
      </c>
      <c r="Q107" s="160">
        <v>29000</v>
      </c>
      <c r="R107" s="233">
        <f>VLOOKUP(A107,TB!A:F,6)</f>
        <v>29000</v>
      </c>
      <c r="S107" s="233">
        <f t="shared" si="31"/>
        <v>0</v>
      </c>
    </row>
    <row r="108" spans="1:19" ht="15.75" customHeight="1" x14ac:dyDescent="0.25">
      <c r="A108" s="66" t="s">
        <v>633</v>
      </c>
      <c r="B108" s="66" t="s">
        <v>277</v>
      </c>
      <c r="C108" s="295"/>
      <c r="D108" s="160">
        <v>0</v>
      </c>
      <c r="E108" s="160" t="e">
        <f>D108*#REF!</f>
        <v>#REF!</v>
      </c>
      <c r="F108" s="160" t="e">
        <f>D108*#REF!</f>
        <v>#REF!</v>
      </c>
      <c r="G108" s="160" t="e">
        <f>(D108*#REF!)*#REF!</f>
        <v>#REF!</v>
      </c>
      <c r="H108" s="296">
        <f t="shared" si="29"/>
        <v>0</v>
      </c>
      <c r="I108" s="147" t="e">
        <f t="shared" si="30"/>
        <v>#REF!</v>
      </c>
      <c r="J108" s="97">
        <v>0</v>
      </c>
      <c r="K108" s="295"/>
      <c r="L108" s="20">
        <v>10350</v>
      </c>
      <c r="M108" s="302">
        <v>0</v>
      </c>
      <c r="N108" s="20">
        <v>0</v>
      </c>
      <c r="O108" s="20">
        <f>VLOOKUP(A108,TB!A:F,3)</f>
        <v>0</v>
      </c>
      <c r="P108" s="160">
        <f>O108/9*12</f>
        <v>0</v>
      </c>
      <c r="Q108" s="160">
        <v>0</v>
      </c>
      <c r="R108" s="233">
        <f>VLOOKUP(A108,TB!A:F,6)</f>
        <v>0</v>
      </c>
      <c r="S108" s="233">
        <f t="shared" si="31"/>
        <v>0</v>
      </c>
    </row>
    <row r="109" spans="1:19" ht="15.75" customHeight="1" x14ac:dyDescent="0.25">
      <c r="A109" s="66" t="s">
        <v>634</v>
      </c>
      <c r="B109" s="66" t="s">
        <v>84</v>
      </c>
      <c r="C109" s="295"/>
      <c r="D109" s="160">
        <v>0</v>
      </c>
      <c r="E109" s="160" t="e">
        <f>D109*#REF!</f>
        <v>#REF!</v>
      </c>
      <c r="F109" s="160" t="e">
        <f>D109*#REF!</f>
        <v>#REF!</v>
      </c>
      <c r="G109" s="160" t="e">
        <f>(D109*#REF!)*#REF!</f>
        <v>#REF!</v>
      </c>
      <c r="H109" s="296">
        <f t="shared" si="29"/>
        <v>0</v>
      </c>
      <c r="I109" s="147" t="e">
        <f t="shared" si="30"/>
        <v>#REF!</v>
      </c>
      <c r="J109" s="97">
        <v>0</v>
      </c>
      <c r="K109" s="295"/>
      <c r="L109" s="20">
        <v>35</v>
      </c>
      <c r="M109" s="302">
        <v>568.51</v>
      </c>
      <c r="N109" s="20">
        <v>2500</v>
      </c>
      <c r="O109" s="20">
        <f>VLOOKUP(A109,TB!A:F,3)</f>
        <v>305.73</v>
      </c>
      <c r="P109" s="163">
        <f t="shared" ref="P109:P113" si="33">N109</f>
        <v>2500</v>
      </c>
      <c r="Q109" s="160">
        <v>0</v>
      </c>
      <c r="R109" s="233">
        <f>VLOOKUP(A109,TB!A:F,6)</f>
        <v>0</v>
      </c>
      <c r="S109" s="233">
        <f t="shared" si="31"/>
        <v>0</v>
      </c>
    </row>
    <row r="110" spans="1:19" ht="15.75" customHeight="1" x14ac:dyDescent="0.25">
      <c r="A110" s="66" t="s">
        <v>635</v>
      </c>
      <c r="B110" s="66" t="s">
        <v>90</v>
      </c>
      <c r="C110" s="295"/>
      <c r="D110" s="160">
        <v>10670</v>
      </c>
      <c r="E110" s="160" t="e">
        <f>D110*#REF!</f>
        <v>#REF!</v>
      </c>
      <c r="F110" s="160" t="e">
        <f>D110*#REF!</f>
        <v>#REF!</v>
      </c>
      <c r="G110" s="160" t="e">
        <f>(D110*#REF!)*#REF!</f>
        <v>#REF!</v>
      </c>
      <c r="H110" s="296">
        <f t="shared" si="29"/>
        <v>0</v>
      </c>
      <c r="I110" s="147" t="e">
        <f t="shared" si="30"/>
        <v>#REF!</v>
      </c>
      <c r="J110" s="97">
        <v>0</v>
      </c>
      <c r="K110" s="295"/>
      <c r="L110" s="20">
        <v>10057</v>
      </c>
      <c r="M110" s="302">
        <v>7032.01</v>
      </c>
      <c r="N110" s="20">
        <v>10000</v>
      </c>
      <c r="O110" s="20">
        <f>VLOOKUP(A110,TB!A:F,3)</f>
        <v>3775.36</v>
      </c>
      <c r="P110" s="163">
        <f t="shared" si="33"/>
        <v>10000</v>
      </c>
      <c r="Q110" s="160">
        <v>12000</v>
      </c>
      <c r="R110" s="233">
        <f>VLOOKUP(A110,TB!A:F,6)</f>
        <v>12000</v>
      </c>
      <c r="S110" s="233">
        <f t="shared" si="31"/>
        <v>0</v>
      </c>
    </row>
    <row r="111" spans="1:19" ht="15.75" customHeight="1" x14ac:dyDescent="0.25">
      <c r="A111" s="66" t="s">
        <v>636</v>
      </c>
      <c r="B111" s="66" t="s">
        <v>252</v>
      </c>
      <c r="C111" s="295"/>
      <c r="D111" s="160">
        <v>3813</v>
      </c>
      <c r="E111" s="160" t="e">
        <f>D111*#REF!</f>
        <v>#REF!</v>
      </c>
      <c r="F111" s="160" t="e">
        <f>D111*#REF!</f>
        <v>#REF!</v>
      </c>
      <c r="G111" s="160" t="e">
        <f>(D111*#REF!)*#REF!</f>
        <v>#REF!</v>
      </c>
      <c r="H111" s="296">
        <f t="shared" si="29"/>
        <v>0</v>
      </c>
      <c r="I111" s="147" t="e">
        <f t="shared" si="30"/>
        <v>#REF!</v>
      </c>
      <c r="J111" s="97">
        <v>0</v>
      </c>
      <c r="K111" s="295"/>
      <c r="L111" s="20">
        <v>5230</v>
      </c>
      <c r="M111" s="302">
        <v>5161.68</v>
      </c>
      <c r="N111" s="20">
        <v>5500</v>
      </c>
      <c r="O111" s="20">
        <f>VLOOKUP(A111,TB!A:F,3)</f>
        <v>1388.31</v>
      </c>
      <c r="P111" s="163">
        <f t="shared" si="33"/>
        <v>5500</v>
      </c>
      <c r="Q111" s="160">
        <v>5500</v>
      </c>
      <c r="R111" s="233">
        <f>VLOOKUP(A111,TB!A:F,6)</f>
        <v>5500</v>
      </c>
      <c r="S111" s="233">
        <f t="shared" si="31"/>
        <v>0</v>
      </c>
    </row>
    <row r="112" spans="1:19" ht="15.75" customHeight="1" x14ac:dyDescent="0.25">
      <c r="A112" s="66" t="s">
        <v>637</v>
      </c>
      <c r="B112" s="66" t="s">
        <v>638</v>
      </c>
      <c r="C112" s="295"/>
      <c r="D112" s="160">
        <v>0</v>
      </c>
      <c r="E112" s="160" t="e">
        <f>D112*#REF!</f>
        <v>#REF!</v>
      </c>
      <c r="F112" s="160" t="e">
        <f>D112*#REF!</f>
        <v>#REF!</v>
      </c>
      <c r="G112" s="160" t="e">
        <f>(D112*#REF!)*#REF!</f>
        <v>#REF!</v>
      </c>
      <c r="H112" s="296">
        <f t="shared" si="29"/>
        <v>0</v>
      </c>
      <c r="I112" s="147" t="e">
        <f t="shared" si="30"/>
        <v>#REF!</v>
      </c>
      <c r="J112" s="97">
        <v>0</v>
      </c>
      <c r="K112" s="295"/>
      <c r="L112" s="20">
        <v>0</v>
      </c>
      <c r="M112" s="302">
        <v>116.32</v>
      </c>
      <c r="N112" s="20">
        <v>1000</v>
      </c>
      <c r="O112" s="20">
        <f>VLOOKUP(A112,TB!A:F,3)</f>
        <v>0</v>
      </c>
      <c r="P112" s="163">
        <f t="shared" si="33"/>
        <v>1000</v>
      </c>
      <c r="Q112" s="160">
        <v>0</v>
      </c>
      <c r="R112" s="233">
        <f>VLOOKUP(A112,TB!A:F,6)</f>
        <v>0</v>
      </c>
      <c r="S112" s="233">
        <f t="shared" si="31"/>
        <v>0</v>
      </c>
    </row>
    <row r="113" spans="1:19" ht="15.75" customHeight="1" x14ac:dyDescent="0.25">
      <c r="A113" s="66" t="s">
        <v>639</v>
      </c>
      <c r="B113" s="66" t="s">
        <v>502</v>
      </c>
      <c r="C113" s="295"/>
      <c r="D113" s="160">
        <v>2886</v>
      </c>
      <c r="E113" s="160" t="e">
        <f>D113*#REF!</f>
        <v>#REF!</v>
      </c>
      <c r="F113" s="160" t="e">
        <f>D113*#REF!</f>
        <v>#REF!</v>
      </c>
      <c r="G113" s="160" t="e">
        <f>(D113*#REF!)*#REF!</f>
        <v>#REF!</v>
      </c>
      <c r="H113" s="296">
        <f t="shared" si="29"/>
        <v>0</v>
      </c>
      <c r="I113" s="147" t="e">
        <f t="shared" si="30"/>
        <v>#REF!</v>
      </c>
      <c r="J113" s="97">
        <v>0</v>
      </c>
      <c r="K113" s="295"/>
      <c r="L113" s="20">
        <v>2848</v>
      </c>
      <c r="M113" s="302">
        <v>7315.13</v>
      </c>
      <c r="N113" s="20">
        <v>3500</v>
      </c>
      <c r="O113" s="20">
        <f>VLOOKUP(A113,TB!A:F,3)</f>
        <v>285.8</v>
      </c>
      <c r="P113" s="163">
        <f t="shared" si="33"/>
        <v>3500</v>
      </c>
      <c r="Q113" s="160">
        <v>3500</v>
      </c>
      <c r="R113" s="233">
        <f>VLOOKUP(A113,TB!A:F,6)</f>
        <v>3500</v>
      </c>
      <c r="S113" s="233">
        <f t="shared" si="31"/>
        <v>0</v>
      </c>
    </row>
    <row r="114" spans="1:19" ht="15.75" customHeight="1" x14ac:dyDescent="0.25">
      <c r="A114" s="66" t="s">
        <v>640</v>
      </c>
      <c r="B114" s="66" t="s">
        <v>92</v>
      </c>
      <c r="C114" s="295"/>
      <c r="D114" s="160">
        <v>0</v>
      </c>
      <c r="E114" s="160" t="e">
        <f>D114*#REF!</f>
        <v>#REF!</v>
      </c>
      <c r="F114" s="160" t="e">
        <f>D114*#REF!</f>
        <v>#REF!</v>
      </c>
      <c r="G114" s="160" t="e">
        <f>(D114*#REF!)*#REF!</f>
        <v>#REF!</v>
      </c>
      <c r="H114" s="296">
        <f t="shared" si="29"/>
        <v>0</v>
      </c>
      <c r="I114" s="147" t="e">
        <f t="shared" si="30"/>
        <v>#REF!</v>
      </c>
      <c r="J114" s="97">
        <v>0</v>
      </c>
      <c r="K114" s="295"/>
      <c r="L114" s="20">
        <v>3949</v>
      </c>
      <c r="M114" s="302">
        <v>0</v>
      </c>
      <c r="N114" s="20">
        <v>0</v>
      </c>
      <c r="O114" s="20">
        <f>VLOOKUP(A114,TB!A:F,3)</f>
        <v>0</v>
      </c>
      <c r="P114" s="160">
        <f t="shared" ref="P114:P116" si="34">O114/9*12</f>
        <v>0</v>
      </c>
      <c r="Q114" s="160">
        <v>0</v>
      </c>
      <c r="R114" s="233">
        <f>VLOOKUP(A114,TB!A:F,6)</f>
        <v>0</v>
      </c>
      <c r="S114" s="233">
        <f t="shared" si="31"/>
        <v>0</v>
      </c>
    </row>
    <row r="115" spans="1:19" ht="15.75" customHeight="1" x14ac:dyDescent="0.25">
      <c r="A115" s="66" t="s">
        <v>641</v>
      </c>
      <c r="B115" s="66" t="s">
        <v>180</v>
      </c>
      <c r="C115" s="295"/>
      <c r="D115" s="160">
        <v>0</v>
      </c>
      <c r="E115" s="160" t="e">
        <f>D115*#REF!</f>
        <v>#REF!</v>
      </c>
      <c r="F115" s="160" t="e">
        <f>D115*#REF!</f>
        <v>#REF!</v>
      </c>
      <c r="G115" s="160" t="e">
        <f>(D115*#REF!)*#REF!</f>
        <v>#REF!</v>
      </c>
      <c r="H115" s="296">
        <f t="shared" si="29"/>
        <v>0</v>
      </c>
      <c r="I115" s="147" t="e">
        <f t="shared" si="30"/>
        <v>#REF!</v>
      </c>
      <c r="J115" s="97">
        <v>0</v>
      </c>
      <c r="K115" s="295"/>
      <c r="L115" s="20">
        <v>6374</v>
      </c>
      <c r="M115" s="302">
        <v>0</v>
      </c>
      <c r="N115" s="20">
        <v>0</v>
      </c>
      <c r="O115" s="20">
        <f>VLOOKUP(A115,TB!A:F,3)</f>
        <v>0</v>
      </c>
      <c r="P115" s="160">
        <f t="shared" si="34"/>
        <v>0</v>
      </c>
      <c r="Q115" s="160">
        <v>0</v>
      </c>
      <c r="R115" s="233">
        <f>VLOOKUP(A115,TB!A:F,6)</f>
        <v>0</v>
      </c>
      <c r="S115" s="233">
        <f t="shared" si="31"/>
        <v>0</v>
      </c>
    </row>
    <row r="116" spans="1:19" ht="15.75" customHeight="1" x14ac:dyDescent="0.25">
      <c r="A116" s="66" t="s">
        <v>642</v>
      </c>
      <c r="B116" s="66" t="s">
        <v>99</v>
      </c>
      <c r="C116" s="295"/>
      <c r="D116" s="160">
        <v>15500</v>
      </c>
      <c r="E116" s="160" t="e">
        <f>D116*#REF!</f>
        <v>#REF!</v>
      </c>
      <c r="F116" s="160" t="e">
        <f>D116*#REF!</f>
        <v>#REF!</v>
      </c>
      <c r="G116" s="160" t="e">
        <f>(D116*#REF!)*#REF!</f>
        <v>#REF!</v>
      </c>
      <c r="H116" s="296">
        <f t="shared" si="29"/>
        <v>0</v>
      </c>
      <c r="I116" s="147" t="e">
        <f t="shared" si="30"/>
        <v>#REF!</v>
      </c>
      <c r="J116" s="97">
        <v>0</v>
      </c>
      <c r="K116" s="295"/>
      <c r="L116" s="20">
        <v>124316</v>
      </c>
      <c r="M116" s="302">
        <v>9229</v>
      </c>
      <c r="N116" s="20">
        <v>0</v>
      </c>
      <c r="O116" s="20">
        <f>VLOOKUP(A116,TB!A:F,3)</f>
        <v>0</v>
      </c>
      <c r="P116" s="160">
        <f t="shared" si="34"/>
        <v>0</v>
      </c>
      <c r="Q116" s="160">
        <v>0</v>
      </c>
      <c r="R116" s="233">
        <f>VLOOKUP(A116,TB!A:F,6)</f>
        <v>0</v>
      </c>
      <c r="S116" s="233">
        <f t="shared" si="31"/>
        <v>0</v>
      </c>
    </row>
    <row r="117" spans="1:19" ht="15.75" customHeight="1" x14ac:dyDescent="0.25">
      <c r="A117" s="74" t="s">
        <v>643</v>
      </c>
      <c r="B117" s="75"/>
      <c r="C117" s="299"/>
      <c r="D117" s="189">
        <f t="shared" ref="D117:G117" si="35">SUM(D103:D116)</f>
        <v>71718</v>
      </c>
      <c r="E117" s="189" t="e">
        <f t="shared" si="35"/>
        <v>#REF!</v>
      </c>
      <c r="F117" s="189" t="e">
        <f t="shared" si="35"/>
        <v>#REF!</v>
      </c>
      <c r="G117" s="189" t="e">
        <f t="shared" si="35"/>
        <v>#REF!</v>
      </c>
      <c r="H117" s="300">
        <f t="shared" si="29"/>
        <v>0</v>
      </c>
      <c r="I117" s="189" t="e">
        <f t="shared" si="30"/>
        <v>#REF!</v>
      </c>
      <c r="J117" s="301">
        <f>SUM(J103:J116)</f>
        <v>0</v>
      </c>
      <c r="K117" s="299"/>
      <c r="L117" s="77">
        <f t="shared" ref="L117:S117" si="36">SUM(L103:L116)</f>
        <v>200693</v>
      </c>
      <c r="M117" s="77">
        <f t="shared" si="36"/>
        <v>69808.38</v>
      </c>
      <c r="N117" s="77">
        <f t="shared" si="36"/>
        <v>77100</v>
      </c>
      <c r="O117" s="77">
        <f t="shared" si="36"/>
        <v>29660.09</v>
      </c>
      <c r="P117" s="189">
        <f t="shared" si="36"/>
        <v>77148.28</v>
      </c>
      <c r="Q117" s="189">
        <f t="shared" si="36"/>
        <v>76750</v>
      </c>
      <c r="R117" s="77">
        <f t="shared" si="36"/>
        <v>76750</v>
      </c>
      <c r="S117" s="77">
        <f t="shared" si="36"/>
        <v>0</v>
      </c>
    </row>
    <row r="118" spans="1:19" ht="15.75" customHeight="1" x14ac:dyDescent="0.2">
      <c r="C118" s="287"/>
      <c r="K118" s="287"/>
      <c r="R118" s="83"/>
      <c r="S118" s="83"/>
    </row>
    <row r="119" spans="1:19" ht="15.75" customHeight="1" x14ac:dyDescent="0.25">
      <c r="A119" s="66" t="s">
        <v>641</v>
      </c>
      <c r="B119" s="66" t="s">
        <v>180</v>
      </c>
      <c r="C119" s="295"/>
      <c r="D119" s="160">
        <v>0</v>
      </c>
      <c r="E119" s="160" t="e">
        <f>D119*#REF!</f>
        <v>#REF!</v>
      </c>
      <c r="F119" s="160" t="e">
        <f>D119*#REF!</f>
        <v>#REF!</v>
      </c>
      <c r="G119" s="160" t="e">
        <f>(D119*#REF!)*#REF!</f>
        <v>#REF!</v>
      </c>
      <c r="H119" s="296">
        <f t="shared" ref="H119:H121" si="37">IFERROR(((Q119-G119)/G119),0)</f>
        <v>0</v>
      </c>
      <c r="I119" s="147" t="e">
        <f t="shared" ref="I119:I121" si="38">Q119-G119</f>
        <v>#REF!</v>
      </c>
      <c r="J119" s="97">
        <v>0</v>
      </c>
      <c r="K119" s="295"/>
      <c r="L119" s="20">
        <v>6374</v>
      </c>
      <c r="M119" s="302">
        <v>0</v>
      </c>
      <c r="N119" s="20">
        <v>0</v>
      </c>
      <c r="O119" s="20">
        <v>0</v>
      </c>
      <c r="P119" s="160">
        <f t="shared" ref="P119:P120" si="39">N119</f>
        <v>0</v>
      </c>
      <c r="Q119" s="160">
        <v>0</v>
      </c>
      <c r="R119" s="233">
        <f>VLOOKUP(A119,TB!A:F,6)</f>
        <v>0</v>
      </c>
      <c r="S119" s="233">
        <f t="shared" ref="S119:S120" si="40">Q119-R119</f>
        <v>0</v>
      </c>
    </row>
    <row r="120" spans="1:19" ht="15.75" customHeight="1" x14ac:dyDescent="0.25">
      <c r="A120" s="66" t="s">
        <v>642</v>
      </c>
      <c r="B120" s="66" t="s">
        <v>99</v>
      </c>
      <c r="C120" s="295"/>
      <c r="D120" s="160">
        <v>15500</v>
      </c>
      <c r="E120" s="160" t="e">
        <f>D120*#REF!</f>
        <v>#REF!</v>
      </c>
      <c r="F120" s="160" t="e">
        <f>D120*#REF!</f>
        <v>#REF!</v>
      </c>
      <c r="G120" s="160" t="e">
        <f>(D120*#REF!)*#REF!</f>
        <v>#REF!</v>
      </c>
      <c r="H120" s="296">
        <f t="shared" si="37"/>
        <v>0</v>
      </c>
      <c r="I120" s="147" t="e">
        <f t="shared" si="38"/>
        <v>#REF!</v>
      </c>
      <c r="J120" s="97">
        <v>0</v>
      </c>
      <c r="K120" s="295"/>
      <c r="L120" s="20">
        <v>124316</v>
      </c>
      <c r="M120" s="302">
        <v>9229</v>
      </c>
      <c r="N120" s="20">
        <v>28000</v>
      </c>
      <c r="O120" s="20">
        <v>0</v>
      </c>
      <c r="P120" s="163">
        <f t="shared" si="39"/>
        <v>28000</v>
      </c>
      <c r="Q120" s="160">
        <v>0</v>
      </c>
      <c r="R120" s="233">
        <f>VLOOKUP(A120,TB!A:F,6)</f>
        <v>0</v>
      </c>
      <c r="S120" s="233">
        <f t="shared" si="40"/>
        <v>0</v>
      </c>
    </row>
    <row r="121" spans="1:19" ht="15.75" customHeight="1" x14ac:dyDescent="0.25">
      <c r="A121" s="74" t="s">
        <v>644</v>
      </c>
      <c r="B121" s="75"/>
      <c r="C121" s="299"/>
      <c r="D121" s="189">
        <f>SUM(D119:D120)</f>
        <v>15500</v>
      </c>
      <c r="E121" s="189" t="e">
        <f t="shared" ref="E121:G121" si="41">SUM(E107:E120)</f>
        <v>#REF!</v>
      </c>
      <c r="F121" s="189" t="e">
        <f t="shared" si="41"/>
        <v>#REF!</v>
      </c>
      <c r="G121" s="189" t="e">
        <f t="shared" si="41"/>
        <v>#REF!</v>
      </c>
      <c r="H121" s="300">
        <f t="shared" si="37"/>
        <v>0</v>
      </c>
      <c r="I121" s="189" t="e">
        <f t="shared" si="38"/>
        <v>#REF!</v>
      </c>
      <c r="J121" s="301">
        <f>SUM(J119:J120)</f>
        <v>0</v>
      </c>
      <c r="K121" s="299"/>
      <c r="L121" s="77">
        <f t="shared" ref="L121:S121" si="42">SUM(L119:L120)</f>
        <v>130690</v>
      </c>
      <c r="M121" s="77">
        <f t="shared" si="42"/>
        <v>9229</v>
      </c>
      <c r="N121" s="77">
        <f t="shared" si="42"/>
        <v>28000</v>
      </c>
      <c r="O121" s="77">
        <f t="shared" si="42"/>
        <v>0</v>
      </c>
      <c r="P121" s="189">
        <f t="shared" si="42"/>
        <v>28000</v>
      </c>
      <c r="Q121" s="189">
        <f t="shared" si="42"/>
        <v>0</v>
      </c>
      <c r="R121" s="77">
        <f t="shared" si="42"/>
        <v>0</v>
      </c>
      <c r="S121" s="77">
        <f t="shared" si="42"/>
        <v>0</v>
      </c>
    </row>
    <row r="122" spans="1:19" ht="15.75" customHeight="1" x14ac:dyDescent="0.2">
      <c r="C122" s="287"/>
      <c r="K122" s="287"/>
      <c r="R122" s="83"/>
      <c r="S122" s="83"/>
    </row>
    <row r="123" spans="1:19" ht="15.75" customHeight="1" x14ac:dyDescent="0.25">
      <c r="A123" s="74" t="s">
        <v>645</v>
      </c>
      <c r="B123" s="305"/>
      <c r="C123" s="306"/>
      <c r="D123" s="189">
        <f t="shared" ref="D123:G123" si="43">D117+D121</f>
        <v>87218</v>
      </c>
      <c r="E123" s="189" t="e">
        <f t="shared" si="43"/>
        <v>#REF!</v>
      </c>
      <c r="F123" s="189" t="e">
        <f t="shared" si="43"/>
        <v>#REF!</v>
      </c>
      <c r="G123" s="189" t="e">
        <f t="shared" si="43"/>
        <v>#REF!</v>
      </c>
      <c r="H123" s="300">
        <f>IFERROR(((Q123-G123)/G123),0)</f>
        <v>0</v>
      </c>
      <c r="I123" s="189" t="e">
        <f>Q123-G123</f>
        <v>#REF!</v>
      </c>
      <c r="J123" s="301">
        <f>J122</f>
        <v>0</v>
      </c>
      <c r="K123" s="306"/>
      <c r="L123" s="77">
        <f t="shared" ref="L123:S123" si="44">L117+L121</f>
        <v>331383</v>
      </c>
      <c r="M123" s="77">
        <f t="shared" si="44"/>
        <v>79037.38</v>
      </c>
      <c r="N123" s="77">
        <f t="shared" si="44"/>
        <v>105100</v>
      </c>
      <c r="O123" s="77">
        <f t="shared" si="44"/>
        <v>29660.09</v>
      </c>
      <c r="P123" s="189">
        <f t="shared" si="44"/>
        <v>105148.28</v>
      </c>
      <c r="Q123" s="189">
        <f t="shared" si="44"/>
        <v>76750</v>
      </c>
      <c r="R123" s="77">
        <f t="shared" si="44"/>
        <v>76750</v>
      </c>
      <c r="S123" s="77">
        <f t="shared" si="44"/>
        <v>0</v>
      </c>
    </row>
    <row r="124" spans="1:19" ht="15.75" customHeight="1" x14ac:dyDescent="0.2">
      <c r="C124" s="287"/>
      <c r="K124" s="287"/>
      <c r="R124" s="83"/>
      <c r="S124" s="83"/>
    </row>
    <row r="125" spans="1:19" ht="15.75" customHeight="1" x14ac:dyDescent="0.2">
      <c r="A125" s="69" t="s">
        <v>184</v>
      </c>
      <c r="C125" s="287"/>
      <c r="K125" s="287"/>
      <c r="R125" s="83"/>
      <c r="S125" s="83"/>
    </row>
    <row r="126" spans="1:19" ht="15.75" customHeight="1" x14ac:dyDescent="0.25">
      <c r="A126" s="51" t="s">
        <v>646</v>
      </c>
      <c r="B126" s="51" t="s">
        <v>647</v>
      </c>
      <c r="C126" s="307"/>
      <c r="D126" s="147">
        <v>-20957</v>
      </c>
      <c r="E126" s="160" t="e">
        <f>D126*#REF!</f>
        <v>#REF!</v>
      </c>
      <c r="F126" s="160" t="e">
        <f>D126*#REF!</f>
        <v>#REF!</v>
      </c>
      <c r="G126" s="160" t="e">
        <f>(D126*#REF!)*#REF!</f>
        <v>#REF!</v>
      </c>
      <c r="H126" s="296">
        <f t="shared" ref="H126:H129" si="45">IFERROR(((Q126-G126)/G126),0)</f>
        <v>0</v>
      </c>
      <c r="I126" s="147" t="e">
        <f t="shared" ref="I126:I129" si="46">Q126-G126</f>
        <v>#REF!</v>
      </c>
      <c r="J126" s="97">
        <v>0</v>
      </c>
      <c r="K126" s="307"/>
      <c r="L126" s="54">
        <v>-19985</v>
      </c>
      <c r="M126" s="54">
        <v>-19475.28</v>
      </c>
      <c r="N126" s="54">
        <v>-20000</v>
      </c>
      <c r="O126" s="20">
        <f>VLOOKUP(A126,TB!A:F,3)</f>
        <v>0</v>
      </c>
      <c r="P126" s="308">
        <f t="shared" ref="P126:P128" si="47">N126</f>
        <v>-20000</v>
      </c>
      <c r="Q126" s="147">
        <v>-20000</v>
      </c>
      <c r="R126" s="233">
        <f>VLOOKUP(A126,TB!A:F,6)</f>
        <v>-20000</v>
      </c>
      <c r="S126" s="233">
        <f t="shared" ref="S126:S128" si="48">Q126-R126</f>
        <v>0</v>
      </c>
    </row>
    <row r="127" spans="1:19" ht="15.75" customHeight="1" x14ac:dyDescent="0.25">
      <c r="A127" s="51" t="s">
        <v>648</v>
      </c>
      <c r="B127" s="51" t="s">
        <v>649</v>
      </c>
      <c r="C127" s="307"/>
      <c r="D127" s="147">
        <v>-23952</v>
      </c>
      <c r="E127" s="160" t="e">
        <f>D127*#REF!</f>
        <v>#REF!</v>
      </c>
      <c r="F127" s="160" t="e">
        <f>D127*#REF!</f>
        <v>#REF!</v>
      </c>
      <c r="G127" s="160" t="e">
        <f>(D127*#REF!)*#REF!</f>
        <v>#REF!</v>
      </c>
      <c r="H127" s="296">
        <f t="shared" si="45"/>
        <v>0</v>
      </c>
      <c r="I127" s="147" t="e">
        <f t="shared" si="46"/>
        <v>#REF!</v>
      </c>
      <c r="J127" s="97">
        <v>0</v>
      </c>
      <c r="K127" s="307"/>
      <c r="L127" s="54">
        <v>-52917</v>
      </c>
      <c r="M127" s="54">
        <v>-11786.7</v>
      </c>
      <c r="N127" s="54">
        <v>-20000</v>
      </c>
      <c r="O127" s="20">
        <f>VLOOKUP(A127,TB!A:F,3)</f>
        <v>0</v>
      </c>
      <c r="P127" s="308">
        <f t="shared" si="47"/>
        <v>-20000</v>
      </c>
      <c r="Q127" s="147">
        <v>-20000</v>
      </c>
      <c r="R127" s="233">
        <f>VLOOKUP(A127,TB!A:F,6)</f>
        <v>-20000</v>
      </c>
      <c r="S127" s="233">
        <f t="shared" si="48"/>
        <v>0</v>
      </c>
    </row>
    <row r="128" spans="1:19" ht="15.75" customHeight="1" x14ac:dyDescent="0.25">
      <c r="A128" s="51" t="s">
        <v>650</v>
      </c>
      <c r="B128" s="51" t="s">
        <v>651</v>
      </c>
      <c r="C128" s="307"/>
      <c r="D128" s="147">
        <v>-150</v>
      </c>
      <c r="E128" s="160" t="e">
        <f>D128*#REF!</f>
        <v>#REF!</v>
      </c>
      <c r="F128" s="160" t="e">
        <f>D128*#REF!</f>
        <v>#REF!</v>
      </c>
      <c r="G128" s="160" t="e">
        <f>(D128*#REF!)*#REF!</f>
        <v>#REF!</v>
      </c>
      <c r="H128" s="296">
        <f t="shared" si="45"/>
        <v>0</v>
      </c>
      <c r="I128" s="147" t="e">
        <f t="shared" si="46"/>
        <v>#REF!</v>
      </c>
      <c r="J128" s="97">
        <v>0</v>
      </c>
      <c r="K128" s="307"/>
      <c r="L128" s="54">
        <v>-5682</v>
      </c>
      <c r="M128" s="54">
        <v>-200</v>
      </c>
      <c r="N128" s="54">
        <v>-2500</v>
      </c>
      <c r="O128" s="20">
        <f>VLOOKUP(A128,TB!A:F,3)</f>
        <v>-138.04</v>
      </c>
      <c r="P128" s="308">
        <f t="shared" si="47"/>
        <v>-2500</v>
      </c>
      <c r="Q128" s="147">
        <v>0</v>
      </c>
      <c r="R128" s="233">
        <f>VLOOKUP(A128,TB!A:F,6)</f>
        <v>0</v>
      </c>
      <c r="S128" s="233">
        <f t="shared" si="48"/>
        <v>0</v>
      </c>
    </row>
    <row r="129" spans="1:30" ht="15.75" customHeight="1" x14ac:dyDescent="0.2">
      <c r="A129" s="239" t="s">
        <v>189</v>
      </c>
      <c r="B129" s="75"/>
      <c r="C129" s="299"/>
      <c r="D129" s="189">
        <f t="shared" ref="D129:G129" si="49">SUM(D126:D128)</f>
        <v>-45059</v>
      </c>
      <c r="E129" s="189" t="e">
        <f t="shared" si="49"/>
        <v>#REF!</v>
      </c>
      <c r="F129" s="189" t="e">
        <f t="shared" si="49"/>
        <v>#REF!</v>
      </c>
      <c r="G129" s="189" t="e">
        <f t="shared" si="49"/>
        <v>#REF!</v>
      </c>
      <c r="H129" s="300">
        <f t="shared" si="45"/>
        <v>0</v>
      </c>
      <c r="I129" s="189" t="e">
        <f t="shared" si="46"/>
        <v>#REF!</v>
      </c>
      <c r="J129" s="189">
        <v>0</v>
      </c>
      <c r="K129" s="299"/>
      <c r="L129" s="77">
        <f t="shared" ref="L129:S129" si="50">SUM(L126:L128)</f>
        <v>-78584</v>
      </c>
      <c r="M129" s="77">
        <f t="shared" si="50"/>
        <v>-31461.98</v>
      </c>
      <c r="N129" s="77">
        <f t="shared" si="50"/>
        <v>-42500</v>
      </c>
      <c r="O129" s="77">
        <f t="shared" si="50"/>
        <v>-138.04</v>
      </c>
      <c r="P129" s="189">
        <f t="shared" si="50"/>
        <v>-42500</v>
      </c>
      <c r="Q129" s="189">
        <f t="shared" si="50"/>
        <v>-40000</v>
      </c>
      <c r="R129" s="77">
        <f t="shared" si="50"/>
        <v>-40000</v>
      </c>
      <c r="S129" s="77">
        <f t="shared" si="50"/>
        <v>0</v>
      </c>
    </row>
    <row r="130" spans="1:30" ht="15.75" customHeight="1" x14ac:dyDescent="0.2">
      <c r="C130" s="287"/>
      <c r="K130" s="287"/>
      <c r="R130" s="83"/>
      <c r="S130" s="83"/>
    </row>
    <row r="131" spans="1:30" ht="15.75" customHeight="1" x14ac:dyDescent="0.2">
      <c r="A131" s="69" t="s">
        <v>190</v>
      </c>
      <c r="B131" s="51"/>
      <c r="C131" s="309"/>
      <c r="D131" s="193">
        <f t="shared" ref="D131:G131" si="51">D123+D129</f>
        <v>42159</v>
      </c>
      <c r="E131" s="193" t="e">
        <f t="shared" si="51"/>
        <v>#REF!</v>
      </c>
      <c r="F131" s="193" t="e">
        <f t="shared" si="51"/>
        <v>#REF!</v>
      </c>
      <c r="G131" s="193" t="e">
        <f t="shared" si="51"/>
        <v>#REF!</v>
      </c>
      <c r="H131" s="310">
        <f>IFERROR(((Q131-G131)/G131),0)</f>
        <v>0</v>
      </c>
      <c r="I131" s="193" t="e">
        <f>Q131-G131</f>
        <v>#REF!</v>
      </c>
      <c r="J131" s="193">
        <f>J129+J128</f>
        <v>0</v>
      </c>
      <c r="K131" s="309"/>
      <c r="L131" s="245">
        <f t="shared" ref="L131:S131" si="52">L123+L129</f>
        <v>252799</v>
      </c>
      <c r="M131" s="245">
        <f t="shared" si="52"/>
        <v>47575.400000000009</v>
      </c>
      <c r="N131" s="245">
        <f t="shared" si="52"/>
        <v>62600</v>
      </c>
      <c r="O131" s="245">
        <f t="shared" si="52"/>
        <v>29522.05</v>
      </c>
      <c r="P131" s="193">
        <f t="shared" si="52"/>
        <v>62648.28</v>
      </c>
      <c r="Q131" s="193">
        <f t="shared" si="52"/>
        <v>36750</v>
      </c>
      <c r="R131" s="245">
        <f t="shared" si="52"/>
        <v>36750</v>
      </c>
      <c r="S131" s="245">
        <f t="shared" si="52"/>
        <v>0</v>
      </c>
      <c r="W131" s="56"/>
      <c r="X131" s="56"/>
      <c r="Y131" s="56"/>
      <c r="Z131" s="56"/>
      <c r="AA131" s="56"/>
      <c r="AB131" s="56"/>
      <c r="AC131" s="56"/>
      <c r="AD131" s="56"/>
    </row>
    <row r="132" spans="1:30" ht="15.75" customHeight="1" x14ac:dyDescent="0.2">
      <c r="C132" s="287"/>
      <c r="K132" s="287"/>
    </row>
    <row r="133" spans="1:30" ht="15.75" customHeight="1" x14ac:dyDescent="0.2">
      <c r="C133" s="287"/>
      <c r="K133" s="287"/>
    </row>
    <row r="134" spans="1:30" ht="15.75" customHeight="1" x14ac:dyDescent="0.2">
      <c r="C134" s="288"/>
      <c r="K134" s="288"/>
      <c r="L134" s="199" t="e">
        <f t="shared" ref="L134:R134" si="53">#REF!</f>
        <v>#REF!</v>
      </c>
      <c r="M134" s="199" t="e">
        <f t="shared" si="53"/>
        <v>#REF!</v>
      </c>
      <c r="N134" s="199" t="e">
        <f t="shared" si="53"/>
        <v>#REF!</v>
      </c>
      <c r="O134" s="199" t="e">
        <f t="shared" si="53"/>
        <v>#REF!</v>
      </c>
      <c r="P134" s="199" t="e">
        <f t="shared" si="53"/>
        <v>#REF!</v>
      </c>
      <c r="Q134" s="199" t="e">
        <f t="shared" si="53"/>
        <v>#REF!</v>
      </c>
      <c r="R134" s="173" t="e">
        <f t="shared" si="53"/>
        <v>#REF!</v>
      </c>
    </row>
    <row r="135" spans="1:30" ht="15.75" customHeight="1" x14ac:dyDescent="0.2">
      <c r="C135" s="289"/>
      <c r="K135" s="289"/>
      <c r="L135" s="290">
        <f t="shared" ref="L135:R135" si="54">L131</f>
        <v>252799</v>
      </c>
      <c r="M135" s="290">
        <f t="shared" si="54"/>
        <v>47575.400000000009</v>
      </c>
      <c r="N135" s="290">
        <f t="shared" si="54"/>
        <v>62600</v>
      </c>
      <c r="O135" s="290">
        <f t="shared" si="54"/>
        <v>29522.05</v>
      </c>
      <c r="P135" s="290">
        <f t="shared" si="54"/>
        <v>62648.28</v>
      </c>
      <c r="Q135" s="290">
        <f t="shared" si="54"/>
        <v>36750</v>
      </c>
      <c r="R135" s="291">
        <f t="shared" si="54"/>
        <v>36750</v>
      </c>
    </row>
    <row r="136" spans="1:30" ht="15.75" customHeight="1" x14ac:dyDescent="0.2">
      <c r="C136" s="287"/>
      <c r="K136" s="287"/>
    </row>
    <row r="137" spans="1:30" ht="15.75" customHeight="1" x14ac:dyDescent="0.2">
      <c r="C137" s="287"/>
      <c r="K137" s="287"/>
    </row>
    <row r="138" spans="1:30" ht="15.75" customHeight="1" x14ac:dyDescent="0.2">
      <c r="C138" s="287"/>
      <c r="K138" s="287"/>
    </row>
    <row r="139" spans="1:30" ht="15.75" customHeight="1" x14ac:dyDescent="0.2">
      <c r="C139" s="287"/>
      <c r="K139" s="287"/>
    </row>
    <row r="140" spans="1:30" ht="15.75" customHeight="1" x14ac:dyDescent="0.2">
      <c r="C140" s="287"/>
      <c r="K140" s="287"/>
    </row>
    <row r="141" spans="1:30" ht="15.75" customHeight="1" x14ac:dyDescent="0.2">
      <c r="C141" s="287"/>
      <c r="K141" s="287"/>
    </row>
    <row r="142" spans="1:30" ht="15.75" customHeight="1" x14ac:dyDescent="0.2">
      <c r="C142" s="287"/>
      <c r="K142" s="287"/>
    </row>
    <row r="143" spans="1:30" ht="15.75" customHeight="1" x14ac:dyDescent="0.2">
      <c r="C143" s="287"/>
      <c r="K143" s="287"/>
    </row>
    <row r="144" spans="1:30" ht="15.75" customHeight="1" x14ac:dyDescent="0.2">
      <c r="C144" s="287"/>
      <c r="K144" s="287"/>
    </row>
    <row r="145" spans="3:11" ht="15.75" customHeight="1" x14ac:dyDescent="0.2">
      <c r="C145" s="287"/>
      <c r="K145" s="287"/>
    </row>
    <row r="146" spans="3:11" ht="15.75" customHeight="1" x14ac:dyDescent="0.2">
      <c r="C146" s="287"/>
      <c r="K146" s="287"/>
    </row>
    <row r="147" spans="3:11" ht="15.75" customHeight="1" x14ac:dyDescent="0.2">
      <c r="C147" s="287"/>
      <c r="K147" s="287"/>
    </row>
    <row r="148" spans="3:11" ht="15.75" customHeight="1" x14ac:dyDescent="0.2">
      <c r="C148" s="287"/>
      <c r="K148" s="287"/>
    </row>
    <row r="149" spans="3:11" ht="15.75" customHeight="1" x14ac:dyDescent="0.2">
      <c r="C149" s="287"/>
      <c r="K149" s="287"/>
    </row>
    <row r="150" spans="3:11" ht="15.75" customHeight="1" x14ac:dyDescent="0.2">
      <c r="C150" s="287"/>
      <c r="K150" s="287"/>
    </row>
    <row r="151" spans="3:11" ht="15.75" customHeight="1" x14ac:dyDescent="0.2">
      <c r="C151" s="287"/>
      <c r="K151" s="287"/>
    </row>
    <row r="152" spans="3:11" ht="15.75" customHeight="1" x14ac:dyDescent="0.2">
      <c r="C152" s="287"/>
      <c r="K152" s="287"/>
    </row>
    <row r="153" spans="3:11" ht="15.75" customHeight="1" x14ac:dyDescent="0.2">
      <c r="C153" s="287"/>
      <c r="K153" s="287"/>
    </row>
    <row r="154" spans="3:11" ht="15.75" customHeight="1" x14ac:dyDescent="0.2">
      <c r="C154" s="287"/>
      <c r="K154" s="287"/>
    </row>
    <row r="155" spans="3:11" ht="15.75" customHeight="1" x14ac:dyDescent="0.2">
      <c r="C155" s="287"/>
      <c r="K155" s="287"/>
    </row>
    <row r="156" spans="3:11" ht="15.75" customHeight="1" x14ac:dyDescent="0.2">
      <c r="C156" s="287"/>
      <c r="K156" s="287"/>
    </row>
    <row r="157" spans="3:11" ht="15.75" customHeight="1" x14ac:dyDescent="0.2">
      <c r="C157" s="287"/>
      <c r="K157" s="287"/>
    </row>
    <row r="158" spans="3:11" ht="15.75" customHeight="1" x14ac:dyDescent="0.2">
      <c r="C158" s="287"/>
      <c r="K158" s="287"/>
    </row>
    <row r="159" spans="3:11" ht="15.75" customHeight="1" x14ac:dyDescent="0.2">
      <c r="C159" s="287"/>
      <c r="K159" s="287"/>
    </row>
    <row r="160" spans="3:11" ht="15.75" customHeight="1" x14ac:dyDescent="0.2">
      <c r="C160" s="287"/>
      <c r="K160" s="287"/>
    </row>
    <row r="161" spans="3:11" ht="15.75" customHeight="1" x14ac:dyDescent="0.2">
      <c r="C161" s="287"/>
      <c r="K161" s="287"/>
    </row>
    <row r="162" spans="3:11" ht="15.75" customHeight="1" x14ac:dyDescent="0.2">
      <c r="C162" s="287"/>
      <c r="K162" s="287"/>
    </row>
    <row r="163" spans="3:11" ht="15.75" customHeight="1" x14ac:dyDescent="0.2">
      <c r="C163" s="287"/>
      <c r="K163" s="287"/>
    </row>
    <row r="164" spans="3:11" ht="15.75" customHeight="1" x14ac:dyDescent="0.2">
      <c r="C164" s="287"/>
      <c r="K164" s="287"/>
    </row>
    <row r="165" spans="3:11" ht="15.75" customHeight="1" x14ac:dyDescent="0.2">
      <c r="C165" s="287"/>
      <c r="K165" s="287"/>
    </row>
    <row r="166" spans="3:11" ht="15.75" customHeight="1" x14ac:dyDescent="0.2">
      <c r="C166" s="287"/>
      <c r="K166" s="287"/>
    </row>
    <row r="167" spans="3:11" ht="15.75" customHeight="1" x14ac:dyDescent="0.2">
      <c r="C167" s="287"/>
      <c r="K167" s="287"/>
    </row>
    <row r="168" spans="3:11" ht="15.75" customHeight="1" x14ac:dyDescent="0.2">
      <c r="C168" s="287"/>
      <c r="K168" s="287"/>
    </row>
    <row r="169" spans="3:11" ht="15.75" customHeight="1" x14ac:dyDescent="0.2">
      <c r="C169" s="287"/>
      <c r="K169" s="287"/>
    </row>
    <row r="170" spans="3:11" ht="15.75" customHeight="1" x14ac:dyDescent="0.2">
      <c r="C170" s="287"/>
      <c r="K170" s="287"/>
    </row>
    <row r="171" spans="3:11" ht="15.75" customHeight="1" x14ac:dyDescent="0.2">
      <c r="C171" s="287"/>
      <c r="K171" s="287"/>
    </row>
    <row r="172" spans="3:11" ht="15.75" customHeight="1" x14ac:dyDescent="0.2">
      <c r="C172" s="287"/>
      <c r="K172" s="287"/>
    </row>
    <row r="173" spans="3:11" ht="15.75" customHeight="1" x14ac:dyDescent="0.2">
      <c r="C173" s="287"/>
      <c r="K173" s="287"/>
    </row>
    <row r="174" spans="3:11" ht="15.75" customHeight="1" x14ac:dyDescent="0.2">
      <c r="C174" s="287"/>
      <c r="K174" s="287"/>
    </row>
    <row r="175" spans="3:11" ht="15.75" customHeight="1" x14ac:dyDescent="0.2">
      <c r="C175" s="287"/>
      <c r="K175" s="287"/>
    </row>
    <row r="176" spans="3:11" ht="15.75" customHeight="1" x14ac:dyDescent="0.2">
      <c r="C176" s="287"/>
      <c r="K176" s="287"/>
    </row>
    <row r="177" spans="1:19" ht="15.75" customHeight="1" x14ac:dyDescent="0.2">
      <c r="C177" s="287"/>
      <c r="K177" s="287"/>
    </row>
    <row r="178" spans="1:19" ht="15.75" customHeight="1" x14ac:dyDescent="0.2">
      <c r="C178" s="287"/>
      <c r="K178" s="287"/>
    </row>
    <row r="179" spans="1:19" ht="15.75" customHeight="1" x14ac:dyDescent="0.2">
      <c r="C179" s="287"/>
      <c r="K179" s="287"/>
    </row>
    <row r="180" spans="1:19" ht="15.75" customHeight="1" x14ac:dyDescent="0.2">
      <c r="C180" s="287"/>
      <c r="K180" s="287"/>
    </row>
    <row r="181" spans="1:19" ht="15.75" customHeight="1" x14ac:dyDescent="0.2">
      <c r="C181" s="287"/>
      <c r="K181" s="287"/>
    </row>
    <row r="182" spans="1:19" ht="15.75" customHeight="1" x14ac:dyDescent="0.2">
      <c r="C182" s="287"/>
      <c r="K182" s="287"/>
    </row>
    <row r="183" spans="1:19" ht="15.75" customHeight="1" x14ac:dyDescent="0.2">
      <c r="C183" s="287"/>
      <c r="K183" s="287"/>
    </row>
    <row r="184" spans="1:19" ht="15.75" customHeight="1" x14ac:dyDescent="0.2">
      <c r="A184" s="3" t="s">
        <v>50</v>
      </c>
      <c r="B184" s="3" t="s">
        <v>51</v>
      </c>
      <c r="C184" s="292"/>
      <c r="D184" s="99" t="s">
        <v>52</v>
      </c>
      <c r="E184" s="100" t="s">
        <v>53</v>
      </c>
      <c r="F184" s="100" t="s">
        <v>54</v>
      </c>
      <c r="G184" s="100" t="s">
        <v>55</v>
      </c>
      <c r="H184" s="24" t="s">
        <v>56</v>
      </c>
      <c r="I184" s="24" t="s">
        <v>57</v>
      </c>
      <c r="J184" s="101" t="s">
        <v>58</v>
      </c>
      <c r="K184" s="292"/>
      <c r="L184" s="3" t="s">
        <v>59</v>
      </c>
      <c r="M184" s="3" t="s">
        <v>60</v>
      </c>
      <c r="N184" s="3" t="s">
        <v>61</v>
      </c>
      <c r="O184" s="3" t="s">
        <v>62</v>
      </c>
      <c r="P184" s="293" t="s">
        <v>541</v>
      </c>
      <c r="Q184" s="293" t="s">
        <v>64</v>
      </c>
      <c r="R184" s="293" t="s">
        <v>65</v>
      </c>
      <c r="S184" s="293" t="s">
        <v>586</v>
      </c>
    </row>
    <row r="185" spans="1:19" ht="15.75" customHeight="1" x14ac:dyDescent="0.25">
      <c r="A185" s="565" t="s">
        <v>652</v>
      </c>
      <c r="B185" s="566"/>
      <c r="C185" s="311"/>
      <c r="D185" s="66"/>
      <c r="E185" s="66"/>
      <c r="F185" s="66"/>
      <c r="G185" s="276"/>
      <c r="H185" s="234"/>
      <c r="K185" s="311"/>
      <c r="L185" s="65"/>
      <c r="M185" s="165"/>
      <c r="N185" s="65"/>
      <c r="O185" s="165"/>
      <c r="P185" s="157"/>
      <c r="Q185" s="157"/>
      <c r="R185" s="275"/>
      <c r="S185" s="275"/>
    </row>
    <row r="186" spans="1:19" ht="15.75" customHeight="1" x14ac:dyDescent="0.25">
      <c r="A186" s="66" t="s">
        <v>653</v>
      </c>
      <c r="B186" s="66" t="s">
        <v>74</v>
      </c>
      <c r="C186" s="295"/>
      <c r="D186" s="160">
        <v>450</v>
      </c>
      <c r="E186" s="160" t="e">
        <f>D186*#REF!</f>
        <v>#REF!</v>
      </c>
      <c r="F186" s="160" t="e">
        <f>D186*#REF!</f>
        <v>#REF!</v>
      </c>
      <c r="G186" s="160" t="e">
        <f>(D186*#REF!)*#REF!</f>
        <v>#REF!</v>
      </c>
      <c r="H186" s="296">
        <f t="shared" ref="H186:H192" si="55">IFERROR(((Q186-G186)/G186),0)</f>
        <v>0</v>
      </c>
      <c r="I186" s="147" t="e">
        <f t="shared" ref="I186:I192" si="56">Q186-G186</f>
        <v>#REF!</v>
      </c>
      <c r="J186" s="97">
        <v>0</v>
      </c>
      <c r="K186" s="295"/>
      <c r="L186" s="20">
        <v>1256</v>
      </c>
      <c r="M186" s="20">
        <v>1307.8399999999999</v>
      </c>
      <c r="N186" s="20">
        <v>1200</v>
      </c>
      <c r="O186" s="20">
        <f>VLOOKUP(A186,TB!A:F,3)</f>
        <v>-205</v>
      </c>
      <c r="P186" s="163">
        <f t="shared" ref="P186:P190" si="57">N186</f>
        <v>1200</v>
      </c>
      <c r="Q186" s="160">
        <v>1500</v>
      </c>
      <c r="R186" s="233">
        <f>VLOOKUP(A186,TB!A:F,6)</f>
        <v>1500</v>
      </c>
      <c r="S186" s="233">
        <f t="shared" ref="S186:S191" si="58">Q186-R186</f>
        <v>0</v>
      </c>
    </row>
    <row r="187" spans="1:19" ht="15.75" customHeight="1" x14ac:dyDescent="0.25">
      <c r="A187" s="66" t="s">
        <v>654</v>
      </c>
      <c r="B187" s="66" t="s">
        <v>82</v>
      </c>
      <c r="C187" s="295"/>
      <c r="D187" s="160">
        <v>886</v>
      </c>
      <c r="E187" s="160" t="e">
        <f>D187*#REF!</f>
        <v>#REF!</v>
      </c>
      <c r="F187" s="160" t="e">
        <f>D187*#REF!</f>
        <v>#REF!</v>
      </c>
      <c r="G187" s="160" t="e">
        <f>(D187*#REF!)*#REF!</f>
        <v>#REF!</v>
      </c>
      <c r="H187" s="296">
        <f t="shared" si="55"/>
        <v>0</v>
      </c>
      <c r="I187" s="147" t="e">
        <f t="shared" si="56"/>
        <v>#REF!</v>
      </c>
      <c r="J187" s="97">
        <v>0</v>
      </c>
      <c r="K187" s="295"/>
      <c r="L187" s="20">
        <v>0</v>
      </c>
      <c r="M187" s="20">
        <v>0</v>
      </c>
      <c r="N187" s="20">
        <v>2000</v>
      </c>
      <c r="O187" s="20">
        <f>VLOOKUP(A187,TB!A:F,3)</f>
        <v>0</v>
      </c>
      <c r="P187" s="163">
        <f t="shared" si="57"/>
        <v>2000</v>
      </c>
      <c r="Q187" s="160">
        <v>0</v>
      </c>
      <c r="R187" s="233">
        <f>VLOOKUP(A187,TB!A:F,6)</f>
        <v>0</v>
      </c>
      <c r="S187" s="233">
        <f t="shared" si="58"/>
        <v>0</v>
      </c>
    </row>
    <row r="188" spans="1:19" ht="15.75" customHeight="1" x14ac:dyDescent="0.25">
      <c r="A188" s="66" t="s">
        <v>655</v>
      </c>
      <c r="B188" s="66" t="s">
        <v>115</v>
      </c>
      <c r="C188" s="295"/>
      <c r="D188" s="160">
        <v>622</v>
      </c>
      <c r="E188" s="160" t="e">
        <f>D188*#REF!</f>
        <v>#REF!</v>
      </c>
      <c r="F188" s="160" t="e">
        <f>D188*#REF!</f>
        <v>#REF!</v>
      </c>
      <c r="G188" s="160" t="e">
        <f>(D188*#REF!)*#REF!</f>
        <v>#REF!</v>
      </c>
      <c r="H188" s="296">
        <f t="shared" si="55"/>
        <v>0</v>
      </c>
      <c r="I188" s="147" t="e">
        <f t="shared" si="56"/>
        <v>#REF!</v>
      </c>
      <c r="J188" s="97">
        <v>0</v>
      </c>
      <c r="K188" s="295"/>
      <c r="L188" s="20">
        <v>2112</v>
      </c>
      <c r="M188" s="20">
        <v>1927.76</v>
      </c>
      <c r="N188" s="20">
        <v>5000</v>
      </c>
      <c r="O188" s="20">
        <f>VLOOKUP(A188,TB!A:F,3)</f>
        <v>0</v>
      </c>
      <c r="P188" s="163">
        <f t="shared" si="57"/>
        <v>5000</v>
      </c>
      <c r="Q188" s="160">
        <v>5000</v>
      </c>
      <c r="R188" s="233">
        <f>VLOOKUP(A188,TB!A:F,6)</f>
        <v>5000</v>
      </c>
      <c r="S188" s="233">
        <f t="shared" si="58"/>
        <v>0</v>
      </c>
    </row>
    <row r="189" spans="1:19" ht="15.75" customHeight="1" x14ac:dyDescent="0.25">
      <c r="A189" s="66" t="s">
        <v>656</v>
      </c>
      <c r="B189" s="66" t="s">
        <v>90</v>
      </c>
      <c r="C189" s="295"/>
      <c r="D189" s="160">
        <v>0</v>
      </c>
      <c r="E189" s="160" t="e">
        <f>D189*#REF!</f>
        <v>#REF!</v>
      </c>
      <c r="F189" s="160" t="e">
        <f>D189*#REF!</f>
        <v>#REF!</v>
      </c>
      <c r="G189" s="160" t="e">
        <f>(D189*#REF!)*#REF!</f>
        <v>#REF!</v>
      </c>
      <c r="H189" s="296">
        <f t="shared" si="55"/>
        <v>0</v>
      </c>
      <c r="I189" s="147" t="e">
        <f t="shared" si="56"/>
        <v>#REF!</v>
      </c>
      <c r="J189" s="97">
        <v>0</v>
      </c>
      <c r="K189" s="295"/>
      <c r="L189" s="20">
        <v>66</v>
      </c>
      <c r="M189" s="20">
        <v>399.01</v>
      </c>
      <c r="N189" s="20">
        <v>1000</v>
      </c>
      <c r="O189" s="20">
        <f>VLOOKUP(A189,TB!A:F,3)</f>
        <v>0</v>
      </c>
      <c r="P189" s="163">
        <f t="shared" si="57"/>
        <v>1000</v>
      </c>
      <c r="Q189" s="160">
        <v>1200</v>
      </c>
      <c r="R189" s="233">
        <f>VLOOKUP(A189,TB!A:F,6)</f>
        <v>1200</v>
      </c>
      <c r="S189" s="233">
        <f t="shared" si="58"/>
        <v>0</v>
      </c>
    </row>
    <row r="190" spans="1:19" ht="15.75" customHeight="1" x14ac:dyDescent="0.25">
      <c r="A190" s="66" t="s">
        <v>657</v>
      </c>
      <c r="B190" s="66" t="s">
        <v>502</v>
      </c>
      <c r="C190" s="295"/>
      <c r="D190" s="160">
        <v>697</v>
      </c>
      <c r="E190" s="160" t="e">
        <f>D190*#REF!</f>
        <v>#REF!</v>
      </c>
      <c r="F190" s="160" t="e">
        <f>D190*#REF!</f>
        <v>#REF!</v>
      </c>
      <c r="G190" s="160" t="e">
        <f>(D190*#REF!)*#REF!</f>
        <v>#REF!</v>
      </c>
      <c r="H190" s="296">
        <f t="shared" si="55"/>
        <v>0</v>
      </c>
      <c r="I190" s="147" t="e">
        <f t="shared" si="56"/>
        <v>#REF!</v>
      </c>
      <c r="J190" s="97">
        <v>0</v>
      </c>
      <c r="K190" s="295"/>
      <c r="L190" s="20">
        <v>4894</v>
      </c>
      <c r="M190" s="20">
        <v>1157.04</v>
      </c>
      <c r="N190" s="20">
        <v>4500</v>
      </c>
      <c r="O190" s="20">
        <f>VLOOKUP(A190,TB!A:F,3)</f>
        <v>964</v>
      </c>
      <c r="P190" s="163">
        <f t="shared" si="57"/>
        <v>4500</v>
      </c>
      <c r="Q190" s="160">
        <v>4500</v>
      </c>
      <c r="R190" s="233">
        <f>VLOOKUP(A190,TB!A:F,6)</f>
        <v>4500</v>
      </c>
      <c r="S190" s="233">
        <f t="shared" si="58"/>
        <v>0</v>
      </c>
    </row>
    <row r="191" spans="1:19" ht="15.75" customHeight="1" x14ac:dyDescent="0.25">
      <c r="A191" s="66" t="s">
        <v>658</v>
      </c>
      <c r="B191" s="66" t="s">
        <v>659</v>
      </c>
      <c r="C191" s="295"/>
      <c r="D191" s="160">
        <v>11902</v>
      </c>
      <c r="E191" s="160" t="e">
        <f>D191*#REF!</f>
        <v>#REF!</v>
      </c>
      <c r="F191" s="160" t="e">
        <f>D191*#REF!</f>
        <v>#REF!</v>
      </c>
      <c r="G191" s="160" t="e">
        <f>(D191*#REF!)*#REF!</f>
        <v>#REF!</v>
      </c>
      <c r="H191" s="296">
        <f t="shared" si="55"/>
        <v>0</v>
      </c>
      <c r="I191" s="147" t="e">
        <f t="shared" si="56"/>
        <v>#REF!</v>
      </c>
      <c r="J191" s="97">
        <v>0</v>
      </c>
      <c r="K191" s="295"/>
      <c r="L191" s="20">
        <v>13528</v>
      </c>
      <c r="M191" s="20">
        <v>13857.9</v>
      </c>
      <c r="N191" s="20">
        <v>18000</v>
      </c>
      <c r="O191" s="20">
        <f>VLOOKUP(A191,TB!A:F,3)</f>
        <v>15158.23</v>
      </c>
      <c r="P191" s="160">
        <f>M191/9*12</f>
        <v>18477.2</v>
      </c>
      <c r="Q191" s="160">
        <v>18000</v>
      </c>
      <c r="R191" s="233">
        <f>VLOOKUP(A191,TB!A:F,6)</f>
        <v>18000</v>
      </c>
      <c r="S191" s="233">
        <f t="shared" si="58"/>
        <v>0</v>
      </c>
    </row>
    <row r="192" spans="1:19" ht="15.75" customHeight="1" x14ac:dyDescent="0.25">
      <c r="A192" s="74" t="s">
        <v>660</v>
      </c>
      <c r="B192" s="75"/>
      <c r="C192" s="299"/>
      <c r="D192" s="189">
        <f t="shared" ref="D192:G192" si="59">SUM(D186:D191)</f>
        <v>14557</v>
      </c>
      <c r="E192" s="189" t="e">
        <f t="shared" si="59"/>
        <v>#REF!</v>
      </c>
      <c r="F192" s="189" t="e">
        <f t="shared" si="59"/>
        <v>#REF!</v>
      </c>
      <c r="G192" s="189" t="e">
        <f t="shared" si="59"/>
        <v>#REF!</v>
      </c>
      <c r="H192" s="300">
        <f t="shared" si="55"/>
        <v>0</v>
      </c>
      <c r="I192" s="189" t="e">
        <f t="shared" si="56"/>
        <v>#REF!</v>
      </c>
      <c r="J192" s="301">
        <f>SUM(J186:J191)</f>
        <v>0</v>
      </c>
      <c r="K192" s="299"/>
      <c r="L192" s="77">
        <f t="shared" ref="L192:S192" si="60">SUM(L186:L191)</f>
        <v>21856</v>
      </c>
      <c r="M192" s="77">
        <f t="shared" si="60"/>
        <v>18649.55</v>
      </c>
      <c r="N192" s="77">
        <f t="shared" si="60"/>
        <v>31700</v>
      </c>
      <c r="O192" s="77">
        <f t="shared" si="60"/>
        <v>15917.23</v>
      </c>
      <c r="P192" s="189">
        <f t="shared" si="60"/>
        <v>32177.200000000001</v>
      </c>
      <c r="Q192" s="189">
        <f t="shared" si="60"/>
        <v>30200</v>
      </c>
      <c r="R192" s="77">
        <f t="shared" si="60"/>
        <v>30200</v>
      </c>
      <c r="S192" s="77">
        <f t="shared" si="60"/>
        <v>0</v>
      </c>
    </row>
    <row r="193" spans="1:30" ht="15.75" customHeight="1" x14ac:dyDescent="0.2">
      <c r="C193" s="287"/>
      <c r="K193" s="287"/>
      <c r="R193" s="83"/>
      <c r="S193" s="83"/>
    </row>
    <row r="194" spans="1:30" ht="15.75" customHeight="1" x14ac:dyDescent="0.2">
      <c r="A194" s="69" t="s">
        <v>184</v>
      </c>
      <c r="C194" s="287"/>
      <c r="K194" s="287"/>
      <c r="R194" s="83"/>
      <c r="S194" s="83"/>
    </row>
    <row r="195" spans="1:30" ht="15.75" customHeight="1" x14ac:dyDescent="0.25">
      <c r="A195" s="51" t="s">
        <v>661</v>
      </c>
      <c r="B195" s="51" t="s">
        <v>662</v>
      </c>
      <c r="C195" s="307"/>
      <c r="D195" s="147">
        <v>-37359</v>
      </c>
      <c r="E195" s="160" t="e">
        <f>D195*#REF!</f>
        <v>#REF!</v>
      </c>
      <c r="F195" s="160" t="e">
        <f>D195*#REF!</f>
        <v>#REF!</v>
      </c>
      <c r="G195" s="160" t="e">
        <f>(D195*#REF!)*#REF!</f>
        <v>#REF!</v>
      </c>
      <c r="H195" s="296">
        <f t="shared" ref="H195:H196" si="61">IFERROR(((Q195-G195)/G195),0)</f>
        <v>0</v>
      </c>
      <c r="I195" s="147" t="e">
        <f t="shared" ref="I195:I196" si="62">Q195-G195</f>
        <v>#REF!</v>
      </c>
      <c r="J195" s="97">
        <v>0</v>
      </c>
      <c r="K195" s="307"/>
      <c r="L195" s="54">
        <v>-31064</v>
      </c>
      <c r="M195" s="54">
        <v>-30552.76</v>
      </c>
      <c r="N195" s="54">
        <v>-18000</v>
      </c>
      <c r="O195" s="20">
        <f>VLOOKUP(A195,TB!A:F,3)</f>
        <v>-32673.89</v>
      </c>
      <c r="P195" s="54">
        <f>O195</f>
        <v>-32673.89</v>
      </c>
      <c r="Q195" s="54">
        <v>-18000</v>
      </c>
      <c r="R195" s="233">
        <f>VLOOKUP(A195,TB!A:F,6)</f>
        <v>-18000</v>
      </c>
      <c r="S195" s="233">
        <f>Q195-R195</f>
        <v>0</v>
      </c>
    </row>
    <row r="196" spans="1:30" ht="15.75" customHeight="1" x14ac:dyDescent="0.2">
      <c r="A196" s="239" t="s">
        <v>189</v>
      </c>
      <c r="B196" s="75"/>
      <c r="C196" s="299"/>
      <c r="D196" s="189">
        <f t="shared" ref="D196:G196" si="63">SUM(D195)</f>
        <v>-37359</v>
      </c>
      <c r="E196" s="189" t="e">
        <f t="shared" si="63"/>
        <v>#REF!</v>
      </c>
      <c r="F196" s="189" t="e">
        <f t="shared" si="63"/>
        <v>#REF!</v>
      </c>
      <c r="G196" s="189" t="e">
        <f t="shared" si="63"/>
        <v>#REF!</v>
      </c>
      <c r="H196" s="300">
        <f t="shared" si="61"/>
        <v>0</v>
      </c>
      <c r="I196" s="189" t="e">
        <f t="shared" si="62"/>
        <v>#REF!</v>
      </c>
      <c r="J196" s="189">
        <f>SUM(J195)</f>
        <v>0</v>
      </c>
      <c r="K196" s="299"/>
      <c r="L196" s="77">
        <f t="shared" ref="L196:S196" si="64">SUM(L195)</f>
        <v>-31064</v>
      </c>
      <c r="M196" s="77">
        <f t="shared" si="64"/>
        <v>-30552.76</v>
      </c>
      <c r="N196" s="77">
        <f t="shared" si="64"/>
        <v>-18000</v>
      </c>
      <c r="O196" s="77">
        <f t="shared" si="64"/>
        <v>-32673.89</v>
      </c>
      <c r="P196" s="189">
        <f t="shared" si="64"/>
        <v>-32673.89</v>
      </c>
      <c r="Q196" s="189">
        <f t="shared" si="64"/>
        <v>-18000</v>
      </c>
      <c r="R196" s="77">
        <f t="shared" si="64"/>
        <v>-18000</v>
      </c>
      <c r="S196" s="77">
        <f t="shared" si="64"/>
        <v>0</v>
      </c>
    </row>
    <row r="197" spans="1:30" ht="15.75" customHeight="1" x14ac:dyDescent="0.2">
      <c r="C197" s="287"/>
      <c r="K197" s="287"/>
      <c r="R197" s="83"/>
      <c r="S197" s="83"/>
    </row>
    <row r="198" spans="1:30" ht="15.75" customHeight="1" x14ac:dyDescent="0.2">
      <c r="A198" s="69" t="s">
        <v>190</v>
      </c>
      <c r="B198" s="51"/>
      <c r="C198" s="309"/>
      <c r="D198" s="193">
        <f t="shared" ref="D198:G198" si="65">D192+D196</f>
        <v>-22802</v>
      </c>
      <c r="E198" s="193" t="e">
        <f t="shared" si="65"/>
        <v>#REF!</v>
      </c>
      <c r="F198" s="193" t="e">
        <f t="shared" si="65"/>
        <v>#REF!</v>
      </c>
      <c r="G198" s="193" t="e">
        <f t="shared" si="65"/>
        <v>#REF!</v>
      </c>
      <c r="H198" s="310">
        <f>IFERROR(((Q198-G198)/G198),0)</f>
        <v>0</v>
      </c>
      <c r="I198" s="193" t="e">
        <f>Q198-G198</f>
        <v>#REF!</v>
      </c>
      <c r="J198" s="193">
        <v>0</v>
      </c>
      <c r="K198" s="309"/>
      <c r="L198" s="245">
        <f t="shared" ref="L198:S198" si="66">L192+L196</f>
        <v>-9208</v>
      </c>
      <c r="M198" s="245">
        <f t="shared" si="66"/>
        <v>-11903.21</v>
      </c>
      <c r="N198" s="245">
        <f t="shared" si="66"/>
        <v>13700</v>
      </c>
      <c r="O198" s="245">
        <f t="shared" si="66"/>
        <v>-16756.66</v>
      </c>
      <c r="P198" s="193">
        <f t="shared" si="66"/>
        <v>-496.68999999999869</v>
      </c>
      <c r="Q198" s="193">
        <f t="shared" si="66"/>
        <v>12200</v>
      </c>
      <c r="R198" s="245">
        <f t="shared" si="66"/>
        <v>12200</v>
      </c>
      <c r="S198" s="245">
        <f t="shared" si="66"/>
        <v>0</v>
      </c>
      <c r="W198" s="56"/>
      <c r="X198" s="56"/>
      <c r="Y198" s="56"/>
      <c r="Z198" s="56"/>
      <c r="AA198" s="56"/>
      <c r="AB198" s="56"/>
      <c r="AC198" s="56"/>
      <c r="AD198" s="56"/>
    </row>
    <row r="199" spans="1:30" ht="15.75" customHeight="1" x14ac:dyDescent="0.2">
      <c r="C199" s="287"/>
      <c r="K199" s="287"/>
      <c r="R199" s="83"/>
      <c r="S199" s="83"/>
    </row>
    <row r="200" spans="1:30" ht="15.75" customHeight="1" x14ac:dyDescent="0.2">
      <c r="C200" s="287"/>
      <c r="K200" s="287"/>
    </row>
    <row r="201" spans="1:30" ht="15.75" customHeight="1" x14ac:dyDescent="0.2">
      <c r="C201" s="288"/>
      <c r="K201" s="288"/>
      <c r="L201" s="149" t="str">
        <f t="shared" ref="L201:R201" si="67">L184</f>
        <v>2023 Actual</v>
      </c>
      <c r="M201" s="149" t="str">
        <f t="shared" si="67"/>
        <v>2024 Actual</v>
      </c>
      <c r="N201" s="149" t="str">
        <f t="shared" si="67"/>
        <v>Approved
  2025
 Budget</v>
      </c>
      <c r="O201" s="149" t="str">
        <f t="shared" si="67"/>
        <v>2025 YTD Actual</v>
      </c>
      <c r="P201" s="149" t="str">
        <f t="shared" si="67"/>
        <v>Projected 2025</v>
      </c>
      <c r="Q201" s="149" t="str">
        <f t="shared" si="67"/>
        <v>2026
 Requested
 Budget</v>
      </c>
      <c r="R201" s="269" t="str">
        <f t="shared" si="67"/>
        <v>2026 
Tentative 
Budget</v>
      </c>
    </row>
    <row r="202" spans="1:30" ht="15.75" customHeight="1" x14ac:dyDescent="0.2">
      <c r="C202" s="289"/>
      <c r="K202" s="289"/>
      <c r="L202" s="290">
        <f t="shared" ref="L202:R202" si="68">L198</f>
        <v>-9208</v>
      </c>
      <c r="M202" s="290">
        <f t="shared" si="68"/>
        <v>-11903.21</v>
      </c>
      <c r="N202" s="290">
        <f t="shared" si="68"/>
        <v>13700</v>
      </c>
      <c r="O202" s="290">
        <f t="shared" si="68"/>
        <v>-16756.66</v>
      </c>
      <c r="P202" s="290">
        <f t="shared" si="68"/>
        <v>-496.68999999999869</v>
      </c>
      <c r="Q202" s="290">
        <f t="shared" si="68"/>
        <v>12200</v>
      </c>
      <c r="R202" s="291">
        <f t="shared" si="68"/>
        <v>12200</v>
      </c>
    </row>
    <row r="203" spans="1:30" ht="15.75" customHeight="1" x14ac:dyDescent="0.2">
      <c r="C203" s="287"/>
      <c r="K203" s="287"/>
    </row>
    <row r="204" spans="1:30" ht="15.75" customHeight="1" x14ac:dyDescent="0.2">
      <c r="C204" s="287"/>
      <c r="K204" s="287"/>
    </row>
    <row r="205" spans="1:30" ht="15.75" customHeight="1" x14ac:dyDescent="0.2">
      <c r="C205" s="287"/>
      <c r="K205" s="287"/>
    </row>
    <row r="206" spans="1:30" ht="15.75" customHeight="1" x14ac:dyDescent="0.2">
      <c r="C206" s="287"/>
      <c r="K206" s="287"/>
    </row>
    <row r="207" spans="1:30" ht="15.75" customHeight="1" x14ac:dyDescent="0.2">
      <c r="C207" s="287"/>
      <c r="K207" s="287"/>
    </row>
    <row r="208" spans="1:30" ht="15.75" customHeight="1" x14ac:dyDescent="0.2">
      <c r="C208" s="287"/>
      <c r="K208" s="287"/>
    </row>
    <row r="209" spans="3:11" ht="15.75" customHeight="1" x14ac:dyDescent="0.2">
      <c r="C209" s="287"/>
      <c r="K209" s="287"/>
    </row>
    <row r="210" spans="3:11" ht="15.75" customHeight="1" x14ac:dyDescent="0.2">
      <c r="C210" s="287"/>
      <c r="K210" s="287"/>
    </row>
    <row r="211" spans="3:11" ht="15.75" customHeight="1" x14ac:dyDescent="0.2">
      <c r="C211" s="287"/>
      <c r="K211" s="287"/>
    </row>
    <row r="212" spans="3:11" ht="15.75" customHeight="1" x14ac:dyDescent="0.2">
      <c r="C212" s="287"/>
      <c r="K212" s="287"/>
    </row>
    <row r="213" spans="3:11" ht="15.75" customHeight="1" x14ac:dyDescent="0.2">
      <c r="C213" s="287"/>
      <c r="K213" s="287"/>
    </row>
    <row r="214" spans="3:11" ht="15.75" customHeight="1" x14ac:dyDescent="0.2">
      <c r="C214" s="287"/>
      <c r="K214" s="287"/>
    </row>
    <row r="215" spans="3:11" ht="15.75" customHeight="1" x14ac:dyDescent="0.2">
      <c r="C215" s="287"/>
      <c r="K215" s="287"/>
    </row>
    <row r="216" spans="3:11" ht="15.75" customHeight="1" x14ac:dyDescent="0.2">
      <c r="C216" s="287"/>
      <c r="K216" s="287"/>
    </row>
    <row r="217" spans="3:11" ht="15.75" customHeight="1" x14ac:dyDescent="0.2">
      <c r="C217" s="287"/>
      <c r="K217" s="287"/>
    </row>
    <row r="218" spans="3:11" ht="15.75" customHeight="1" x14ac:dyDescent="0.2">
      <c r="C218" s="287"/>
      <c r="K218" s="287"/>
    </row>
    <row r="219" spans="3:11" ht="15.75" customHeight="1" x14ac:dyDescent="0.2">
      <c r="C219" s="287"/>
      <c r="K219" s="287"/>
    </row>
    <row r="220" spans="3:11" ht="15.75" customHeight="1" x14ac:dyDescent="0.2">
      <c r="C220" s="287"/>
      <c r="K220" s="287"/>
    </row>
    <row r="221" spans="3:11" ht="15.75" customHeight="1" x14ac:dyDescent="0.2">
      <c r="C221" s="287"/>
      <c r="K221" s="287"/>
    </row>
    <row r="222" spans="3:11" ht="15.75" customHeight="1" x14ac:dyDescent="0.2">
      <c r="C222" s="287"/>
      <c r="K222" s="287"/>
    </row>
    <row r="223" spans="3:11" ht="15.75" customHeight="1" x14ac:dyDescent="0.2">
      <c r="C223" s="287"/>
      <c r="K223" s="287"/>
    </row>
    <row r="224" spans="3:11" ht="15.75" customHeight="1" x14ac:dyDescent="0.2">
      <c r="C224" s="287"/>
      <c r="K224" s="287"/>
    </row>
    <row r="225" spans="3:11" ht="15.75" customHeight="1" x14ac:dyDescent="0.2">
      <c r="C225" s="287"/>
      <c r="K225" s="287"/>
    </row>
    <row r="226" spans="3:11" ht="15.75" customHeight="1" x14ac:dyDescent="0.2">
      <c r="C226" s="287"/>
      <c r="K226" s="287"/>
    </row>
    <row r="227" spans="3:11" ht="15.75" customHeight="1" x14ac:dyDescent="0.2">
      <c r="C227" s="287"/>
      <c r="K227" s="287"/>
    </row>
    <row r="228" spans="3:11" ht="15.75" customHeight="1" x14ac:dyDescent="0.2">
      <c r="C228" s="287"/>
      <c r="K228" s="287"/>
    </row>
    <row r="229" spans="3:11" ht="15.75" customHeight="1" x14ac:dyDescent="0.2">
      <c r="C229" s="287"/>
      <c r="K229" s="287"/>
    </row>
    <row r="230" spans="3:11" ht="15.75" customHeight="1" x14ac:dyDescent="0.2">
      <c r="C230" s="287"/>
      <c r="K230" s="287"/>
    </row>
    <row r="231" spans="3:11" ht="15.75" customHeight="1" x14ac:dyDescent="0.2">
      <c r="C231" s="287"/>
      <c r="K231" s="287"/>
    </row>
    <row r="232" spans="3:11" ht="15.75" customHeight="1" x14ac:dyDescent="0.2">
      <c r="C232" s="287"/>
      <c r="K232" s="287"/>
    </row>
    <row r="233" spans="3:11" ht="15.75" customHeight="1" x14ac:dyDescent="0.2">
      <c r="C233" s="287"/>
      <c r="K233" s="287"/>
    </row>
    <row r="234" spans="3:11" ht="15.75" customHeight="1" x14ac:dyDescent="0.2">
      <c r="C234" s="287"/>
      <c r="K234" s="287"/>
    </row>
    <row r="235" spans="3:11" ht="15.75" customHeight="1" x14ac:dyDescent="0.2">
      <c r="C235" s="287"/>
      <c r="K235" s="287"/>
    </row>
    <row r="236" spans="3:11" ht="15.75" customHeight="1" x14ac:dyDescent="0.2">
      <c r="C236" s="287"/>
      <c r="K236" s="287"/>
    </row>
    <row r="237" spans="3:11" ht="15.75" customHeight="1" x14ac:dyDescent="0.2">
      <c r="C237" s="287"/>
      <c r="K237" s="287"/>
    </row>
    <row r="238" spans="3:11" ht="15.75" customHeight="1" x14ac:dyDescent="0.2">
      <c r="C238" s="287"/>
      <c r="K238" s="287"/>
    </row>
    <row r="239" spans="3:11" ht="15.75" customHeight="1" x14ac:dyDescent="0.2">
      <c r="C239" s="287"/>
      <c r="K239" s="287"/>
    </row>
    <row r="240" spans="3:11" ht="15.75" customHeight="1" x14ac:dyDescent="0.2">
      <c r="C240" s="287"/>
      <c r="K240" s="287"/>
    </row>
    <row r="241" spans="1:20" ht="15.75" customHeight="1" x14ac:dyDescent="0.2">
      <c r="C241" s="287"/>
      <c r="K241" s="287"/>
    </row>
    <row r="242" spans="1:20" ht="15.75" customHeight="1" x14ac:dyDescent="0.2">
      <c r="C242" s="287"/>
      <c r="K242" s="287"/>
    </row>
    <row r="243" spans="1:20" ht="15.75" customHeight="1" x14ac:dyDescent="0.2">
      <c r="C243" s="287"/>
      <c r="K243" s="287"/>
    </row>
    <row r="244" spans="1:20" ht="15.75" customHeight="1" x14ac:dyDescent="0.2">
      <c r="C244" s="287"/>
      <c r="K244" s="287"/>
    </row>
    <row r="245" spans="1:20" ht="15.75" customHeight="1" x14ac:dyDescent="0.2">
      <c r="C245" s="287"/>
      <c r="K245" s="287"/>
    </row>
    <row r="246" spans="1:20" ht="15.75" customHeight="1" x14ac:dyDescent="0.2">
      <c r="C246" s="287"/>
      <c r="K246" s="287"/>
    </row>
    <row r="247" spans="1:20" ht="15.75" customHeight="1" x14ac:dyDescent="0.2">
      <c r="C247" s="287"/>
      <c r="K247" s="287"/>
    </row>
    <row r="248" spans="1:20" ht="15.75" customHeight="1" x14ac:dyDescent="0.2">
      <c r="C248" s="287"/>
      <c r="K248" s="287"/>
    </row>
    <row r="249" spans="1:20" ht="15.75" customHeight="1" x14ac:dyDescent="0.2">
      <c r="C249" s="287"/>
      <c r="K249" s="287"/>
    </row>
    <row r="250" spans="1:20" ht="15.75" customHeight="1" x14ac:dyDescent="0.2">
      <c r="C250" s="287"/>
      <c r="K250" s="287"/>
    </row>
    <row r="251" spans="1:20" ht="15.75" customHeight="1" x14ac:dyDescent="0.2">
      <c r="C251" s="287"/>
      <c r="K251" s="287"/>
    </row>
    <row r="252" spans="1:20" ht="15.75" customHeight="1" x14ac:dyDescent="0.2">
      <c r="C252" s="287"/>
      <c r="K252" s="287"/>
    </row>
    <row r="253" spans="1:20" ht="15.75" customHeight="1" x14ac:dyDescent="0.2">
      <c r="A253" s="3" t="s">
        <v>50</v>
      </c>
      <c r="B253" s="3" t="s">
        <v>51</v>
      </c>
      <c r="C253" s="292"/>
      <c r="D253" s="99" t="s">
        <v>52</v>
      </c>
      <c r="E253" s="100" t="s">
        <v>53</v>
      </c>
      <c r="F253" s="100" t="s">
        <v>54</v>
      </c>
      <c r="G253" s="100" t="s">
        <v>55</v>
      </c>
      <c r="H253" s="24" t="s">
        <v>56</v>
      </c>
      <c r="I253" s="24" t="s">
        <v>57</v>
      </c>
      <c r="J253" s="101" t="s">
        <v>58</v>
      </c>
      <c r="K253" s="292"/>
      <c r="L253" s="3" t="s">
        <v>59</v>
      </c>
      <c r="M253" s="3" t="s">
        <v>60</v>
      </c>
      <c r="N253" s="3" t="s">
        <v>61</v>
      </c>
      <c r="O253" s="3" t="s">
        <v>62</v>
      </c>
      <c r="P253" s="293" t="s">
        <v>541</v>
      </c>
      <c r="Q253" s="293" t="s">
        <v>64</v>
      </c>
      <c r="R253" s="293" t="s">
        <v>65</v>
      </c>
      <c r="S253" s="293" t="s">
        <v>586</v>
      </c>
    </row>
    <row r="254" spans="1:20" ht="15.75" customHeight="1" x14ac:dyDescent="0.25">
      <c r="A254" s="565" t="s">
        <v>663</v>
      </c>
      <c r="B254" s="566"/>
      <c r="C254" s="566"/>
      <c r="D254" s="566"/>
      <c r="E254" s="66"/>
      <c r="F254" s="66"/>
      <c r="G254" s="312"/>
      <c r="H254" s="234"/>
      <c r="L254" s="65"/>
      <c r="M254" s="65"/>
      <c r="N254" s="65"/>
      <c r="O254" s="165"/>
      <c r="P254" s="157"/>
      <c r="Q254" s="157"/>
      <c r="R254" s="233"/>
      <c r="S254" s="275"/>
      <c r="T254" s="83"/>
    </row>
    <row r="255" spans="1:20" ht="15.75" customHeight="1" x14ac:dyDescent="0.25">
      <c r="A255" s="66" t="s">
        <v>664</v>
      </c>
      <c r="B255" s="66" t="s">
        <v>68</v>
      </c>
      <c r="C255" s="295"/>
      <c r="D255" s="160">
        <v>3498927</v>
      </c>
      <c r="E255" s="160" t="e">
        <f>D255*#REF!</f>
        <v>#REF!</v>
      </c>
      <c r="F255" s="160" t="e">
        <f>D255*#REF!</f>
        <v>#REF!</v>
      </c>
      <c r="G255" s="160" t="e">
        <f>(D255*#REF!)*#REF!</f>
        <v>#REF!</v>
      </c>
      <c r="H255" s="296">
        <f t="shared" ref="H255:H281" si="69">IFERROR(((Q255-G255)/G255),0)</f>
        <v>0</v>
      </c>
      <c r="I255" s="147" t="e">
        <f t="shared" ref="I255:I281" si="70">Q255-G255</f>
        <v>#REF!</v>
      </c>
      <c r="J255" s="97">
        <v>0</v>
      </c>
      <c r="K255" s="295"/>
      <c r="L255" s="20">
        <v>4394037</v>
      </c>
      <c r="M255" s="20">
        <v>4688561.2300000004</v>
      </c>
      <c r="N255" s="20">
        <v>4899001</v>
      </c>
      <c r="O255" s="20">
        <f>VLOOKUP(A255,TB!A:F,3)</f>
        <v>3644863.85</v>
      </c>
      <c r="P255" s="160">
        <f t="shared" ref="P255:P259" si="71">O255/20*26</f>
        <v>4738323.0049999999</v>
      </c>
      <c r="Q255" s="160">
        <v>5672600</v>
      </c>
      <c r="R255" s="233">
        <f>VLOOKUP(A255,TB!A:F,6)</f>
        <v>5672600</v>
      </c>
      <c r="S255" s="233">
        <f t="shared" ref="S255:S280" si="72">Q255-R255</f>
        <v>0</v>
      </c>
      <c r="T255" s="83"/>
    </row>
    <row r="256" spans="1:20" ht="15.75" customHeight="1" x14ac:dyDescent="0.25">
      <c r="A256" s="66" t="s">
        <v>665</v>
      </c>
      <c r="B256" s="66" t="s">
        <v>70</v>
      </c>
      <c r="C256" s="295"/>
      <c r="D256" s="160">
        <v>88887</v>
      </c>
      <c r="E256" s="160" t="e">
        <f>D256*#REF!</f>
        <v>#REF!</v>
      </c>
      <c r="F256" s="160" t="e">
        <f>D256*#REF!</f>
        <v>#REF!</v>
      </c>
      <c r="G256" s="160" t="e">
        <f>(D256*#REF!)*#REF!</f>
        <v>#REF!</v>
      </c>
      <c r="H256" s="296">
        <f t="shared" si="69"/>
        <v>0</v>
      </c>
      <c r="I256" s="147" t="e">
        <f t="shared" si="70"/>
        <v>#REF!</v>
      </c>
      <c r="J256" s="97">
        <v>0</v>
      </c>
      <c r="K256" s="295"/>
      <c r="L256" s="20">
        <v>332965</v>
      </c>
      <c r="M256" s="20">
        <v>304050.82</v>
      </c>
      <c r="N256" s="20">
        <v>300000</v>
      </c>
      <c r="O256" s="20">
        <f>VLOOKUP(A256,TB!A:F,3)</f>
        <v>123782.65</v>
      </c>
      <c r="P256" s="160">
        <f t="shared" si="71"/>
        <v>160917.44500000001</v>
      </c>
      <c r="Q256" s="160">
        <v>150000</v>
      </c>
      <c r="R256" s="233">
        <f>VLOOKUP(A256,TB!A:F,6)</f>
        <v>150000</v>
      </c>
      <c r="S256" s="233">
        <f t="shared" si="72"/>
        <v>0</v>
      </c>
      <c r="T256" s="83"/>
    </row>
    <row r="257" spans="1:20" ht="15.75" customHeight="1" x14ac:dyDescent="0.25">
      <c r="A257" s="66" t="s">
        <v>666</v>
      </c>
      <c r="B257" s="66" t="s">
        <v>132</v>
      </c>
      <c r="C257" s="295"/>
      <c r="D257" s="160">
        <v>21796</v>
      </c>
      <c r="E257" s="160" t="e">
        <f>D257*#REF!</f>
        <v>#REF!</v>
      </c>
      <c r="F257" s="160" t="e">
        <f>D257*#REF!</f>
        <v>#REF!</v>
      </c>
      <c r="G257" s="160" t="e">
        <f>(D257*#REF!)*#REF!</f>
        <v>#REF!</v>
      </c>
      <c r="H257" s="296">
        <f t="shared" si="69"/>
        <v>0</v>
      </c>
      <c r="I257" s="147" t="e">
        <f t="shared" si="70"/>
        <v>#REF!</v>
      </c>
      <c r="J257" s="97">
        <v>0</v>
      </c>
      <c r="K257" s="295"/>
      <c r="L257" s="20">
        <v>74791</v>
      </c>
      <c r="M257" s="20">
        <v>7522.6</v>
      </c>
      <c r="N257" s="20">
        <v>0</v>
      </c>
      <c r="O257" s="20">
        <f>VLOOKUP(A257,TB!A:F,3)</f>
        <v>0</v>
      </c>
      <c r="P257" s="160">
        <f t="shared" si="71"/>
        <v>0</v>
      </c>
      <c r="Q257" s="160">
        <v>0</v>
      </c>
      <c r="R257" s="233">
        <f>VLOOKUP(A257,TB!A:F,6)</f>
        <v>0</v>
      </c>
      <c r="S257" s="233">
        <f t="shared" si="72"/>
        <v>0</v>
      </c>
      <c r="T257" s="83"/>
    </row>
    <row r="258" spans="1:20" ht="15.75" customHeight="1" x14ac:dyDescent="0.25">
      <c r="A258" s="66" t="s">
        <v>667</v>
      </c>
      <c r="B258" s="66" t="s">
        <v>72</v>
      </c>
      <c r="C258" s="295"/>
      <c r="D258" s="160">
        <v>2263505</v>
      </c>
      <c r="E258" s="160" t="e">
        <f>D258*#REF!</f>
        <v>#REF!</v>
      </c>
      <c r="F258" s="160" t="e">
        <f>D258*#REF!</f>
        <v>#REF!</v>
      </c>
      <c r="G258" s="160" t="e">
        <f>(D258*#REF!)*#REF!</f>
        <v>#REF!</v>
      </c>
      <c r="H258" s="296">
        <f t="shared" si="69"/>
        <v>0</v>
      </c>
      <c r="I258" s="147" t="e">
        <f t="shared" si="70"/>
        <v>#REF!</v>
      </c>
      <c r="J258" s="97">
        <v>0</v>
      </c>
      <c r="K258" s="295"/>
      <c r="L258" s="20">
        <v>2748193</v>
      </c>
      <c r="M258" s="20">
        <v>2926856.82</v>
      </c>
      <c r="N258" s="20">
        <v>3628142</v>
      </c>
      <c r="O258" s="20">
        <f>VLOOKUP(A258,TB!A:F,3)</f>
        <v>2209623.5299999998</v>
      </c>
      <c r="P258" s="160">
        <f t="shared" si="71"/>
        <v>2872510.5889999997</v>
      </c>
      <c r="Q258" s="160">
        <v>3450500</v>
      </c>
      <c r="R258" s="233">
        <f>VLOOKUP(A258,TB!A:F,6)</f>
        <v>3450500</v>
      </c>
      <c r="S258" s="233">
        <f t="shared" si="72"/>
        <v>0</v>
      </c>
      <c r="T258" s="83"/>
    </row>
    <row r="259" spans="1:20" ht="15.75" customHeight="1" x14ac:dyDescent="0.25">
      <c r="A259" s="66" t="s">
        <v>668</v>
      </c>
      <c r="B259" s="66" t="s">
        <v>451</v>
      </c>
      <c r="C259" s="295"/>
      <c r="D259" s="160">
        <v>10747</v>
      </c>
      <c r="E259" s="160" t="e">
        <f>D259*#REF!</f>
        <v>#REF!</v>
      </c>
      <c r="F259" s="160" t="e">
        <f>D259*#REF!</f>
        <v>#REF!</v>
      </c>
      <c r="G259" s="160" t="e">
        <f>(D259*#REF!)*#REF!</f>
        <v>#REF!</v>
      </c>
      <c r="H259" s="296">
        <f t="shared" si="69"/>
        <v>0</v>
      </c>
      <c r="I259" s="147" t="e">
        <f t="shared" si="70"/>
        <v>#REF!</v>
      </c>
      <c r="J259" s="97">
        <v>0</v>
      </c>
      <c r="K259" s="295"/>
      <c r="L259" s="20">
        <v>22550</v>
      </c>
      <c r="M259" s="20">
        <v>35325.06</v>
      </c>
      <c r="N259" s="20">
        <v>16000</v>
      </c>
      <c r="O259" s="20">
        <f>VLOOKUP(A259,TB!A:F,3)</f>
        <v>21031.32</v>
      </c>
      <c r="P259" s="160">
        <f t="shared" si="71"/>
        <v>27340.716</v>
      </c>
      <c r="Q259" s="160">
        <v>28000</v>
      </c>
      <c r="R259" s="233">
        <f>VLOOKUP(A259,TB!A:F,6)</f>
        <v>28000</v>
      </c>
      <c r="S259" s="233">
        <f t="shared" si="72"/>
        <v>0</v>
      </c>
      <c r="T259" s="83"/>
    </row>
    <row r="260" spans="1:20" ht="15.75" customHeight="1" x14ac:dyDescent="0.25">
      <c r="A260" s="66" t="s">
        <v>669</v>
      </c>
      <c r="B260" s="66" t="s">
        <v>670</v>
      </c>
      <c r="C260" s="295"/>
      <c r="D260" s="160">
        <v>282088</v>
      </c>
      <c r="E260" s="160" t="e">
        <f>D260*#REF!</f>
        <v>#REF!</v>
      </c>
      <c r="F260" s="160" t="e">
        <f>D260*#REF!</f>
        <v>#REF!</v>
      </c>
      <c r="G260" s="160" t="e">
        <f>(D260*#REF!)*#REF!</f>
        <v>#REF!</v>
      </c>
      <c r="H260" s="296">
        <f t="shared" si="69"/>
        <v>0</v>
      </c>
      <c r="I260" s="147" t="e">
        <f t="shared" si="70"/>
        <v>#REF!</v>
      </c>
      <c r="J260" s="97">
        <v>0</v>
      </c>
      <c r="K260" s="295"/>
      <c r="L260" s="20">
        <v>288637</v>
      </c>
      <c r="M260" s="20">
        <v>263560.34999999998</v>
      </c>
      <c r="N260" s="20">
        <v>268900</v>
      </c>
      <c r="O260" s="20">
        <f>VLOOKUP(A260,TB!A:F,3)</f>
        <v>185075.11</v>
      </c>
      <c r="P260" s="163">
        <f>N260</f>
        <v>268900</v>
      </c>
      <c r="Q260" s="160">
        <v>259400</v>
      </c>
      <c r="R260" s="233">
        <f>VLOOKUP(A260,TB!A:F,6)</f>
        <v>259400</v>
      </c>
      <c r="S260" s="233">
        <f t="shared" si="72"/>
        <v>0</v>
      </c>
      <c r="T260" s="83"/>
    </row>
    <row r="261" spans="1:20" ht="15.75" customHeight="1" x14ac:dyDescent="0.25">
      <c r="A261" s="66" t="s">
        <v>671</v>
      </c>
      <c r="B261" s="66" t="s">
        <v>74</v>
      </c>
      <c r="C261" s="295"/>
      <c r="D261" s="160">
        <v>5255</v>
      </c>
      <c r="E261" s="160" t="e">
        <f>D261*#REF!</f>
        <v>#REF!</v>
      </c>
      <c r="F261" s="160" t="e">
        <f>D261*#REF!</f>
        <v>#REF!</v>
      </c>
      <c r="G261" s="160" t="e">
        <f>(D261*#REF!)*#REF!</f>
        <v>#REF!</v>
      </c>
      <c r="H261" s="296">
        <f t="shared" si="69"/>
        <v>0</v>
      </c>
      <c r="I261" s="147" t="e">
        <f t="shared" si="70"/>
        <v>#REF!</v>
      </c>
      <c r="J261" s="97">
        <v>0</v>
      </c>
      <c r="K261" s="295"/>
      <c r="L261" s="20">
        <v>425</v>
      </c>
      <c r="M261" s="20">
        <v>0</v>
      </c>
      <c r="N261" s="20">
        <v>0</v>
      </c>
      <c r="O261" s="20">
        <f>VLOOKUP(A261,TB!A:F,3)</f>
        <v>0</v>
      </c>
      <c r="P261" s="160">
        <f t="shared" ref="P261:P262" si="73">O261/9*12</f>
        <v>0</v>
      </c>
      <c r="Q261" s="160">
        <v>0</v>
      </c>
      <c r="R261" s="233">
        <f>VLOOKUP(A261,TB!A:F,6)</f>
        <v>0</v>
      </c>
      <c r="S261" s="233">
        <f t="shared" si="72"/>
        <v>0</v>
      </c>
      <c r="T261" s="83"/>
    </row>
    <row r="262" spans="1:20" ht="15.75" customHeight="1" x14ac:dyDescent="0.25">
      <c r="A262" s="66" t="s">
        <v>672</v>
      </c>
      <c r="B262" s="66" t="s">
        <v>76</v>
      </c>
      <c r="C262" s="295"/>
      <c r="D262" s="160">
        <v>24165</v>
      </c>
      <c r="E262" s="160" t="e">
        <f>D262*#REF!</f>
        <v>#REF!</v>
      </c>
      <c r="F262" s="160" t="e">
        <f>D262*#REF!</f>
        <v>#REF!</v>
      </c>
      <c r="G262" s="160" t="e">
        <f>(D262*#REF!)*#REF!</f>
        <v>#REF!</v>
      </c>
      <c r="H262" s="296">
        <f t="shared" si="69"/>
        <v>0</v>
      </c>
      <c r="I262" s="147" t="e">
        <f t="shared" si="70"/>
        <v>#REF!</v>
      </c>
      <c r="J262" s="97">
        <v>0</v>
      </c>
      <c r="K262" s="295"/>
      <c r="L262" s="20">
        <v>40174</v>
      </c>
      <c r="M262" s="20">
        <v>33281.89</v>
      </c>
      <c r="N262" s="20">
        <v>30000</v>
      </c>
      <c r="O262" s="20">
        <f>VLOOKUP(A262,TB!A:F,3)</f>
        <v>27084.23</v>
      </c>
      <c r="P262" s="160">
        <f t="shared" si="73"/>
        <v>36112.306666666671</v>
      </c>
      <c r="Q262" s="160">
        <v>30000</v>
      </c>
      <c r="R262" s="233">
        <f>VLOOKUP(A262,TB!A:F,6)</f>
        <v>30000</v>
      </c>
      <c r="S262" s="233">
        <f t="shared" si="72"/>
        <v>0</v>
      </c>
      <c r="T262" s="83"/>
    </row>
    <row r="263" spans="1:20" ht="15.75" customHeight="1" x14ac:dyDescent="0.25">
      <c r="A263" s="66" t="s">
        <v>673</v>
      </c>
      <c r="B263" s="66" t="s">
        <v>674</v>
      </c>
      <c r="C263" s="295"/>
      <c r="D263" s="160">
        <v>-37</v>
      </c>
      <c r="E263" s="160" t="e">
        <f>D263*#REF!</f>
        <v>#REF!</v>
      </c>
      <c r="F263" s="160" t="e">
        <f>D263*#REF!</f>
        <v>#REF!</v>
      </c>
      <c r="G263" s="160" t="e">
        <f>(D263*#REF!)*#REF!</f>
        <v>#REF!</v>
      </c>
      <c r="H263" s="296">
        <f t="shared" si="69"/>
        <v>0</v>
      </c>
      <c r="I263" s="147" t="e">
        <f t="shared" si="70"/>
        <v>#REF!</v>
      </c>
      <c r="J263" s="97">
        <v>0</v>
      </c>
      <c r="K263" s="295"/>
      <c r="L263" s="20">
        <v>-733</v>
      </c>
      <c r="M263" s="20">
        <v>2861.26</v>
      </c>
      <c r="N263" s="20">
        <v>4100</v>
      </c>
      <c r="O263" s="20">
        <f>VLOOKUP(A263,TB!A:F,3)</f>
        <v>-440.59</v>
      </c>
      <c r="P263" s="163">
        <f>N263</f>
        <v>4100</v>
      </c>
      <c r="Q263" s="160">
        <v>4100</v>
      </c>
      <c r="R263" s="233">
        <f>VLOOKUP(A263,TB!A:F,6)</f>
        <v>4100</v>
      </c>
      <c r="S263" s="233">
        <f t="shared" si="72"/>
        <v>0</v>
      </c>
      <c r="T263" s="83"/>
    </row>
    <row r="264" spans="1:20" ht="15.75" customHeight="1" x14ac:dyDescent="0.25">
      <c r="A264" s="66" t="s">
        <v>675</v>
      </c>
      <c r="B264" s="66" t="s">
        <v>80</v>
      </c>
      <c r="C264" s="295"/>
      <c r="D264" s="160">
        <v>23503</v>
      </c>
      <c r="E264" s="160" t="e">
        <f>D264*#REF!</f>
        <v>#REF!</v>
      </c>
      <c r="F264" s="160" t="e">
        <f>D264*#REF!</f>
        <v>#REF!</v>
      </c>
      <c r="G264" s="160" t="e">
        <f>(D264*#REF!)*#REF!</f>
        <v>#REF!</v>
      </c>
      <c r="H264" s="296">
        <f t="shared" si="69"/>
        <v>0</v>
      </c>
      <c r="I264" s="147" t="e">
        <f t="shared" si="70"/>
        <v>#REF!</v>
      </c>
      <c r="J264" s="97">
        <v>0</v>
      </c>
      <c r="K264" s="295"/>
      <c r="L264" s="20">
        <v>36477</v>
      </c>
      <c r="M264" s="20">
        <v>591.96</v>
      </c>
      <c r="N264" s="20">
        <v>0</v>
      </c>
      <c r="O264" s="20">
        <f>VLOOKUP(A264,TB!A:F,3)</f>
        <v>8.69</v>
      </c>
      <c r="P264" s="160">
        <f t="shared" ref="P264:P265" si="74">O264/9*12</f>
        <v>11.586666666666666</v>
      </c>
      <c r="Q264" s="160">
        <v>0</v>
      </c>
      <c r="R264" s="233">
        <f>VLOOKUP(A264,TB!A:F,6)</f>
        <v>0</v>
      </c>
      <c r="S264" s="233">
        <f t="shared" si="72"/>
        <v>0</v>
      </c>
      <c r="T264" s="83"/>
    </row>
    <row r="265" spans="1:20" ht="15.75" customHeight="1" x14ac:dyDescent="0.25">
      <c r="A265" s="66" t="s">
        <v>676</v>
      </c>
      <c r="B265" s="66" t="s">
        <v>82</v>
      </c>
      <c r="C265" s="295"/>
      <c r="D265" s="160">
        <v>24750</v>
      </c>
      <c r="E265" s="160" t="e">
        <f>D265*#REF!</f>
        <v>#REF!</v>
      </c>
      <c r="F265" s="160" t="e">
        <f>D265*#REF!</f>
        <v>#REF!</v>
      </c>
      <c r="G265" s="160" t="e">
        <f>(D265*#REF!)*#REF!</f>
        <v>#REF!</v>
      </c>
      <c r="H265" s="296">
        <f t="shared" si="69"/>
        <v>0</v>
      </c>
      <c r="I265" s="147" t="e">
        <f t="shared" si="70"/>
        <v>#REF!</v>
      </c>
      <c r="J265" s="97">
        <v>0</v>
      </c>
      <c r="K265" s="295"/>
      <c r="L265" s="20">
        <v>26769</v>
      </c>
      <c r="M265" s="20">
        <v>777.9</v>
      </c>
      <c r="N265" s="20">
        <v>0</v>
      </c>
      <c r="O265" s="20">
        <f>VLOOKUP(A265,TB!A:F,3)</f>
        <v>0</v>
      </c>
      <c r="P265" s="160">
        <f t="shared" si="74"/>
        <v>0</v>
      </c>
      <c r="Q265" s="160">
        <v>0</v>
      </c>
      <c r="R265" s="233">
        <f>VLOOKUP(A265,TB!A:F,6)</f>
        <v>0</v>
      </c>
      <c r="S265" s="233">
        <f t="shared" si="72"/>
        <v>0</v>
      </c>
      <c r="T265" s="83"/>
    </row>
    <row r="266" spans="1:20" ht="15.75" customHeight="1" x14ac:dyDescent="0.25">
      <c r="A266" s="66" t="s">
        <v>677</v>
      </c>
      <c r="B266" s="66" t="s">
        <v>115</v>
      </c>
      <c r="C266" s="295"/>
      <c r="D266" s="160">
        <v>29524</v>
      </c>
      <c r="E266" s="160" t="e">
        <f>D266*#REF!</f>
        <v>#REF!</v>
      </c>
      <c r="F266" s="160" t="e">
        <f>D266*#REF!</f>
        <v>#REF!</v>
      </c>
      <c r="G266" s="160" t="e">
        <f>(D266*#REF!)*#REF!</f>
        <v>#REF!</v>
      </c>
      <c r="H266" s="296">
        <f t="shared" si="69"/>
        <v>0</v>
      </c>
      <c r="I266" s="147" t="e">
        <f t="shared" si="70"/>
        <v>#REF!</v>
      </c>
      <c r="J266" s="97">
        <v>0</v>
      </c>
      <c r="K266" s="295"/>
      <c r="L266" s="20">
        <v>42880</v>
      </c>
      <c r="M266" s="20">
        <v>33869.050000000003</v>
      </c>
      <c r="N266" s="20">
        <v>50000</v>
      </c>
      <c r="O266" s="20">
        <f>VLOOKUP(A266,TB!A:F,3)</f>
        <v>21055.02</v>
      </c>
      <c r="P266" s="163">
        <f t="shared" ref="P266:P267" si="75">N266</f>
        <v>50000</v>
      </c>
      <c r="Q266" s="160">
        <v>38500</v>
      </c>
      <c r="R266" s="233">
        <f>VLOOKUP(A266,TB!A:F,6)</f>
        <v>38500</v>
      </c>
      <c r="S266" s="233">
        <f t="shared" si="72"/>
        <v>0</v>
      </c>
      <c r="T266" s="83"/>
    </row>
    <row r="267" spans="1:20" ht="15.75" customHeight="1" x14ac:dyDescent="0.25">
      <c r="A267" s="66" t="s">
        <v>678</v>
      </c>
      <c r="B267" s="66" t="s">
        <v>679</v>
      </c>
      <c r="C267" s="295"/>
      <c r="D267" s="160">
        <v>2811</v>
      </c>
      <c r="E267" s="160" t="e">
        <f>D267*#REF!</f>
        <v>#REF!</v>
      </c>
      <c r="F267" s="160" t="e">
        <f>D267*#REF!</f>
        <v>#REF!</v>
      </c>
      <c r="G267" s="160" t="e">
        <f>(D267*#REF!)*#REF!</f>
        <v>#REF!</v>
      </c>
      <c r="H267" s="296">
        <f t="shared" si="69"/>
        <v>0</v>
      </c>
      <c r="I267" s="147" t="e">
        <f t="shared" si="70"/>
        <v>#REF!</v>
      </c>
      <c r="J267" s="97">
        <v>0</v>
      </c>
      <c r="K267" s="295"/>
      <c r="L267" s="20">
        <v>1570</v>
      </c>
      <c r="M267" s="20">
        <v>9230.81</v>
      </c>
      <c r="N267" s="20">
        <v>5400</v>
      </c>
      <c r="O267" s="20">
        <f>VLOOKUP(A267,TB!A:F,3)</f>
        <v>748.49</v>
      </c>
      <c r="P267" s="163">
        <f t="shared" si="75"/>
        <v>5400</v>
      </c>
      <c r="Q267" s="160">
        <v>5400</v>
      </c>
      <c r="R267" s="233">
        <f>VLOOKUP(A267,TB!A:F,6)</f>
        <v>5400</v>
      </c>
      <c r="S267" s="233">
        <f t="shared" si="72"/>
        <v>0</v>
      </c>
      <c r="T267" s="83"/>
    </row>
    <row r="268" spans="1:20" ht="15.75" customHeight="1" x14ac:dyDescent="0.25">
      <c r="A268" s="66" t="s">
        <v>680</v>
      </c>
      <c r="B268" s="66" t="s">
        <v>277</v>
      </c>
      <c r="C268" s="295"/>
      <c r="D268" s="160">
        <v>0</v>
      </c>
      <c r="E268" s="160" t="e">
        <f>D268*#REF!</f>
        <v>#REF!</v>
      </c>
      <c r="F268" s="160" t="e">
        <f>D268*#REF!</f>
        <v>#REF!</v>
      </c>
      <c r="G268" s="160" t="e">
        <f>(D268*#REF!)*#REF!</f>
        <v>#REF!</v>
      </c>
      <c r="H268" s="296">
        <f t="shared" si="69"/>
        <v>0</v>
      </c>
      <c r="I268" s="147" t="e">
        <f t="shared" si="70"/>
        <v>#REF!</v>
      </c>
      <c r="J268" s="97">
        <v>0</v>
      </c>
      <c r="K268" s="295"/>
      <c r="L268" s="20">
        <v>16755</v>
      </c>
      <c r="M268" s="20">
        <v>0</v>
      </c>
      <c r="N268" s="20">
        <v>0</v>
      </c>
      <c r="O268" s="20">
        <f>VLOOKUP(A268,TB!A:F,3)</f>
        <v>0</v>
      </c>
      <c r="P268" s="160">
        <f t="shared" ref="P268:P270" si="76">O268/9*12</f>
        <v>0</v>
      </c>
      <c r="Q268" s="160">
        <v>0</v>
      </c>
      <c r="R268" s="233">
        <f>VLOOKUP(A268,TB!A:F,6)</f>
        <v>0</v>
      </c>
      <c r="S268" s="233">
        <f t="shared" si="72"/>
        <v>0</v>
      </c>
      <c r="T268" s="83"/>
    </row>
    <row r="269" spans="1:20" ht="15.75" customHeight="1" x14ac:dyDescent="0.25">
      <c r="A269" s="66" t="s">
        <v>681</v>
      </c>
      <c r="B269" s="66" t="s">
        <v>84</v>
      </c>
      <c r="C269" s="295"/>
      <c r="D269" s="160">
        <v>197</v>
      </c>
      <c r="E269" s="160" t="e">
        <f>D269*#REF!</f>
        <v>#REF!</v>
      </c>
      <c r="F269" s="160" t="e">
        <f>D269*#REF!</f>
        <v>#REF!</v>
      </c>
      <c r="G269" s="160" t="e">
        <f>(D269*#REF!)*#REF!</f>
        <v>#REF!</v>
      </c>
      <c r="H269" s="296">
        <f t="shared" si="69"/>
        <v>0</v>
      </c>
      <c r="I269" s="147" t="e">
        <f t="shared" si="70"/>
        <v>#REF!</v>
      </c>
      <c r="J269" s="97">
        <v>0</v>
      </c>
      <c r="K269" s="295"/>
      <c r="L269" s="20">
        <v>1635</v>
      </c>
      <c r="M269" s="20">
        <v>0</v>
      </c>
      <c r="N269" s="20">
        <v>0</v>
      </c>
      <c r="O269" s="20">
        <f>VLOOKUP(A269,TB!A:F,3)</f>
        <v>492.82</v>
      </c>
      <c r="P269" s="160">
        <f t="shared" si="76"/>
        <v>657.09333333333325</v>
      </c>
      <c r="Q269" s="160">
        <v>0</v>
      </c>
      <c r="R269" s="233">
        <f>VLOOKUP(A269,TB!A:F,6)</f>
        <v>0</v>
      </c>
      <c r="S269" s="233">
        <f t="shared" si="72"/>
        <v>0</v>
      </c>
      <c r="T269" s="83"/>
    </row>
    <row r="270" spans="1:20" ht="15.75" customHeight="1" x14ac:dyDescent="0.25">
      <c r="A270" s="66" t="s">
        <v>682</v>
      </c>
      <c r="B270" s="66" t="s">
        <v>210</v>
      </c>
      <c r="C270" s="295"/>
      <c r="D270" s="160">
        <v>20205</v>
      </c>
      <c r="E270" s="160" t="e">
        <f>D270*#REF!</f>
        <v>#REF!</v>
      </c>
      <c r="F270" s="160" t="e">
        <f>D270*#REF!</f>
        <v>#REF!</v>
      </c>
      <c r="G270" s="160" t="e">
        <f>(D270*#REF!)*#REF!</f>
        <v>#REF!</v>
      </c>
      <c r="H270" s="296">
        <f t="shared" si="69"/>
        <v>0</v>
      </c>
      <c r="I270" s="147" t="e">
        <f t="shared" si="70"/>
        <v>#REF!</v>
      </c>
      <c r="J270" s="97">
        <v>0</v>
      </c>
      <c r="K270" s="295"/>
      <c r="L270" s="20">
        <v>22170</v>
      </c>
      <c r="M270" s="20">
        <v>0</v>
      </c>
      <c r="N270" s="20">
        <v>0</v>
      </c>
      <c r="O270" s="20">
        <f>VLOOKUP(A270,TB!A:F,3)</f>
        <v>0</v>
      </c>
      <c r="P270" s="160">
        <f t="shared" si="76"/>
        <v>0</v>
      </c>
      <c r="Q270" s="160">
        <v>0</v>
      </c>
      <c r="R270" s="233">
        <f>VLOOKUP(A270,TB!A:F,6)</f>
        <v>0</v>
      </c>
      <c r="S270" s="233">
        <f t="shared" si="72"/>
        <v>0</v>
      </c>
      <c r="T270" s="83"/>
    </row>
    <row r="271" spans="1:20" ht="15.75" customHeight="1" x14ac:dyDescent="0.25">
      <c r="A271" s="66" t="s">
        <v>683</v>
      </c>
      <c r="B271" s="66" t="s">
        <v>86</v>
      </c>
      <c r="C271" s="295"/>
      <c r="D271" s="160">
        <v>1121905</v>
      </c>
      <c r="E271" s="160" t="e">
        <f>D271*#REF!</f>
        <v>#REF!</v>
      </c>
      <c r="F271" s="160" t="e">
        <f>D271*#REF!</f>
        <v>#REF!</v>
      </c>
      <c r="G271" s="160" t="e">
        <f>(D271*#REF!)*#REF!</f>
        <v>#REF!</v>
      </c>
      <c r="H271" s="296">
        <f t="shared" si="69"/>
        <v>0</v>
      </c>
      <c r="I271" s="147" t="e">
        <f t="shared" si="70"/>
        <v>#REF!</v>
      </c>
      <c r="J271" s="97">
        <v>0</v>
      </c>
      <c r="K271" s="295"/>
      <c r="L271" s="20">
        <v>1401521</v>
      </c>
      <c r="M271" s="20">
        <v>0</v>
      </c>
      <c r="N271" s="20">
        <v>1552645</v>
      </c>
      <c r="O271" s="20">
        <f>VLOOKUP(A271,TB!A:F,3)</f>
        <v>1237637.5</v>
      </c>
      <c r="P271" s="160">
        <f>N271</f>
        <v>1552645</v>
      </c>
      <c r="Q271" s="160">
        <v>1601224</v>
      </c>
      <c r="R271" s="233">
        <f>VLOOKUP(A271,TB!A:F,6)</f>
        <v>1601224</v>
      </c>
      <c r="S271" s="233">
        <f t="shared" si="72"/>
        <v>0</v>
      </c>
      <c r="T271" s="83"/>
    </row>
    <row r="272" spans="1:20" ht="15.75" customHeight="1" x14ac:dyDescent="0.25">
      <c r="A272" s="66" t="s">
        <v>684</v>
      </c>
      <c r="B272" s="66" t="s">
        <v>88</v>
      </c>
      <c r="C272" s="295"/>
      <c r="D272" s="160">
        <v>0</v>
      </c>
      <c r="E272" s="160" t="e">
        <f>D272*#REF!</f>
        <v>#REF!</v>
      </c>
      <c r="F272" s="160" t="e">
        <f>D272*#REF!</f>
        <v>#REF!</v>
      </c>
      <c r="G272" s="160" t="e">
        <f>(D272*#REF!)*#REF!</f>
        <v>#REF!</v>
      </c>
      <c r="H272" s="296">
        <f t="shared" si="69"/>
        <v>0</v>
      </c>
      <c r="I272" s="147" t="e">
        <f t="shared" si="70"/>
        <v>#REF!</v>
      </c>
      <c r="J272" s="97">
        <v>0</v>
      </c>
      <c r="K272" s="295"/>
      <c r="L272" s="20">
        <v>1459</v>
      </c>
      <c r="M272" s="20">
        <v>16052.6</v>
      </c>
      <c r="N272" s="20">
        <v>0</v>
      </c>
      <c r="O272" s="20">
        <f>VLOOKUP(A272,TB!A:F,3)</f>
        <v>0</v>
      </c>
      <c r="P272" s="160">
        <f>O272/9*12</f>
        <v>0</v>
      </c>
      <c r="Q272" s="160">
        <v>0</v>
      </c>
      <c r="R272" s="233">
        <f>VLOOKUP(A272,TB!A:F,6)</f>
        <v>0</v>
      </c>
      <c r="S272" s="233">
        <f t="shared" si="72"/>
        <v>0</v>
      </c>
      <c r="T272" s="83"/>
    </row>
    <row r="273" spans="1:20" ht="15.75" customHeight="1" x14ac:dyDescent="0.25">
      <c r="A273" s="66" t="s">
        <v>685</v>
      </c>
      <c r="B273" s="66" t="s">
        <v>686</v>
      </c>
      <c r="C273" s="295"/>
      <c r="D273" s="160">
        <v>189000</v>
      </c>
      <c r="E273" s="160" t="e">
        <f>D273*#REF!</f>
        <v>#REF!</v>
      </c>
      <c r="F273" s="160" t="e">
        <f>D273*#REF!</f>
        <v>#REF!</v>
      </c>
      <c r="G273" s="160" t="e">
        <f>(D273*#REF!)*#REF!</f>
        <v>#REF!</v>
      </c>
      <c r="H273" s="296">
        <f t="shared" si="69"/>
        <v>0</v>
      </c>
      <c r="I273" s="147" t="e">
        <f t="shared" si="70"/>
        <v>#REF!</v>
      </c>
      <c r="J273" s="97">
        <v>0</v>
      </c>
      <c r="K273" s="295"/>
      <c r="L273" s="20">
        <v>236316</v>
      </c>
      <c r="M273" s="20">
        <v>280616.76</v>
      </c>
      <c r="N273" s="20">
        <v>241000</v>
      </c>
      <c r="O273" s="20">
        <f>VLOOKUP(A273,TB!A:F,3)</f>
        <v>160305.60000000001</v>
      </c>
      <c r="P273" s="163">
        <f t="shared" ref="P273:P275" si="77">N273</f>
        <v>241000</v>
      </c>
      <c r="Q273" s="160">
        <v>250040</v>
      </c>
      <c r="R273" s="233">
        <f>VLOOKUP(A273,TB!A:F,6)</f>
        <v>250040</v>
      </c>
      <c r="S273" s="233">
        <f t="shared" si="72"/>
        <v>0</v>
      </c>
      <c r="T273" s="83"/>
    </row>
    <row r="274" spans="1:20" ht="15.75" customHeight="1" x14ac:dyDescent="0.25">
      <c r="A274" s="66" t="s">
        <v>687</v>
      </c>
      <c r="B274" s="66" t="s">
        <v>688</v>
      </c>
      <c r="C274" s="295"/>
      <c r="D274" s="160">
        <v>24769</v>
      </c>
      <c r="E274" s="160" t="e">
        <f>D274*#REF!</f>
        <v>#REF!</v>
      </c>
      <c r="F274" s="160" t="e">
        <f>D274*#REF!</f>
        <v>#REF!</v>
      </c>
      <c r="G274" s="160" t="e">
        <f>(D274*#REF!)*#REF!</f>
        <v>#REF!</v>
      </c>
      <c r="H274" s="296">
        <f t="shared" si="69"/>
        <v>0</v>
      </c>
      <c r="I274" s="147" t="e">
        <f t="shared" si="70"/>
        <v>#REF!</v>
      </c>
      <c r="J274" s="97">
        <v>0</v>
      </c>
      <c r="K274" s="295"/>
      <c r="L274" s="20">
        <v>12996</v>
      </c>
      <c r="M274" s="20">
        <v>35609.14</v>
      </c>
      <c r="N274" s="20">
        <v>36100</v>
      </c>
      <c r="O274" s="20">
        <f>VLOOKUP(A274,TB!A:F,3)</f>
        <v>11277.05</v>
      </c>
      <c r="P274" s="163">
        <f t="shared" si="77"/>
        <v>36100</v>
      </c>
      <c r="Q274" s="160">
        <v>36100</v>
      </c>
      <c r="R274" s="233">
        <f>VLOOKUP(A274,TB!A:F,6)</f>
        <v>36100</v>
      </c>
      <c r="S274" s="233">
        <f t="shared" si="72"/>
        <v>0</v>
      </c>
      <c r="T274" s="83"/>
    </row>
    <row r="275" spans="1:20" ht="15.75" customHeight="1" x14ac:dyDescent="0.25">
      <c r="A275" s="66" t="s">
        <v>689</v>
      </c>
      <c r="B275" s="66" t="s">
        <v>90</v>
      </c>
      <c r="C275" s="295"/>
      <c r="D275" s="160">
        <v>30452</v>
      </c>
      <c r="E275" s="160" t="e">
        <f>D275*#REF!</f>
        <v>#REF!</v>
      </c>
      <c r="F275" s="160" t="e">
        <f>D275*#REF!</f>
        <v>#REF!</v>
      </c>
      <c r="G275" s="160" t="e">
        <f>(D275*#REF!)*#REF!</f>
        <v>#REF!</v>
      </c>
      <c r="H275" s="296">
        <f t="shared" si="69"/>
        <v>0</v>
      </c>
      <c r="I275" s="147" t="e">
        <f t="shared" si="70"/>
        <v>#REF!</v>
      </c>
      <c r="J275" s="97">
        <v>0</v>
      </c>
      <c r="K275" s="295"/>
      <c r="L275" s="20">
        <v>24620</v>
      </c>
      <c r="M275" s="20">
        <v>29249.18</v>
      </c>
      <c r="N275" s="20">
        <v>45000</v>
      </c>
      <c r="O275" s="20">
        <f>VLOOKUP(A275,TB!A:F,3)</f>
        <v>13921.06</v>
      </c>
      <c r="P275" s="163">
        <f t="shared" si="77"/>
        <v>45000</v>
      </c>
      <c r="Q275" s="160">
        <v>25000</v>
      </c>
      <c r="R275" s="233">
        <f>VLOOKUP(A275,TB!A:F,6)</f>
        <v>25000</v>
      </c>
      <c r="S275" s="233">
        <f t="shared" si="72"/>
        <v>0</v>
      </c>
      <c r="T275" s="83"/>
    </row>
    <row r="276" spans="1:20" ht="15.75" customHeight="1" x14ac:dyDescent="0.25">
      <c r="A276" s="66" t="s">
        <v>690</v>
      </c>
      <c r="B276" s="66" t="s">
        <v>606</v>
      </c>
      <c r="C276" s="295"/>
      <c r="D276" s="160">
        <v>6949</v>
      </c>
      <c r="E276" s="160" t="e">
        <f>D276*#REF!</f>
        <v>#REF!</v>
      </c>
      <c r="F276" s="160" t="e">
        <f>D276*#REF!</f>
        <v>#REF!</v>
      </c>
      <c r="G276" s="160" t="e">
        <f>(D276*#REF!)*#REF!</f>
        <v>#REF!</v>
      </c>
      <c r="H276" s="296">
        <f t="shared" si="69"/>
        <v>0</v>
      </c>
      <c r="I276" s="147" t="e">
        <f t="shared" si="70"/>
        <v>#REF!</v>
      </c>
      <c r="J276" s="97">
        <v>0</v>
      </c>
      <c r="K276" s="295"/>
      <c r="L276" s="20">
        <v>2852</v>
      </c>
      <c r="M276" s="20">
        <v>5212</v>
      </c>
      <c r="N276" s="20">
        <v>8300</v>
      </c>
      <c r="O276" s="20">
        <f>VLOOKUP(A276,TB!A:F,3)</f>
        <v>10418.41</v>
      </c>
      <c r="P276" s="160">
        <f>O276/9*12</f>
        <v>13891.213333333333</v>
      </c>
      <c r="Q276" s="160">
        <v>0</v>
      </c>
      <c r="R276" s="233">
        <f>VLOOKUP(A276,TB!A:F,6)</f>
        <v>0</v>
      </c>
      <c r="S276" s="233">
        <f t="shared" si="72"/>
        <v>0</v>
      </c>
      <c r="T276" s="83"/>
    </row>
    <row r="277" spans="1:20" ht="15.75" customHeight="1" x14ac:dyDescent="0.25">
      <c r="A277" s="66" t="s">
        <v>691</v>
      </c>
      <c r="B277" s="66" t="s">
        <v>608</v>
      </c>
      <c r="C277" s="295"/>
      <c r="D277" s="160">
        <v>378683</v>
      </c>
      <c r="E277" s="160" t="e">
        <f>D277*#REF!</f>
        <v>#REF!</v>
      </c>
      <c r="F277" s="160" t="e">
        <f>D277*#REF!</f>
        <v>#REF!</v>
      </c>
      <c r="G277" s="160" t="e">
        <f>(D277*#REF!)*#REF!</f>
        <v>#REF!</v>
      </c>
      <c r="H277" s="296">
        <f t="shared" si="69"/>
        <v>0</v>
      </c>
      <c r="I277" s="147" t="e">
        <f t="shared" si="70"/>
        <v>#REF!</v>
      </c>
      <c r="J277" s="97">
        <v>0</v>
      </c>
      <c r="K277" s="295"/>
      <c r="L277" s="20">
        <v>464268</v>
      </c>
      <c r="M277" s="20">
        <v>9910.99</v>
      </c>
      <c r="N277" s="20">
        <v>496460</v>
      </c>
      <c r="O277" s="20">
        <f>VLOOKUP(A277,TB!A:F,3)</f>
        <v>387408.2</v>
      </c>
      <c r="P277" s="163">
        <f t="shared" ref="P277:P278" si="78">N277</f>
        <v>496460</v>
      </c>
      <c r="Q277" s="160">
        <v>511354</v>
      </c>
      <c r="R277" s="233">
        <f>VLOOKUP(A277,TB!A:F,6)</f>
        <v>511354</v>
      </c>
      <c r="S277" s="233">
        <f t="shared" si="72"/>
        <v>0</v>
      </c>
      <c r="T277" s="83"/>
    </row>
    <row r="278" spans="1:20" ht="15.75" customHeight="1" x14ac:dyDescent="0.25">
      <c r="A278" s="66" t="s">
        <v>692</v>
      </c>
      <c r="B278" s="66" t="s">
        <v>693</v>
      </c>
      <c r="C278" s="295"/>
      <c r="D278" s="160">
        <v>9514</v>
      </c>
      <c r="E278" s="160" t="e">
        <f>D278*#REF!</f>
        <v>#REF!</v>
      </c>
      <c r="F278" s="160" t="e">
        <f>D278*#REF!</f>
        <v>#REF!</v>
      </c>
      <c r="G278" s="160" t="e">
        <f>(D278*#REF!)*#REF!</f>
        <v>#REF!</v>
      </c>
      <c r="H278" s="296">
        <f t="shared" si="69"/>
        <v>0</v>
      </c>
      <c r="I278" s="147" t="e">
        <f t="shared" si="70"/>
        <v>#REF!</v>
      </c>
      <c r="J278" s="97">
        <v>0</v>
      </c>
      <c r="K278" s="295"/>
      <c r="L278" s="20">
        <v>8316</v>
      </c>
      <c r="M278" s="20">
        <v>17599.740000000002</v>
      </c>
      <c r="N278" s="20">
        <v>10900</v>
      </c>
      <c r="O278" s="20">
        <f>VLOOKUP(A278,TB!A:F,3)</f>
        <v>4018.73</v>
      </c>
      <c r="P278" s="163">
        <f t="shared" si="78"/>
        <v>10900</v>
      </c>
      <c r="Q278" s="160">
        <v>10000</v>
      </c>
      <c r="R278" s="233">
        <f>VLOOKUP(A278,TB!A:F,6)</f>
        <v>10000</v>
      </c>
      <c r="S278" s="233">
        <f t="shared" si="72"/>
        <v>0</v>
      </c>
      <c r="T278" s="83"/>
    </row>
    <row r="279" spans="1:20" ht="15.75" customHeight="1" x14ac:dyDescent="0.25">
      <c r="A279" s="66" t="s">
        <v>694</v>
      </c>
      <c r="B279" s="66" t="s">
        <v>502</v>
      </c>
      <c r="C279" s="295"/>
      <c r="D279" s="160">
        <v>59397</v>
      </c>
      <c r="E279" s="160" t="e">
        <f>D279*#REF!</f>
        <v>#REF!</v>
      </c>
      <c r="F279" s="160" t="e">
        <f>D279*#REF!</f>
        <v>#REF!</v>
      </c>
      <c r="G279" s="160" t="e">
        <f>(D279*#REF!)*#REF!</f>
        <v>#REF!</v>
      </c>
      <c r="H279" s="296">
        <f t="shared" si="69"/>
        <v>0</v>
      </c>
      <c r="I279" s="147" t="e">
        <f t="shared" si="70"/>
        <v>#REF!</v>
      </c>
      <c r="J279" s="97">
        <v>0</v>
      </c>
      <c r="K279" s="295"/>
      <c r="L279" s="20">
        <v>57980</v>
      </c>
      <c r="M279" s="20">
        <v>2507.64</v>
      </c>
      <c r="N279" s="20">
        <v>0</v>
      </c>
      <c r="O279" s="20">
        <f>VLOOKUP(A279,TB!A:F,3)</f>
        <v>642</v>
      </c>
      <c r="P279" s="160">
        <f t="shared" ref="P279:P280" si="79">O279/9*12</f>
        <v>856</v>
      </c>
      <c r="Q279" s="160">
        <v>5000</v>
      </c>
      <c r="R279" s="233">
        <f>VLOOKUP(A279,TB!A:F,6)</f>
        <v>5000</v>
      </c>
      <c r="S279" s="233">
        <f t="shared" si="72"/>
        <v>0</v>
      </c>
      <c r="T279" s="83"/>
    </row>
    <row r="280" spans="1:20" ht="15.75" customHeight="1" x14ac:dyDescent="0.25">
      <c r="A280" s="66" t="s">
        <v>695</v>
      </c>
      <c r="B280" s="66" t="s">
        <v>92</v>
      </c>
      <c r="C280" s="295"/>
      <c r="D280" s="160">
        <v>0</v>
      </c>
      <c r="E280" s="160" t="e">
        <f>D280*#REF!</f>
        <v>#REF!</v>
      </c>
      <c r="F280" s="160" t="e">
        <f>D280*#REF!</f>
        <v>#REF!</v>
      </c>
      <c r="G280" s="160" t="e">
        <f>(D280*#REF!)*#REF!</f>
        <v>#REF!</v>
      </c>
      <c r="H280" s="296">
        <f t="shared" si="69"/>
        <v>0</v>
      </c>
      <c r="I280" s="147" t="e">
        <f t="shared" si="70"/>
        <v>#REF!</v>
      </c>
      <c r="J280" s="97">
        <v>0</v>
      </c>
      <c r="K280" s="295"/>
      <c r="L280" s="20">
        <v>53326</v>
      </c>
      <c r="M280" s="20">
        <v>0</v>
      </c>
      <c r="N280" s="20">
        <v>0</v>
      </c>
      <c r="O280" s="20">
        <f>VLOOKUP(A280,TB!A:F,3)</f>
        <v>0</v>
      </c>
      <c r="P280" s="160">
        <f t="shared" si="79"/>
        <v>0</v>
      </c>
      <c r="Q280" s="160">
        <v>0</v>
      </c>
      <c r="R280" s="233">
        <f>VLOOKUP(A280,TB!A:F,6)</f>
        <v>0</v>
      </c>
      <c r="S280" s="233">
        <f t="shared" si="72"/>
        <v>0</v>
      </c>
      <c r="T280" s="83"/>
    </row>
    <row r="281" spans="1:20" ht="15.75" customHeight="1" x14ac:dyDescent="0.25">
      <c r="A281" s="74" t="s">
        <v>696</v>
      </c>
      <c r="B281" s="75"/>
      <c r="C281" s="299"/>
      <c r="D281" s="189">
        <f t="shared" ref="D281:G281" si="80">SUM(D255:D280)</f>
        <v>8116992</v>
      </c>
      <c r="E281" s="189" t="e">
        <f t="shared" si="80"/>
        <v>#REF!</v>
      </c>
      <c r="F281" s="189" t="e">
        <f t="shared" si="80"/>
        <v>#REF!</v>
      </c>
      <c r="G281" s="189" t="e">
        <f t="shared" si="80"/>
        <v>#REF!</v>
      </c>
      <c r="H281" s="300">
        <f t="shared" si="69"/>
        <v>0</v>
      </c>
      <c r="I281" s="189" t="e">
        <f t="shared" si="70"/>
        <v>#REF!</v>
      </c>
      <c r="J281" s="301">
        <f>SUM(J255:J280)</f>
        <v>0</v>
      </c>
      <c r="K281" s="299"/>
      <c r="L281" s="77">
        <f t="shared" ref="L281:S281" si="81">SUM(L255:L280)</f>
        <v>10312949</v>
      </c>
      <c r="M281" s="77">
        <f t="shared" si="81"/>
        <v>8703247.8000000007</v>
      </c>
      <c r="N281" s="77">
        <f t="shared" si="81"/>
        <v>11591948</v>
      </c>
      <c r="O281" s="77">
        <f t="shared" si="81"/>
        <v>8058953.6700000009</v>
      </c>
      <c r="P281" s="189">
        <f t="shared" si="81"/>
        <v>10561124.955</v>
      </c>
      <c r="Q281" s="189">
        <f t="shared" si="81"/>
        <v>12077218</v>
      </c>
      <c r="R281" s="77">
        <f t="shared" si="81"/>
        <v>12077218</v>
      </c>
      <c r="S281" s="77">
        <f t="shared" si="81"/>
        <v>0</v>
      </c>
      <c r="T281" s="83"/>
    </row>
    <row r="282" spans="1:20" ht="15.75" customHeight="1" x14ac:dyDescent="0.2">
      <c r="C282" s="287"/>
      <c r="K282" s="287"/>
      <c r="L282" s="54"/>
      <c r="M282" s="54"/>
      <c r="N282" s="54"/>
      <c r="O282" s="54"/>
      <c r="P282" s="54"/>
      <c r="Q282" s="54"/>
      <c r="R282" s="83"/>
      <c r="S282" s="83"/>
      <c r="T282" s="83"/>
    </row>
    <row r="283" spans="1:20" ht="15.75" customHeight="1" x14ac:dyDescent="0.25">
      <c r="A283" s="165" t="s">
        <v>697</v>
      </c>
      <c r="B283" s="165" t="s">
        <v>180</v>
      </c>
      <c r="C283" s="297"/>
      <c r="D283" s="298">
        <v>0</v>
      </c>
      <c r="E283" s="160" t="e">
        <f>D283*#REF!</f>
        <v>#REF!</v>
      </c>
      <c r="F283" s="160" t="e">
        <f>D283*#REF!</f>
        <v>#REF!</v>
      </c>
      <c r="G283" s="160" t="e">
        <f>(D283*#REF!)*#REF!</f>
        <v>#REF!</v>
      </c>
      <c r="H283" s="296">
        <f t="shared" ref="H283:H285" si="82">IFERROR(((Q283-G283)/G283),0)</f>
        <v>0</v>
      </c>
      <c r="I283" s="147" t="e">
        <f t="shared" ref="I283:I285" si="83">Q283-G283</f>
        <v>#REF!</v>
      </c>
      <c r="J283" s="97">
        <v>0</v>
      </c>
      <c r="K283" s="297"/>
      <c r="L283" s="20">
        <v>220405</v>
      </c>
      <c r="M283" s="20">
        <v>0</v>
      </c>
      <c r="N283" s="20">
        <v>0</v>
      </c>
      <c r="O283" s="20">
        <f>VLOOKUP(A283,TB!A:F,3)</f>
        <v>0</v>
      </c>
      <c r="P283" s="160">
        <f t="shared" ref="P283:P284" si="84">N283</f>
        <v>0</v>
      </c>
      <c r="Q283" s="160">
        <v>0</v>
      </c>
      <c r="R283" s="233">
        <f>VLOOKUP(A283,TB!A:F,6)</f>
        <v>0</v>
      </c>
      <c r="S283" s="233">
        <f t="shared" ref="S283:S284" si="85">Q283-R283</f>
        <v>0</v>
      </c>
      <c r="T283" s="83"/>
    </row>
    <row r="284" spans="1:20" ht="15.75" customHeight="1" x14ac:dyDescent="0.25">
      <c r="A284" s="66" t="s">
        <v>698</v>
      </c>
      <c r="B284" s="66" t="s">
        <v>99</v>
      </c>
      <c r="C284" s="295"/>
      <c r="D284" s="160">
        <v>55677</v>
      </c>
      <c r="E284" s="160" t="e">
        <f>D284*#REF!</f>
        <v>#REF!</v>
      </c>
      <c r="F284" s="160" t="e">
        <f>D284*#REF!</f>
        <v>#REF!</v>
      </c>
      <c r="G284" s="160" t="e">
        <f>(D284*#REF!)*#REF!</f>
        <v>#REF!</v>
      </c>
      <c r="H284" s="296">
        <f t="shared" si="82"/>
        <v>0</v>
      </c>
      <c r="I284" s="147" t="e">
        <f t="shared" si="83"/>
        <v>#REF!</v>
      </c>
      <c r="J284" s="97">
        <v>0</v>
      </c>
      <c r="K284" s="295"/>
      <c r="L284" s="20">
        <v>41819</v>
      </c>
      <c r="M284" s="20">
        <v>16668</v>
      </c>
      <c r="N284" s="20">
        <v>9700</v>
      </c>
      <c r="O284" s="20">
        <f>VLOOKUP(A284,TB!A:F,3)</f>
        <v>0</v>
      </c>
      <c r="P284" s="163">
        <f t="shared" si="84"/>
        <v>9700</v>
      </c>
      <c r="Q284" s="160">
        <v>0</v>
      </c>
      <c r="R284" s="233">
        <f>VLOOKUP(A284,TB!A:F,6)</f>
        <v>0</v>
      </c>
      <c r="S284" s="233">
        <f t="shared" si="85"/>
        <v>0</v>
      </c>
      <c r="T284" s="83"/>
    </row>
    <row r="285" spans="1:20" ht="15.75" customHeight="1" x14ac:dyDescent="0.25">
      <c r="A285" s="74" t="s">
        <v>696</v>
      </c>
      <c r="B285" s="75"/>
      <c r="C285" s="299"/>
      <c r="D285" s="189">
        <f t="shared" ref="D285:G285" si="86">SUM(D283:D284)</f>
        <v>55677</v>
      </c>
      <c r="E285" s="189" t="e">
        <f t="shared" si="86"/>
        <v>#REF!</v>
      </c>
      <c r="F285" s="189" t="e">
        <f t="shared" si="86"/>
        <v>#REF!</v>
      </c>
      <c r="G285" s="189" t="e">
        <f t="shared" si="86"/>
        <v>#REF!</v>
      </c>
      <c r="H285" s="300">
        <f t="shared" si="82"/>
        <v>0</v>
      </c>
      <c r="I285" s="189" t="e">
        <f t="shared" si="83"/>
        <v>#REF!</v>
      </c>
      <c r="J285" s="301">
        <f>SUM(J283:J284)</f>
        <v>0</v>
      </c>
      <c r="K285" s="299"/>
      <c r="L285" s="77">
        <f t="shared" ref="L285:S285" si="87">SUM(L283:L284)</f>
        <v>262224</v>
      </c>
      <c r="M285" s="77">
        <f t="shared" si="87"/>
        <v>16668</v>
      </c>
      <c r="N285" s="77">
        <f t="shared" si="87"/>
        <v>9700</v>
      </c>
      <c r="O285" s="77">
        <f t="shared" si="87"/>
        <v>0</v>
      </c>
      <c r="P285" s="189">
        <f t="shared" si="87"/>
        <v>9700</v>
      </c>
      <c r="Q285" s="189">
        <f t="shared" si="87"/>
        <v>0</v>
      </c>
      <c r="R285" s="77">
        <f t="shared" si="87"/>
        <v>0</v>
      </c>
      <c r="S285" s="77">
        <f t="shared" si="87"/>
        <v>0</v>
      </c>
      <c r="T285" s="83"/>
    </row>
    <row r="286" spans="1:20" ht="15.75" customHeight="1" x14ac:dyDescent="0.2">
      <c r="C286" s="287"/>
      <c r="K286" s="287"/>
      <c r="L286" s="54"/>
      <c r="M286" s="54"/>
      <c r="N286" s="54"/>
      <c r="O286" s="54"/>
      <c r="P286" s="54"/>
      <c r="Q286" s="54"/>
      <c r="R286" s="83"/>
      <c r="S286" s="83"/>
      <c r="T286" s="83"/>
    </row>
    <row r="287" spans="1:20" ht="15.75" customHeight="1" x14ac:dyDescent="0.25">
      <c r="A287" s="74" t="s">
        <v>699</v>
      </c>
      <c r="B287" s="305"/>
      <c r="C287" s="306"/>
      <c r="D287" s="189">
        <f t="shared" ref="D287:G287" si="88">D281+D285</f>
        <v>8172669</v>
      </c>
      <c r="E287" s="189" t="e">
        <f t="shared" si="88"/>
        <v>#REF!</v>
      </c>
      <c r="F287" s="189" t="e">
        <f t="shared" si="88"/>
        <v>#REF!</v>
      </c>
      <c r="G287" s="189" t="e">
        <f t="shared" si="88"/>
        <v>#REF!</v>
      </c>
      <c r="H287" s="300">
        <f>IFERROR(((Q287-G287)/G287),0)</f>
        <v>0</v>
      </c>
      <c r="I287" s="189" t="e">
        <f>Q287-G287</f>
        <v>#REF!</v>
      </c>
      <c r="J287" s="301">
        <v>0</v>
      </c>
      <c r="K287" s="306"/>
      <c r="L287" s="77">
        <f t="shared" ref="L287:S287" si="89">L281+L285</f>
        <v>10575173</v>
      </c>
      <c r="M287" s="77">
        <f t="shared" si="89"/>
        <v>8719915.8000000007</v>
      </c>
      <c r="N287" s="77">
        <f t="shared" si="89"/>
        <v>11601648</v>
      </c>
      <c r="O287" s="77">
        <f t="shared" si="89"/>
        <v>8058953.6700000009</v>
      </c>
      <c r="P287" s="189">
        <f t="shared" si="89"/>
        <v>10570824.955</v>
      </c>
      <c r="Q287" s="189">
        <f t="shared" si="89"/>
        <v>12077218</v>
      </c>
      <c r="R287" s="77">
        <f t="shared" si="89"/>
        <v>12077218</v>
      </c>
      <c r="S287" s="77">
        <f t="shared" si="89"/>
        <v>0</v>
      </c>
      <c r="T287" s="83"/>
    </row>
    <row r="288" spans="1:20" ht="15.75" customHeight="1" x14ac:dyDescent="0.2">
      <c r="C288" s="287"/>
      <c r="K288" s="287"/>
      <c r="L288" s="54"/>
      <c r="M288" s="54"/>
      <c r="N288" s="54"/>
      <c r="O288" s="54"/>
      <c r="P288" s="54"/>
      <c r="Q288" s="54"/>
      <c r="R288" s="83"/>
      <c r="S288" s="83"/>
      <c r="T288" s="83"/>
    </row>
    <row r="289" spans="1:20" ht="15.75" customHeight="1" x14ac:dyDescent="0.2">
      <c r="A289" s="69" t="s">
        <v>184</v>
      </c>
      <c r="C289" s="287"/>
      <c r="K289" s="287"/>
      <c r="L289" s="54"/>
      <c r="M289" s="54"/>
      <c r="N289" s="54"/>
      <c r="O289" s="54"/>
      <c r="P289" s="54"/>
      <c r="Q289" s="54"/>
      <c r="R289" s="83"/>
      <c r="S289" s="83"/>
      <c r="T289" s="83"/>
    </row>
    <row r="290" spans="1:20" ht="15.75" customHeight="1" x14ac:dyDescent="0.25">
      <c r="A290" s="51" t="s">
        <v>700</v>
      </c>
      <c r="B290" s="51" t="s">
        <v>701</v>
      </c>
      <c r="C290" s="307"/>
      <c r="D290" s="147">
        <v>0</v>
      </c>
      <c r="E290" s="160" t="e">
        <f>D290*#REF!</f>
        <v>#REF!</v>
      </c>
      <c r="F290" s="160" t="e">
        <f>D290*#REF!</f>
        <v>#REF!</v>
      </c>
      <c r="G290" s="160" t="e">
        <f>(D290*#REF!)*#REF!</f>
        <v>#REF!</v>
      </c>
      <c r="H290" s="296">
        <f t="shared" ref="H290:H305" si="90">IFERROR(((Q290-G290)/G290),0)</f>
        <v>0</v>
      </c>
      <c r="I290" s="147" t="e">
        <f t="shared" ref="I290:I305" si="91">Q290-G290</f>
        <v>#REF!</v>
      </c>
      <c r="J290" s="97">
        <v>0</v>
      </c>
      <c r="K290" s="307"/>
      <c r="L290" s="54">
        <v>-211570</v>
      </c>
      <c r="M290" s="54">
        <v>-49305</v>
      </c>
      <c r="N290" s="54">
        <v>-200000</v>
      </c>
      <c r="O290" s="20">
        <f>VLOOKUP(A290,TB!A:F,3)</f>
        <v>49305</v>
      </c>
      <c r="P290" s="308">
        <f t="shared" ref="P290:P304" si="92">N290</f>
        <v>-200000</v>
      </c>
      <c r="Q290" s="147">
        <v>-45000</v>
      </c>
      <c r="R290" s="233">
        <f>VLOOKUP(A290,TB!A:F,6)</f>
        <v>-45000</v>
      </c>
      <c r="S290" s="233">
        <f t="shared" ref="S290:S304" si="93">Q290-R290</f>
        <v>0</v>
      </c>
      <c r="T290" s="83"/>
    </row>
    <row r="291" spans="1:20" ht="15.75" customHeight="1" x14ac:dyDescent="0.25">
      <c r="A291" s="51" t="s">
        <v>702</v>
      </c>
      <c r="B291" s="51" t="s">
        <v>703</v>
      </c>
      <c r="C291" s="307"/>
      <c r="D291" s="147">
        <v>-252821</v>
      </c>
      <c r="E291" s="160" t="e">
        <f>D291*#REF!</f>
        <v>#REF!</v>
      </c>
      <c r="F291" s="160" t="e">
        <f>D291*#REF!</f>
        <v>#REF!</v>
      </c>
      <c r="G291" s="160" t="e">
        <f>(D291*#REF!)*#REF!</f>
        <v>#REF!</v>
      </c>
      <c r="H291" s="296">
        <f t="shared" si="90"/>
        <v>0</v>
      </c>
      <c r="I291" s="147" t="e">
        <f t="shared" si="91"/>
        <v>#REF!</v>
      </c>
      <c r="J291" s="97">
        <v>0</v>
      </c>
      <c r="K291" s="307"/>
      <c r="L291" s="54">
        <v>-322088</v>
      </c>
      <c r="M291" s="54">
        <v>-336076.26</v>
      </c>
      <c r="N291" s="54">
        <v>-428400</v>
      </c>
      <c r="O291" s="20">
        <f>VLOOKUP(A291,TB!A:F,3)</f>
        <v>-157367.07999999999</v>
      </c>
      <c r="P291" s="308">
        <f t="shared" si="92"/>
        <v>-428400</v>
      </c>
      <c r="Q291" s="147">
        <v>-277600</v>
      </c>
      <c r="R291" s="233">
        <f>VLOOKUP(A291,TB!A:F,6)</f>
        <v>-277600</v>
      </c>
      <c r="S291" s="233">
        <f t="shared" si="93"/>
        <v>0</v>
      </c>
      <c r="T291" s="83"/>
    </row>
    <row r="292" spans="1:20" ht="15.75" customHeight="1" x14ac:dyDescent="0.25">
      <c r="A292" s="51" t="s">
        <v>704</v>
      </c>
      <c r="B292" s="51" t="s">
        <v>705</v>
      </c>
      <c r="C292" s="307"/>
      <c r="D292" s="147">
        <v>-281334</v>
      </c>
      <c r="E292" s="160" t="e">
        <f>D292*#REF!</f>
        <v>#REF!</v>
      </c>
      <c r="F292" s="160" t="e">
        <f>D292*#REF!</f>
        <v>#REF!</v>
      </c>
      <c r="G292" s="160" t="e">
        <f>(D292*#REF!)*#REF!</f>
        <v>#REF!</v>
      </c>
      <c r="H292" s="296">
        <f t="shared" si="90"/>
        <v>0</v>
      </c>
      <c r="I292" s="147" t="e">
        <f t="shared" si="91"/>
        <v>#REF!</v>
      </c>
      <c r="J292" s="97">
        <v>0</v>
      </c>
      <c r="K292" s="307"/>
      <c r="L292" s="54">
        <v>0</v>
      </c>
      <c r="M292" s="54">
        <v>0</v>
      </c>
      <c r="N292" s="54">
        <v>-5000</v>
      </c>
      <c r="O292" s="20">
        <f>VLOOKUP(A292,TB!A:F,3)</f>
        <v>0</v>
      </c>
      <c r="P292" s="308">
        <f t="shared" si="92"/>
        <v>-5000</v>
      </c>
      <c r="Q292" s="147">
        <v>-2000</v>
      </c>
      <c r="R292" s="233">
        <f>VLOOKUP(A292,TB!A:F,6)</f>
        <v>-2000</v>
      </c>
      <c r="S292" s="233">
        <f t="shared" si="93"/>
        <v>0</v>
      </c>
      <c r="T292" s="83"/>
    </row>
    <row r="293" spans="1:20" ht="15.75" customHeight="1" x14ac:dyDescent="0.25">
      <c r="A293" s="51" t="s">
        <v>706</v>
      </c>
      <c r="B293" s="51" t="s">
        <v>707</v>
      </c>
      <c r="C293" s="307"/>
      <c r="D293" s="147">
        <v>0</v>
      </c>
      <c r="E293" s="160" t="e">
        <f>D293*#REF!</f>
        <v>#REF!</v>
      </c>
      <c r="F293" s="160" t="e">
        <f>D293*#REF!</f>
        <v>#REF!</v>
      </c>
      <c r="G293" s="160" t="e">
        <f>(D293*#REF!)*#REF!</f>
        <v>#REF!</v>
      </c>
      <c r="H293" s="296">
        <f t="shared" si="90"/>
        <v>0</v>
      </c>
      <c r="I293" s="147" t="e">
        <f t="shared" si="91"/>
        <v>#REF!</v>
      </c>
      <c r="J293" s="97">
        <v>0</v>
      </c>
      <c r="K293" s="307"/>
      <c r="L293" s="54">
        <v>-18145</v>
      </c>
      <c r="M293" s="54">
        <v>-18547.09</v>
      </c>
      <c r="N293" s="54">
        <v>-10000</v>
      </c>
      <c r="O293" s="20">
        <f>VLOOKUP(A293,TB!A:F,3)</f>
        <v>-8621.76</v>
      </c>
      <c r="P293" s="308">
        <f t="shared" si="92"/>
        <v>-10000</v>
      </c>
      <c r="Q293" s="147">
        <v>-10000</v>
      </c>
      <c r="R293" s="233">
        <f>VLOOKUP(A293,TB!A:F,6)</f>
        <v>-10000</v>
      </c>
      <c r="S293" s="233">
        <f t="shared" si="93"/>
        <v>0</v>
      </c>
      <c r="T293" s="83"/>
    </row>
    <row r="294" spans="1:20" ht="15.75" customHeight="1" x14ac:dyDescent="0.25">
      <c r="A294" s="51" t="s">
        <v>708</v>
      </c>
      <c r="B294" s="51" t="s">
        <v>709</v>
      </c>
      <c r="C294" s="307"/>
      <c r="D294" s="147">
        <v>-97547</v>
      </c>
      <c r="E294" s="160" t="e">
        <f>D294*#REF!</f>
        <v>#REF!</v>
      </c>
      <c r="F294" s="160" t="e">
        <f>D294*#REF!</f>
        <v>#REF!</v>
      </c>
      <c r="G294" s="160" t="e">
        <f>(D294*#REF!)*#REF!</f>
        <v>#REF!</v>
      </c>
      <c r="H294" s="296">
        <f t="shared" si="90"/>
        <v>0</v>
      </c>
      <c r="I294" s="147" t="e">
        <f t="shared" si="91"/>
        <v>#REF!</v>
      </c>
      <c r="J294" s="97">
        <v>0</v>
      </c>
      <c r="K294" s="307"/>
      <c r="L294" s="54">
        <v>-179585</v>
      </c>
      <c r="M294" s="54">
        <v>-160723.06</v>
      </c>
      <c r="N294" s="54">
        <v>-100000</v>
      </c>
      <c r="O294" s="20">
        <f>VLOOKUP(A294,TB!A:F,3)</f>
        <v>-82613.86</v>
      </c>
      <c r="P294" s="308">
        <f t="shared" si="92"/>
        <v>-100000</v>
      </c>
      <c r="Q294" s="147">
        <v>-120000</v>
      </c>
      <c r="R294" s="233">
        <f>VLOOKUP(A294,TB!A:F,6)</f>
        <v>-120000</v>
      </c>
      <c r="S294" s="233">
        <f t="shared" si="93"/>
        <v>0</v>
      </c>
      <c r="T294" s="83"/>
    </row>
    <row r="295" spans="1:20" ht="15.75" customHeight="1" x14ac:dyDescent="0.25">
      <c r="A295" s="51" t="s">
        <v>710</v>
      </c>
      <c r="B295" s="51" t="s">
        <v>711</v>
      </c>
      <c r="C295" s="307"/>
      <c r="D295" s="147">
        <v>-35071</v>
      </c>
      <c r="E295" s="160" t="e">
        <f>D295*#REF!</f>
        <v>#REF!</v>
      </c>
      <c r="F295" s="160" t="e">
        <f>D295*#REF!</f>
        <v>#REF!</v>
      </c>
      <c r="G295" s="160" t="e">
        <f>(D295*#REF!)*#REF!</f>
        <v>#REF!</v>
      </c>
      <c r="H295" s="296">
        <f t="shared" si="90"/>
        <v>0</v>
      </c>
      <c r="I295" s="147" t="e">
        <f t="shared" si="91"/>
        <v>#REF!</v>
      </c>
      <c r="J295" s="97">
        <v>0</v>
      </c>
      <c r="K295" s="307"/>
      <c r="L295" s="54">
        <v>11980</v>
      </c>
      <c r="M295" s="54">
        <v>-6967.24</v>
      </c>
      <c r="N295" s="54">
        <v>-27000</v>
      </c>
      <c r="O295" s="20">
        <f>VLOOKUP(A295,TB!A:F,3)</f>
        <v>-1956.65</v>
      </c>
      <c r="P295" s="308">
        <f t="shared" si="92"/>
        <v>-27000</v>
      </c>
      <c r="Q295" s="147">
        <v>-24100</v>
      </c>
      <c r="R295" s="233">
        <f>VLOOKUP(A295,TB!A:F,6)</f>
        <v>-24100</v>
      </c>
      <c r="S295" s="233">
        <f t="shared" si="93"/>
        <v>0</v>
      </c>
      <c r="T295" s="83"/>
    </row>
    <row r="296" spans="1:20" ht="15.75" customHeight="1" x14ac:dyDescent="0.25">
      <c r="A296" s="51" t="s">
        <v>712</v>
      </c>
      <c r="B296" s="51" t="s">
        <v>713</v>
      </c>
      <c r="C296" s="307"/>
      <c r="D296" s="147">
        <v>-3578</v>
      </c>
      <c r="E296" s="160" t="e">
        <f>D296*#REF!</f>
        <v>#REF!</v>
      </c>
      <c r="F296" s="160" t="e">
        <f>D296*#REF!</f>
        <v>#REF!</v>
      </c>
      <c r="G296" s="160" t="e">
        <f>(D296*#REF!)*#REF!</f>
        <v>#REF!</v>
      </c>
      <c r="H296" s="296">
        <f t="shared" si="90"/>
        <v>0</v>
      </c>
      <c r="I296" s="147" t="e">
        <f t="shared" si="91"/>
        <v>#REF!</v>
      </c>
      <c r="J296" s="97">
        <v>0</v>
      </c>
      <c r="K296" s="307"/>
      <c r="L296" s="54">
        <v>-10198</v>
      </c>
      <c r="M296" s="54">
        <v>-16009.86</v>
      </c>
      <c r="N296" s="54">
        <v>-22000</v>
      </c>
      <c r="O296" s="20">
        <f>VLOOKUP(A296,TB!A:F,3)</f>
        <v>-4895.46</v>
      </c>
      <c r="P296" s="308">
        <f t="shared" si="92"/>
        <v>-22000</v>
      </c>
      <c r="Q296" s="147">
        <v>-27000</v>
      </c>
      <c r="R296" s="233">
        <f>VLOOKUP(A296,TB!A:F,6)</f>
        <v>-27000</v>
      </c>
      <c r="S296" s="233">
        <f t="shared" si="93"/>
        <v>0</v>
      </c>
      <c r="T296" s="83"/>
    </row>
    <row r="297" spans="1:20" ht="15.75" customHeight="1" x14ac:dyDescent="0.25">
      <c r="A297" s="51" t="s">
        <v>714</v>
      </c>
      <c r="B297" s="51" t="s">
        <v>715</v>
      </c>
      <c r="C297" s="307"/>
      <c r="D297" s="147">
        <v>-4748</v>
      </c>
      <c r="E297" s="160" t="e">
        <f>D297*#REF!</f>
        <v>#REF!</v>
      </c>
      <c r="F297" s="160" t="e">
        <f>D297*#REF!</f>
        <v>#REF!</v>
      </c>
      <c r="G297" s="160" t="e">
        <f>(D297*#REF!)*#REF!</f>
        <v>#REF!</v>
      </c>
      <c r="H297" s="296">
        <f t="shared" si="90"/>
        <v>0</v>
      </c>
      <c r="I297" s="147" t="e">
        <f t="shared" si="91"/>
        <v>#REF!</v>
      </c>
      <c r="J297" s="97">
        <v>0</v>
      </c>
      <c r="K297" s="307"/>
      <c r="L297" s="54">
        <v>-24183</v>
      </c>
      <c r="M297" s="54">
        <v>-263127.88</v>
      </c>
      <c r="N297" s="54">
        <v>-120000</v>
      </c>
      <c r="O297" s="20">
        <f>VLOOKUP(A297,TB!A:F,3)</f>
        <v>-201814.19</v>
      </c>
      <c r="P297" s="308">
        <f t="shared" si="92"/>
        <v>-120000</v>
      </c>
      <c r="Q297" s="147">
        <v>-230000</v>
      </c>
      <c r="R297" s="233">
        <f>VLOOKUP(A297,TB!A:F,6)</f>
        <v>-230000</v>
      </c>
      <c r="S297" s="233">
        <f t="shared" si="93"/>
        <v>0</v>
      </c>
      <c r="T297" s="83"/>
    </row>
    <row r="298" spans="1:20" ht="15.75" customHeight="1" x14ac:dyDescent="0.25">
      <c r="A298" s="51" t="s">
        <v>716</v>
      </c>
      <c r="B298" s="51" t="s">
        <v>717</v>
      </c>
      <c r="C298" s="307"/>
      <c r="D298" s="147">
        <v>-199316</v>
      </c>
      <c r="E298" s="160" t="e">
        <f>D298*#REF!</f>
        <v>#REF!</v>
      </c>
      <c r="F298" s="160" t="e">
        <f>D298*#REF!</f>
        <v>#REF!</v>
      </c>
      <c r="G298" s="160" t="e">
        <f>(D298*#REF!)*#REF!</f>
        <v>#REF!</v>
      </c>
      <c r="H298" s="296">
        <f t="shared" si="90"/>
        <v>0</v>
      </c>
      <c r="I298" s="147" t="e">
        <f t="shared" si="91"/>
        <v>#REF!</v>
      </c>
      <c r="J298" s="97">
        <v>0</v>
      </c>
      <c r="K298" s="307"/>
      <c r="L298" s="54">
        <v>-300139</v>
      </c>
      <c r="M298" s="54">
        <v>-294389.12</v>
      </c>
      <c r="N298" s="54">
        <v>-230000</v>
      </c>
      <c r="O298" s="20">
        <f>VLOOKUP(A298,TB!A:F,3)</f>
        <v>0</v>
      </c>
      <c r="P298" s="308">
        <f t="shared" si="92"/>
        <v>-230000</v>
      </c>
      <c r="Q298" s="147">
        <v>-260000</v>
      </c>
      <c r="R298" s="233">
        <f>VLOOKUP(A298,TB!A:F,6)</f>
        <v>-260000</v>
      </c>
      <c r="S298" s="233">
        <f t="shared" si="93"/>
        <v>0</v>
      </c>
      <c r="T298" s="83"/>
    </row>
    <row r="299" spans="1:20" ht="15.75" customHeight="1" x14ac:dyDescent="0.25">
      <c r="A299" s="51" t="s">
        <v>718</v>
      </c>
      <c r="B299" s="51" t="s">
        <v>719</v>
      </c>
      <c r="C299" s="307"/>
      <c r="D299" s="147">
        <v>-1531362</v>
      </c>
      <c r="E299" s="160" t="e">
        <f>D299*#REF!</f>
        <v>#REF!</v>
      </c>
      <c r="F299" s="160" t="e">
        <f>D299*#REF!</f>
        <v>#REF!</v>
      </c>
      <c r="G299" s="160" t="e">
        <f>(D299*#REF!)*#REF!</f>
        <v>#REF!</v>
      </c>
      <c r="H299" s="296">
        <f t="shared" si="90"/>
        <v>0</v>
      </c>
      <c r="I299" s="147" t="e">
        <f t="shared" si="91"/>
        <v>#REF!</v>
      </c>
      <c r="J299" s="97">
        <v>0</v>
      </c>
      <c r="K299" s="307"/>
      <c r="L299" s="54">
        <v>-2431364</v>
      </c>
      <c r="M299" s="54">
        <v>-2422470.5699999998</v>
      </c>
      <c r="N299" s="54">
        <v>-2855400</v>
      </c>
      <c r="O299" s="20">
        <f>VLOOKUP(A299,TB!A:F,3)</f>
        <v>-1490254.36</v>
      </c>
      <c r="P299" s="308">
        <f t="shared" si="92"/>
        <v>-2855400</v>
      </c>
      <c r="Q299" s="147">
        <v>-2702700</v>
      </c>
      <c r="R299" s="233">
        <f>VLOOKUP(A299,TB!A:F,6)</f>
        <v>-2702700</v>
      </c>
      <c r="S299" s="233">
        <f t="shared" si="93"/>
        <v>0</v>
      </c>
      <c r="T299" s="83"/>
    </row>
    <row r="300" spans="1:20" ht="15.75" customHeight="1" x14ac:dyDescent="0.25">
      <c r="A300" s="51" t="s">
        <v>720</v>
      </c>
      <c r="B300" s="51" t="s">
        <v>721</v>
      </c>
      <c r="C300" s="307"/>
      <c r="D300" s="147">
        <v>-17607</v>
      </c>
      <c r="E300" s="160" t="e">
        <f>D300*#REF!</f>
        <v>#REF!</v>
      </c>
      <c r="F300" s="160" t="e">
        <f>D300*#REF!</f>
        <v>#REF!</v>
      </c>
      <c r="G300" s="160" t="e">
        <f>(D300*#REF!)*#REF!</f>
        <v>#REF!</v>
      </c>
      <c r="H300" s="296">
        <f t="shared" si="90"/>
        <v>0</v>
      </c>
      <c r="I300" s="147" t="e">
        <f t="shared" si="91"/>
        <v>#REF!</v>
      </c>
      <c r="J300" s="97">
        <v>0</v>
      </c>
      <c r="K300" s="307"/>
      <c r="L300" s="54">
        <v>-12638</v>
      </c>
      <c r="M300" s="54">
        <v>-32203.93</v>
      </c>
      <c r="N300" s="54">
        <v>-5000</v>
      </c>
      <c r="O300" s="20">
        <f>VLOOKUP(A300,TB!A:F,3)</f>
        <v>-6211.35</v>
      </c>
      <c r="P300" s="308">
        <f t="shared" si="92"/>
        <v>-5000</v>
      </c>
      <c r="Q300" s="147">
        <v>-15000</v>
      </c>
      <c r="R300" s="233">
        <f>VLOOKUP(A300,TB!A:F,6)</f>
        <v>-15000</v>
      </c>
      <c r="S300" s="233">
        <f t="shared" si="93"/>
        <v>0</v>
      </c>
      <c r="T300" s="83"/>
    </row>
    <row r="301" spans="1:20" ht="15.75" customHeight="1" x14ac:dyDescent="0.25">
      <c r="A301" s="51" t="s">
        <v>722</v>
      </c>
      <c r="B301" s="51" t="s">
        <v>723</v>
      </c>
      <c r="C301" s="307"/>
      <c r="D301" s="147">
        <v>-6115</v>
      </c>
      <c r="E301" s="160" t="e">
        <f>D301*#REF!</f>
        <v>#REF!</v>
      </c>
      <c r="F301" s="160" t="e">
        <f>D301*#REF!</f>
        <v>#REF!</v>
      </c>
      <c r="G301" s="160" t="e">
        <f>(D301*#REF!)*#REF!</f>
        <v>#REF!</v>
      </c>
      <c r="H301" s="296">
        <f t="shared" si="90"/>
        <v>0</v>
      </c>
      <c r="I301" s="147" t="e">
        <f t="shared" si="91"/>
        <v>#REF!</v>
      </c>
      <c r="J301" s="97">
        <v>0</v>
      </c>
      <c r="K301" s="307"/>
      <c r="L301" s="54">
        <v>-1973</v>
      </c>
      <c r="M301" s="54">
        <v>-1826.79</v>
      </c>
      <c r="N301" s="54">
        <v>-2500</v>
      </c>
      <c r="O301" s="20">
        <f>VLOOKUP(A301,TB!A:F,3)</f>
        <v>-1674.4</v>
      </c>
      <c r="P301" s="308">
        <f t="shared" si="92"/>
        <v>-2500</v>
      </c>
      <c r="Q301" s="147">
        <v>-2000</v>
      </c>
      <c r="R301" s="233">
        <f>VLOOKUP(A301,TB!A:F,6)</f>
        <v>-2000</v>
      </c>
      <c r="S301" s="233">
        <f t="shared" si="93"/>
        <v>0</v>
      </c>
      <c r="T301" s="83"/>
    </row>
    <row r="302" spans="1:20" ht="15.75" customHeight="1" x14ac:dyDescent="0.25">
      <c r="A302" s="51" t="s">
        <v>724</v>
      </c>
      <c r="B302" s="51" t="s">
        <v>725</v>
      </c>
      <c r="C302" s="307"/>
      <c r="D302" s="147">
        <v>-19251</v>
      </c>
      <c r="E302" s="160" t="e">
        <f>D302*#REF!</f>
        <v>#REF!</v>
      </c>
      <c r="F302" s="160" t="e">
        <f>D302*#REF!</f>
        <v>#REF!</v>
      </c>
      <c r="G302" s="160" t="e">
        <f>(D302*#REF!)*#REF!</f>
        <v>#REF!</v>
      </c>
      <c r="H302" s="296">
        <f t="shared" si="90"/>
        <v>0</v>
      </c>
      <c r="I302" s="147" t="e">
        <f t="shared" si="91"/>
        <v>#REF!</v>
      </c>
      <c r="J302" s="97">
        <v>0</v>
      </c>
      <c r="K302" s="307"/>
      <c r="L302" s="54">
        <v>-33018</v>
      </c>
      <c r="M302" s="54">
        <v>-35620.06</v>
      </c>
      <c r="N302" s="54">
        <v>-33000</v>
      </c>
      <c r="O302" s="20">
        <f>VLOOKUP(A302,TB!A:F,3)</f>
        <v>-27309.42</v>
      </c>
      <c r="P302" s="308">
        <f t="shared" si="92"/>
        <v>-33000</v>
      </c>
      <c r="Q302" s="147">
        <v>-34800</v>
      </c>
      <c r="R302" s="233">
        <f>VLOOKUP(A302,TB!A:F,6)</f>
        <v>-34800</v>
      </c>
      <c r="S302" s="233">
        <f t="shared" si="93"/>
        <v>0</v>
      </c>
      <c r="T302" s="83"/>
    </row>
    <row r="303" spans="1:20" ht="15.75" customHeight="1" x14ac:dyDescent="0.25">
      <c r="A303" s="51" t="s">
        <v>726</v>
      </c>
      <c r="B303" s="51" t="s">
        <v>727</v>
      </c>
      <c r="C303" s="307"/>
      <c r="D303" s="147">
        <v>-37574</v>
      </c>
      <c r="E303" s="160" t="e">
        <f>D303*#REF!</f>
        <v>#REF!</v>
      </c>
      <c r="F303" s="160" t="e">
        <f>D303*#REF!</f>
        <v>#REF!</v>
      </c>
      <c r="G303" s="160" t="e">
        <f>(D303*#REF!)*#REF!</f>
        <v>#REF!</v>
      </c>
      <c r="H303" s="296">
        <f t="shared" si="90"/>
        <v>0</v>
      </c>
      <c r="I303" s="147" t="e">
        <f t="shared" si="91"/>
        <v>#REF!</v>
      </c>
      <c r="J303" s="97">
        <v>0</v>
      </c>
      <c r="K303" s="307"/>
      <c r="L303" s="54">
        <v>-955477</v>
      </c>
      <c r="M303" s="54">
        <v>-1312198.67</v>
      </c>
      <c r="N303" s="54">
        <v>-1587750</v>
      </c>
      <c r="O303" s="20">
        <f>VLOOKUP(A303,TB!A:F,3)</f>
        <v>-843430.16</v>
      </c>
      <c r="P303" s="308">
        <f t="shared" si="92"/>
        <v>-1587750</v>
      </c>
      <c r="Q303" s="147">
        <v>-1500000</v>
      </c>
      <c r="R303" s="233">
        <f>VLOOKUP(A303,TB!A:F,6)</f>
        <v>-1500000</v>
      </c>
      <c r="S303" s="233">
        <f t="shared" si="93"/>
        <v>0</v>
      </c>
      <c r="T303" s="83"/>
    </row>
    <row r="304" spans="1:20" ht="15.75" customHeight="1" x14ac:dyDescent="0.25">
      <c r="A304" s="51" t="s">
        <v>728</v>
      </c>
      <c r="B304" s="51" t="s">
        <v>729</v>
      </c>
      <c r="C304" s="307"/>
      <c r="D304" s="147">
        <v>-790130</v>
      </c>
      <c r="E304" s="160" t="e">
        <f>D304*#REF!</f>
        <v>#REF!</v>
      </c>
      <c r="F304" s="160" t="e">
        <f>D304*#REF!</f>
        <v>#REF!</v>
      </c>
      <c r="G304" s="160" t="e">
        <f>(D304*#REF!)*#REF!</f>
        <v>#REF!</v>
      </c>
      <c r="H304" s="296">
        <f t="shared" si="90"/>
        <v>0</v>
      </c>
      <c r="I304" s="147" t="e">
        <f t="shared" si="91"/>
        <v>#REF!</v>
      </c>
      <c r="J304" s="97">
        <v>0</v>
      </c>
      <c r="K304" s="307"/>
      <c r="L304" s="54">
        <v>0</v>
      </c>
      <c r="M304" s="54">
        <v>0</v>
      </c>
      <c r="N304" s="54">
        <v>-10000</v>
      </c>
      <c r="O304" s="20">
        <f>VLOOKUP(A304,TB!A:F,3)</f>
        <v>0</v>
      </c>
      <c r="P304" s="308">
        <f t="shared" si="92"/>
        <v>-10000</v>
      </c>
      <c r="Q304" s="147">
        <v>-476325</v>
      </c>
      <c r="R304" s="233">
        <f>VLOOKUP(A304,TB!A:F,6)</f>
        <v>-476325</v>
      </c>
      <c r="S304" s="233">
        <f t="shared" si="93"/>
        <v>0</v>
      </c>
      <c r="T304" s="83"/>
    </row>
    <row r="305" spans="1:30" ht="15.75" customHeight="1" x14ac:dyDescent="0.2">
      <c r="A305" s="239" t="s">
        <v>189</v>
      </c>
      <c r="B305" s="75"/>
      <c r="C305" s="299"/>
      <c r="D305" s="189">
        <f t="shared" ref="D305:G305" si="94">SUM(D290:D304)</f>
        <v>-3276454</v>
      </c>
      <c r="E305" s="189" t="e">
        <f t="shared" si="94"/>
        <v>#REF!</v>
      </c>
      <c r="F305" s="189" t="e">
        <f t="shared" si="94"/>
        <v>#REF!</v>
      </c>
      <c r="G305" s="189" t="e">
        <f t="shared" si="94"/>
        <v>#REF!</v>
      </c>
      <c r="H305" s="300">
        <f t="shared" si="90"/>
        <v>0</v>
      </c>
      <c r="I305" s="189" t="e">
        <f t="shared" si="91"/>
        <v>#REF!</v>
      </c>
      <c r="J305" s="189">
        <v>0</v>
      </c>
      <c r="K305" s="299"/>
      <c r="L305" s="77">
        <f t="shared" ref="L305:S305" si="95">SUM(L290:L304)</f>
        <v>-4488398</v>
      </c>
      <c r="M305" s="77">
        <f t="shared" si="95"/>
        <v>-4949465.53</v>
      </c>
      <c r="N305" s="77">
        <f t="shared" si="95"/>
        <v>-5636050</v>
      </c>
      <c r="O305" s="77">
        <f t="shared" si="95"/>
        <v>-2776843.69</v>
      </c>
      <c r="P305" s="189">
        <f t="shared" si="95"/>
        <v>-5636050</v>
      </c>
      <c r="Q305" s="189">
        <f t="shared" si="95"/>
        <v>-5726525</v>
      </c>
      <c r="R305" s="77">
        <f t="shared" si="95"/>
        <v>-5726525</v>
      </c>
      <c r="S305" s="77">
        <f t="shared" si="95"/>
        <v>0</v>
      </c>
      <c r="T305" s="83"/>
    </row>
    <row r="306" spans="1:30" ht="15.75" customHeight="1" x14ac:dyDescent="0.2">
      <c r="C306" s="287"/>
      <c r="K306" s="287"/>
      <c r="L306" s="54"/>
      <c r="M306" s="54"/>
      <c r="N306" s="54"/>
      <c r="O306" s="54"/>
      <c r="P306" s="54"/>
      <c r="Q306" s="54"/>
      <c r="R306" s="83"/>
      <c r="S306" s="83"/>
      <c r="T306" s="83"/>
    </row>
    <row r="307" spans="1:30" ht="15.75" customHeight="1" x14ac:dyDescent="0.2">
      <c r="A307" s="69" t="s">
        <v>190</v>
      </c>
      <c r="B307" s="51"/>
      <c r="C307" s="309"/>
      <c r="D307" s="193">
        <f t="shared" ref="D307:G307" si="96">D287+D305</f>
        <v>4896215</v>
      </c>
      <c r="E307" s="193" t="e">
        <f t="shared" si="96"/>
        <v>#REF!</v>
      </c>
      <c r="F307" s="193" t="e">
        <f t="shared" si="96"/>
        <v>#REF!</v>
      </c>
      <c r="G307" s="193" t="e">
        <f t="shared" si="96"/>
        <v>#REF!</v>
      </c>
      <c r="H307" s="310">
        <f>IFERROR(((Q307-G307)/G307),0)</f>
        <v>0</v>
      </c>
      <c r="I307" s="193" t="e">
        <f>Q307-G307</f>
        <v>#REF!</v>
      </c>
      <c r="J307" s="193">
        <f>J305+J300</f>
        <v>0</v>
      </c>
      <c r="K307" s="309"/>
      <c r="L307" s="245">
        <f t="shared" ref="L307:S307" si="97">L287+L305</f>
        <v>6086775</v>
      </c>
      <c r="M307" s="245">
        <f t="shared" si="97"/>
        <v>3770450.2700000005</v>
      </c>
      <c r="N307" s="245">
        <f t="shared" si="97"/>
        <v>5965598</v>
      </c>
      <c r="O307" s="245">
        <f t="shared" si="97"/>
        <v>5282109.9800000004</v>
      </c>
      <c r="P307" s="193">
        <f t="shared" si="97"/>
        <v>4934774.9550000001</v>
      </c>
      <c r="Q307" s="193">
        <f t="shared" si="97"/>
        <v>6350693</v>
      </c>
      <c r="R307" s="245">
        <f t="shared" si="97"/>
        <v>6350693</v>
      </c>
      <c r="S307" s="245">
        <f t="shared" si="97"/>
        <v>0</v>
      </c>
      <c r="T307" s="83"/>
      <c r="W307" s="56"/>
      <c r="X307" s="56"/>
      <c r="Y307" s="56"/>
      <c r="Z307" s="56"/>
      <c r="AA307" s="56"/>
      <c r="AB307" s="56"/>
      <c r="AC307" s="56"/>
      <c r="AD307" s="56"/>
    </row>
    <row r="308" spans="1:30" ht="15.75" customHeight="1" x14ac:dyDescent="0.2">
      <c r="C308" s="287"/>
      <c r="K308" s="287"/>
      <c r="R308" s="83"/>
      <c r="S308" s="83"/>
      <c r="T308" s="83"/>
    </row>
    <row r="309" spans="1:30" ht="15.75" customHeight="1" x14ac:dyDescent="0.2">
      <c r="C309" s="287"/>
      <c r="K309" s="287"/>
    </row>
    <row r="310" spans="1:30" ht="15.75" customHeight="1" x14ac:dyDescent="0.2">
      <c r="C310" s="288"/>
      <c r="K310" s="288"/>
      <c r="L310" s="199" t="e">
        <f t="shared" ref="L310:R310" si="98">#REF!</f>
        <v>#REF!</v>
      </c>
      <c r="M310" s="199" t="e">
        <f t="shared" si="98"/>
        <v>#REF!</v>
      </c>
      <c r="N310" s="199" t="e">
        <f t="shared" si="98"/>
        <v>#REF!</v>
      </c>
      <c r="O310" s="199" t="e">
        <f t="shared" si="98"/>
        <v>#REF!</v>
      </c>
      <c r="P310" s="199" t="e">
        <f t="shared" si="98"/>
        <v>#REF!</v>
      </c>
      <c r="Q310" s="199" t="e">
        <f t="shared" si="98"/>
        <v>#REF!</v>
      </c>
      <c r="R310" s="173" t="e">
        <f t="shared" si="98"/>
        <v>#REF!</v>
      </c>
    </row>
    <row r="311" spans="1:30" ht="15.75" customHeight="1" x14ac:dyDescent="0.2">
      <c r="C311" s="289"/>
      <c r="K311" s="289"/>
      <c r="L311" s="290">
        <f t="shared" ref="L311:R311" si="99">L307</f>
        <v>6086775</v>
      </c>
      <c r="M311" s="290">
        <f t="shared" si="99"/>
        <v>3770450.2700000005</v>
      </c>
      <c r="N311" s="290">
        <f t="shared" si="99"/>
        <v>5965598</v>
      </c>
      <c r="O311" s="290">
        <f t="shared" si="99"/>
        <v>5282109.9800000004</v>
      </c>
      <c r="P311" s="290">
        <f t="shared" si="99"/>
        <v>4934774.9550000001</v>
      </c>
      <c r="Q311" s="290">
        <f t="shared" si="99"/>
        <v>6350693</v>
      </c>
      <c r="R311" s="291">
        <f t="shared" si="99"/>
        <v>6350693</v>
      </c>
    </row>
    <row r="312" spans="1:30" ht="15.75" customHeight="1" x14ac:dyDescent="0.2">
      <c r="C312" s="287"/>
      <c r="K312" s="287"/>
    </row>
    <row r="313" spans="1:30" ht="15.75" customHeight="1" x14ac:dyDescent="0.2">
      <c r="C313" s="287"/>
      <c r="K313" s="287"/>
    </row>
    <row r="314" spans="1:30" ht="15.75" customHeight="1" x14ac:dyDescent="0.2">
      <c r="C314" s="287"/>
      <c r="K314" s="287"/>
    </row>
    <row r="315" spans="1:30" ht="15.75" customHeight="1" x14ac:dyDescent="0.2">
      <c r="C315" s="287"/>
      <c r="K315" s="287"/>
    </row>
    <row r="316" spans="1:30" ht="15.75" customHeight="1" x14ac:dyDescent="0.2">
      <c r="C316" s="287"/>
      <c r="K316" s="287"/>
    </row>
    <row r="317" spans="1:30" ht="15.75" customHeight="1" x14ac:dyDescent="0.2">
      <c r="C317" s="287"/>
      <c r="K317" s="287"/>
    </row>
    <row r="318" spans="1:30" ht="15.75" customHeight="1" x14ac:dyDescent="0.2">
      <c r="C318" s="287"/>
      <c r="K318" s="287"/>
    </row>
    <row r="319" spans="1:30" ht="15.75" customHeight="1" x14ac:dyDescent="0.2">
      <c r="C319" s="287"/>
      <c r="K319" s="287"/>
    </row>
    <row r="320" spans="1:30" ht="15.75" customHeight="1" x14ac:dyDescent="0.2">
      <c r="C320" s="287"/>
      <c r="K320" s="287"/>
    </row>
    <row r="321" spans="3:11" ht="15.75" customHeight="1" x14ac:dyDescent="0.2">
      <c r="C321" s="287"/>
      <c r="K321" s="287"/>
    </row>
    <row r="322" spans="3:11" ht="15.75" customHeight="1" x14ac:dyDescent="0.2">
      <c r="C322" s="287"/>
      <c r="K322" s="287"/>
    </row>
    <row r="323" spans="3:11" ht="15.75" customHeight="1" x14ac:dyDescent="0.2">
      <c r="C323" s="287"/>
      <c r="K323" s="287"/>
    </row>
    <row r="324" spans="3:11" ht="15.75" customHeight="1" x14ac:dyDescent="0.2">
      <c r="C324" s="287"/>
      <c r="K324" s="287"/>
    </row>
    <row r="325" spans="3:11" ht="15.75" customHeight="1" x14ac:dyDescent="0.2">
      <c r="C325" s="287"/>
      <c r="K325" s="287"/>
    </row>
    <row r="326" spans="3:11" ht="15.75" customHeight="1" x14ac:dyDescent="0.2">
      <c r="C326" s="287"/>
      <c r="K326" s="287"/>
    </row>
    <row r="327" spans="3:11" ht="15.75" customHeight="1" x14ac:dyDescent="0.2">
      <c r="C327" s="287"/>
      <c r="K327" s="287"/>
    </row>
    <row r="328" spans="3:11" ht="15.75" customHeight="1" x14ac:dyDescent="0.2">
      <c r="C328" s="287"/>
      <c r="K328" s="287"/>
    </row>
    <row r="329" spans="3:11" ht="15.75" customHeight="1" x14ac:dyDescent="0.2">
      <c r="C329" s="287"/>
      <c r="K329" s="287"/>
    </row>
    <row r="330" spans="3:11" ht="15.75" customHeight="1" x14ac:dyDescent="0.2">
      <c r="C330" s="287"/>
      <c r="K330" s="287"/>
    </row>
    <row r="331" spans="3:11" ht="15.75" customHeight="1" x14ac:dyDescent="0.2">
      <c r="C331" s="287"/>
      <c r="K331" s="287"/>
    </row>
    <row r="332" spans="3:11" ht="15.75" customHeight="1" x14ac:dyDescent="0.2">
      <c r="C332" s="287"/>
      <c r="K332" s="287"/>
    </row>
    <row r="333" spans="3:11" ht="15.75" customHeight="1" x14ac:dyDescent="0.2">
      <c r="C333" s="287"/>
      <c r="K333" s="287"/>
    </row>
    <row r="334" spans="3:11" ht="15.75" customHeight="1" x14ac:dyDescent="0.2">
      <c r="C334" s="287"/>
      <c r="K334" s="287"/>
    </row>
    <row r="335" spans="3:11" ht="15.75" customHeight="1" x14ac:dyDescent="0.2">
      <c r="C335" s="287"/>
      <c r="K335" s="287"/>
    </row>
    <row r="336" spans="3:11" ht="15.75" customHeight="1" x14ac:dyDescent="0.2">
      <c r="C336" s="287"/>
      <c r="K336" s="287"/>
    </row>
    <row r="337" spans="3:11" ht="15.75" customHeight="1" x14ac:dyDescent="0.2">
      <c r="C337" s="287"/>
      <c r="K337" s="287"/>
    </row>
    <row r="338" spans="3:11" ht="15.75" customHeight="1" x14ac:dyDescent="0.2">
      <c r="C338" s="287"/>
      <c r="K338" s="287"/>
    </row>
    <row r="339" spans="3:11" ht="15.75" customHeight="1" x14ac:dyDescent="0.2">
      <c r="C339" s="287"/>
      <c r="K339" s="287"/>
    </row>
    <row r="340" spans="3:11" ht="15.75" customHeight="1" x14ac:dyDescent="0.2">
      <c r="C340" s="287"/>
      <c r="K340" s="287"/>
    </row>
    <row r="341" spans="3:11" ht="15.75" customHeight="1" x14ac:dyDescent="0.2">
      <c r="C341" s="287"/>
      <c r="K341" s="287"/>
    </row>
    <row r="342" spans="3:11" ht="15.75" customHeight="1" x14ac:dyDescent="0.2">
      <c r="C342" s="287"/>
      <c r="K342" s="287"/>
    </row>
    <row r="343" spans="3:11" ht="15.75" customHeight="1" x14ac:dyDescent="0.2">
      <c r="C343" s="287"/>
      <c r="K343" s="287"/>
    </row>
    <row r="344" spans="3:11" ht="15.75" customHeight="1" x14ac:dyDescent="0.2">
      <c r="C344" s="287"/>
      <c r="K344" s="287"/>
    </row>
    <row r="345" spans="3:11" ht="15.75" customHeight="1" x14ac:dyDescent="0.2">
      <c r="C345" s="287"/>
      <c r="K345" s="287"/>
    </row>
    <row r="346" spans="3:11" ht="15.75" customHeight="1" x14ac:dyDescent="0.2">
      <c r="C346" s="287"/>
      <c r="K346" s="287"/>
    </row>
    <row r="347" spans="3:11" ht="15.75" customHeight="1" x14ac:dyDescent="0.2">
      <c r="C347" s="287"/>
      <c r="K347" s="287"/>
    </row>
    <row r="348" spans="3:11" ht="15.75" customHeight="1" x14ac:dyDescent="0.2">
      <c r="C348" s="287"/>
      <c r="K348" s="287"/>
    </row>
    <row r="349" spans="3:11" ht="15.75" customHeight="1" x14ac:dyDescent="0.2">
      <c r="C349" s="287"/>
      <c r="K349" s="287"/>
    </row>
    <row r="350" spans="3:11" ht="15.75" customHeight="1" x14ac:dyDescent="0.2">
      <c r="C350" s="287"/>
      <c r="K350" s="287"/>
    </row>
    <row r="351" spans="3:11" ht="15.75" customHeight="1" x14ac:dyDescent="0.2">
      <c r="C351" s="287"/>
      <c r="K351" s="287"/>
    </row>
    <row r="352" spans="3:11" ht="15.75" customHeight="1" x14ac:dyDescent="0.2">
      <c r="C352" s="287"/>
      <c r="K352" s="287"/>
    </row>
    <row r="353" spans="1:19" ht="15.75" customHeight="1" x14ac:dyDescent="0.2">
      <c r="C353" s="287"/>
      <c r="K353" s="287"/>
    </row>
    <row r="354" spans="1:19" ht="15.75" customHeight="1" x14ac:dyDescent="0.2">
      <c r="C354" s="287"/>
      <c r="K354" s="287"/>
    </row>
    <row r="355" spans="1:19" ht="15.75" customHeight="1" x14ac:dyDescent="0.2">
      <c r="C355" s="287"/>
      <c r="K355" s="287"/>
    </row>
    <row r="356" spans="1:19" ht="15.75" customHeight="1" x14ac:dyDescent="0.2">
      <c r="C356" s="287"/>
      <c r="K356" s="287"/>
    </row>
    <row r="357" spans="1:19" ht="15.75" customHeight="1" x14ac:dyDescent="0.2">
      <c r="C357" s="287"/>
      <c r="K357" s="287"/>
    </row>
    <row r="358" spans="1:19" ht="15.75" customHeight="1" x14ac:dyDescent="0.2">
      <c r="C358" s="287"/>
      <c r="K358" s="287"/>
    </row>
    <row r="359" spans="1:19" ht="15.75" customHeight="1" x14ac:dyDescent="0.2">
      <c r="C359" s="287"/>
      <c r="K359" s="287"/>
    </row>
    <row r="360" spans="1:19" ht="15.75" customHeight="1" x14ac:dyDescent="0.2">
      <c r="C360" s="287"/>
      <c r="K360" s="287"/>
    </row>
    <row r="361" spans="1:19" ht="15.75" customHeight="1" x14ac:dyDescent="0.2">
      <c r="C361" s="287"/>
      <c r="K361" s="287"/>
    </row>
    <row r="362" spans="1:19" ht="15.75" customHeight="1" x14ac:dyDescent="0.2">
      <c r="A362" s="3" t="s">
        <v>50</v>
      </c>
      <c r="B362" s="3" t="s">
        <v>51</v>
      </c>
      <c r="C362" s="292"/>
      <c r="D362" s="99" t="s">
        <v>52</v>
      </c>
      <c r="E362" s="100" t="s">
        <v>53</v>
      </c>
      <c r="F362" s="100" t="s">
        <v>54</v>
      </c>
      <c r="G362" s="100" t="s">
        <v>55</v>
      </c>
      <c r="H362" s="24" t="s">
        <v>56</v>
      </c>
      <c r="I362" s="24" t="s">
        <v>57</v>
      </c>
      <c r="J362" s="101" t="s">
        <v>58</v>
      </c>
      <c r="K362" s="292"/>
      <c r="L362" s="3" t="s">
        <v>59</v>
      </c>
      <c r="M362" s="3" t="s">
        <v>60</v>
      </c>
      <c r="N362" s="3" t="s">
        <v>61</v>
      </c>
      <c r="O362" s="3" t="s">
        <v>62</v>
      </c>
      <c r="P362" s="293" t="s">
        <v>541</v>
      </c>
      <c r="Q362" s="293" t="s">
        <v>64</v>
      </c>
      <c r="R362" s="293" t="s">
        <v>65</v>
      </c>
      <c r="S362" s="293" t="s">
        <v>586</v>
      </c>
    </row>
    <row r="363" spans="1:19" ht="15.75" customHeight="1" x14ac:dyDescent="0.25">
      <c r="A363" s="565" t="s">
        <v>730</v>
      </c>
      <c r="B363" s="566"/>
      <c r="C363" s="311"/>
      <c r="D363" s="66"/>
      <c r="E363" s="65"/>
      <c r="F363" s="65"/>
      <c r="G363" s="275"/>
      <c r="H363" s="234"/>
      <c r="K363" s="311"/>
      <c r="L363" s="65"/>
      <c r="M363" s="165"/>
      <c r="N363" s="65"/>
      <c r="O363" s="165"/>
      <c r="P363" s="157"/>
      <c r="Q363" s="157"/>
      <c r="R363" s="275"/>
      <c r="S363" s="275"/>
    </row>
    <row r="364" spans="1:19" ht="15.75" customHeight="1" x14ac:dyDescent="0.25">
      <c r="A364" s="66" t="s">
        <v>731</v>
      </c>
      <c r="B364" s="66" t="s">
        <v>115</v>
      </c>
      <c r="C364" s="295"/>
      <c r="D364" s="160">
        <v>17188</v>
      </c>
      <c r="E364" s="160" t="e">
        <f>D364*#REF!</f>
        <v>#REF!</v>
      </c>
      <c r="F364" s="160" t="e">
        <f>D364*#REF!</f>
        <v>#REF!</v>
      </c>
      <c r="G364" s="160" t="e">
        <f>(D364*#REF!)*#REF!</f>
        <v>#REF!</v>
      </c>
      <c r="H364" s="296">
        <f t="shared" ref="H364:H368" si="100">IFERROR(((Q364-G364)/G364),0)</f>
        <v>0</v>
      </c>
      <c r="I364" s="147" t="e">
        <f t="shared" ref="I364:I368" si="101">Q364-G364</f>
        <v>#REF!</v>
      </c>
      <c r="J364" s="97">
        <v>0</v>
      </c>
      <c r="K364" s="295"/>
      <c r="L364" s="20">
        <v>29621</v>
      </c>
      <c r="M364" s="20">
        <v>30691.33</v>
      </c>
      <c r="N364" s="20">
        <v>30000</v>
      </c>
      <c r="O364" s="20">
        <f>VLOOKUP(A364,TB!A:F,3)</f>
        <v>19221.04</v>
      </c>
      <c r="P364" s="163">
        <f t="shared" ref="P364:P367" si="102">N364</f>
        <v>30000</v>
      </c>
      <c r="Q364" s="160">
        <v>43000</v>
      </c>
      <c r="R364" s="233">
        <f>VLOOKUP(A364,TB!A:F,6)</f>
        <v>43000</v>
      </c>
      <c r="S364" s="233">
        <f t="shared" ref="S364:S367" si="103">Q364-R364</f>
        <v>0</v>
      </c>
    </row>
    <row r="365" spans="1:19" ht="15.75" customHeight="1" x14ac:dyDescent="0.25">
      <c r="A365" s="66" t="s">
        <v>732</v>
      </c>
      <c r="B365" s="66" t="s">
        <v>84</v>
      </c>
      <c r="C365" s="295"/>
      <c r="D365" s="160">
        <v>478</v>
      </c>
      <c r="E365" s="160" t="e">
        <f>D365*#REF!</f>
        <v>#REF!</v>
      </c>
      <c r="F365" s="160" t="e">
        <f>D365*#REF!</f>
        <v>#REF!</v>
      </c>
      <c r="G365" s="160" t="e">
        <f>(D365*#REF!)*#REF!</f>
        <v>#REF!</v>
      </c>
      <c r="H365" s="296">
        <f t="shared" si="100"/>
        <v>0</v>
      </c>
      <c r="I365" s="147" t="e">
        <f t="shared" si="101"/>
        <v>#REF!</v>
      </c>
      <c r="J365" s="97">
        <v>0</v>
      </c>
      <c r="K365" s="295"/>
      <c r="L365" s="20">
        <v>2550</v>
      </c>
      <c r="M365" s="20">
        <v>114875.74</v>
      </c>
      <c r="N365" s="20">
        <v>153120</v>
      </c>
      <c r="O365" s="20">
        <f>VLOOKUP(A365,TB!A:F,3)</f>
        <v>78090.03</v>
      </c>
      <c r="P365" s="163">
        <f t="shared" si="102"/>
        <v>153120</v>
      </c>
      <c r="Q365" s="160">
        <v>153120</v>
      </c>
      <c r="R365" s="233">
        <f>VLOOKUP(A365,TB!A:F,6)</f>
        <v>153120</v>
      </c>
      <c r="S365" s="233">
        <f t="shared" si="103"/>
        <v>0</v>
      </c>
    </row>
    <row r="366" spans="1:19" ht="15.75" customHeight="1" x14ac:dyDescent="0.25">
      <c r="A366" s="66" t="s">
        <v>733</v>
      </c>
      <c r="B366" s="66" t="s">
        <v>88</v>
      </c>
      <c r="C366" s="295"/>
      <c r="D366" s="160">
        <v>400</v>
      </c>
      <c r="E366" s="160" t="e">
        <f>D366*#REF!</f>
        <v>#REF!</v>
      </c>
      <c r="F366" s="160" t="e">
        <f>D366*#REF!</f>
        <v>#REF!</v>
      </c>
      <c r="G366" s="160" t="e">
        <f>(D366*#REF!)*#REF!</f>
        <v>#REF!</v>
      </c>
      <c r="H366" s="296">
        <f t="shared" si="100"/>
        <v>0</v>
      </c>
      <c r="I366" s="147" t="e">
        <f t="shared" si="101"/>
        <v>#REF!</v>
      </c>
      <c r="J366" s="97">
        <v>0</v>
      </c>
      <c r="K366" s="295"/>
      <c r="L366" s="20">
        <v>7495</v>
      </c>
      <c r="M366" s="20">
        <v>8428.66</v>
      </c>
      <c r="N366" s="20">
        <v>37500</v>
      </c>
      <c r="O366" s="20">
        <f>VLOOKUP(A366,TB!A:F,3)</f>
        <v>5346.5</v>
      </c>
      <c r="P366" s="163">
        <f t="shared" si="102"/>
        <v>37500</v>
      </c>
      <c r="Q366" s="160">
        <v>24300</v>
      </c>
      <c r="R366" s="233">
        <f>VLOOKUP(A366,TB!A:F,6)</f>
        <v>24300</v>
      </c>
      <c r="S366" s="233">
        <f t="shared" si="103"/>
        <v>0</v>
      </c>
    </row>
    <row r="367" spans="1:19" ht="15.75" customHeight="1" x14ac:dyDescent="0.25">
      <c r="A367" s="66" t="s">
        <v>734</v>
      </c>
      <c r="B367" s="66" t="s">
        <v>90</v>
      </c>
      <c r="C367" s="295"/>
      <c r="D367" s="160">
        <v>3932</v>
      </c>
      <c r="E367" s="160" t="e">
        <f>D367*#REF!</f>
        <v>#REF!</v>
      </c>
      <c r="F367" s="160" t="e">
        <f>D367*#REF!</f>
        <v>#REF!</v>
      </c>
      <c r="G367" s="160" t="e">
        <f>(D367*#REF!)*#REF!</f>
        <v>#REF!</v>
      </c>
      <c r="H367" s="296">
        <f t="shared" si="100"/>
        <v>0</v>
      </c>
      <c r="I367" s="147" t="e">
        <f t="shared" si="101"/>
        <v>#REF!</v>
      </c>
      <c r="J367" s="97">
        <v>0</v>
      </c>
      <c r="K367" s="295"/>
      <c r="L367" s="20">
        <v>6013</v>
      </c>
      <c r="M367" s="20">
        <v>5483.81</v>
      </c>
      <c r="N367" s="20">
        <v>8300</v>
      </c>
      <c r="O367" s="20">
        <f>VLOOKUP(A367,TB!A:F,3)</f>
        <v>642.79999999999995</v>
      </c>
      <c r="P367" s="163">
        <f t="shared" si="102"/>
        <v>8300</v>
      </c>
      <c r="Q367" s="160">
        <v>6500</v>
      </c>
      <c r="R367" s="233">
        <f>VLOOKUP(A367,TB!A:F,6)</f>
        <v>6500</v>
      </c>
      <c r="S367" s="233">
        <f t="shared" si="103"/>
        <v>0</v>
      </c>
    </row>
    <row r="368" spans="1:19" ht="15.75" customHeight="1" x14ac:dyDescent="0.25">
      <c r="A368" s="74" t="s">
        <v>735</v>
      </c>
      <c r="B368" s="75"/>
      <c r="C368" s="299"/>
      <c r="D368" s="189">
        <f t="shared" ref="D368:G368" si="104">SUM(D364:D367)</f>
        <v>21998</v>
      </c>
      <c r="E368" s="189" t="e">
        <f t="shared" si="104"/>
        <v>#REF!</v>
      </c>
      <c r="F368" s="189" t="e">
        <f t="shared" si="104"/>
        <v>#REF!</v>
      </c>
      <c r="G368" s="189" t="e">
        <f t="shared" si="104"/>
        <v>#REF!</v>
      </c>
      <c r="H368" s="300">
        <f t="shared" si="100"/>
        <v>0</v>
      </c>
      <c r="I368" s="189" t="e">
        <f t="shared" si="101"/>
        <v>#REF!</v>
      </c>
      <c r="J368" s="301">
        <f>SUM(J364:J367)</f>
        <v>0</v>
      </c>
      <c r="K368" s="299"/>
      <c r="L368" s="77">
        <f t="shared" ref="L368:S368" si="105">SUM(L364:L367)</f>
        <v>45679</v>
      </c>
      <c r="M368" s="77">
        <f t="shared" si="105"/>
        <v>159479.54</v>
      </c>
      <c r="N368" s="77">
        <f t="shared" si="105"/>
        <v>228920</v>
      </c>
      <c r="O368" s="77">
        <f t="shared" si="105"/>
        <v>103300.37000000001</v>
      </c>
      <c r="P368" s="189">
        <f t="shared" si="105"/>
        <v>228920</v>
      </c>
      <c r="Q368" s="189">
        <f t="shared" si="105"/>
        <v>226920</v>
      </c>
      <c r="R368" s="77">
        <f t="shared" si="105"/>
        <v>226920</v>
      </c>
      <c r="S368" s="77">
        <f t="shared" si="105"/>
        <v>0</v>
      </c>
    </row>
    <row r="369" spans="1:30" ht="15.75" customHeight="1" x14ac:dyDescent="0.25">
      <c r="C369" s="287"/>
      <c r="K369" s="287"/>
      <c r="L369" s="54"/>
      <c r="M369" s="54"/>
      <c r="N369" s="54"/>
      <c r="O369" s="20"/>
      <c r="P369" s="54"/>
      <c r="Q369" s="54"/>
      <c r="R369" s="83"/>
      <c r="S369" s="83"/>
    </row>
    <row r="370" spans="1:30" ht="15.75" customHeight="1" x14ac:dyDescent="0.2">
      <c r="A370" s="69" t="s">
        <v>184</v>
      </c>
      <c r="C370" s="287"/>
      <c r="K370" s="287"/>
      <c r="L370" s="54"/>
      <c r="M370" s="54"/>
      <c r="N370" s="54"/>
      <c r="O370" s="54"/>
      <c r="P370" s="54"/>
      <c r="Q370" s="54"/>
      <c r="R370" s="83"/>
      <c r="S370" s="83"/>
    </row>
    <row r="371" spans="1:30" ht="15.75" customHeight="1" x14ac:dyDescent="0.25">
      <c r="C371" s="307"/>
      <c r="D371" s="147"/>
      <c r="E371" s="160" t="e">
        <f>D371*#REF!</f>
        <v>#REF!</v>
      </c>
      <c r="F371" s="160" t="e">
        <f>D371*#REF!</f>
        <v>#REF!</v>
      </c>
      <c r="G371" s="160" t="e">
        <f>(D371*#REF!)*#REF!</f>
        <v>#REF!</v>
      </c>
      <c r="H371" s="296">
        <f t="shared" ref="H371:H372" si="106">IFERROR(((Q371-G371)/G371),0)</f>
        <v>0</v>
      </c>
      <c r="I371" s="147" t="e">
        <f t="shared" ref="I371:I372" si="107">Q371-G371</f>
        <v>#REF!</v>
      </c>
      <c r="J371" s="97">
        <v>0</v>
      </c>
      <c r="K371" s="307"/>
      <c r="L371" s="54"/>
      <c r="M371" s="54"/>
      <c r="N371" s="54"/>
      <c r="O371" s="54"/>
      <c r="P371" s="54"/>
      <c r="Q371" s="54"/>
      <c r="R371" s="81"/>
      <c r="S371" s="81"/>
    </row>
    <row r="372" spans="1:30" ht="15.75" customHeight="1" x14ac:dyDescent="0.2">
      <c r="A372" s="239" t="s">
        <v>189</v>
      </c>
      <c r="B372" s="75"/>
      <c r="C372" s="299"/>
      <c r="D372" s="189">
        <f t="shared" ref="D372:G372" si="108">SUM(D371)</f>
        <v>0</v>
      </c>
      <c r="E372" s="189" t="e">
        <f t="shared" si="108"/>
        <v>#REF!</v>
      </c>
      <c r="F372" s="189" t="e">
        <f t="shared" si="108"/>
        <v>#REF!</v>
      </c>
      <c r="G372" s="189" t="e">
        <f t="shared" si="108"/>
        <v>#REF!</v>
      </c>
      <c r="H372" s="300">
        <f t="shared" si="106"/>
        <v>0</v>
      </c>
      <c r="I372" s="189" t="e">
        <f t="shared" si="107"/>
        <v>#REF!</v>
      </c>
      <c r="J372" s="189">
        <v>0</v>
      </c>
      <c r="K372" s="299"/>
      <c r="L372" s="77">
        <f t="shared" ref="L372:S372" si="109">SUM(L371)</f>
        <v>0</v>
      </c>
      <c r="M372" s="77">
        <f t="shared" si="109"/>
        <v>0</v>
      </c>
      <c r="N372" s="77">
        <f t="shared" si="109"/>
        <v>0</v>
      </c>
      <c r="O372" s="77">
        <f t="shared" si="109"/>
        <v>0</v>
      </c>
      <c r="P372" s="189">
        <f t="shared" si="109"/>
        <v>0</v>
      </c>
      <c r="Q372" s="189">
        <f t="shared" si="109"/>
        <v>0</v>
      </c>
      <c r="R372" s="77">
        <f t="shared" si="109"/>
        <v>0</v>
      </c>
      <c r="S372" s="77">
        <f t="shared" si="109"/>
        <v>0</v>
      </c>
    </row>
    <row r="373" spans="1:30" ht="15.75" customHeight="1" x14ac:dyDescent="0.2">
      <c r="C373" s="287"/>
      <c r="K373" s="287"/>
      <c r="L373" s="54"/>
      <c r="M373" s="54"/>
      <c r="N373" s="54"/>
      <c r="O373" s="54"/>
      <c r="P373" s="54"/>
      <c r="Q373" s="54"/>
      <c r="R373" s="83"/>
      <c r="S373" s="83"/>
    </row>
    <row r="374" spans="1:30" ht="15.75" customHeight="1" x14ac:dyDescent="0.2">
      <c r="A374" s="69" t="s">
        <v>190</v>
      </c>
      <c r="B374" s="51"/>
      <c r="C374" s="309"/>
      <c r="D374" s="193">
        <f t="shared" ref="D374:G374" si="110">D368+D372</f>
        <v>21998</v>
      </c>
      <c r="E374" s="193" t="e">
        <f t="shared" si="110"/>
        <v>#REF!</v>
      </c>
      <c r="F374" s="193" t="e">
        <f t="shared" si="110"/>
        <v>#REF!</v>
      </c>
      <c r="G374" s="193" t="e">
        <f t="shared" si="110"/>
        <v>#REF!</v>
      </c>
      <c r="H374" s="310">
        <f>IFERROR(((Q374-G374)/G374),0)</f>
        <v>0</v>
      </c>
      <c r="I374" s="193" t="e">
        <f>Q374-G374</f>
        <v>#REF!</v>
      </c>
      <c r="J374" s="193">
        <f>J372+J368</f>
        <v>0</v>
      </c>
      <c r="K374" s="309"/>
      <c r="L374" s="245">
        <f t="shared" ref="L374:S374" si="111">L368+L372</f>
        <v>45679</v>
      </c>
      <c r="M374" s="245">
        <f t="shared" si="111"/>
        <v>159479.54</v>
      </c>
      <c r="N374" s="245">
        <f t="shared" si="111"/>
        <v>228920</v>
      </c>
      <c r="O374" s="245">
        <f t="shared" si="111"/>
        <v>103300.37000000001</v>
      </c>
      <c r="P374" s="193">
        <f t="shared" si="111"/>
        <v>228920</v>
      </c>
      <c r="Q374" s="193">
        <f t="shared" si="111"/>
        <v>226920</v>
      </c>
      <c r="R374" s="245">
        <f t="shared" si="111"/>
        <v>226920</v>
      </c>
      <c r="S374" s="245">
        <f t="shared" si="111"/>
        <v>0</v>
      </c>
      <c r="W374" s="56"/>
      <c r="X374" s="56"/>
      <c r="Y374" s="56"/>
      <c r="Z374" s="56"/>
      <c r="AA374" s="56"/>
      <c r="AB374" s="56"/>
      <c r="AC374" s="56"/>
      <c r="AD374" s="56"/>
    </row>
    <row r="375" spans="1:30" ht="15.75" customHeight="1" x14ac:dyDescent="0.2">
      <c r="C375" s="287"/>
      <c r="K375" s="287"/>
    </row>
    <row r="376" spans="1:30" ht="15.75" customHeight="1" x14ac:dyDescent="0.2">
      <c r="C376" s="287"/>
      <c r="K376" s="287"/>
    </row>
    <row r="377" spans="1:30" ht="15.75" customHeight="1" x14ac:dyDescent="0.2">
      <c r="C377" s="288"/>
      <c r="K377" s="288"/>
      <c r="L377" s="269" t="s">
        <v>60</v>
      </c>
      <c r="M377" s="114" t="s">
        <v>61</v>
      </c>
      <c r="N377" s="269" t="s">
        <v>62</v>
      </c>
      <c r="O377" s="269" t="s">
        <v>541</v>
      </c>
      <c r="P377" s="269" t="s">
        <v>64</v>
      </c>
      <c r="Q377" s="269" t="s">
        <v>65</v>
      </c>
      <c r="R377" s="114" t="s">
        <v>586</v>
      </c>
    </row>
    <row r="378" spans="1:30" ht="15.75" customHeight="1" x14ac:dyDescent="0.2">
      <c r="C378" s="289"/>
      <c r="K378" s="289"/>
      <c r="L378" s="63">
        <f t="shared" ref="L378:R378" si="112">L374</f>
        <v>45679</v>
      </c>
      <c r="M378" s="63">
        <f t="shared" si="112"/>
        <v>159479.54</v>
      </c>
      <c r="N378" s="63">
        <f t="shared" si="112"/>
        <v>228920</v>
      </c>
      <c r="O378" s="63">
        <f t="shared" si="112"/>
        <v>103300.37000000001</v>
      </c>
      <c r="P378" s="63">
        <f t="shared" si="112"/>
        <v>228920</v>
      </c>
      <c r="Q378" s="63">
        <f t="shared" si="112"/>
        <v>226920</v>
      </c>
      <c r="R378" s="63">
        <f t="shared" si="112"/>
        <v>226920</v>
      </c>
    </row>
    <row r="379" spans="1:30" ht="15.75" customHeight="1" x14ac:dyDescent="0.2">
      <c r="C379" s="287"/>
      <c r="K379" s="287"/>
    </row>
    <row r="380" spans="1:30" ht="15.75" customHeight="1" x14ac:dyDescent="0.2">
      <c r="C380" s="287"/>
      <c r="K380" s="287"/>
    </row>
    <row r="381" spans="1:30" ht="15.75" customHeight="1" x14ac:dyDescent="0.2">
      <c r="C381" s="287"/>
      <c r="K381" s="287"/>
    </row>
    <row r="382" spans="1:30" ht="15.75" customHeight="1" x14ac:dyDescent="0.2">
      <c r="C382" s="287"/>
      <c r="K382" s="287"/>
    </row>
    <row r="383" spans="1:30" ht="15.75" customHeight="1" x14ac:dyDescent="0.2">
      <c r="C383" s="287"/>
      <c r="K383" s="287"/>
    </row>
    <row r="384" spans="1:30" ht="15.75" customHeight="1" x14ac:dyDescent="0.2">
      <c r="C384" s="287"/>
      <c r="K384" s="287"/>
    </row>
    <row r="385" spans="3:11" ht="15.75" customHeight="1" x14ac:dyDescent="0.2">
      <c r="C385" s="287"/>
      <c r="K385" s="287"/>
    </row>
    <row r="386" spans="3:11" ht="15.75" customHeight="1" x14ac:dyDescent="0.2">
      <c r="C386" s="287"/>
      <c r="K386" s="287"/>
    </row>
    <row r="387" spans="3:11" ht="15.75" customHeight="1" x14ac:dyDescent="0.2">
      <c r="C387" s="287"/>
      <c r="K387" s="287"/>
    </row>
    <row r="388" spans="3:11" ht="15.75" customHeight="1" x14ac:dyDescent="0.2">
      <c r="C388" s="287"/>
      <c r="K388" s="287"/>
    </row>
    <row r="389" spans="3:11" ht="15.75" customHeight="1" x14ac:dyDescent="0.2">
      <c r="C389" s="287"/>
      <c r="K389" s="287"/>
    </row>
    <row r="390" spans="3:11" ht="15.75" customHeight="1" x14ac:dyDescent="0.2">
      <c r="C390" s="287"/>
      <c r="K390" s="287"/>
    </row>
    <row r="391" spans="3:11" ht="15.75" customHeight="1" x14ac:dyDescent="0.2">
      <c r="C391" s="287"/>
      <c r="K391" s="287"/>
    </row>
    <row r="392" spans="3:11" ht="15.75" customHeight="1" x14ac:dyDescent="0.2">
      <c r="C392" s="287"/>
      <c r="K392" s="287"/>
    </row>
    <row r="393" spans="3:11" ht="15.75" customHeight="1" x14ac:dyDescent="0.2">
      <c r="C393" s="287"/>
      <c r="K393" s="287"/>
    </row>
    <row r="394" spans="3:11" ht="15.75" customHeight="1" x14ac:dyDescent="0.2">
      <c r="C394" s="287"/>
      <c r="K394" s="287"/>
    </row>
    <row r="395" spans="3:11" ht="15.75" customHeight="1" x14ac:dyDescent="0.2">
      <c r="C395" s="287"/>
      <c r="K395" s="287"/>
    </row>
    <row r="396" spans="3:11" ht="15.75" customHeight="1" x14ac:dyDescent="0.2">
      <c r="C396" s="287"/>
      <c r="K396" s="287"/>
    </row>
    <row r="397" spans="3:11" ht="15.75" customHeight="1" x14ac:dyDescent="0.2">
      <c r="C397" s="287"/>
      <c r="K397" s="287"/>
    </row>
    <row r="398" spans="3:11" ht="15.75" customHeight="1" x14ac:dyDescent="0.2">
      <c r="C398" s="287"/>
      <c r="K398" s="287"/>
    </row>
    <row r="399" spans="3:11" ht="15.75" customHeight="1" x14ac:dyDescent="0.2">
      <c r="C399" s="287"/>
      <c r="K399" s="287"/>
    </row>
    <row r="400" spans="3:11" ht="15.75" customHeight="1" x14ac:dyDescent="0.2">
      <c r="C400" s="287"/>
      <c r="K400" s="287"/>
    </row>
    <row r="401" spans="3:11" ht="15.75" customHeight="1" x14ac:dyDescent="0.2">
      <c r="C401" s="287"/>
      <c r="K401" s="287"/>
    </row>
    <row r="402" spans="3:11" ht="15.75" customHeight="1" x14ac:dyDescent="0.2">
      <c r="C402" s="287"/>
      <c r="K402" s="287"/>
    </row>
    <row r="403" spans="3:11" ht="15.75" customHeight="1" x14ac:dyDescent="0.2">
      <c r="C403" s="287"/>
      <c r="K403" s="287"/>
    </row>
    <row r="404" spans="3:11" ht="15.75" customHeight="1" x14ac:dyDescent="0.2">
      <c r="C404" s="287"/>
      <c r="K404" s="287"/>
    </row>
    <row r="405" spans="3:11" ht="15.75" customHeight="1" x14ac:dyDescent="0.2">
      <c r="C405" s="287"/>
      <c r="K405" s="287"/>
    </row>
    <row r="406" spans="3:11" ht="15.75" customHeight="1" x14ac:dyDescent="0.2">
      <c r="C406" s="287"/>
      <c r="K406" s="287"/>
    </row>
    <row r="407" spans="3:11" ht="1.5" customHeight="1" x14ac:dyDescent="0.2">
      <c r="C407" s="287"/>
      <c r="K407" s="287"/>
    </row>
    <row r="408" spans="3:11" ht="15.75" customHeight="1" x14ac:dyDescent="0.2">
      <c r="C408" s="287"/>
      <c r="K408" s="287"/>
    </row>
    <row r="409" spans="3:11" ht="15.75" customHeight="1" x14ac:dyDescent="0.2">
      <c r="C409" s="287"/>
      <c r="K409" s="287"/>
    </row>
    <row r="410" spans="3:11" ht="15.75" customHeight="1" x14ac:dyDescent="0.2">
      <c r="C410" s="287"/>
      <c r="K410" s="287"/>
    </row>
    <row r="411" spans="3:11" ht="15.75" customHeight="1" x14ac:dyDescent="0.2">
      <c r="C411" s="287"/>
      <c r="K411" s="287"/>
    </row>
    <row r="412" spans="3:11" ht="15.75" customHeight="1" x14ac:dyDescent="0.2">
      <c r="C412" s="287"/>
      <c r="K412" s="287"/>
    </row>
    <row r="413" spans="3:11" ht="15.75" customHeight="1" x14ac:dyDescent="0.2">
      <c r="C413" s="287"/>
      <c r="K413" s="287"/>
    </row>
    <row r="414" spans="3:11" ht="15.75" customHeight="1" x14ac:dyDescent="0.2">
      <c r="C414" s="287"/>
      <c r="K414" s="287"/>
    </row>
    <row r="415" spans="3:11" ht="15.75" customHeight="1" x14ac:dyDescent="0.2">
      <c r="C415" s="287"/>
      <c r="K415" s="287"/>
    </row>
    <row r="416" spans="3:11" ht="15.75" customHeight="1" x14ac:dyDescent="0.2">
      <c r="C416" s="287"/>
      <c r="K416" s="287"/>
    </row>
    <row r="417" spans="1:19" ht="15.75" customHeight="1" x14ac:dyDescent="0.2">
      <c r="C417" s="287"/>
      <c r="K417" s="287"/>
    </row>
    <row r="418" spans="1:19" ht="15.75" customHeight="1" x14ac:dyDescent="0.2">
      <c r="C418" s="287"/>
      <c r="K418" s="287"/>
    </row>
    <row r="419" spans="1:19" ht="15.75" customHeight="1" x14ac:dyDescent="0.2">
      <c r="C419" s="287"/>
      <c r="K419" s="287"/>
    </row>
    <row r="420" spans="1:19" ht="15.75" customHeight="1" x14ac:dyDescent="0.2">
      <c r="C420" s="287"/>
      <c r="K420" s="287"/>
    </row>
    <row r="421" spans="1:19" ht="15.75" customHeight="1" x14ac:dyDescent="0.2">
      <c r="C421" s="287"/>
      <c r="K421" s="287"/>
    </row>
    <row r="422" spans="1:19" ht="15.75" customHeight="1" x14ac:dyDescent="0.2">
      <c r="C422" s="287"/>
      <c r="K422" s="287"/>
    </row>
    <row r="423" spans="1:19" ht="15.75" customHeight="1" x14ac:dyDescent="0.2">
      <c r="C423" s="287"/>
      <c r="K423" s="287"/>
    </row>
    <row r="424" spans="1:19" ht="15.75" customHeight="1" x14ac:dyDescent="0.2">
      <c r="C424" s="287"/>
      <c r="K424" s="287"/>
    </row>
    <row r="425" spans="1:19" ht="15.75" customHeight="1" x14ac:dyDescent="0.2">
      <c r="C425" s="287"/>
      <c r="K425" s="287"/>
    </row>
    <row r="426" spans="1:19" ht="15.75" customHeight="1" x14ac:dyDescent="0.2">
      <c r="C426" s="287"/>
      <c r="K426" s="287"/>
    </row>
    <row r="427" spans="1:19" ht="15.75" customHeight="1" x14ac:dyDescent="0.2">
      <c r="C427" s="287"/>
      <c r="K427" s="287"/>
    </row>
    <row r="428" spans="1:19" ht="15.75" customHeight="1" x14ac:dyDescent="0.2">
      <c r="C428" s="287"/>
      <c r="K428" s="287"/>
    </row>
    <row r="429" spans="1:19" ht="15.75" customHeight="1" x14ac:dyDescent="0.2">
      <c r="C429" s="287"/>
      <c r="K429" s="287"/>
    </row>
    <row r="430" spans="1:19" ht="15.75" customHeight="1" x14ac:dyDescent="0.2">
      <c r="A430" s="3" t="s">
        <v>50</v>
      </c>
      <c r="B430" s="3" t="s">
        <v>51</v>
      </c>
      <c r="C430" s="292"/>
      <c r="D430" s="99" t="s">
        <v>52</v>
      </c>
      <c r="E430" s="100" t="s">
        <v>53</v>
      </c>
      <c r="F430" s="100" t="s">
        <v>54</v>
      </c>
      <c r="G430" s="100" t="s">
        <v>55</v>
      </c>
      <c r="H430" s="24" t="s">
        <v>56</v>
      </c>
      <c r="I430" s="24" t="s">
        <v>57</v>
      </c>
      <c r="J430" s="101" t="s">
        <v>58</v>
      </c>
      <c r="K430" s="292"/>
      <c r="L430" s="3" t="s">
        <v>59</v>
      </c>
      <c r="M430" s="3" t="s">
        <v>60</v>
      </c>
      <c r="N430" s="3" t="s">
        <v>61</v>
      </c>
      <c r="O430" s="3" t="s">
        <v>62</v>
      </c>
      <c r="P430" s="293" t="s">
        <v>541</v>
      </c>
      <c r="Q430" s="293" t="s">
        <v>64</v>
      </c>
      <c r="R430" s="293" t="s">
        <v>65</v>
      </c>
      <c r="S430" s="293" t="s">
        <v>586</v>
      </c>
    </row>
    <row r="431" spans="1:19" ht="15.75" customHeight="1" x14ac:dyDescent="0.25">
      <c r="A431" s="565" t="s">
        <v>736</v>
      </c>
      <c r="B431" s="566"/>
      <c r="C431" s="566"/>
      <c r="D431" s="566"/>
      <c r="E431" s="65"/>
      <c r="F431" s="65"/>
      <c r="G431" s="275"/>
      <c r="H431" s="234"/>
      <c r="L431" s="65"/>
      <c r="M431" s="165"/>
      <c r="N431" s="65"/>
      <c r="O431" s="165"/>
      <c r="P431" s="157"/>
      <c r="Q431" s="157"/>
      <c r="R431" s="275"/>
      <c r="S431" s="275"/>
    </row>
    <row r="432" spans="1:19" ht="15.75" customHeight="1" x14ac:dyDescent="0.25">
      <c r="A432" s="66" t="s">
        <v>737</v>
      </c>
      <c r="B432" s="66" t="s">
        <v>68</v>
      </c>
      <c r="C432" s="295"/>
      <c r="D432" s="160">
        <v>104878</v>
      </c>
      <c r="E432" s="160" t="e">
        <f>D432*#REF!</f>
        <v>#REF!</v>
      </c>
      <c r="F432" s="160" t="e">
        <f>D432*#REF!</f>
        <v>#REF!</v>
      </c>
      <c r="G432" s="160" t="e">
        <f>(D432*#REF!)*#REF!</f>
        <v>#REF!</v>
      </c>
      <c r="H432" s="296">
        <f t="shared" ref="H432:H443" si="113">IFERROR(((Q432-G432)/G432),0)</f>
        <v>0</v>
      </c>
      <c r="I432" s="147" t="e">
        <f t="shared" ref="I432:I443" si="114">Q432-G432</f>
        <v>#REF!</v>
      </c>
      <c r="J432" s="97">
        <v>0</v>
      </c>
      <c r="K432" s="295"/>
      <c r="L432" s="20">
        <v>134117</v>
      </c>
      <c r="M432" s="20">
        <v>122614.05</v>
      </c>
      <c r="N432" s="20">
        <v>290931</v>
      </c>
      <c r="O432" s="20">
        <f>VLOOKUP(A432,TB!A:F,3)</f>
        <v>192571.31</v>
      </c>
      <c r="P432" s="160">
        <f t="shared" ref="P432:P435" si="115">O432/20*26</f>
        <v>250342.70300000001</v>
      </c>
      <c r="Q432" s="160">
        <v>313000</v>
      </c>
      <c r="R432" s="233">
        <f>VLOOKUP(A432,TB!A:F,6)</f>
        <v>313000</v>
      </c>
      <c r="S432" s="233">
        <f t="shared" ref="S432:S442" si="116">Q432-R432</f>
        <v>0</v>
      </c>
    </row>
    <row r="433" spans="1:19" ht="15.75" customHeight="1" x14ac:dyDescent="0.25">
      <c r="A433" s="66" t="s">
        <v>738</v>
      </c>
      <c r="B433" s="66" t="s">
        <v>70</v>
      </c>
      <c r="C433" s="295"/>
      <c r="D433" s="160">
        <v>1517</v>
      </c>
      <c r="E433" s="160" t="e">
        <f>D433*#REF!</f>
        <v>#REF!</v>
      </c>
      <c r="F433" s="160" t="e">
        <f>D433*#REF!</f>
        <v>#REF!</v>
      </c>
      <c r="G433" s="160" t="e">
        <f>(D433*#REF!)*#REF!</f>
        <v>#REF!</v>
      </c>
      <c r="H433" s="296">
        <f t="shared" si="113"/>
        <v>0</v>
      </c>
      <c r="I433" s="147" t="e">
        <f t="shared" si="114"/>
        <v>#REF!</v>
      </c>
      <c r="J433" s="97">
        <v>0</v>
      </c>
      <c r="K433" s="295"/>
      <c r="L433" s="20">
        <v>4044</v>
      </c>
      <c r="M433" s="20">
        <v>6586.39</v>
      </c>
      <c r="N433" s="20">
        <v>6500</v>
      </c>
      <c r="O433" s="20">
        <f>VLOOKUP(A433,TB!A:F,3)</f>
        <v>7421.51</v>
      </c>
      <c r="P433" s="160">
        <f t="shared" si="115"/>
        <v>9647.9630000000016</v>
      </c>
      <c r="Q433" s="160">
        <v>8800</v>
      </c>
      <c r="R433" s="233">
        <f>VLOOKUP(A433,TB!A:F,6)</f>
        <v>8800</v>
      </c>
      <c r="S433" s="233">
        <f t="shared" si="116"/>
        <v>0</v>
      </c>
    </row>
    <row r="434" spans="1:19" ht="15.75" customHeight="1" x14ac:dyDescent="0.25">
      <c r="A434" s="66" t="s">
        <v>739</v>
      </c>
      <c r="B434" s="66" t="s">
        <v>72</v>
      </c>
      <c r="C434" s="295"/>
      <c r="D434" s="160">
        <v>37761</v>
      </c>
      <c r="E434" s="160" t="e">
        <f>D434*#REF!</f>
        <v>#REF!</v>
      </c>
      <c r="F434" s="160" t="e">
        <f>D434*#REF!</f>
        <v>#REF!</v>
      </c>
      <c r="G434" s="160" t="e">
        <f>(D434*#REF!)*#REF!</f>
        <v>#REF!</v>
      </c>
      <c r="H434" s="296">
        <f t="shared" si="113"/>
        <v>0</v>
      </c>
      <c r="I434" s="147" t="e">
        <f t="shared" si="114"/>
        <v>#REF!</v>
      </c>
      <c r="J434" s="97">
        <v>0</v>
      </c>
      <c r="K434" s="295"/>
      <c r="L434" s="20">
        <v>51348</v>
      </c>
      <c r="M434" s="20">
        <v>60632.49</v>
      </c>
      <c r="N434" s="20">
        <v>166400</v>
      </c>
      <c r="O434" s="20">
        <f>VLOOKUP(A434,TB!A:F,3)</f>
        <v>95391.6</v>
      </c>
      <c r="P434" s="160">
        <f t="shared" si="115"/>
        <v>124009.08</v>
      </c>
      <c r="Q434" s="160">
        <v>157800</v>
      </c>
      <c r="R434" s="233">
        <f>VLOOKUP(A434,TB!A:F,6)</f>
        <v>157800</v>
      </c>
      <c r="S434" s="233">
        <f t="shared" si="116"/>
        <v>0</v>
      </c>
    </row>
    <row r="435" spans="1:19" ht="15.75" customHeight="1" x14ac:dyDescent="0.25">
      <c r="A435" s="66" t="s">
        <v>740</v>
      </c>
      <c r="B435" s="66" t="s">
        <v>451</v>
      </c>
      <c r="C435" s="295"/>
      <c r="D435" s="160">
        <v>480</v>
      </c>
      <c r="E435" s="160" t="e">
        <f>D435*#REF!</f>
        <v>#REF!</v>
      </c>
      <c r="F435" s="160" t="e">
        <f>D435*#REF!</f>
        <v>#REF!</v>
      </c>
      <c r="G435" s="160" t="e">
        <f>(D435*#REF!)*#REF!</f>
        <v>#REF!</v>
      </c>
      <c r="H435" s="296">
        <f t="shared" si="113"/>
        <v>0</v>
      </c>
      <c r="I435" s="147" t="e">
        <f t="shared" si="114"/>
        <v>#REF!</v>
      </c>
      <c r="J435" s="97">
        <v>0</v>
      </c>
      <c r="K435" s="295"/>
      <c r="L435" s="20">
        <v>983</v>
      </c>
      <c r="M435" s="20">
        <v>1172.67</v>
      </c>
      <c r="N435" s="20">
        <v>2800</v>
      </c>
      <c r="O435" s="20">
        <f>VLOOKUP(A435,TB!A:F,3)</f>
        <v>278.91000000000003</v>
      </c>
      <c r="P435" s="160">
        <f t="shared" si="115"/>
        <v>362.58300000000003</v>
      </c>
      <c r="Q435" s="160">
        <v>2800</v>
      </c>
      <c r="R435" s="233">
        <f>VLOOKUP(A435,TB!A:F,6)</f>
        <v>2800</v>
      </c>
      <c r="S435" s="233">
        <f t="shared" si="116"/>
        <v>0</v>
      </c>
    </row>
    <row r="436" spans="1:19" ht="15.75" customHeight="1" x14ac:dyDescent="0.25">
      <c r="A436" s="66" t="s">
        <v>741</v>
      </c>
      <c r="B436" s="66" t="s">
        <v>742</v>
      </c>
      <c r="C436" s="295"/>
      <c r="D436" s="160">
        <v>9550</v>
      </c>
      <c r="E436" s="160" t="e">
        <f>D436*#REF!</f>
        <v>#REF!</v>
      </c>
      <c r="F436" s="160" t="e">
        <f>D436*#REF!</f>
        <v>#REF!</v>
      </c>
      <c r="G436" s="160" t="e">
        <f>(D436*#REF!)*#REF!</f>
        <v>#REF!</v>
      </c>
      <c r="H436" s="296">
        <f t="shared" si="113"/>
        <v>0</v>
      </c>
      <c r="I436" s="147" t="e">
        <f t="shared" si="114"/>
        <v>#REF!</v>
      </c>
      <c r="J436" s="97">
        <v>0</v>
      </c>
      <c r="K436" s="295"/>
      <c r="L436" s="20">
        <v>7283</v>
      </c>
      <c r="M436" s="20">
        <v>3461.73</v>
      </c>
      <c r="N436" s="20">
        <v>19000</v>
      </c>
      <c r="O436" s="20">
        <f>VLOOKUP(A436,TB!A:F,3)</f>
        <v>1144.4100000000001</v>
      </c>
      <c r="P436" s="163">
        <f>N436</f>
        <v>19000</v>
      </c>
      <c r="Q436" s="160">
        <v>7500</v>
      </c>
      <c r="R436" s="233">
        <f>VLOOKUP(A436,TB!A:F,6)</f>
        <v>7500</v>
      </c>
      <c r="S436" s="233">
        <f t="shared" si="116"/>
        <v>0</v>
      </c>
    </row>
    <row r="437" spans="1:19" ht="15.75" customHeight="1" x14ac:dyDescent="0.25">
      <c r="A437" s="66" t="s">
        <v>743</v>
      </c>
      <c r="B437" s="66" t="s">
        <v>76</v>
      </c>
      <c r="C437" s="295"/>
      <c r="D437" s="160">
        <v>0</v>
      </c>
      <c r="E437" s="160" t="e">
        <f>D437*#REF!</f>
        <v>#REF!</v>
      </c>
      <c r="F437" s="160" t="e">
        <f>D437*#REF!</f>
        <v>#REF!</v>
      </c>
      <c r="G437" s="160" t="e">
        <f>(D437*#REF!)*#REF!</f>
        <v>#REF!</v>
      </c>
      <c r="H437" s="296">
        <f t="shared" si="113"/>
        <v>0</v>
      </c>
      <c r="I437" s="147" t="e">
        <f t="shared" si="114"/>
        <v>#REF!</v>
      </c>
      <c r="J437" s="97">
        <v>0</v>
      </c>
      <c r="K437" s="295"/>
      <c r="L437" s="20">
        <v>0</v>
      </c>
      <c r="M437" s="20">
        <v>1122</v>
      </c>
      <c r="N437" s="20">
        <v>1500</v>
      </c>
      <c r="O437" s="20">
        <f>VLOOKUP(A437,TB!A:F,3)</f>
        <v>1557.2</v>
      </c>
      <c r="P437" s="160">
        <f>O437/9*12</f>
        <v>2076.2666666666669</v>
      </c>
      <c r="Q437" s="160">
        <v>2000</v>
      </c>
      <c r="R437" s="233">
        <f>VLOOKUP(A437,TB!A:F,6)</f>
        <v>2000</v>
      </c>
      <c r="S437" s="233">
        <f t="shared" si="116"/>
        <v>0</v>
      </c>
    </row>
    <row r="438" spans="1:19" ht="15.75" customHeight="1" x14ac:dyDescent="0.25">
      <c r="A438" s="66" t="s">
        <v>744</v>
      </c>
      <c r="B438" s="66" t="s">
        <v>115</v>
      </c>
      <c r="C438" s="295"/>
      <c r="D438" s="160">
        <v>46</v>
      </c>
      <c r="E438" s="160" t="e">
        <f>D438*#REF!</f>
        <v>#REF!</v>
      </c>
      <c r="F438" s="160" t="e">
        <f>D438*#REF!</f>
        <v>#REF!</v>
      </c>
      <c r="G438" s="160" t="e">
        <f>(D438*#REF!)*#REF!</f>
        <v>#REF!</v>
      </c>
      <c r="H438" s="296">
        <f t="shared" si="113"/>
        <v>0</v>
      </c>
      <c r="I438" s="147" t="e">
        <f t="shared" si="114"/>
        <v>#REF!</v>
      </c>
      <c r="J438" s="97">
        <v>0</v>
      </c>
      <c r="K438" s="295"/>
      <c r="L438" s="20">
        <v>0</v>
      </c>
      <c r="M438" s="20">
        <v>831.97</v>
      </c>
      <c r="N438" s="20">
        <v>2500</v>
      </c>
      <c r="O438" s="20">
        <f>VLOOKUP(A438,TB!A:F,3)</f>
        <v>931.1</v>
      </c>
      <c r="P438" s="163">
        <f>N438</f>
        <v>2500</v>
      </c>
      <c r="Q438" s="160">
        <v>9000</v>
      </c>
      <c r="R438" s="233">
        <f>VLOOKUP(A438,TB!A:F,6)</f>
        <v>9000</v>
      </c>
      <c r="S438" s="233">
        <f t="shared" si="116"/>
        <v>0</v>
      </c>
    </row>
    <row r="439" spans="1:19" ht="15.75" customHeight="1" x14ac:dyDescent="0.25">
      <c r="A439" s="66" t="s">
        <v>745</v>
      </c>
      <c r="B439" s="66" t="s">
        <v>210</v>
      </c>
      <c r="C439" s="295"/>
      <c r="D439" s="160">
        <v>8742</v>
      </c>
      <c r="E439" s="160" t="e">
        <f>D439*#REF!</f>
        <v>#REF!</v>
      </c>
      <c r="F439" s="160" t="e">
        <f>D439*#REF!</f>
        <v>#REF!</v>
      </c>
      <c r="G439" s="160" t="e">
        <f>(D439*#REF!)*#REF!</f>
        <v>#REF!</v>
      </c>
      <c r="H439" s="296">
        <f t="shared" si="113"/>
        <v>0</v>
      </c>
      <c r="I439" s="147" t="e">
        <f t="shared" si="114"/>
        <v>#REF!</v>
      </c>
      <c r="J439" s="97">
        <v>0</v>
      </c>
      <c r="K439" s="295"/>
      <c r="L439" s="20">
        <v>13646</v>
      </c>
      <c r="M439" s="20">
        <v>0</v>
      </c>
      <c r="N439" s="20">
        <v>0</v>
      </c>
      <c r="O439" s="20">
        <f>VLOOKUP(A439,TB!A:F,3)</f>
        <v>0</v>
      </c>
      <c r="P439" s="160">
        <f>O439/9*12</f>
        <v>0</v>
      </c>
      <c r="Q439" s="160">
        <v>0</v>
      </c>
      <c r="R439" s="233">
        <f>VLOOKUP(A439,TB!A:F,6)</f>
        <v>0</v>
      </c>
      <c r="S439" s="233">
        <f t="shared" si="116"/>
        <v>0</v>
      </c>
    </row>
    <row r="440" spans="1:19" ht="15.75" customHeight="1" x14ac:dyDescent="0.25">
      <c r="A440" s="66" t="s">
        <v>746</v>
      </c>
      <c r="B440" s="66" t="s">
        <v>90</v>
      </c>
      <c r="C440" s="295"/>
      <c r="D440" s="160">
        <v>0</v>
      </c>
      <c r="E440" s="160" t="e">
        <f>D440*#REF!</f>
        <v>#REF!</v>
      </c>
      <c r="F440" s="160" t="e">
        <f>D440*#REF!</f>
        <v>#REF!</v>
      </c>
      <c r="G440" s="160" t="e">
        <f>(D440*#REF!)*#REF!</f>
        <v>#REF!</v>
      </c>
      <c r="H440" s="296">
        <f t="shared" si="113"/>
        <v>0</v>
      </c>
      <c r="I440" s="147" t="e">
        <f t="shared" si="114"/>
        <v>#REF!</v>
      </c>
      <c r="J440" s="97">
        <v>0</v>
      </c>
      <c r="K440" s="295"/>
      <c r="L440" s="20">
        <v>0</v>
      </c>
      <c r="M440" s="20">
        <v>2337</v>
      </c>
      <c r="N440" s="20">
        <v>2500</v>
      </c>
      <c r="O440" s="20">
        <f>VLOOKUP(A440,TB!A:F,3)</f>
        <v>310</v>
      </c>
      <c r="P440" s="163">
        <f>N440</f>
        <v>2500</v>
      </c>
      <c r="Q440" s="160">
        <v>2500</v>
      </c>
      <c r="R440" s="233">
        <f>VLOOKUP(A440,TB!A:F,6)</f>
        <v>2500</v>
      </c>
      <c r="S440" s="233">
        <f t="shared" si="116"/>
        <v>0</v>
      </c>
    </row>
    <row r="441" spans="1:19" ht="15.75" customHeight="1" x14ac:dyDescent="0.25">
      <c r="A441" s="66" t="s">
        <v>747</v>
      </c>
      <c r="B441" s="66" t="s">
        <v>502</v>
      </c>
      <c r="C441" s="295"/>
      <c r="D441" s="160">
        <v>1202</v>
      </c>
      <c r="E441" s="160" t="e">
        <f>D441*#REF!</f>
        <v>#REF!</v>
      </c>
      <c r="F441" s="160" t="e">
        <f>D441*#REF!</f>
        <v>#REF!</v>
      </c>
      <c r="G441" s="160" t="e">
        <f>(D441*#REF!)*#REF!</f>
        <v>#REF!</v>
      </c>
      <c r="H441" s="296">
        <f t="shared" si="113"/>
        <v>0</v>
      </c>
      <c r="I441" s="147" t="e">
        <f t="shared" si="114"/>
        <v>#REF!</v>
      </c>
      <c r="J441" s="97">
        <v>0</v>
      </c>
      <c r="K441" s="295"/>
      <c r="L441" s="20">
        <v>1568</v>
      </c>
      <c r="M441" s="20">
        <v>154.22</v>
      </c>
      <c r="N441" s="20">
        <v>0</v>
      </c>
      <c r="O441" s="20">
        <f>VLOOKUP(A441,TB!A:F,3)</f>
        <v>0</v>
      </c>
      <c r="P441" s="160">
        <f t="shared" ref="P441:P442" si="117">O441/9*12</f>
        <v>0</v>
      </c>
      <c r="Q441" s="160">
        <v>0</v>
      </c>
      <c r="R441" s="233">
        <f>VLOOKUP(A441,TB!A:F,6)</f>
        <v>0</v>
      </c>
      <c r="S441" s="233">
        <f t="shared" si="116"/>
        <v>0</v>
      </c>
    </row>
    <row r="442" spans="1:19" ht="15.75" customHeight="1" x14ac:dyDescent="0.25">
      <c r="A442" s="66" t="s">
        <v>748</v>
      </c>
      <c r="B442" s="66" t="s">
        <v>92</v>
      </c>
      <c r="C442" s="295"/>
      <c r="D442" s="160">
        <v>0</v>
      </c>
      <c r="E442" s="160" t="e">
        <f>D442*#REF!</f>
        <v>#REF!</v>
      </c>
      <c r="F442" s="160" t="e">
        <f>D442*#REF!</f>
        <v>#REF!</v>
      </c>
      <c r="G442" s="160" t="e">
        <f>(D442*#REF!)*#REF!</f>
        <v>#REF!</v>
      </c>
      <c r="H442" s="296">
        <f t="shared" si="113"/>
        <v>0</v>
      </c>
      <c r="I442" s="147" t="e">
        <f t="shared" si="114"/>
        <v>#REF!</v>
      </c>
      <c r="J442" s="97">
        <v>0</v>
      </c>
      <c r="K442" s="295"/>
      <c r="L442" s="20">
        <v>1089</v>
      </c>
      <c r="M442" s="20">
        <v>0</v>
      </c>
      <c r="N442" s="20">
        <v>0</v>
      </c>
      <c r="O442" s="20">
        <f>VLOOKUP(A442,TB!A:F,3)</f>
        <v>0</v>
      </c>
      <c r="P442" s="160">
        <f t="shared" si="117"/>
        <v>0</v>
      </c>
      <c r="Q442" s="160">
        <v>0</v>
      </c>
      <c r="R442" s="233">
        <f>VLOOKUP(A442,TB!A:F,6)</f>
        <v>0</v>
      </c>
      <c r="S442" s="233">
        <f t="shared" si="116"/>
        <v>0</v>
      </c>
    </row>
    <row r="443" spans="1:19" ht="15.75" customHeight="1" x14ac:dyDescent="0.25">
      <c r="A443" s="74" t="s">
        <v>749</v>
      </c>
      <c r="B443" s="75"/>
      <c r="C443" s="299"/>
      <c r="D443" s="189">
        <f t="shared" ref="D443:G443" si="118">SUM(D432:D442)</f>
        <v>164176</v>
      </c>
      <c r="E443" s="189" t="e">
        <f t="shared" si="118"/>
        <v>#REF!</v>
      </c>
      <c r="F443" s="189" t="e">
        <f t="shared" si="118"/>
        <v>#REF!</v>
      </c>
      <c r="G443" s="189" t="e">
        <f t="shared" si="118"/>
        <v>#REF!</v>
      </c>
      <c r="H443" s="300">
        <f t="shared" si="113"/>
        <v>0</v>
      </c>
      <c r="I443" s="189" t="e">
        <f t="shared" si="114"/>
        <v>#REF!</v>
      </c>
      <c r="J443" s="301">
        <v>0</v>
      </c>
      <c r="K443" s="299"/>
      <c r="L443" s="77">
        <f t="shared" ref="L443:S443" si="119">SUM(L432:L442)</f>
        <v>214078</v>
      </c>
      <c r="M443" s="77">
        <f t="shared" si="119"/>
        <v>198912.52000000002</v>
      </c>
      <c r="N443" s="77">
        <f t="shared" si="119"/>
        <v>492131</v>
      </c>
      <c r="O443" s="77">
        <f t="shared" si="119"/>
        <v>299606.03999999998</v>
      </c>
      <c r="P443" s="189">
        <f t="shared" si="119"/>
        <v>410438.59566666663</v>
      </c>
      <c r="Q443" s="189">
        <f t="shared" si="119"/>
        <v>503400</v>
      </c>
      <c r="R443" s="77">
        <f t="shared" si="119"/>
        <v>503400</v>
      </c>
      <c r="S443" s="77">
        <f t="shared" si="119"/>
        <v>0</v>
      </c>
    </row>
    <row r="444" spans="1:19" ht="15.75" customHeight="1" x14ac:dyDescent="0.2">
      <c r="C444" s="287"/>
      <c r="K444" s="287"/>
      <c r="L444" s="54"/>
      <c r="M444" s="54"/>
      <c r="N444" s="54"/>
      <c r="O444" s="54"/>
      <c r="P444" s="54"/>
      <c r="Q444" s="54"/>
      <c r="R444" s="81"/>
      <c r="S444" s="81"/>
    </row>
    <row r="445" spans="1:19" ht="15.75" customHeight="1" x14ac:dyDescent="0.2">
      <c r="A445" s="69" t="s">
        <v>184</v>
      </c>
      <c r="C445" s="287"/>
      <c r="K445" s="287"/>
      <c r="L445" s="54"/>
      <c r="M445" s="54"/>
      <c r="N445" s="54"/>
      <c r="O445" s="54"/>
      <c r="P445" s="54"/>
      <c r="Q445" s="54"/>
      <c r="R445" s="81"/>
      <c r="S445" s="81"/>
    </row>
    <row r="446" spans="1:19" ht="15.75" customHeight="1" x14ac:dyDescent="0.25">
      <c r="A446" s="51" t="s">
        <v>750</v>
      </c>
      <c r="B446" s="51" t="s">
        <v>751</v>
      </c>
      <c r="C446" s="307"/>
      <c r="D446" s="147">
        <v>-79616</v>
      </c>
      <c r="E446" s="160" t="e">
        <f>D446*#REF!</f>
        <v>#REF!</v>
      </c>
      <c r="F446" s="160" t="e">
        <f>D446*#REF!</f>
        <v>#REF!</v>
      </c>
      <c r="G446" s="160" t="e">
        <f>(D446*#REF!)*#REF!</f>
        <v>#REF!</v>
      </c>
      <c r="H446" s="296">
        <f t="shared" ref="H446:H447" si="120">IFERROR(((Q446-G446)/G446),0)</f>
        <v>0</v>
      </c>
      <c r="I446" s="147" t="e">
        <f t="shared" ref="I446:I447" si="121">Q446-G446</f>
        <v>#REF!</v>
      </c>
      <c r="J446" s="97">
        <v>0</v>
      </c>
      <c r="K446" s="307"/>
      <c r="L446" s="54">
        <v>-79616</v>
      </c>
      <c r="M446" s="54">
        <v>-83037.02</v>
      </c>
      <c r="N446" s="54">
        <v>-96000</v>
      </c>
      <c r="O446" s="20">
        <f>VLOOKUP(A446,TB!A:F,3)</f>
        <v>-89879.01</v>
      </c>
      <c r="P446" s="308">
        <f>N446</f>
        <v>-96000</v>
      </c>
      <c r="Q446" s="54">
        <v>-84000</v>
      </c>
      <c r="R446" s="233">
        <f>VLOOKUP(A446,TB!A:F,6)</f>
        <v>-84000</v>
      </c>
      <c r="S446" s="233">
        <f>Q446-R446</f>
        <v>0</v>
      </c>
    </row>
    <row r="447" spans="1:19" ht="15.75" customHeight="1" x14ac:dyDescent="0.2">
      <c r="A447" s="239" t="s">
        <v>189</v>
      </c>
      <c r="B447" s="75"/>
      <c r="C447" s="299"/>
      <c r="D447" s="189">
        <f t="shared" ref="D447:G447" si="122">SUM(D446)</f>
        <v>-79616</v>
      </c>
      <c r="E447" s="189" t="e">
        <f t="shared" si="122"/>
        <v>#REF!</v>
      </c>
      <c r="F447" s="189" t="e">
        <f t="shared" si="122"/>
        <v>#REF!</v>
      </c>
      <c r="G447" s="189" t="e">
        <f t="shared" si="122"/>
        <v>#REF!</v>
      </c>
      <c r="H447" s="300">
        <f t="shared" si="120"/>
        <v>0</v>
      </c>
      <c r="I447" s="189" t="e">
        <f t="shared" si="121"/>
        <v>#REF!</v>
      </c>
      <c r="J447" s="189">
        <f>SUM(J446)</f>
        <v>0</v>
      </c>
      <c r="K447" s="299"/>
      <c r="L447" s="77">
        <f t="shared" ref="L447:S447" si="123">SUM(L446)</f>
        <v>-79616</v>
      </c>
      <c r="M447" s="77">
        <f t="shared" si="123"/>
        <v>-83037.02</v>
      </c>
      <c r="N447" s="77">
        <f t="shared" si="123"/>
        <v>-96000</v>
      </c>
      <c r="O447" s="77">
        <f t="shared" si="123"/>
        <v>-89879.01</v>
      </c>
      <c r="P447" s="189">
        <f t="shared" si="123"/>
        <v>-96000</v>
      </c>
      <c r="Q447" s="189">
        <f t="shared" si="123"/>
        <v>-84000</v>
      </c>
      <c r="R447" s="77">
        <f t="shared" si="123"/>
        <v>-84000</v>
      </c>
      <c r="S447" s="77">
        <f t="shared" si="123"/>
        <v>0</v>
      </c>
    </row>
    <row r="448" spans="1:19" ht="15.75" customHeight="1" x14ac:dyDescent="0.2">
      <c r="C448" s="287"/>
      <c r="K448" s="287"/>
      <c r="L448" s="54"/>
      <c r="M448" s="54"/>
      <c r="N448" s="54"/>
      <c r="O448" s="54"/>
      <c r="P448" s="54"/>
      <c r="Q448" s="54"/>
      <c r="R448" s="81"/>
      <c r="S448" s="81"/>
    </row>
    <row r="449" spans="1:30" ht="15.75" customHeight="1" x14ac:dyDescent="0.2">
      <c r="A449" s="69" t="s">
        <v>190</v>
      </c>
      <c r="B449" s="51"/>
      <c r="C449" s="309"/>
      <c r="D449" s="193">
        <f t="shared" ref="D449:G449" si="124">D443+D447</f>
        <v>84560</v>
      </c>
      <c r="E449" s="193" t="e">
        <f t="shared" si="124"/>
        <v>#REF!</v>
      </c>
      <c r="F449" s="193" t="e">
        <f t="shared" si="124"/>
        <v>#REF!</v>
      </c>
      <c r="G449" s="193" t="e">
        <f t="shared" si="124"/>
        <v>#REF!</v>
      </c>
      <c r="H449" s="310">
        <f>IFERROR(((Q449-G449)/G449),0)</f>
        <v>0</v>
      </c>
      <c r="I449" s="193" t="e">
        <f>Q449-G449</f>
        <v>#REF!</v>
      </c>
      <c r="J449" s="193">
        <f>J443+J447</f>
        <v>0</v>
      </c>
      <c r="K449" s="309"/>
      <c r="L449" s="245">
        <f t="shared" ref="L449:S449" si="125">L443+L447</f>
        <v>134462</v>
      </c>
      <c r="M449" s="245">
        <f t="shared" si="125"/>
        <v>115875.50000000001</v>
      </c>
      <c r="N449" s="245">
        <f t="shared" si="125"/>
        <v>396131</v>
      </c>
      <c r="O449" s="245">
        <f t="shared" si="125"/>
        <v>209727.02999999997</v>
      </c>
      <c r="P449" s="193">
        <f t="shared" si="125"/>
        <v>314438.59566666663</v>
      </c>
      <c r="Q449" s="193">
        <f t="shared" si="125"/>
        <v>419400</v>
      </c>
      <c r="R449" s="245">
        <f t="shared" si="125"/>
        <v>419400</v>
      </c>
      <c r="S449" s="245">
        <f t="shared" si="125"/>
        <v>0</v>
      </c>
      <c r="W449" s="56"/>
      <c r="X449" s="56"/>
      <c r="Y449" s="56"/>
      <c r="Z449" s="56"/>
      <c r="AA449" s="56"/>
      <c r="AB449" s="56"/>
      <c r="AC449" s="56"/>
      <c r="AD449" s="56"/>
    </row>
    <row r="450" spans="1:30" ht="15.75" customHeight="1" x14ac:dyDescent="0.2">
      <c r="C450" s="287"/>
      <c r="K450" s="287"/>
    </row>
    <row r="451" spans="1:30" ht="15.75" customHeight="1" x14ac:dyDescent="0.2">
      <c r="C451" s="288"/>
      <c r="K451" s="288"/>
      <c r="L451" s="173" t="e">
        <f t="shared" ref="L451:R451" si="126">#REF!</f>
        <v>#REF!</v>
      </c>
      <c r="M451" s="173" t="e">
        <f t="shared" si="126"/>
        <v>#REF!</v>
      </c>
      <c r="N451" s="173" t="e">
        <f t="shared" si="126"/>
        <v>#REF!</v>
      </c>
      <c r="O451" s="173" t="e">
        <f t="shared" si="126"/>
        <v>#REF!</v>
      </c>
      <c r="P451" s="173" t="e">
        <f t="shared" si="126"/>
        <v>#REF!</v>
      </c>
      <c r="Q451" s="173" t="e">
        <f t="shared" si="126"/>
        <v>#REF!</v>
      </c>
      <c r="R451" s="173" t="e">
        <f t="shared" si="126"/>
        <v>#REF!</v>
      </c>
    </row>
    <row r="452" spans="1:30" ht="15.75" customHeight="1" x14ac:dyDescent="0.2">
      <c r="C452" s="289"/>
      <c r="K452" s="289"/>
      <c r="L452" s="63">
        <f t="shared" ref="L452:R452" si="127">L449</f>
        <v>134462</v>
      </c>
      <c r="M452" s="63">
        <f t="shared" si="127"/>
        <v>115875.50000000001</v>
      </c>
      <c r="N452" s="63">
        <f t="shared" si="127"/>
        <v>396131</v>
      </c>
      <c r="O452" s="63">
        <f t="shared" si="127"/>
        <v>209727.02999999997</v>
      </c>
      <c r="P452" s="63">
        <f t="shared" si="127"/>
        <v>314438.59566666663</v>
      </c>
      <c r="Q452" s="63">
        <f t="shared" si="127"/>
        <v>419400</v>
      </c>
      <c r="R452" s="63">
        <f t="shared" si="127"/>
        <v>419400</v>
      </c>
    </row>
    <row r="453" spans="1:30" ht="15.75" customHeight="1" x14ac:dyDescent="0.2">
      <c r="C453" s="287"/>
      <c r="K453" s="287"/>
    </row>
    <row r="454" spans="1:30" ht="15.75" customHeight="1" x14ac:dyDescent="0.2">
      <c r="C454" s="287"/>
      <c r="K454" s="287"/>
    </row>
    <row r="455" spans="1:30" ht="15.75" customHeight="1" x14ac:dyDescent="0.2">
      <c r="C455" s="287"/>
      <c r="K455" s="287"/>
    </row>
    <row r="456" spans="1:30" ht="15.75" customHeight="1" x14ac:dyDescent="0.2">
      <c r="C456" s="287"/>
      <c r="K456" s="287"/>
    </row>
    <row r="457" spans="1:30" ht="15.75" customHeight="1" x14ac:dyDescent="0.2">
      <c r="C457" s="287"/>
      <c r="K457" s="287"/>
    </row>
    <row r="458" spans="1:30" ht="15.75" customHeight="1" x14ac:dyDescent="0.2">
      <c r="C458" s="287"/>
      <c r="K458" s="287"/>
    </row>
    <row r="459" spans="1:30" ht="15.75" customHeight="1" x14ac:dyDescent="0.2">
      <c r="C459" s="287"/>
      <c r="K459" s="287"/>
    </row>
    <row r="460" spans="1:30" ht="15.75" customHeight="1" x14ac:dyDescent="0.2">
      <c r="C460" s="287"/>
      <c r="K460" s="287"/>
    </row>
    <row r="461" spans="1:30" ht="15.75" customHeight="1" x14ac:dyDescent="0.2">
      <c r="C461" s="287"/>
      <c r="K461" s="287"/>
    </row>
    <row r="462" spans="1:30" ht="15.75" customHeight="1" x14ac:dyDescent="0.2">
      <c r="C462" s="287"/>
      <c r="K462" s="287"/>
    </row>
    <row r="463" spans="1:30" ht="15.75" customHeight="1" x14ac:dyDescent="0.2">
      <c r="C463" s="287"/>
      <c r="K463" s="287"/>
    </row>
    <row r="464" spans="1:30" ht="15.75" customHeight="1" x14ac:dyDescent="0.2">
      <c r="C464" s="287"/>
      <c r="K464" s="287"/>
    </row>
    <row r="465" spans="3:11" ht="15.75" customHeight="1" x14ac:dyDescent="0.2">
      <c r="C465" s="287"/>
      <c r="K465" s="287"/>
    </row>
    <row r="466" spans="3:11" ht="15.75" customHeight="1" x14ac:dyDescent="0.2">
      <c r="C466" s="287"/>
      <c r="K466" s="287"/>
    </row>
    <row r="467" spans="3:11" ht="15.75" customHeight="1" x14ac:dyDescent="0.2">
      <c r="C467" s="287"/>
      <c r="K467" s="287"/>
    </row>
    <row r="468" spans="3:11" ht="15.75" customHeight="1" x14ac:dyDescent="0.2">
      <c r="C468" s="287"/>
      <c r="K468" s="287"/>
    </row>
    <row r="469" spans="3:11" ht="15.75" customHeight="1" x14ac:dyDescent="0.2">
      <c r="C469" s="287"/>
      <c r="K469" s="287"/>
    </row>
    <row r="470" spans="3:11" ht="15.75" customHeight="1" x14ac:dyDescent="0.2">
      <c r="C470" s="287"/>
      <c r="K470" s="287"/>
    </row>
    <row r="471" spans="3:11" ht="15.75" customHeight="1" x14ac:dyDescent="0.2">
      <c r="C471" s="287"/>
      <c r="K471" s="287"/>
    </row>
    <row r="472" spans="3:11" ht="15.75" customHeight="1" x14ac:dyDescent="0.2">
      <c r="C472" s="287"/>
      <c r="K472" s="287"/>
    </row>
    <row r="473" spans="3:11" ht="15.75" customHeight="1" x14ac:dyDescent="0.2">
      <c r="C473" s="287"/>
      <c r="K473" s="287"/>
    </row>
    <row r="474" spans="3:11" ht="15.75" customHeight="1" x14ac:dyDescent="0.2">
      <c r="C474" s="287"/>
      <c r="K474" s="287"/>
    </row>
    <row r="475" spans="3:11" ht="15.75" customHeight="1" x14ac:dyDescent="0.2">
      <c r="C475" s="287"/>
      <c r="K475" s="287"/>
    </row>
    <row r="476" spans="3:11" ht="15.75" customHeight="1" x14ac:dyDescent="0.2">
      <c r="C476" s="287"/>
      <c r="K476" s="287"/>
    </row>
    <row r="477" spans="3:11" ht="15.75" customHeight="1" x14ac:dyDescent="0.2">
      <c r="C477" s="287"/>
      <c r="K477" s="287"/>
    </row>
    <row r="478" spans="3:11" ht="15.75" customHeight="1" x14ac:dyDescent="0.2">
      <c r="C478" s="287"/>
      <c r="K478" s="287"/>
    </row>
    <row r="479" spans="3:11" ht="15.75" customHeight="1" x14ac:dyDescent="0.2">
      <c r="C479" s="287"/>
      <c r="K479" s="287"/>
    </row>
    <row r="480" spans="3:11" ht="15.75" customHeight="1" x14ac:dyDescent="0.2">
      <c r="C480" s="287"/>
      <c r="K480" s="287"/>
    </row>
    <row r="481" spans="3:11" ht="15.75" customHeight="1" x14ac:dyDescent="0.2">
      <c r="C481" s="287"/>
      <c r="K481" s="287"/>
    </row>
    <row r="482" spans="3:11" ht="15.75" customHeight="1" x14ac:dyDescent="0.2">
      <c r="C482" s="287"/>
      <c r="K482" s="287"/>
    </row>
    <row r="483" spans="3:11" ht="15.75" customHeight="1" x14ac:dyDescent="0.2">
      <c r="C483" s="287"/>
      <c r="K483" s="287"/>
    </row>
    <row r="484" spans="3:11" ht="15.75" customHeight="1" x14ac:dyDescent="0.2">
      <c r="C484" s="287"/>
      <c r="K484" s="287"/>
    </row>
    <row r="485" spans="3:11" ht="15.75" customHeight="1" x14ac:dyDescent="0.2">
      <c r="C485" s="287"/>
      <c r="K485" s="287"/>
    </row>
    <row r="486" spans="3:11" ht="15.75" customHeight="1" x14ac:dyDescent="0.2">
      <c r="C486" s="287"/>
      <c r="K486" s="287"/>
    </row>
    <row r="487" spans="3:11" ht="15.75" customHeight="1" x14ac:dyDescent="0.2">
      <c r="C487" s="287"/>
      <c r="K487" s="287"/>
    </row>
    <row r="488" spans="3:11" ht="15.75" customHeight="1" x14ac:dyDescent="0.2">
      <c r="C488" s="287"/>
      <c r="K488" s="287"/>
    </row>
    <row r="489" spans="3:11" ht="15.75" customHeight="1" x14ac:dyDescent="0.2">
      <c r="C489" s="287"/>
      <c r="K489" s="287"/>
    </row>
    <row r="490" spans="3:11" ht="15.75" customHeight="1" x14ac:dyDescent="0.2">
      <c r="C490" s="287"/>
      <c r="K490" s="287"/>
    </row>
    <row r="491" spans="3:11" ht="15.75" customHeight="1" x14ac:dyDescent="0.2">
      <c r="C491" s="287"/>
      <c r="K491" s="287"/>
    </row>
    <row r="492" spans="3:11" ht="15.75" customHeight="1" x14ac:dyDescent="0.2">
      <c r="C492" s="287"/>
      <c r="K492" s="287"/>
    </row>
    <row r="493" spans="3:11" ht="15.75" customHeight="1" x14ac:dyDescent="0.2">
      <c r="C493" s="287"/>
      <c r="K493" s="287"/>
    </row>
    <row r="494" spans="3:11" ht="15.75" customHeight="1" x14ac:dyDescent="0.2">
      <c r="C494" s="287"/>
      <c r="K494" s="287"/>
    </row>
    <row r="495" spans="3:11" ht="15.75" customHeight="1" x14ac:dyDescent="0.2">
      <c r="C495" s="287"/>
      <c r="K495" s="287"/>
    </row>
    <row r="496" spans="3:11" ht="15.75" customHeight="1" x14ac:dyDescent="0.2">
      <c r="C496" s="287"/>
      <c r="K496" s="287"/>
    </row>
    <row r="497" spans="1:19" ht="15.75" customHeight="1" x14ac:dyDescent="0.2">
      <c r="C497" s="287"/>
      <c r="K497" s="287"/>
    </row>
    <row r="498" spans="1:19" ht="15.75" customHeight="1" x14ac:dyDescent="0.2">
      <c r="C498" s="287"/>
      <c r="K498" s="287"/>
    </row>
    <row r="499" spans="1:19" ht="15.75" customHeight="1" x14ac:dyDescent="0.2">
      <c r="C499" s="287"/>
      <c r="K499" s="287"/>
    </row>
    <row r="500" spans="1:19" ht="15.75" customHeight="1" x14ac:dyDescent="0.2">
      <c r="C500" s="287"/>
      <c r="K500" s="287"/>
    </row>
    <row r="501" spans="1:19" ht="15.75" customHeight="1" x14ac:dyDescent="0.2">
      <c r="C501" s="287"/>
      <c r="K501" s="287"/>
    </row>
    <row r="502" spans="1:19" ht="15.75" customHeight="1" x14ac:dyDescent="0.2">
      <c r="A502" s="3" t="s">
        <v>50</v>
      </c>
      <c r="B502" s="3" t="s">
        <v>51</v>
      </c>
      <c r="C502" s="292"/>
      <c r="D502" s="99" t="s">
        <v>52</v>
      </c>
      <c r="E502" s="100" t="s">
        <v>53</v>
      </c>
      <c r="F502" s="100" t="s">
        <v>54</v>
      </c>
      <c r="G502" s="100" t="s">
        <v>55</v>
      </c>
      <c r="H502" s="24" t="s">
        <v>56</v>
      </c>
      <c r="I502" s="24" t="s">
        <v>57</v>
      </c>
      <c r="J502" s="101" t="s">
        <v>58</v>
      </c>
      <c r="K502" s="292"/>
      <c r="L502" s="3" t="s">
        <v>59</v>
      </c>
      <c r="M502" s="3" t="s">
        <v>60</v>
      </c>
      <c r="N502" s="3" t="s">
        <v>61</v>
      </c>
      <c r="O502" s="3" t="s">
        <v>62</v>
      </c>
      <c r="P502" s="293" t="s">
        <v>541</v>
      </c>
      <c r="Q502" s="293" t="s">
        <v>64</v>
      </c>
      <c r="R502" s="293" t="s">
        <v>65</v>
      </c>
      <c r="S502" s="293" t="s">
        <v>586</v>
      </c>
    </row>
    <row r="503" spans="1:19" ht="15.75" customHeight="1" x14ac:dyDescent="0.25">
      <c r="A503" s="565" t="s">
        <v>752</v>
      </c>
      <c r="B503" s="566"/>
      <c r="C503" s="311"/>
      <c r="D503" s="66"/>
      <c r="E503" s="65"/>
      <c r="F503" s="65"/>
      <c r="G503" s="275"/>
      <c r="H503" s="234"/>
      <c r="K503" s="311"/>
      <c r="L503" s="65"/>
      <c r="M503" s="165"/>
      <c r="N503" s="65"/>
      <c r="O503" s="165"/>
      <c r="P503" s="157"/>
      <c r="Q503" s="157"/>
      <c r="R503" s="275"/>
      <c r="S503" s="275"/>
    </row>
    <row r="504" spans="1:19" ht="15.75" customHeight="1" x14ac:dyDescent="0.25">
      <c r="A504" s="66" t="s">
        <v>753</v>
      </c>
      <c r="B504" s="66" t="s">
        <v>68</v>
      </c>
      <c r="C504" s="295"/>
      <c r="D504" s="160">
        <v>0</v>
      </c>
      <c r="E504" s="160" t="e">
        <f>D504*#REF!</f>
        <v>#REF!</v>
      </c>
      <c r="F504" s="160" t="e">
        <f>D504*#REF!</f>
        <v>#REF!</v>
      </c>
      <c r="G504" s="160" t="e">
        <f>(D504*#REF!)*#REF!</f>
        <v>#REF!</v>
      </c>
      <c r="H504" s="296">
        <f t="shared" ref="H504:H522" si="128">IFERROR(((Q504-G504)/G504),0)</f>
        <v>0</v>
      </c>
      <c r="I504" s="147" t="e">
        <f t="shared" ref="I504:I522" si="129">Q504-G504</f>
        <v>#REF!</v>
      </c>
      <c r="J504" s="97">
        <v>0</v>
      </c>
      <c r="K504" s="295"/>
      <c r="L504" s="20">
        <v>131453</v>
      </c>
      <c r="M504" s="20">
        <v>159816.60999999999</v>
      </c>
      <c r="N504" s="20">
        <v>204830</v>
      </c>
      <c r="O504" s="20">
        <f>VLOOKUP(A504,TB!A:F,3)</f>
        <v>145154.47</v>
      </c>
      <c r="P504" s="160">
        <f t="shared" ref="P504:P508" si="130">O504/20*26</f>
        <v>188700.81099999999</v>
      </c>
      <c r="Q504" s="160">
        <v>219200</v>
      </c>
      <c r="R504" s="233">
        <f>VLOOKUP(A504,TB!A:F,6)</f>
        <v>219200</v>
      </c>
      <c r="S504" s="233">
        <f t="shared" ref="S504:S521" si="131">Q504-R504</f>
        <v>0</v>
      </c>
    </row>
    <row r="505" spans="1:19" ht="15.75" customHeight="1" x14ac:dyDescent="0.25">
      <c r="A505" s="66" t="s">
        <v>754</v>
      </c>
      <c r="B505" s="66" t="s">
        <v>70</v>
      </c>
      <c r="C505" s="295"/>
      <c r="D505" s="160">
        <v>0</v>
      </c>
      <c r="E505" s="160" t="e">
        <f>D505*#REF!</f>
        <v>#REF!</v>
      </c>
      <c r="F505" s="160" t="e">
        <f>D505*#REF!</f>
        <v>#REF!</v>
      </c>
      <c r="G505" s="160" t="e">
        <f>(D505*#REF!)*#REF!</f>
        <v>#REF!</v>
      </c>
      <c r="H505" s="296">
        <f t="shared" si="128"/>
        <v>0</v>
      </c>
      <c r="I505" s="147" t="e">
        <f t="shared" si="129"/>
        <v>#REF!</v>
      </c>
      <c r="J505" s="97">
        <v>0</v>
      </c>
      <c r="K505" s="295"/>
      <c r="L505" s="20">
        <v>1473</v>
      </c>
      <c r="M505" s="20">
        <v>4448.6099999999997</v>
      </c>
      <c r="N505" s="20">
        <v>6500</v>
      </c>
      <c r="O505" s="20">
        <f>VLOOKUP(A505,TB!A:F,3)</f>
        <v>3562.59</v>
      </c>
      <c r="P505" s="160">
        <f t="shared" si="130"/>
        <v>4631.3670000000002</v>
      </c>
      <c r="Q505" s="160">
        <v>6500</v>
      </c>
      <c r="R505" s="233">
        <f>VLOOKUP(A505,TB!A:F,6)</f>
        <v>6500</v>
      </c>
      <c r="S505" s="233">
        <f t="shared" si="131"/>
        <v>0</v>
      </c>
    </row>
    <row r="506" spans="1:19" ht="15.75" customHeight="1" x14ac:dyDescent="0.25">
      <c r="A506" s="66" t="s">
        <v>755</v>
      </c>
      <c r="B506" s="66" t="s">
        <v>132</v>
      </c>
      <c r="C506" s="295"/>
      <c r="D506" s="160">
        <v>0</v>
      </c>
      <c r="E506" s="160" t="e">
        <f>D506*#REF!</f>
        <v>#REF!</v>
      </c>
      <c r="F506" s="160" t="e">
        <f>D506*#REF!</f>
        <v>#REF!</v>
      </c>
      <c r="G506" s="160" t="e">
        <f>(D506*#REF!)*#REF!</f>
        <v>#REF!</v>
      </c>
      <c r="H506" s="296">
        <f t="shared" si="128"/>
        <v>0</v>
      </c>
      <c r="I506" s="147" t="e">
        <f t="shared" si="129"/>
        <v>#REF!</v>
      </c>
      <c r="J506" s="97">
        <v>0</v>
      </c>
      <c r="K506" s="295"/>
      <c r="L506" s="20">
        <v>78724</v>
      </c>
      <c r="M506" s="20">
        <v>71576.3</v>
      </c>
      <c r="N506" s="20">
        <v>64498</v>
      </c>
      <c r="O506" s="20">
        <f>VLOOKUP(A506,TB!A:F,3)</f>
        <v>49197.13</v>
      </c>
      <c r="P506" s="160">
        <f t="shared" si="130"/>
        <v>63956.269</v>
      </c>
      <c r="Q506" s="160">
        <v>86000</v>
      </c>
      <c r="R506" s="233">
        <f>VLOOKUP(A506,TB!A:F,6)</f>
        <v>86000</v>
      </c>
      <c r="S506" s="233">
        <f t="shared" si="131"/>
        <v>0</v>
      </c>
    </row>
    <row r="507" spans="1:19" ht="15.75" customHeight="1" x14ac:dyDescent="0.25">
      <c r="A507" s="66" t="s">
        <v>756</v>
      </c>
      <c r="B507" s="66" t="s">
        <v>108</v>
      </c>
      <c r="C507" s="295"/>
      <c r="D507" s="160">
        <v>0</v>
      </c>
      <c r="E507" s="160" t="e">
        <f>D507*#REF!</f>
        <v>#REF!</v>
      </c>
      <c r="F507" s="160" t="e">
        <f>D507*#REF!</f>
        <v>#REF!</v>
      </c>
      <c r="G507" s="160" t="e">
        <f>(D507*#REF!)*#REF!</f>
        <v>#REF!</v>
      </c>
      <c r="H507" s="296">
        <f t="shared" si="128"/>
        <v>0</v>
      </c>
      <c r="I507" s="147" t="e">
        <f t="shared" si="129"/>
        <v>#REF!</v>
      </c>
      <c r="J507" s="97">
        <v>0</v>
      </c>
      <c r="K507" s="295"/>
      <c r="L507" s="20">
        <v>0</v>
      </c>
      <c r="M507" s="20">
        <v>0</v>
      </c>
      <c r="N507" s="20">
        <v>0</v>
      </c>
      <c r="O507" s="20">
        <f>VLOOKUP(A507,TB!A:F,3)</f>
        <v>49197.13</v>
      </c>
      <c r="P507" s="160">
        <f t="shared" si="130"/>
        <v>63956.269</v>
      </c>
      <c r="Q507" s="160">
        <v>0</v>
      </c>
      <c r="R507" s="233">
        <v>0</v>
      </c>
      <c r="S507" s="233">
        <f t="shared" si="131"/>
        <v>0</v>
      </c>
    </row>
    <row r="508" spans="1:19" ht="15.75" customHeight="1" x14ac:dyDescent="0.25">
      <c r="A508" s="66" t="s">
        <v>757</v>
      </c>
      <c r="B508" s="66" t="s">
        <v>72</v>
      </c>
      <c r="C508" s="295"/>
      <c r="D508" s="160">
        <v>0</v>
      </c>
      <c r="E508" s="160" t="e">
        <f>D508*#REF!</f>
        <v>#REF!</v>
      </c>
      <c r="F508" s="160" t="e">
        <f>D508*#REF!</f>
        <v>#REF!</v>
      </c>
      <c r="G508" s="160" t="e">
        <f>(D508*#REF!)*#REF!</f>
        <v>#REF!</v>
      </c>
      <c r="H508" s="296">
        <f t="shared" si="128"/>
        <v>0</v>
      </c>
      <c r="I508" s="147" t="e">
        <f t="shared" si="129"/>
        <v>#REF!</v>
      </c>
      <c r="J508" s="97">
        <v>0</v>
      </c>
      <c r="K508" s="295"/>
      <c r="L508" s="20">
        <v>71360</v>
      </c>
      <c r="M508" s="20">
        <v>79982.98</v>
      </c>
      <c r="N508" s="20">
        <v>99908</v>
      </c>
      <c r="O508" s="20">
        <f>VLOOKUP(A508,TB!A:F,3)</f>
        <v>70541.740000000005</v>
      </c>
      <c r="P508" s="160">
        <f t="shared" si="130"/>
        <v>91704.262000000017</v>
      </c>
      <c r="Q508" s="160">
        <v>109600</v>
      </c>
      <c r="R508" s="233">
        <f>VLOOKUP(A508,TB!A:F,6)</f>
        <v>109600</v>
      </c>
      <c r="S508" s="233">
        <f t="shared" si="131"/>
        <v>0</v>
      </c>
    </row>
    <row r="509" spans="1:19" ht="15.75" customHeight="1" x14ac:dyDescent="0.25">
      <c r="A509" s="66" t="s">
        <v>758</v>
      </c>
      <c r="B509" s="66" t="s">
        <v>74</v>
      </c>
      <c r="C509" s="295"/>
      <c r="D509" s="160">
        <v>0</v>
      </c>
      <c r="E509" s="160" t="e">
        <f>D509*#REF!</f>
        <v>#REF!</v>
      </c>
      <c r="F509" s="160" t="e">
        <f>D509*#REF!</f>
        <v>#REF!</v>
      </c>
      <c r="G509" s="160" t="e">
        <f>(D509*#REF!)*#REF!</f>
        <v>#REF!</v>
      </c>
      <c r="H509" s="296">
        <f t="shared" si="128"/>
        <v>0</v>
      </c>
      <c r="I509" s="147" t="e">
        <f t="shared" si="129"/>
        <v>#REF!</v>
      </c>
      <c r="J509" s="97">
        <v>0</v>
      </c>
      <c r="K509" s="295"/>
      <c r="L509" s="20">
        <v>147</v>
      </c>
      <c r="M509" s="20">
        <v>0</v>
      </c>
      <c r="N509" s="20">
        <v>500</v>
      </c>
      <c r="O509" s="20">
        <f>VLOOKUP(A509,TB!A:F,3)</f>
        <v>0</v>
      </c>
      <c r="P509" s="163">
        <f t="shared" ref="P509:P513" si="132">N509</f>
        <v>500</v>
      </c>
      <c r="Q509" s="160">
        <v>500</v>
      </c>
      <c r="R509" s="233">
        <f>VLOOKUP(A509,TB!A:F,6)</f>
        <v>500</v>
      </c>
      <c r="S509" s="233">
        <f t="shared" si="131"/>
        <v>0</v>
      </c>
    </row>
    <row r="510" spans="1:19" ht="15.75" customHeight="1" x14ac:dyDescent="0.25">
      <c r="A510" s="66" t="s">
        <v>759</v>
      </c>
      <c r="B510" s="66" t="s">
        <v>76</v>
      </c>
      <c r="C510" s="295"/>
      <c r="D510" s="160">
        <v>0</v>
      </c>
      <c r="E510" s="160" t="e">
        <f>D510*#REF!</f>
        <v>#REF!</v>
      </c>
      <c r="F510" s="160" t="e">
        <f>D510*#REF!</f>
        <v>#REF!</v>
      </c>
      <c r="G510" s="160" t="e">
        <f>(D510*#REF!)*#REF!</f>
        <v>#REF!</v>
      </c>
      <c r="H510" s="296">
        <f t="shared" si="128"/>
        <v>0</v>
      </c>
      <c r="I510" s="147" t="e">
        <f t="shared" si="129"/>
        <v>#REF!</v>
      </c>
      <c r="J510" s="97">
        <v>0</v>
      </c>
      <c r="K510" s="295"/>
      <c r="L510" s="20">
        <v>0</v>
      </c>
      <c r="M510" s="20">
        <v>0</v>
      </c>
      <c r="N510" s="20">
        <v>1000</v>
      </c>
      <c r="O510" s="20">
        <f>VLOOKUP(A510,TB!A:F,3)</f>
        <v>0</v>
      </c>
      <c r="P510" s="163">
        <f t="shared" si="132"/>
        <v>1000</v>
      </c>
      <c r="Q510" s="160">
        <v>500</v>
      </c>
      <c r="R510" s="233">
        <f>VLOOKUP(A510,TB!A:F,6)</f>
        <v>500</v>
      </c>
      <c r="S510" s="233">
        <f t="shared" si="131"/>
        <v>0</v>
      </c>
    </row>
    <row r="511" spans="1:19" ht="15.75" customHeight="1" x14ac:dyDescent="0.25">
      <c r="A511" s="66" t="s">
        <v>760</v>
      </c>
      <c r="B511" s="66" t="s">
        <v>80</v>
      </c>
      <c r="C511" s="295"/>
      <c r="D511" s="160">
        <v>0</v>
      </c>
      <c r="E511" s="160" t="e">
        <f>D511*#REF!</f>
        <v>#REF!</v>
      </c>
      <c r="F511" s="160" t="e">
        <f>D511*#REF!</f>
        <v>#REF!</v>
      </c>
      <c r="G511" s="160" t="e">
        <f>(D511*#REF!)*#REF!</f>
        <v>#REF!</v>
      </c>
      <c r="H511" s="296">
        <f t="shared" si="128"/>
        <v>0</v>
      </c>
      <c r="I511" s="147" t="e">
        <f t="shared" si="129"/>
        <v>#REF!</v>
      </c>
      <c r="J511" s="97">
        <v>0</v>
      </c>
      <c r="K511" s="295"/>
      <c r="L511" s="20">
        <v>5600</v>
      </c>
      <c r="M511" s="20">
        <v>1585.54</v>
      </c>
      <c r="N511" s="20">
        <v>3000</v>
      </c>
      <c r="O511" s="20">
        <f>VLOOKUP(A511,TB!A:F,3)</f>
        <v>2074.5</v>
      </c>
      <c r="P511" s="163">
        <f t="shared" si="132"/>
        <v>3000</v>
      </c>
      <c r="Q511" s="160">
        <v>3010</v>
      </c>
      <c r="R511" s="233">
        <f>VLOOKUP(A511,TB!A:F,6)</f>
        <v>3010</v>
      </c>
      <c r="S511" s="233">
        <f t="shared" si="131"/>
        <v>0</v>
      </c>
    </row>
    <row r="512" spans="1:19" ht="15.75" customHeight="1" x14ac:dyDescent="0.25">
      <c r="A512" s="66" t="s">
        <v>761</v>
      </c>
      <c r="B512" s="66" t="s">
        <v>82</v>
      </c>
      <c r="C512" s="295"/>
      <c r="D512" s="160">
        <v>0</v>
      </c>
      <c r="E512" s="160" t="e">
        <f>D512*#REF!</f>
        <v>#REF!</v>
      </c>
      <c r="F512" s="160" t="e">
        <f>D512*#REF!</f>
        <v>#REF!</v>
      </c>
      <c r="G512" s="160" t="e">
        <f>(D512*#REF!)*#REF!</f>
        <v>#REF!</v>
      </c>
      <c r="H512" s="296">
        <f t="shared" si="128"/>
        <v>0</v>
      </c>
      <c r="I512" s="147" t="e">
        <f t="shared" si="129"/>
        <v>#REF!</v>
      </c>
      <c r="J512" s="97">
        <v>0</v>
      </c>
      <c r="K512" s="295"/>
      <c r="L512" s="20">
        <v>21054</v>
      </c>
      <c r="M512" s="20">
        <v>65665.67</v>
      </c>
      <c r="N512" s="20">
        <v>64000</v>
      </c>
      <c r="O512" s="20">
        <f>VLOOKUP(A512,TB!A:F,3)</f>
        <v>25390.87</v>
      </c>
      <c r="P512" s="163">
        <f t="shared" si="132"/>
        <v>64000</v>
      </c>
      <c r="Q512" s="160">
        <v>30000</v>
      </c>
      <c r="R512" s="233">
        <f>VLOOKUP(A512,TB!A:F,6)</f>
        <v>30000</v>
      </c>
      <c r="S512" s="233">
        <f t="shared" si="131"/>
        <v>0</v>
      </c>
    </row>
    <row r="513" spans="1:19" ht="15.75" customHeight="1" x14ac:dyDescent="0.25">
      <c r="A513" s="66" t="s">
        <v>762</v>
      </c>
      <c r="B513" s="66" t="s">
        <v>115</v>
      </c>
      <c r="C513" s="295"/>
      <c r="D513" s="160">
        <v>0</v>
      </c>
      <c r="E513" s="160" t="e">
        <f>D513*#REF!</f>
        <v>#REF!</v>
      </c>
      <c r="F513" s="160" t="e">
        <f>D513*#REF!</f>
        <v>#REF!</v>
      </c>
      <c r="G513" s="160" t="e">
        <f>(D513*#REF!)*#REF!</f>
        <v>#REF!</v>
      </c>
      <c r="H513" s="296">
        <f t="shared" si="128"/>
        <v>0</v>
      </c>
      <c r="I513" s="147" t="e">
        <f t="shared" si="129"/>
        <v>#REF!</v>
      </c>
      <c r="J513" s="97">
        <v>0</v>
      </c>
      <c r="K513" s="295"/>
      <c r="L513" s="20">
        <v>16320</v>
      </c>
      <c r="M513" s="20">
        <v>8172.88</v>
      </c>
      <c r="N513" s="20">
        <v>35225</v>
      </c>
      <c r="O513" s="20">
        <f>VLOOKUP(A513,TB!A:F,3)</f>
        <v>16637.16</v>
      </c>
      <c r="P513" s="160">
        <f t="shared" si="132"/>
        <v>35225</v>
      </c>
      <c r="Q513" s="160">
        <v>15389</v>
      </c>
      <c r="R513" s="233">
        <f>VLOOKUP(A513,TB!A:F,6)</f>
        <v>15388.51</v>
      </c>
      <c r="S513" s="233">
        <f t="shared" si="131"/>
        <v>0.48999999999978172</v>
      </c>
    </row>
    <row r="514" spans="1:19" ht="15.75" customHeight="1" x14ac:dyDescent="0.25">
      <c r="A514" s="66" t="s">
        <v>763</v>
      </c>
      <c r="B514" s="66" t="s">
        <v>84</v>
      </c>
      <c r="C514" s="295"/>
      <c r="D514" s="160">
        <v>0</v>
      </c>
      <c r="E514" s="160" t="e">
        <f>D514*#REF!</f>
        <v>#REF!</v>
      </c>
      <c r="F514" s="160" t="e">
        <f>D514*#REF!</f>
        <v>#REF!</v>
      </c>
      <c r="G514" s="160" t="e">
        <f>(D514*#REF!)*#REF!</f>
        <v>#REF!</v>
      </c>
      <c r="H514" s="296">
        <f t="shared" si="128"/>
        <v>0</v>
      </c>
      <c r="I514" s="147" t="e">
        <f t="shared" si="129"/>
        <v>#REF!</v>
      </c>
      <c r="J514" s="97">
        <v>0</v>
      </c>
      <c r="K514" s="295"/>
      <c r="L514" s="20">
        <v>182</v>
      </c>
      <c r="M514" s="20">
        <v>0</v>
      </c>
      <c r="N514" s="20">
        <v>0</v>
      </c>
      <c r="O514" s="20">
        <f>VLOOKUP(A514,TB!A:F,3)</f>
        <v>0</v>
      </c>
      <c r="P514" s="160">
        <f t="shared" ref="P514:P515" si="133">O514/9*12</f>
        <v>0</v>
      </c>
      <c r="Q514" s="160">
        <v>0</v>
      </c>
      <c r="R514" s="233">
        <f>VLOOKUP(A514,TB!A:F,6)</f>
        <v>0</v>
      </c>
      <c r="S514" s="233">
        <f t="shared" si="131"/>
        <v>0</v>
      </c>
    </row>
    <row r="515" spans="1:19" ht="15.75" customHeight="1" x14ac:dyDescent="0.25">
      <c r="A515" s="66" t="s">
        <v>764</v>
      </c>
      <c r="B515" s="66" t="s">
        <v>210</v>
      </c>
      <c r="C515" s="295"/>
      <c r="D515" s="160">
        <v>0</v>
      </c>
      <c r="E515" s="160" t="e">
        <f>D515*#REF!</f>
        <v>#REF!</v>
      </c>
      <c r="F515" s="160" t="e">
        <f>D515*#REF!</f>
        <v>#REF!</v>
      </c>
      <c r="G515" s="160" t="e">
        <f>(D515*#REF!)*#REF!</f>
        <v>#REF!</v>
      </c>
      <c r="H515" s="296">
        <f t="shared" si="128"/>
        <v>0</v>
      </c>
      <c r="I515" s="147" t="e">
        <f t="shared" si="129"/>
        <v>#REF!</v>
      </c>
      <c r="J515" s="97">
        <v>0</v>
      </c>
      <c r="K515" s="295"/>
      <c r="L515" s="20">
        <v>848</v>
      </c>
      <c r="M515" s="20">
        <v>0</v>
      </c>
      <c r="N515" s="20">
        <v>0</v>
      </c>
      <c r="O515" s="20">
        <f>VLOOKUP(A515,TB!A:F,3)</f>
        <v>0</v>
      </c>
      <c r="P515" s="160">
        <f t="shared" si="133"/>
        <v>0</v>
      </c>
      <c r="Q515" s="160">
        <v>0</v>
      </c>
      <c r="R515" s="233">
        <f>VLOOKUP(A515,TB!A:F,6)</f>
        <v>0</v>
      </c>
      <c r="S515" s="233">
        <f t="shared" si="131"/>
        <v>0</v>
      </c>
    </row>
    <row r="516" spans="1:19" ht="15.75" customHeight="1" x14ac:dyDescent="0.25">
      <c r="A516" s="66" t="s">
        <v>765</v>
      </c>
      <c r="B516" s="66" t="s">
        <v>86</v>
      </c>
      <c r="C516" s="295"/>
      <c r="D516" s="160">
        <v>0</v>
      </c>
      <c r="E516" s="160" t="e">
        <f>D516*#REF!</f>
        <v>#REF!</v>
      </c>
      <c r="F516" s="160" t="e">
        <f>D516*#REF!</f>
        <v>#REF!</v>
      </c>
      <c r="G516" s="160" t="e">
        <f>(D516*#REF!)*#REF!</f>
        <v>#REF!</v>
      </c>
      <c r="H516" s="296">
        <f t="shared" si="128"/>
        <v>0</v>
      </c>
      <c r="I516" s="147" t="e">
        <f t="shared" si="129"/>
        <v>#REF!</v>
      </c>
      <c r="J516" s="97">
        <v>0</v>
      </c>
      <c r="K516" s="295"/>
      <c r="L516" s="20">
        <v>0</v>
      </c>
      <c r="M516" s="20">
        <v>0</v>
      </c>
      <c r="N516" s="20">
        <v>80000</v>
      </c>
      <c r="O516" s="20">
        <f>VLOOKUP(A516,TB!A:F,3)</f>
        <v>29194</v>
      </c>
      <c r="P516" s="163">
        <f t="shared" ref="P516:P520" si="134">N516</f>
        <v>80000</v>
      </c>
      <c r="Q516" s="160">
        <v>45040</v>
      </c>
      <c r="R516" s="233">
        <f>VLOOKUP(A516,TB!A:F,6)</f>
        <v>45040</v>
      </c>
      <c r="S516" s="233">
        <f t="shared" si="131"/>
        <v>0</v>
      </c>
    </row>
    <row r="517" spans="1:19" ht="15.75" customHeight="1" x14ac:dyDescent="0.25">
      <c r="A517" s="66" t="s">
        <v>766</v>
      </c>
      <c r="B517" s="66" t="s">
        <v>88</v>
      </c>
      <c r="C517" s="295"/>
      <c r="D517" s="160">
        <v>0</v>
      </c>
      <c r="E517" s="160" t="e">
        <f>D517*#REF!</f>
        <v>#REF!</v>
      </c>
      <c r="F517" s="160" t="e">
        <f>D517*#REF!</f>
        <v>#REF!</v>
      </c>
      <c r="G517" s="160" t="e">
        <f>(D517*#REF!)*#REF!</f>
        <v>#REF!</v>
      </c>
      <c r="H517" s="296">
        <f t="shared" si="128"/>
        <v>0</v>
      </c>
      <c r="I517" s="147" t="e">
        <f t="shared" si="129"/>
        <v>#REF!</v>
      </c>
      <c r="J517" s="97">
        <v>0</v>
      </c>
      <c r="K517" s="295"/>
      <c r="L517" s="20">
        <v>0</v>
      </c>
      <c r="M517" s="20">
        <v>524</v>
      </c>
      <c r="N517" s="20">
        <v>2000</v>
      </c>
      <c r="O517" s="20">
        <f>VLOOKUP(A517,TB!A:F,3)</f>
        <v>402</v>
      </c>
      <c r="P517" s="163">
        <f t="shared" si="134"/>
        <v>2000</v>
      </c>
      <c r="Q517" s="160">
        <v>1000</v>
      </c>
      <c r="R517" s="233">
        <f>VLOOKUP(A517,TB!A:F,6)</f>
        <v>1000</v>
      </c>
      <c r="S517" s="233">
        <f t="shared" si="131"/>
        <v>0</v>
      </c>
    </row>
    <row r="518" spans="1:19" ht="15.75" customHeight="1" x14ac:dyDescent="0.25">
      <c r="A518" s="66" t="s">
        <v>767</v>
      </c>
      <c r="B518" s="66" t="s">
        <v>90</v>
      </c>
      <c r="C518" s="295"/>
      <c r="D518" s="160">
        <v>0</v>
      </c>
      <c r="E518" s="160" t="e">
        <f>D518*#REF!</f>
        <v>#REF!</v>
      </c>
      <c r="F518" s="160" t="e">
        <f>D518*#REF!</f>
        <v>#REF!</v>
      </c>
      <c r="G518" s="160" t="e">
        <f>(D518*#REF!)*#REF!</f>
        <v>#REF!</v>
      </c>
      <c r="H518" s="296">
        <f t="shared" si="128"/>
        <v>0</v>
      </c>
      <c r="I518" s="147" t="e">
        <f t="shared" si="129"/>
        <v>#REF!</v>
      </c>
      <c r="J518" s="97">
        <v>0</v>
      </c>
      <c r="K518" s="295"/>
      <c r="L518" s="20">
        <v>0</v>
      </c>
      <c r="M518" s="20">
        <v>99.84</v>
      </c>
      <c r="N518" s="20">
        <v>3000</v>
      </c>
      <c r="O518" s="20">
        <f>VLOOKUP(A518,TB!A:F,3)</f>
        <v>0</v>
      </c>
      <c r="P518" s="163">
        <f t="shared" si="134"/>
        <v>3000</v>
      </c>
      <c r="Q518" s="160">
        <v>3000</v>
      </c>
      <c r="R518" s="233">
        <f>VLOOKUP(A518,TB!A:F,6)</f>
        <v>3000</v>
      </c>
      <c r="S518" s="233">
        <f t="shared" si="131"/>
        <v>0</v>
      </c>
    </row>
    <row r="519" spans="1:19" ht="15.75" customHeight="1" x14ac:dyDescent="0.25">
      <c r="A519" s="66" t="s">
        <v>768</v>
      </c>
      <c r="B519" s="66" t="s">
        <v>252</v>
      </c>
      <c r="C519" s="295"/>
      <c r="D519" s="160">
        <v>0</v>
      </c>
      <c r="E519" s="160" t="e">
        <f>D519*#REF!</f>
        <v>#REF!</v>
      </c>
      <c r="F519" s="160" t="e">
        <f>D519*#REF!</f>
        <v>#REF!</v>
      </c>
      <c r="G519" s="160" t="e">
        <f>(D519*#REF!)*#REF!</f>
        <v>#REF!</v>
      </c>
      <c r="H519" s="296">
        <f t="shared" si="128"/>
        <v>0</v>
      </c>
      <c r="I519" s="147" t="e">
        <f t="shared" si="129"/>
        <v>#REF!</v>
      </c>
      <c r="J519" s="97">
        <v>0</v>
      </c>
      <c r="K519" s="295"/>
      <c r="L519" s="20">
        <v>22206</v>
      </c>
      <c r="M519" s="20">
        <v>20420.349999999999</v>
      </c>
      <c r="N519" s="20">
        <v>25000</v>
      </c>
      <c r="O519" s="20">
        <f>VLOOKUP(A519,TB!A:F,3)</f>
        <v>19418.7</v>
      </c>
      <c r="P519" s="163">
        <f t="shared" si="134"/>
        <v>25000</v>
      </c>
      <c r="Q519" s="160">
        <v>34900</v>
      </c>
      <c r="R519" s="233">
        <f>VLOOKUP(A519,TB!A:F,6)</f>
        <v>34900</v>
      </c>
      <c r="S519" s="233">
        <f t="shared" si="131"/>
        <v>0</v>
      </c>
    </row>
    <row r="520" spans="1:19" ht="15.75" customHeight="1" x14ac:dyDescent="0.25">
      <c r="A520" s="66" t="s">
        <v>769</v>
      </c>
      <c r="B520" s="66" t="s">
        <v>502</v>
      </c>
      <c r="C520" s="295"/>
      <c r="D520" s="160">
        <v>0</v>
      </c>
      <c r="E520" s="160" t="e">
        <f>D520*#REF!</f>
        <v>#REF!</v>
      </c>
      <c r="F520" s="160" t="e">
        <f>D520*#REF!</f>
        <v>#REF!</v>
      </c>
      <c r="G520" s="160" t="e">
        <f>(D520*#REF!)*#REF!</f>
        <v>#REF!</v>
      </c>
      <c r="H520" s="296">
        <f t="shared" si="128"/>
        <v>0</v>
      </c>
      <c r="I520" s="147" t="e">
        <f t="shared" si="129"/>
        <v>#REF!</v>
      </c>
      <c r="J520" s="97">
        <v>0</v>
      </c>
      <c r="K520" s="295"/>
      <c r="L520" s="20">
        <v>1132</v>
      </c>
      <c r="M520" s="20">
        <v>2029.31</v>
      </c>
      <c r="N520" s="20">
        <v>6000</v>
      </c>
      <c r="O520" s="20">
        <f>VLOOKUP(A520,TB!A:F,3)</f>
        <v>2312.7600000000002</v>
      </c>
      <c r="P520" s="163">
        <f t="shared" si="134"/>
        <v>6000</v>
      </c>
      <c r="Q520" s="160">
        <v>5400</v>
      </c>
      <c r="R520" s="233">
        <f>VLOOKUP(A520,TB!A:F,6)</f>
        <v>5400</v>
      </c>
      <c r="S520" s="233">
        <f t="shared" si="131"/>
        <v>0</v>
      </c>
    </row>
    <row r="521" spans="1:19" ht="15.75" customHeight="1" x14ac:dyDescent="0.25">
      <c r="A521" s="66" t="s">
        <v>770</v>
      </c>
      <c r="B521" s="66" t="s">
        <v>92</v>
      </c>
      <c r="C521" s="295"/>
      <c r="D521" s="160">
        <v>0</v>
      </c>
      <c r="E521" s="160" t="e">
        <f>D521*#REF!</f>
        <v>#REF!</v>
      </c>
      <c r="F521" s="160" t="e">
        <f>D521*#REF!</f>
        <v>#REF!</v>
      </c>
      <c r="G521" s="160" t="e">
        <f>(D521*#REF!)*#REF!</f>
        <v>#REF!</v>
      </c>
      <c r="H521" s="296">
        <f t="shared" si="128"/>
        <v>0</v>
      </c>
      <c r="I521" s="147" t="e">
        <f t="shared" si="129"/>
        <v>#REF!</v>
      </c>
      <c r="J521" s="97">
        <v>0</v>
      </c>
      <c r="K521" s="295"/>
      <c r="L521" s="20">
        <v>4327</v>
      </c>
      <c r="M521" s="20">
        <v>0</v>
      </c>
      <c r="N521" s="20">
        <v>0</v>
      </c>
      <c r="O521" s="20">
        <f>VLOOKUP(A521,TB!A:F,3)</f>
        <v>0</v>
      </c>
      <c r="P521" s="160">
        <f>O521/9*12</f>
        <v>0</v>
      </c>
      <c r="Q521" s="160">
        <v>0</v>
      </c>
      <c r="R521" s="233">
        <f>VLOOKUP(A521,TB!A:F,6)</f>
        <v>0</v>
      </c>
      <c r="S521" s="233">
        <f t="shared" si="131"/>
        <v>0</v>
      </c>
    </row>
    <row r="522" spans="1:19" ht="15.75" customHeight="1" x14ac:dyDescent="0.25">
      <c r="A522" s="74" t="s">
        <v>771</v>
      </c>
      <c r="B522" s="75"/>
      <c r="C522" s="299"/>
      <c r="D522" s="189">
        <f t="shared" ref="D522:G522" si="135">SUM(D504:D521)</f>
        <v>0</v>
      </c>
      <c r="E522" s="189" t="e">
        <f t="shared" si="135"/>
        <v>#REF!</v>
      </c>
      <c r="F522" s="189" t="e">
        <f t="shared" si="135"/>
        <v>#REF!</v>
      </c>
      <c r="G522" s="189" t="e">
        <f t="shared" si="135"/>
        <v>#REF!</v>
      </c>
      <c r="H522" s="300">
        <f t="shared" si="128"/>
        <v>0</v>
      </c>
      <c r="I522" s="189" t="e">
        <f t="shared" si="129"/>
        <v>#REF!</v>
      </c>
      <c r="J522" s="301">
        <f>SUM(J504:J521)</f>
        <v>0</v>
      </c>
      <c r="K522" s="299"/>
      <c r="L522" s="77">
        <f t="shared" ref="L522:S522" si="136">SUM(L504:L521)</f>
        <v>354826</v>
      </c>
      <c r="M522" s="77">
        <f t="shared" si="136"/>
        <v>414322.08999999991</v>
      </c>
      <c r="N522" s="77">
        <f t="shared" si="136"/>
        <v>595461</v>
      </c>
      <c r="O522" s="77">
        <f t="shared" si="136"/>
        <v>413083.05</v>
      </c>
      <c r="P522" s="189">
        <f t="shared" si="136"/>
        <v>632673.978</v>
      </c>
      <c r="Q522" s="189">
        <f t="shared" si="136"/>
        <v>560039</v>
      </c>
      <c r="R522" s="77">
        <f t="shared" si="136"/>
        <v>560038.51</v>
      </c>
      <c r="S522" s="77">
        <f t="shared" si="136"/>
        <v>0.48999999999978172</v>
      </c>
    </row>
    <row r="523" spans="1:19" ht="15.75" customHeight="1" x14ac:dyDescent="0.2">
      <c r="C523" s="287"/>
      <c r="K523" s="287"/>
      <c r="L523" s="54"/>
      <c r="M523" s="54"/>
      <c r="N523" s="54"/>
      <c r="O523" s="54"/>
      <c r="P523" s="54"/>
      <c r="Q523" s="54"/>
      <c r="R523" s="81"/>
      <c r="S523" s="81"/>
    </row>
    <row r="524" spans="1:19" ht="15.75" customHeight="1" x14ac:dyDescent="0.25">
      <c r="A524" s="66" t="s">
        <v>772</v>
      </c>
      <c r="B524" s="66" t="s">
        <v>99</v>
      </c>
      <c r="C524" s="295"/>
      <c r="D524" s="160">
        <v>0</v>
      </c>
      <c r="E524" s="160" t="e">
        <f>D524*#REF!</f>
        <v>#REF!</v>
      </c>
      <c r="F524" s="160" t="e">
        <f>D524*#REF!</f>
        <v>#REF!</v>
      </c>
      <c r="G524" s="160" t="e">
        <f>(D524*#REF!)*#REF!</f>
        <v>#REF!</v>
      </c>
      <c r="H524" s="296">
        <f t="shared" ref="H524:H525" si="137">IFERROR(((Q524-G524)/G524),0)</f>
        <v>0</v>
      </c>
      <c r="I524" s="147" t="e">
        <f t="shared" ref="I524:I525" si="138">Q524-G524</f>
        <v>#REF!</v>
      </c>
      <c r="J524" s="97">
        <v>0</v>
      </c>
      <c r="K524" s="295"/>
      <c r="L524" s="20">
        <v>0</v>
      </c>
      <c r="M524" s="20">
        <v>13843</v>
      </c>
      <c r="N524" s="20">
        <v>0</v>
      </c>
      <c r="O524" s="20">
        <f>VLOOKUP(A524,TB!A:F,3)</f>
        <v>0</v>
      </c>
      <c r="P524" s="160">
        <f>O524</f>
        <v>0</v>
      </c>
      <c r="Q524" s="160">
        <v>0</v>
      </c>
      <c r="R524" s="233">
        <f>VLOOKUP(A524,TB!A:F,6)</f>
        <v>0</v>
      </c>
      <c r="S524" s="233">
        <f>Q524-R524</f>
        <v>0</v>
      </c>
    </row>
    <row r="525" spans="1:19" ht="15.75" customHeight="1" x14ac:dyDescent="0.25">
      <c r="A525" s="74" t="s">
        <v>771</v>
      </c>
      <c r="B525" s="75"/>
      <c r="C525" s="299"/>
      <c r="D525" s="189">
        <f t="shared" ref="D525:G525" si="139">SUM(D524)</f>
        <v>0</v>
      </c>
      <c r="E525" s="189" t="e">
        <f t="shared" si="139"/>
        <v>#REF!</v>
      </c>
      <c r="F525" s="189" t="e">
        <f t="shared" si="139"/>
        <v>#REF!</v>
      </c>
      <c r="G525" s="189" t="e">
        <f t="shared" si="139"/>
        <v>#REF!</v>
      </c>
      <c r="H525" s="300">
        <f t="shared" si="137"/>
        <v>0</v>
      </c>
      <c r="I525" s="189" t="e">
        <f t="shared" si="138"/>
        <v>#REF!</v>
      </c>
      <c r="J525" s="301">
        <v>0</v>
      </c>
      <c r="K525" s="299"/>
      <c r="L525" s="77">
        <f t="shared" ref="L525:S525" si="140">SUM(L524)</f>
        <v>0</v>
      </c>
      <c r="M525" s="77">
        <f t="shared" si="140"/>
        <v>13843</v>
      </c>
      <c r="N525" s="77">
        <f t="shared" si="140"/>
        <v>0</v>
      </c>
      <c r="O525" s="77">
        <f t="shared" si="140"/>
        <v>0</v>
      </c>
      <c r="P525" s="189">
        <f t="shared" si="140"/>
        <v>0</v>
      </c>
      <c r="Q525" s="189">
        <f t="shared" si="140"/>
        <v>0</v>
      </c>
      <c r="R525" s="77">
        <f t="shared" si="140"/>
        <v>0</v>
      </c>
      <c r="S525" s="77">
        <f t="shared" si="140"/>
        <v>0</v>
      </c>
    </row>
    <row r="526" spans="1:19" ht="15.75" customHeight="1" x14ac:dyDescent="0.2">
      <c r="C526" s="287"/>
      <c r="K526" s="287"/>
      <c r="R526" s="83"/>
      <c r="S526" s="83"/>
    </row>
    <row r="527" spans="1:19" ht="15.75" customHeight="1" x14ac:dyDescent="0.25">
      <c r="A527" s="74" t="s">
        <v>773</v>
      </c>
      <c r="B527" s="305"/>
      <c r="C527" s="306"/>
      <c r="D527" s="189">
        <f t="shared" ref="D527:G527" si="141">D522+D525</f>
        <v>0</v>
      </c>
      <c r="E527" s="189" t="e">
        <f t="shared" si="141"/>
        <v>#REF!</v>
      </c>
      <c r="F527" s="189" t="e">
        <f t="shared" si="141"/>
        <v>#REF!</v>
      </c>
      <c r="G527" s="189" t="e">
        <f t="shared" si="141"/>
        <v>#REF!</v>
      </c>
      <c r="H527" s="300">
        <f>IFERROR(((Q527-G527)/G527),0)</f>
        <v>0</v>
      </c>
      <c r="I527" s="189" t="e">
        <f>Q527-G527</f>
        <v>#REF!</v>
      </c>
      <c r="J527" s="301">
        <v>0</v>
      </c>
      <c r="K527" s="306"/>
      <c r="L527" s="77">
        <f t="shared" ref="L527:S527" si="142">L522+L525</f>
        <v>354826</v>
      </c>
      <c r="M527" s="77">
        <f t="shared" si="142"/>
        <v>428165.08999999991</v>
      </c>
      <c r="N527" s="77">
        <f t="shared" si="142"/>
        <v>595461</v>
      </c>
      <c r="O527" s="77">
        <f t="shared" si="142"/>
        <v>413083.05</v>
      </c>
      <c r="P527" s="189">
        <f t="shared" si="142"/>
        <v>632673.978</v>
      </c>
      <c r="Q527" s="189">
        <f t="shared" si="142"/>
        <v>560039</v>
      </c>
      <c r="R527" s="77">
        <f t="shared" si="142"/>
        <v>560038.51</v>
      </c>
      <c r="S527" s="77">
        <f t="shared" si="142"/>
        <v>0.48999999999978172</v>
      </c>
    </row>
    <row r="528" spans="1:19" ht="15.75" customHeight="1" x14ac:dyDescent="0.2">
      <c r="C528" s="287"/>
      <c r="K528" s="287"/>
      <c r="R528" s="83"/>
      <c r="S528" s="83"/>
    </row>
    <row r="529" spans="1:30" ht="15.75" customHeight="1" x14ac:dyDescent="0.2">
      <c r="A529" s="69" t="s">
        <v>184</v>
      </c>
      <c r="C529" s="287"/>
      <c r="K529" s="287"/>
      <c r="R529" s="83"/>
      <c r="S529" s="83"/>
    </row>
    <row r="530" spans="1:30" ht="15.75" customHeight="1" x14ac:dyDescent="0.25">
      <c r="A530" s="51" t="s">
        <v>774</v>
      </c>
      <c r="B530" s="51" t="s">
        <v>775</v>
      </c>
      <c r="C530" s="307"/>
      <c r="D530" s="147">
        <v>0</v>
      </c>
      <c r="E530" s="160" t="e">
        <f>D530*#REF!</f>
        <v>#REF!</v>
      </c>
      <c r="F530" s="160" t="e">
        <f>D530*#REF!</f>
        <v>#REF!</v>
      </c>
      <c r="G530" s="160" t="e">
        <f>(D530*#REF!)*#REF!</f>
        <v>#REF!</v>
      </c>
      <c r="H530" s="296">
        <f t="shared" ref="H530:H531" si="143">IFERROR(((Q530-G530)/G530),0)</f>
        <v>0</v>
      </c>
      <c r="I530" s="147" t="e">
        <f t="shared" ref="I530:I531" si="144">Q530-G530</f>
        <v>#REF!</v>
      </c>
      <c r="J530" s="97">
        <v>0</v>
      </c>
      <c r="K530" s="307"/>
      <c r="L530" s="54">
        <v>-34570</v>
      </c>
      <c r="M530" s="54">
        <v>-63463.63</v>
      </c>
      <c r="N530" s="54">
        <v>-91000</v>
      </c>
      <c r="O530" s="20">
        <f>VLOOKUP(A530,TB!A:F,3)</f>
        <v>-45306.36</v>
      </c>
      <c r="P530" s="308">
        <f>N530</f>
        <v>-91000</v>
      </c>
      <c r="Q530" s="54">
        <v>-90000</v>
      </c>
      <c r="R530" s="233">
        <f>VLOOKUP(A530,TB!A:F,6)</f>
        <v>-90000</v>
      </c>
      <c r="S530" s="233">
        <f>Q530-R530</f>
        <v>0</v>
      </c>
    </row>
    <row r="531" spans="1:30" ht="15.75" customHeight="1" x14ac:dyDescent="0.2">
      <c r="A531" s="239" t="s">
        <v>189</v>
      </c>
      <c r="B531" s="75"/>
      <c r="C531" s="299"/>
      <c r="D531" s="189">
        <f t="shared" ref="D531:G531" si="145">SUM(D530)</f>
        <v>0</v>
      </c>
      <c r="E531" s="189" t="e">
        <f t="shared" si="145"/>
        <v>#REF!</v>
      </c>
      <c r="F531" s="189" t="e">
        <f t="shared" si="145"/>
        <v>#REF!</v>
      </c>
      <c r="G531" s="189" t="e">
        <f t="shared" si="145"/>
        <v>#REF!</v>
      </c>
      <c r="H531" s="300">
        <f t="shared" si="143"/>
        <v>0</v>
      </c>
      <c r="I531" s="189" t="e">
        <f t="shared" si="144"/>
        <v>#REF!</v>
      </c>
      <c r="J531" s="189">
        <f>SUM(J530)</f>
        <v>0</v>
      </c>
      <c r="K531" s="299"/>
      <c r="L531" s="77">
        <f t="shared" ref="L531:S531" si="146">SUM(L530)</f>
        <v>-34570</v>
      </c>
      <c r="M531" s="77">
        <f t="shared" si="146"/>
        <v>-63463.63</v>
      </c>
      <c r="N531" s="77">
        <f t="shared" si="146"/>
        <v>-91000</v>
      </c>
      <c r="O531" s="77">
        <f t="shared" si="146"/>
        <v>-45306.36</v>
      </c>
      <c r="P531" s="189">
        <f t="shared" si="146"/>
        <v>-91000</v>
      </c>
      <c r="Q531" s="189">
        <f t="shared" si="146"/>
        <v>-90000</v>
      </c>
      <c r="R531" s="77">
        <f t="shared" si="146"/>
        <v>-90000</v>
      </c>
      <c r="S531" s="77">
        <f t="shared" si="146"/>
        <v>0</v>
      </c>
    </row>
    <row r="532" spans="1:30" ht="15.75" customHeight="1" x14ac:dyDescent="0.2">
      <c r="C532" s="287"/>
      <c r="K532" s="287"/>
      <c r="R532" s="83"/>
      <c r="S532" s="83"/>
    </row>
    <row r="533" spans="1:30" ht="15.75" customHeight="1" x14ac:dyDescent="0.2">
      <c r="A533" s="69" t="s">
        <v>190</v>
      </c>
      <c r="B533" s="51"/>
      <c r="C533" s="309"/>
      <c r="D533" s="193">
        <f t="shared" ref="D533:G533" si="147">D527+D531</f>
        <v>0</v>
      </c>
      <c r="E533" s="193" t="e">
        <f t="shared" si="147"/>
        <v>#REF!</v>
      </c>
      <c r="F533" s="193" t="e">
        <f t="shared" si="147"/>
        <v>#REF!</v>
      </c>
      <c r="G533" s="193" t="e">
        <f t="shared" si="147"/>
        <v>#REF!</v>
      </c>
      <c r="H533" s="310">
        <f>IFERROR(((Q533-G533)/G533),0)</f>
        <v>0</v>
      </c>
      <c r="I533" s="193" t="e">
        <f>Q533-G533</f>
        <v>#REF!</v>
      </c>
      <c r="J533" s="193">
        <f>J531+J525+J522</f>
        <v>0</v>
      </c>
      <c r="K533" s="309"/>
      <c r="L533" s="245">
        <f t="shared" ref="L533:S533" si="148">L527+L531</f>
        <v>320256</v>
      </c>
      <c r="M533" s="245">
        <f t="shared" si="148"/>
        <v>364701.4599999999</v>
      </c>
      <c r="N533" s="245">
        <f t="shared" si="148"/>
        <v>504461</v>
      </c>
      <c r="O533" s="245">
        <f t="shared" si="148"/>
        <v>367776.69</v>
      </c>
      <c r="P533" s="193">
        <f t="shared" si="148"/>
        <v>541673.978</v>
      </c>
      <c r="Q533" s="193">
        <f t="shared" si="148"/>
        <v>470039</v>
      </c>
      <c r="R533" s="245">
        <f t="shared" si="148"/>
        <v>470038.51</v>
      </c>
      <c r="S533" s="245">
        <f t="shared" si="148"/>
        <v>0.48999999999978172</v>
      </c>
      <c r="W533" s="56"/>
      <c r="X533" s="56"/>
      <c r="Y533" s="56"/>
      <c r="Z533" s="56"/>
      <c r="AA533" s="56"/>
      <c r="AB533" s="56"/>
      <c r="AC533" s="56"/>
      <c r="AD533" s="56"/>
    </row>
    <row r="534" spans="1:30" ht="15.75" customHeight="1" x14ac:dyDescent="0.2">
      <c r="C534" s="287"/>
      <c r="K534" s="287"/>
      <c r="R534" s="83"/>
      <c r="S534" s="83"/>
    </row>
    <row r="535" spans="1:30" ht="15.75" customHeight="1" x14ac:dyDescent="0.2">
      <c r="C535" s="287"/>
      <c r="K535" s="287"/>
    </row>
    <row r="536" spans="1:30" ht="15.75" customHeight="1" x14ac:dyDescent="0.2">
      <c r="C536" s="288"/>
      <c r="K536" s="288"/>
      <c r="L536" s="199" t="e">
        <f t="shared" ref="L536:R536" si="149">#REF!</f>
        <v>#REF!</v>
      </c>
      <c r="M536" s="199" t="e">
        <f t="shared" si="149"/>
        <v>#REF!</v>
      </c>
      <c r="N536" s="199" t="e">
        <f t="shared" si="149"/>
        <v>#REF!</v>
      </c>
      <c r="O536" s="199" t="e">
        <f t="shared" si="149"/>
        <v>#REF!</v>
      </c>
      <c r="P536" s="199" t="e">
        <f t="shared" si="149"/>
        <v>#REF!</v>
      </c>
      <c r="Q536" s="199" t="e">
        <f t="shared" si="149"/>
        <v>#REF!</v>
      </c>
      <c r="R536" s="173" t="e">
        <f t="shared" si="149"/>
        <v>#REF!</v>
      </c>
    </row>
    <row r="537" spans="1:30" ht="15.75" customHeight="1" x14ac:dyDescent="0.2">
      <c r="C537" s="289"/>
      <c r="K537" s="289"/>
      <c r="L537" s="290">
        <f t="shared" ref="L537:R537" si="150">L533</f>
        <v>320256</v>
      </c>
      <c r="M537" s="290">
        <f t="shared" si="150"/>
        <v>364701.4599999999</v>
      </c>
      <c r="N537" s="290">
        <f t="shared" si="150"/>
        <v>504461</v>
      </c>
      <c r="O537" s="290">
        <f t="shared" si="150"/>
        <v>367776.69</v>
      </c>
      <c r="P537" s="290">
        <f t="shared" si="150"/>
        <v>541673.978</v>
      </c>
      <c r="Q537" s="290">
        <f t="shared" si="150"/>
        <v>470039</v>
      </c>
      <c r="R537" s="291">
        <f t="shared" si="150"/>
        <v>470038.51</v>
      </c>
    </row>
    <row r="538" spans="1:30" ht="15.75" customHeight="1" x14ac:dyDescent="0.2">
      <c r="C538" s="287"/>
      <c r="K538" s="287"/>
    </row>
    <row r="539" spans="1:30" ht="15.75" customHeight="1" x14ac:dyDescent="0.2">
      <c r="C539" s="287"/>
      <c r="K539" s="287"/>
    </row>
    <row r="540" spans="1:30" ht="15.75" customHeight="1" x14ac:dyDescent="0.2">
      <c r="C540" s="287"/>
      <c r="K540" s="287"/>
    </row>
    <row r="541" spans="1:30" ht="15.75" customHeight="1" x14ac:dyDescent="0.2">
      <c r="C541" s="287"/>
      <c r="K541" s="287"/>
    </row>
    <row r="542" spans="1:30" ht="15.75" customHeight="1" x14ac:dyDescent="0.2">
      <c r="C542" s="287"/>
      <c r="K542" s="287"/>
    </row>
    <row r="543" spans="1:30" ht="15.75" customHeight="1" x14ac:dyDescent="0.2">
      <c r="C543" s="287"/>
      <c r="K543" s="287"/>
    </row>
    <row r="544" spans="1:30" ht="15.75" customHeight="1" x14ac:dyDescent="0.2">
      <c r="C544" s="287"/>
      <c r="K544" s="287"/>
    </row>
    <row r="545" spans="3:11" ht="15.75" customHeight="1" x14ac:dyDescent="0.2">
      <c r="C545" s="287"/>
      <c r="K545" s="287"/>
    </row>
    <row r="546" spans="3:11" ht="15.75" customHeight="1" x14ac:dyDescent="0.2">
      <c r="C546" s="287"/>
      <c r="K546" s="287"/>
    </row>
    <row r="547" spans="3:11" ht="15.75" customHeight="1" x14ac:dyDescent="0.2">
      <c r="C547" s="287"/>
      <c r="K547" s="287"/>
    </row>
    <row r="548" spans="3:11" ht="15.75" customHeight="1" x14ac:dyDescent="0.2">
      <c r="C548" s="287"/>
      <c r="K548" s="287"/>
    </row>
    <row r="549" spans="3:11" ht="15.75" customHeight="1" x14ac:dyDescent="0.2">
      <c r="C549" s="287"/>
      <c r="K549" s="287"/>
    </row>
    <row r="550" spans="3:11" ht="15.75" customHeight="1" x14ac:dyDescent="0.2">
      <c r="C550" s="287"/>
      <c r="K550" s="287"/>
    </row>
    <row r="551" spans="3:11" ht="15.75" customHeight="1" x14ac:dyDescent="0.2">
      <c r="C551" s="287"/>
      <c r="K551" s="287"/>
    </row>
    <row r="552" spans="3:11" ht="15.75" customHeight="1" x14ac:dyDescent="0.2">
      <c r="C552" s="287"/>
      <c r="K552" s="287"/>
    </row>
    <row r="553" spans="3:11" ht="15.75" customHeight="1" x14ac:dyDescent="0.2">
      <c r="C553" s="287"/>
      <c r="K553" s="287"/>
    </row>
    <row r="554" spans="3:11" ht="15.75" customHeight="1" x14ac:dyDescent="0.2">
      <c r="C554" s="287"/>
      <c r="K554" s="287"/>
    </row>
    <row r="555" spans="3:11" ht="15.75" customHeight="1" x14ac:dyDescent="0.2">
      <c r="C555" s="287"/>
      <c r="K555" s="287"/>
    </row>
    <row r="556" spans="3:11" ht="15.75" customHeight="1" x14ac:dyDescent="0.2">
      <c r="C556" s="287"/>
      <c r="K556" s="287"/>
    </row>
    <row r="557" spans="3:11" ht="15.75" customHeight="1" x14ac:dyDescent="0.2">
      <c r="C557" s="287"/>
      <c r="K557" s="287"/>
    </row>
    <row r="558" spans="3:11" ht="15.75" customHeight="1" x14ac:dyDescent="0.2">
      <c r="C558" s="287"/>
      <c r="K558" s="287"/>
    </row>
    <row r="559" spans="3:11" ht="15.75" customHeight="1" x14ac:dyDescent="0.2">
      <c r="C559" s="287"/>
      <c r="K559" s="287"/>
    </row>
    <row r="560" spans="3:11" ht="15.75" customHeight="1" x14ac:dyDescent="0.2">
      <c r="C560" s="287"/>
      <c r="K560" s="287"/>
    </row>
    <row r="561" spans="3:11" ht="15.75" customHeight="1" x14ac:dyDescent="0.2">
      <c r="C561" s="287"/>
      <c r="K561" s="287"/>
    </row>
    <row r="562" spans="3:11" ht="15.75" customHeight="1" x14ac:dyDescent="0.2">
      <c r="C562" s="287"/>
      <c r="K562" s="287"/>
    </row>
    <row r="563" spans="3:11" ht="15.75" customHeight="1" x14ac:dyDescent="0.2">
      <c r="C563" s="287"/>
      <c r="K563" s="287"/>
    </row>
    <row r="564" spans="3:11" ht="15.75" customHeight="1" x14ac:dyDescent="0.2">
      <c r="C564" s="287"/>
      <c r="K564" s="287"/>
    </row>
    <row r="565" spans="3:11" ht="15.75" customHeight="1" x14ac:dyDescent="0.2">
      <c r="C565" s="287"/>
      <c r="K565" s="287"/>
    </row>
    <row r="566" spans="3:11" ht="15.75" customHeight="1" x14ac:dyDescent="0.2">
      <c r="C566" s="287"/>
      <c r="K566" s="287"/>
    </row>
    <row r="567" spans="3:11" ht="15.75" customHeight="1" x14ac:dyDescent="0.2">
      <c r="C567" s="287"/>
      <c r="K567" s="287"/>
    </row>
    <row r="568" spans="3:11" ht="15.75" customHeight="1" x14ac:dyDescent="0.2">
      <c r="C568" s="287"/>
      <c r="K568" s="287"/>
    </row>
    <row r="569" spans="3:11" ht="15.75" customHeight="1" x14ac:dyDescent="0.2">
      <c r="C569" s="287"/>
      <c r="K569" s="287"/>
    </row>
    <row r="570" spans="3:11" ht="15.75" customHeight="1" x14ac:dyDescent="0.2">
      <c r="C570" s="287"/>
      <c r="K570" s="287"/>
    </row>
    <row r="571" spans="3:11" ht="15.75" customHeight="1" x14ac:dyDescent="0.2">
      <c r="C571" s="287"/>
      <c r="K571" s="287"/>
    </row>
    <row r="572" spans="3:11" ht="15.75" customHeight="1" x14ac:dyDescent="0.2">
      <c r="C572" s="287"/>
      <c r="K572" s="287"/>
    </row>
    <row r="573" spans="3:11" ht="15.75" customHeight="1" x14ac:dyDescent="0.2">
      <c r="C573" s="287"/>
      <c r="K573" s="287"/>
    </row>
    <row r="574" spans="3:11" ht="15.75" customHeight="1" x14ac:dyDescent="0.2">
      <c r="C574" s="287"/>
      <c r="K574" s="287"/>
    </row>
    <row r="575" spans="3:11" ht="15.75" customHeight="1" x14ac:dyDescent="0.2">
      <c r="C575" s="287"/>
      <c r="K575" s="287"/>
    </row>
    <row r="576" spans="3:11" ht="15.75" customHeight="1" x14ac:dyDescent="0.2">
      <c r="C576" s="287"/>
      <c r="K576" s="287"/>
    </row>
    <row r="577" spans="1:19" ht="15.75" customHeight="1" x14ac:dyDescent="0.2">
      <c r="C577" s="287"/>
      <c r="K577" s="287"/>
    </row>
    <row r="578" spans="1:19" ht="15.75" customHeight="1" x14ac:dyDescent="0.2">
      <c r="C578" s="287"/>
      <c r="K578" s="287"/>
    </row>
    <row r="579" spans="1:19" ht="15.75" customHeight="1" x14ac:dyDescent="0.2">
      <c r="C579" s="287"/>
      <c r="K579" s="287"/>
    </row>
    <row r="580" spans="1:19" ht="15.75" customHeight="1" x14ac:dyDescent="0.2">
      <c r="C580" s="287"/>
      <c r="K580" s="287"/>
    </row>
    <row r="581" spans="1:19" ht="15.75" customHeight="1" x14ac:dyDescent="0.2">
      <c r="C581" s="287"/>
      <c r="K581" s="287"/>
    </row>
    <row r="582" spans="1:19" ht="15.75" customHeight="1" x14ac:dyDescent="0.2">
      <c r="C582" s="287"/>
      <c r="K582" s="287"/>
    </row>
    <row r="583" spans="1:19" ht="15.75" customHeight="1" x14ac:dyDescent="0.2">
      <c r="C583" s="287"/>
      <c r="K583" s="287"/>
    </row>
    <row r="584" spans="1:19" ht="15.75" customHeight="1" x14ac:dyDescent="0.2">
      <c r="C584" s="287"/>
      <c r="K584" s="287"/>
    </row>
    <row r="585" spans="1:19" ht="15.75" customHeight="1" x14ac:dyDescent="0.2">
      <c r="C585" s="287"/>
      <c r="K585" s="287"/>
    </row>
    <row r="586" spans="1:19" ht="15.75" customHeight="1" x14ac:dyDescent="0.2">
      <c r="C586" s="287"/>
      <c r="K586" s="287"/>
    </row>
    <row r="587" spans="1:19" ht="15.75" customHeight="1" x14ac:dyDescent="0.2">
      <c r="C587" s="287"/>
      <c r="K587" s="287"/>
    </row>
    <row r="588" spans="1:19" ht="15.75" customHeight="1" x14ac:dyDescent="0.2">
      <c r="C588" s="287"/>
      <c r="K588" s="287"/>
    </row>
    <row r="589" spans="1:19" ht="15.75" customHeight="1" x14ac:dyDescent="0.2">
      <c r="C589" s="287"/>
      <c r="K589" s="287"/>
    </row>
    <row r="590" spans="1:19" ht="15.75" customHeight="1" x14ac:dyDescent="0.2">
      <c r="A590" s="3" t="s">
        <v>50</v>
      </c>
      <c r="B590" s="3" t="s">
        <v>51</v>
      </c>
      <c r="C590" s="292"/>
      <c r="D590" s="99" t="s">
        <v>52</v>
      </c>
      <c r="E590" s="100" t="s">
        <v>53</v>
      </c>
      <c r="F590" s="100" t="s">
        <v>54</v>
      </c>
      <c r="G590" s="100" t="s">
        <v>55</v>
      </c>
      <c r="H590" s="24" t="s">
        <v>56</v>
      </c>
      <c r="I590" s="24" t="s">
        <v>57</v>
      </c>
      <c r="J590" s="101" t="s">
        <v>58</v>
      </c>
      <c r="K590" s="292"/>
      <c r="L590" s="3" t="s">
        <v>59</v>
      </c>
      <c r="M590" s="3" t="s">
        <v>60</v>
      </c>
      <c r="N590" s="3" t="s">
        <v>61</v>
      </c>
      <c r="O590" s="3" t="s">
        <v>62</v>
      </c>
      <c r="P590" s="293" t="s">
        <v>541</v>
      </c>
      <c r="Q590" s="293" t="s">
        <v>64</v>
      </c>
      <c r="R590" s="293" t="s">
        <v>65</v>
      </c>
      <c r="S590" s="293" t="s">
        <v>586</v>
      </c>
    </row>
    <row r="591" spans="1:19" ht="15.75" customHeight="1" x14ac:dyDescent="0.25">
      <c r="A591" s="565" t="s">
        <v>776</v>
      </c>
      <c r="B591" s="566"/>
      <c r="C591" s="566"/>
      <c r="D591" s="566"/>
      <c r="E591" s="566"/>
      <c r="F591" s="65"/>
      <c r="G591" s="275"/>
      <c r="H591" s="234"/>
      <c r="L591" s="65"/>
      <c r="M591" s="165"/>
      <c r="N591" s="65"/>
      <c r="O591" s="165"/>
      <c r="P591" s="157"/>
      <c r="Q591" s="157"/>
      <c r="R591" s="275"/>
      <c r="S591" s="275"/>
    </row>
    <row r="592" spans="1:19" ht="15.75" customHeight="1" x14ac:dyDescent="0.25">
      <c r="A592" s="66" t="s">
        <v>777</v>
      </c>
      <c r="B592" s="66" t="s">
        <v>68</v>
      </c>
      <c r="C592" s="295"/>
      <c r="D592" s="160">
        <v>61497</v>
      </c>
      <c r="E592" s="160" t="e">
        <f>D592*#REF!</f>
        <v>#REF!</v>
      </c>
      <c r="F592" s="160" t="e">
        <f>D592*#REF!</f>
        <v>#REF!</v>
      </c>
      <c r="G592" s="160" t="e">
        <f>(D592*#REF!)*#REF!</f>
        <v>#REF!</v>
      </c>
      <c r="H592" s="296">
        <f t="shared" ref="H592:H611" si="151">IFERROR(((Q592-G592)/G592),0)</f>
        <v>0</v>
      </c>
      <c r="I592" s="147" t="e">
        <f t="shared" ref="I592:I611" si="152">Q592-G592</f>
        <v>#REF!</v>
      </c>
      <c r="J592" s="97">
        <v>0</v>
      </c>
      <c r="K592" s="295"/>
      <c r="L592" s="20">
        <v>72451</v>
      </c>
      <c r="M592" s="20">
        <v>73886.2</v>
      </c>
      <c r="N592" s="20">
        <v>78302</v>
      </c>
      <c r="O592" s="20">
        <f>VLOOKUP(A592,TB!A:F,3)</f>
        <v>59240.800000000003</v>
      </c>
      <c r="P592" s="160">
        <f t="shared" ref="P592:P595" si="153">O592/20*26</f>
        <v>77013.039999999994</v>
      </c>
      <c r="Q592" s="160">
        <v>85200</v>
      </c>
      <c r="R592" s="233">
        <f>VLOOKUP(A592,TB!A:F,6)</f>
        <v>85200</v>
      </c>
      <c r="S592" s="233">
        <f t="shared" ref="S592:S610" si="154">Q592-R592</f>
        <v>0</v>
      </c>
    </row>
    <row r="593" spans="1:19" ht="15.75" customHeight="1" x14ac:dyDescent="0.25">
      <c r="A593" s="66" t="s">
        <v>778</v>
      </c>
      <c r="B593" s="66" t="s">
        <v>70</v>
      </c>
      <c r="C593" s="295"/>
      <c r="D593" s="160">
        <v>0</v>
      </c>
      <c r="E593" s="160" t="e">
        <f>D593*#REF!</f>
        <v>#REF!</v>
      </c>
      <c r="F593" s="160" t="e">
        <f>D593*#REF!</f>
        <v>#REF!</v>
      </c>
      <c r="G593" s="160" t="e">
        <f>(D593*#REF!)*#REF!</f>
        <v>#REF!</v>
      </c>
      <c r="H593" s="296">
        <f t="shared" si="151"/>
        <v>0</v>
      </c>
      <c r="I593" s="147" t="e">
        <f t="shared" si="152"/>
        <v>#REF!</v>
      </c>
      <c r="J593" s="97">
        <v>0</v>
      </c>
      <c r="K593" s="295"/>
      <c r="L593" s="20">
        <v>0</v>
      </c>
      <c r="M593" s="20">
        <v>0</v>
      </c>
      <c r="N593" s="20">
        <v>4000</v>
      </c>
      <c r="O593" s="20">
        <f>VLOOKUP(A593,TB!A:F,3)</f>
        <v>0</v>
      </c>
      <c r="P593" s="160">
        <f t="shared" si="153"/>
        <v>0</v>
      </c>
      <c r="Q593" s="160">
        <v>4000</v>
      </c>
      <c r="R593" s="233">
        <f>VLOOKUP(A593,TB!A:F,6)</f>
        <v>4000</v>
      </c>
      <c r="S593" s="233">
        <f t="shared" si="154"/>
        <v>0</v>
      </c>
    </row>
    <row r="594" spans="1:19" ht="15.75" customHeight="1" x14ac:dyDescent="0.25">
      <c r="A594" s="66" t="s">
        <v>779</v>
      </c>
      <c r="B594" s="66" t="s">
        <v>132</v>
      </c>
      <c r="C594" s="295"/>
      <c r="D594" s="160">
        <v>0</v>
      </c>
      <c r="E594" s="160" t="e">
        <f>D594*#REF!</f>
        <v>#REF!</v>
      </c>
      <c r="F594" s="160" t="e">
        <f>D594*#REF!</f>
        <v>#REF!</v>
      </c>
      <c r="G594" s="160" t="e">
        <f>(D594*#REF!)*#REF!</f>
        <v>#REF!</v>
      </c>
      <c r="H594" s="296">
        <f t="shared" si="151"/>
        <v>0</v>
      </c>
      <c r="I594" s="147" t="e">
        <f t="shared" si="152"/>
        <v>#REF!</v>
      </c>
      <c r="J594" s="97">
        <v>0</v>
      </c>
      <c r="K594" s="295"/>
      <c r="L594" s="20">
        <v>0</v>
      </c>
      <c r="M594" s="20">
        <v>18381.5</v>
      </c>
      <c r="N594" s="20">
        <v>24371</v>
      </c>
      <c r="O594" s="20">
        <f>VLOOKUP(A594,TB!A:F,3)</f>
        <v>1430</v>
      </c>
      <c r="P594" s="160">
        <f t="shared" si="153"/>
        <v>1859</v>
      </c>
      <c r="Q594" s="160">
        <v>26000</v>
      </c>
      <c r="R594" s="233">
        <f>VLOOKUP(A594,TB!A:F,6)</f>
        <v>26000</v>
      </c>
      <c r="S594" s="233">
        <f t="shared" si="154"/>
        <v>0</v>
      </c>
    </row>
    <row r="595" spans="1:19" ht="15.75" customHeight="1" x14ac:dyDescent="0.25">
      <c r="A595" s="66" t="s">
        <v>780</v>
      </c>
      <c r="B595" s="66" t="s">
        <v>72</v>
      </c>
      <c r="C595" s="295"/>
      <c r="D595" s="160">
        <v>33572</v>
      </c>
      <c r="E595" s="160" t="e">
        <f>D595*#REF!</f>
        <v>#REF!</v>
      </c>
      <c r="F595" s="160" t="e">
        <f>D595*#REF!</f>
        <v>#REF!</v>
      </c>
      <c r="G595" s="160" t="e">
        <f>(D595*#REF!)*#REF!</f>
        <v>#REF!</v>
      </c>
      <c r="H595" s="296">
        <f t="shared" si="151"/>
        <v>0</v>
      </c>
      <c r="I595" s="147" t="e">
        <f t="shared" si="152"/>
        <v>#REF!</v>
      </c>
      <c r="J595" s="97">
        <v>0</v>
      </c>
      <c r="K595" s="295"/>
      <c r="L595" s="20">
        <v>39206</v>
      </c>
      <c r="M595" s="20">
        <v>46854.55</v>
      </c>
      <c r="N595" s="20">
        <v>55321</v>
      </c>
      <c r="O595" s="20">
        <f>VLOOKUP(A595,TB!A:F,3)</f>
        <v>33161.879999999997</v>
      </c>
      <c r="P595" s="160">
        <f t="shared" si="153"/>
        <v>43110.443999999996</v>
      </c>
      <c r="Q595" s="160">
        <v>50300</v>
      </c>
      <c r="R595" s="233">
        <f>VLOOKUP(A595,TB!A:F,6)</f>
        <v>50300</v>
      </c>
      <c r="S595" s="233">
        <f t="shared" si="154"/>
        <v>0</v>
      </c>
    </row>
    <row r="596" spans="1:19" ht="15.75" customHeight="1" x14ac:dyDescent="0.25">
      <c r="A596" s="66" t="s">
        <v>781</v>
      </c>
      <c r="B596" s="66" t="s">
        <v>74</v>
      </c>
      <c r="C596" s="295"/>
      <c r="D596" s="160">
        <v>789</v>
      </c>
      <c r="E596" s="160" t="e">
        <f>D596*#REF!</f>
        <v>#REF!</v>
      </c>
      <c r="F596" s="160" t="e">
        <f>D596*#REF!</f>
        <v>#REF!</v>
      </c>
      <c r="G596" s="160" t="e">
        <f>(D596*#REF!)*#REF!</f>
        <v>#REF!</v>
      </c>
      <c r="H596" s="296">
        <f t="shared" si="151"/>
        <v>0</v>
      </c>
      <c r="I596" s="147" t="e">
        <f t="shared" si="152"/>
        <v>#REF!</v>
      </c>
      <c r="J596" s="97">
        <v>0</v>
      </c>
      <c r="K596" s="295"/>
      <c r="L596" s="20">
        <v>279</v>
      </c>
      <c r="M596" s="20">
        <v>439</v>
      </c>
      <c r="N596" s="20">
        <v>2500</v>
      </c>
      <c r="O596" s="20">
        <f>VLOOKUP(A596,TB!A:F,3)</f>
        <v>80</v>
      </c>
      <c r="P596" s="163">
        <f t="shared" ref="P596:P597" si="155">N596</f>
        <v>2500</v>
      </c>
      <c r="Q596" s="160">
        <v>1000</v>
      </c>
      <c r="R596" s="233">
        <f>VLOOKUP(A596,TB!A:F,6)</f>
        <v>1000</v>
      </c>
      <c r="S596" s="233">
        <f t="shared" si="154"/>
        <v>0</v>
      </c>
    </row>
    <row r="597" spans="1:19" ht="15.75" customHeight="1" x14ac:dyDescent="0.25">
      <c r="A597" s="66" t="s">
        <v>782</v>
      </c>
      <c r="B597" s="66" t="s">
        <v>76</v>
      </c>
      <c r="C597" s="295"/>
      <c r="D597" s="160">
        <v>113</v>
      </c>
      <c r="E597" s="160" t="e">
        <f>D597*#REF!</f>
        <v>#REF!</v>
      </c>
      <c r="F597" s="160" t="e">
        <f>D597*#REF!</f>
        <v>#REF!</v>
      </c>
      <c r="G597" s="160" t="e">
        <f>(D597*#REF!)*#REF!</f>
        <v>#REF!</v>
      </c>
      <c r="H597" s="296">
        <f t="shared" si="151"/>
        <v>0</v>
      </c>
      <c r="I597" s="147" t="e">
        <f t="shared" si="152"/>
        <v>#REF!</v>
      </c>
      <c r="J597" s="97">
        <v>0</v>
      </c>
      <c r="K597" s="295"/>
      <c r="L597" s="20">
        <v>0</v>
      </c>
      <c r="M597" s="20">
        <v>1177</v>
      </c>
      <c r="N597" s="20">
        <v>3500</v>
      </c>
      <c r="O597" s="20">
        <f>VLOOKUP(A597,TB!A:F,3)</f>
        <v>143.81</v>
      </c>
      <c r="P597" s="163">
        <f t="shared" si="155"/>
        <v>3500</v>
      </c>
      <c r="Q597" s="160">
        <v>3500</v>
      </c>
      <c r="R597" s="233">
        <f>VLOOKUP(A597,TB!A:F,6)</f>
        <v>3500</v>
      </c>
      <c r="S597" s="233">
        <f t="shared" si="154"/>
        <v>0</v>
      </c>
    </row>
    <row r="598" spans="1:19" ht="15.75" customHeight="1" x14ac:dyDescent="0.25">
      <c r="A598" s="66" t="s">
        <v>783</v>
      </c>
      <c r="B598" s="66" t="s">
        <v>80</v>
      </c>
      <c r="C598" s="295"/>
      <c r="D598" s="160">
        <v>465</v>
      </c>
      <c r="E598" s="160" t="e">
        <f>D598*#REF!</f>
        <v>#REF!</v>
      </c>
      <c r="F598" s="160" t="e">
        <f>D598*#REF!</f>
        <v>#REF!</v>
      </c>
      <c r="G598" s="160" t="e">
        <f>(D598*#REF!)*#REF!</f>
        <v>#REF!</v>
      </c>
      <c r="H598" s="296">
        <f t="shared" si="151"/>
        <v>0</v>
      </c>
      <c r="I598" s="147" t="e">
        <f t="shared" si="152"/>
        <v>#REF!</v>
      </c>
      <c r="J598" s="97">
        <v>0</v>
      </c>
      <c r="K598" s="295"/>
      <c r="L598" s="20">
        <v>0</v>
      </c>
      <c r="M598" s="20">
        <v>566.62</v>
      </c>
      <c r="N598" s="20">
        <v>1000</v>
      </c>
      <c r="O598" s="20">
        <f>VLOOKUP(A598,TB!A:F,3)</f>
        <v>1146.07</v>
      </c>
      <c r="P598" s="163">
        <f>O598/9*12</f>
        <v>1528.0933333333332</v>
      </c>
      <c r="Q598" s="160">
        <v>1500</v>
      </c>
      <c r="R598" s="233">
        <f>VLOOKUP(A598,TB!A:F,6)</f>
        <v>1500</v>
      </c>
      <c r="S598" s="233">
        <f t="shared" si="154"/>
        <v>0</v>
      </c>
    </row>
    <row r="599" spans="1:19" ht="15.75" customHeight="1" x14ac:dyDescent="0.25">
      <c r="A599" s="66" t="s">
        <v>784</v>
      </c>
      <c r="B599" s="66" t="s">
        <v>82</v>
      </c>
      <c r="C599" s="295"/>
      <c r="D599" s="160">
        <v>2844</v>
      </c>
      <c r="E599" s="160" t="e">
        <f>D599*#REF!</f>
        <v>#REF!</v>
      </c>
      <c r="F599" s="160" t="e">
        <f>D599*#REF!</f>
        <v>#REF!</v>
      </c>
      <c r="G599" s="160" t="e">
        <f>(D599*#REF!)*#REF!</f>
        <v>#REF!</v>
      </c>
      <c r="H599" s="296">
        <f t="shared" si="151"/>
        <v>0</v>
      </c>
      <c r="I599" s="147" t="e">
        <f t="shared" si="152"/>
        <v>#REF!</v>
      </c>
      <c r="J599" s="97">
        <v>0</v>
      </c>
      <c r="K599" s="295"/>
      <c r="L599" s="20">
        <v>3392</v>
      </c>
      <c r="M599" s="20">
        <v>1304.6300000000001</v>
      </c>
      <c r="N599" s="20">
        <v>3500</v>
      </c>
      <c r="O599" s="20">
        <f>VLOOKUP(A599,TB!A:F,3)</f>
        <v>1332.57</v>
      </c>
      <c r="P599" s="163">
        <f t="shared" ref="P599:P600" si="156">N599</f>
        <v>3500</v>
      </c>
      <c r="Q599" s="160">
        <v>3500</v>
      </c>
      <c r="R599" s="233">
        <f>VLOOKUP(A599,TB!A:F,6)</f>
        <v>3500</v>
      </c>
      <c r="S599" s="233">
        <f t="shared" si="154"/>
        <v>0</v>
      </c>
    </row>
    <row r="600" spans="1:19" ht="15.75" customHeight="1" x14ac:dyDescent="0.25">
      <c r="A600" s="66" t="s">
        <v>785</v>
      </c>
      <c r="B600" s="66" t="s">
        <v>115</v>
      </c>
      <c r="C600" s="295"/>
      <c r="D600" s="160">
        <v>4763</v>
      </c>
      <c r="E600" s="160" t="e">
        <f>D600*#REF!</f>
        <v>#REF!</v>
      </c>
      <c r="F600" s="160" t="e">
        <f>D600*#REF!</f>
        <v>#REF!</v>
      </c>
      <c r="G600" s="160" t="e">
        <f>(D600*#REF!)*#REF!</f>
        <v>#REF!</v>
      </c>
      <c r="H600" s="296">
        <f t="shared" si="151"/>
        <v>0</v>
      </c>
      <c r="I600" s="147" t="e">
        <f t="shared" si="152"/>
        <v>#REF!</v>
      </c>
      <c r="J600" s="97">
        <v>0</v>
      </c>
      <c r="K600" s="295"/>
      <c r="L600" s="20">
        <v>7121</v>
      </c>
      <c r="M600" s="20">
        <v>1621.04</v>
      </c>
      <c r="N600" s="20">
        <v>29000</v>
      </c>
      <c r="O600" s="20">
        <f>VLOOKUP(A600,TB!A:F,3)</f>
        <v>2144.17</v>
      </c>
      <c r="P600" s="163">
        <f t="shared" si="156"/>
        <v>29000</v>
      </c>
      <c r="Q600" s="160">
        <v>29000</v>
      </c>
      <c r="R600" s="233">
        <f>VLOOKUP(A600,TB!A:F,6)</f>
        <v>29000</v>
      </c>
      <c r="S600" s="233">
        <f t="shared" si="154"/>
        <v>0</v>
      </c>
    </row>
    <row r="601" spans="1:19" ht="15.75" customHeight="1" x14ac:dyDescent="0.25">
      <c r="A601" s="66" t="s">
        <v>786</v>
      </c>
      <c r="B601" s="66" t="s">
        <v>787</v>
      </c>
      <c r="C601" s="295"/>
      <c r="D601" s="160">
        <v>0</v>
      </c>
      <c r="E601" s="160" t="e">
        <f>D601*#REF!</f>
        <v>#REF!</v>
      </c>
      <c r="F601" s="160" t="e">
        <f>D601*#REF!</f>
        <v>#REF!</v>
      </c>
      <c r="G601" s="160" t="e">
        <f>(D601*#REF!)*#REF!</f>
        <v>#REF!</v>
      </c>
      <c r="H601" s="296">
        <f t="shared" si="151"/>
        <v>0</v>
      </c>
      <c r="I601" s="147" t="e">
        <f t="shared" si="152"/>
        <v>#REF!</v>
      </c>
      <c r="J601" s="97">
        <v>0</v>
      </c>
      <c r="K601" s="295"/>
      <c r="L601" s="20">
        <v>0</v>
      </c>
      <c r="M601" s="20">
        <v>0</v>
      </c>
      <c r="N601" s="20">
        <v>0</v>
      </c>
      <c r="O601" s="20">
        <f>VLOOKUP(A601,TB!A:F,3)</f>
        <v>2144.17</v>
      </c>
      <c r="P601" s="160">
        <f>O601/9*12</f>
        <v>2858.8933333333334</v>
      </c>
      <c r="Q601" s="160">
        <v>0</v>
      </c>
      <c r="R601" s="233">
        <v>0</v>
      </c>
      <c r="S601" s="233">
        <f t="shared" si="154"/>
        <v>0</v>
      </c>
    </row>
    <row r="602" spans="1:19" ht="15.75" customHeight="1" x14ac:dyDescent="0.25">
      <c r="A602" s="66" t="s">
        <v>788</v>
      </c>
      <c r="B602" s="66" t="s">
        <v>84</v>
      </c>
      <c r="C602" s="295"/>
      <c r="D602" s="160">
        <v>1105</v>
      </c>
      <c r="E602" s="160" t="e">
        <f>D602*#REF!</f>
        <v>#REF!</v>
      </c>
      <c r="F602" s="160" t="e">
        <f>D602*#REF!</f>
        <v>#REF!</v>
      </c>
      <c r="G602" s="160" t="e">
        <f>(D602*#REF!)*#REF!</f>
        <v>#REF!</v>
      </c>
      <c r="H602" s="296">
        <f t="shared" si="151"/>
        <v>0</v>
      </c>
      <c r="I602" s="147" t="e">
        <f t="shared" si="152"/>
        <v>#REF!</v>
      </c>
      <c r="J602" s="97">
        <v>0</v>
      </c>
      <c r="K602" s="295"/>
      <c r="L602" s="20">
        <v>11244</v>
      </c>
      <c r="M602" s="20">
        <v>9050.2900000000009</v>
      </c>
      <c r="N602" s="20">
        <v>12000</v>
      </c>
      <c r="O602" s="20">
        <f>VLOOKUP(A602,TB!A:F,3)</f>
        <v>9329.19</v>
      </c>
      <c r="P602" s="163">
        <f>N602</f>
        <v>12000</v>
      </c>
      <c r="Q602" s="160">
        <v>13000</v>
      </c>
      <c r="R602" s="233">
        <f>VLOOKUP(A602,TB!A:F,6)</f>
        <v>13000</v>
      </c>
      <c r="S602" s="233">
        <f t="shared" si="154"/>
        <v>0</v>
      </c>
    </row>
    <row r="603" spans="1:19" ht="15.75" customHeight="1" x14ac:dyDescent="0.25">
      <c r="A603" s="66" t="s">
        <v>789</v>
      </c>
      <c r="B603" s="66" t="s">
        <v>210</v>
      </c>
      <c r="C603" s="295"/>
      <c r="D603" s="160">
        <v>9253</v>
      </c>
      <c r="E603" s="160" t="e">
        <f>D603*#REF!</f>
        <v>#REF!</v>
      </c>
      <c r="F603" s="160" t="e">
        <f>D603*#REF!</f>
        <v>#REF!</v>
      </c>
      <c r="G603" s="160" t="e">
        <f>(D603*#REF!)*#REF!</f>
        <v>#REF!</v>
      </c>
      <c r="H603" s="296">
        <f t="shared" si="151"/>
        <v>0</v>
      </c>
      <c r="I603" s="147" t="e">
        <f t="shared" si="152"/>
        <v>#REF!</v>
      </c>
      <c r="J603" s="97">
        <v>0</v>
      </c>
      <c r="K603" s="295"/>
      <c r="L603" s="20">
        <v>10417</v>
      </c>
      <c r="M603" s="20">
        <v>971.55</v>
      </c>
      <c r="N603" s="20">
        <v>0</v>
      </c>
      <c r="O603" s="20">
        <f>VLOOKUP(A603,TB!A:F,3)</f>
        <v>0</v>
      </c>
      <c r="P603" s="160">
        <f>O603/9*12</f>
        <v>0</v>
      </c>
      <c r="Q603" s="160">
        <v>0</v>
      </c>
      <c r="R603" s="233">
        <f>VLOOKUP(A603,TB!A:F,6)</f>
        <v>0</v>
      </c>
      <c r="S603" s="233">
        <f t="shared" si="154"/>
        <v>0</v>
      </c>
    </row>
    <row r="604" spans="1:19" ht="15.75" customHeight="1" x14ac:dyDescent="0.25">
      <c r="A604" s="66" t="s">
        <v>790</v>
      </c>
      <c r="B604" s="66" t="s">
        <v>88</v>
      </c>
      <c r="C604" s="295"/>
      <c r="D604" s="160">
        <v>0</v>
      </c>
      <c r="E604" s="160" t="e">
        <f>D604*#REF!</f>
        <v>#REF!</v>
      </c>
      <c r="F604" s="160" t="e">
        <f>D604*#REF!</f>
        <v>#REF!</v>
      </c>
      <c r="G604" s="160" t="e">
        <f>(D604*#REF!)*#REF!</f>
        <v>#REF!</v>
      </c>
      <c r="H604" s="296">
        <f t="shared" si="151"/>
        <v>0</v>
      </c>
      <c r="I604" s="147" t="e">
        <f t="shared" si="152"/>
        <v>#REF!</v>
      </c>
      <c r="J604" s="97">
        <v>0</v>
      </c>
      <c r="K604" s="295"/>
      <c r="L604" s="20">
        <v>0</v>
      </c>
      <c r="M604" s="20">
        <v>0</v>
      </c>
      <c r="N604" s="20">
        <v>1500</v>
      </c>
      <c r="O604" s="20">
        <f>VLOOKUP(A604,TB!A:F,3)</f>
        <v>0</v>
      </c>
      <c r="P604" s="163">
        <f>N604</f>
        <v>1500</v>
      </c>
      <c r="Q604" s="160">
        <v>2500</v>
      </c>
      <c r="R604" s="233">
        <f>VLOOKUP(A604,TB!A:F,6)</f>
        <v>2500</v>
      </c>
      <c r="S604" s="233">
        <f t="shared" si="154"/>
        <v>0</v>
      </c>
    </row>
    <row r="605" spans="1:19" ht="15.75" customHeight="1" x14ac:dyDescent="0.25">
      <c r="A605" s="66" t="s">
        <v>791</v>
      </c>
      <c r="B605" s="66" t="s">
        <v>90</v>
      </c>
      <c r="C605" s="295"/>
      <c r="D605" s="160">
        <v>1516</v>
      </c>
      <c r="E605" s="160" t="e">
        <f>D605*#REF!</f>
        <v>#REF!</v>
      </c>
      <c r="F605" s="160" t="e">
        <f>D605*#REF!</f>
        <v>#REF!</v>
      </c>
      <c r="G605" s="160" t="e">
        <f>(D605*#REF!)*#REF!</f>
        <v>#REF!</v>
      </c>
      <c r="H605" s="296">
        <f t="shared" si="151"/>
        <v>0</v>
      </c>
      <c r="I605" s="147" t="e">
        <f t="shared" si="152"/>
        <v>#REF!</v>
      </c>
      <c r="J605" s="97">
        <v>0</v>
      </c>
      <c r="K605" s="295"/>
      <c r="L605" s="20">
        <v>264</v>
      </c>
      <c r="M605" s="20">
        <v>1044.95</v>
      </c>
      <c r="N605" s="20">
        <v>2800</v>
      </c>
      <c r="O605" s="20">
        <f>VLOOKUP(A605,TB!A:F,3)</f>
        <v>3116.11</v>
      </c>
      <c r="P605" s="160">
        <f>O605/9*12</f>
        <v>4154.8133333333335</v>
      </c>
      <c r="Q605" s="160">
        <v>2800</v>
      </c>
      <c r="R605" s="233">
        <f>VLOOKUP(A605,TB!A:F,6)</f>
        <v>2800</v>
      </c>
      <c r="S605" s="233">
        <f t="shared" si="154"/>
        <v>0</v>
      </c>
    </row>
    <row r="606" spans="1:19" ht="15.75" customHeight="1" x14ac:dyDescent="0.25">
      <c r="A606" s="66" t="s">
        <v>792</v>
      </c>
      <c r="B606" s="66" t="s">
        <v>252</v>
      </c>
      <c r="C606" s="295"/>
      <c r="D606" s="160">
        <v>951</v>
      </c>
      <c r="E606" s="160" t="e">
        <f>D606*#REF!</f>
        <v>#REF!</v>
      </c>
      <c r="F606" s="160" t="e">
        <f>D606*#REF!</f>
        <v>#REF!</v>
      </c>
      <c r="G606" s="160" t="e">
        <f>(D606*#REF!)*#REF!</f>
        <v>#REF!</v>
      </c>
      <c r="H606" s="296">
        <f t="shared" si="151"/>
        <v>0</v>
      </c>
      <c r="I606" s="147" t="e">
        <f t="shared" si="152"/>
        <v>#REF!</v>
      </c>
      <c r="J606" s="97">
        <v>0</v>
      </c>
      <c r="K606" s="295"/>
      <c r="L606" s="20">
        <v>0</v>
      </c>
      <c r="M606" s="20">
        <v>945.56</v>
      </c>
      <c r="N606" s="20">
        <v>1000</v>
      </c>
      <c r="O606" s="20">
        <f>VLOOKUP(A606,TB!A:F,3)</f>
        <v>69</v>
      </c>
      <c r="P606" s="163">
        <f>N606</f>
        <v>1000</v>
      </c>
      <c r="Q606" s="160">
        <v>1000</v>
      </c>
      <c r="R606" s="233">
        <f>VLOOKUP(A606,TB!A:F,6)</f>
        <v>1000</v>
      </c>
      <c r="S606" s="233">
        <f t="shared" si="154"/>
        <v>0</v>
      </c>
    </row>
    <row r="607" spans="1:19" ht="15.75" customHeight="1" x14ac:dyDescent="0.25">
      <c r="A607" s="66" t="s">
        <v>793</v>
      </c>
      <c r="B607" s="66" t="s">
        <v>466</v>
      </c>
      <c r="C607" s="295"/>
      <c r="D607" s="160">
        <v>0</v>
      </c>
      <c r="E607" s="160" t="e">
        <f>D607*#REF!</f>
        <v>#REF!</v>
      </c>
      <c r="F607" s="160" t="e">
        <f>D607*#REF!</f>
        <v>#REF!</v>
      </c>
      <c r="G607" s="160" t="e">
        <f>(D607*#REF!)*#REF!</f>
        <v>#REF!</v>
      </c>
      <c r="H607" s="296">
        <f t="shared" si="151"/>
        <v>0</v>
      </c>
      <c r="I607" s="147" t="e">
        <f t="shared" si="152"/>
        <v>#REF!</v>
      </c>
      <c r="J607" s="97">
        <v>0</v>
      </c>
      <c r="K607" s="295"/>
      <c r="L607" s="20">
        <v>152800</v>
      </c>
      <c r="M607" s="20">
        <v>0</v>
      </c>
      <c r="N607" s="20">
        <v>0</v>
      </c>
      <c r="O607" s="20">
        <f>VLOOKUP(A607,TB!A:F,3)</f>
        <v>0</v>
      </c>
      <c r="P607" s="160">
        <f>O607/9*12</f>
        <v>0</v>
      </c>
      <c r="Q607" s="160">
        <v>0</v>
      </c>
      <c r="R607" s="233">
        <f>VLOOKUP(A607,TB!A:F,6)</f>
        <v>0</v>
      </c>
      <c r="S607" s="233">
        <f t="shared" si="154"/>
        <v>0</v>
      </c>
    </row>
    <row r="608" spans="1:19" ht="15.75" customHeight="1" x14ac:dyDescent="0.25">
      <c r="A608" s="66" t="s">
        <v>794</v>
      </c>
      <c r="B608" s="66" t="s">
        <v>502</v>
      </c>
      <c r="C608" s="295"/>
      <c r="D608" s="160">
        <v>0</v>
      </c>
      <c r="E608" s="160" t="e">
        <f>D608*#REF!</f>
        <v>#REF!</v>
      </c>
      <c r="F608" s="160" t="e">
        <f>D608*#REF!</f>
        <v>#REF!</v>
      </c>
      <c r="G608" s="160" t="e">
        <f>(D608*#REF!)*#REF!</f>
        <v>#REF!</v>
      </c>
      <c r="H608" s="296">
        <f t="shared" si="151"/>
        <v>0</v>
      </c>
      <c r="I608" s="147" t="e">
        <f t="shared" si="152"/>
        <v>#REF!</v>
      </c>
      <c r="J608" s="97">
        <v>0</v>
      </c>
      <c r="K608" s="295"/>
      <c r="L608" s="20">
        <v>694</v>
      </c>
      <c r="M608" s="20">
        <v>35.39</v>
      </c>
      <c r="N608" s="20">
        <v>1000</v>
      </c>
      <c r="O608" s="20">
        <f>VLOOKUP(A608,TB!A:F,3)</f>
        <v>232.96</v>
      </c>
      <c r="P608" s="163">
        <f t="shared" ref="P608:P610" si="157">N608</f>
        <v>1000</v>
      </c>
      <c r="Q608" s="160">
        <v>1000</v>
      </c>
      <c r="R608" s="233">
        <f>VLOOKUP(A608,TB!A:F,6)</f>
        <v>1000</v>
      </c>
      <c r="S608" s="233">
        <f t="shared" si="154"/>
        <v>0</v>
      </c>
    </row>
    <row r="609" spans="1:19" ht="15.75" customHeight="1" x14ac:dyDescent="0.25">
      <c r="A609" s="66" t="s">
        <v>795</v>
      </c>
      <c r="B609" s="66" t="s">
        <v>92</v>
      </c>
      <c r="C609" s="295"/>
      <c r="D609" s="160">
        <v>0</v>
      </c>
      <c r="E609" s="160" t="e">
        <f>D609*#REF!</f>
        <v>#REF!</v>
      </c>
      <c r="F609" s="160" t="e">
        <f>D609*#REF!</f>
        <v>#REF!</v>
      </c>
      <c r="G609" s="160" t="e">
        <f>(D609*#REF!)*#REF!</f>
        <v>#REF!</v>
      </c>
      <c r="H609" s="296">
        <f t="shared" si="151"/>
        <v>0</v>
      </c>
      <c r="I609" s="147" t="e">
        <f t="shared" si="152"/>
        <v>#REF!</v>
      </c>
      <c r="J609" s="97">
        <v>0</v>
      </c>
      <c r="K609" s="295"/>
      <c r="L609" s="20">
        <v>682</v>
      </c>
      <c r="M609" s="20">
        <v>0</v>
      </c>
      <c r="N609" s="20">
        <v>700</v>
      </c>
      <c r="O609" s="20">
        <f>VLOOKUP(A609,TB!A:F,3)</f>
        <v>0</v>
      </c>
      <c r="P609" s="163">
        <f t="shared" si="157"/>
        <v>700</v>
      </c>
      <c r="Q609" s="160">
        <v>1000</v>
      </c>
      <c r="R609" s="233">
        <f>VLOOKUP(A609,TB!A:F,6)</f>
        <v>1000</v>
      </c>
      <c r="S609" s="233">
        <f t="shared" si="154"/>
        <v>0</v>
      </c>
    </row>
    <row r="610" spans="1:19" ht="15.75" customHeight="1" x14ac:dyDescent="0.25">
      <c r="A610" s="66" t="s">
        <v>796</v>
      </c>
      <c r="B610" s="66" t="s">
        <v>797</v>
      </c>
      <c r="C610" s="295"/>
      <c r="D610" s="160">
        <v>4998</v>
      </c>
      <c r="E610" s="160" t="e">
        <f>D610*#REF!</f>
        <v>#REF!</v>
      </c>
      <c r="F610" s="160" t="e">
        <f>D610*#REF!</f>
        <v>#REF!</v>
      </c>
      <c r="G610" s="160" t="e">
        <f>(D610*#REF!)*#REF!</f>
        <v>#REF!</v>
      </c>
      <c r="H610" s="296">
        <f t="shared" si="151"/>
        <v>0</v>
      </c>
      <c r="I610" s="147" t="e">
        <f t="shared" si="152"/>
        <v>#REF!</v>
      </c>
      <c r="J610" s="97">
        <v>0</v>
      </c>
      <c r="K610" s="295"/>
      <c r="L610" s="20">
        <v>3448</v>
      </c>
      <c r="M610" s="20">
        <v>4249.41</v>
      </c>
      <c r="N610" s="20">
        <v>8000</v>
      </c>
      <c r="O610" s="20">
        <f>VLOOKUP(A610,TB!A:F,3)</f>
        <v>4490.03</v>
      </c>
      <c r="P610" s="163">
        <f t="shared" si="157"/>
        <v>8000</v>
      </c>
      <c r="Q610" s="160">
        <v>8000</v>
      </c>
      <c r="R610" s="233">
        <f>VLOOKUP(A610,TB!A:F,6)</f>
        <v>8000</v>
      </c>
      <c r="S610" s="233">
        <f t="shared" si="154"/>
        <v>0</v>
      </c>
    </row>
    <row r="611" spans="1:19" ht="15.75" customHeight="1" x14ac:dyDescent="0.25">
      <c r="A611" s="74" t="s">
        <v>798</v>
      </c>
      <c r="B611" s="75"/>
      <c r="C611" s="299"/>
      <c r="D611" s="189">
        <f t="shared" ref="D611:G611" si="158">SUM(D592:D610)</f>
        <v>121866</v>
      </c>
      <c r="E611" s="189" t="e">
        <f t="shared" si="158"/>
        <v>#REF!</v>
      </c>
      <c r="F611" s="189" t="e">
        <f t="shared" si="158"/>
        <v>#REF!</v>
      </c>
      <c r="G611" s="189" t="e">
        <f t="shared" si="158"/>
        <v>#REF!</v>
      </c>
      <c r="H611" s="300">
        <f t="shared" si="151"/>
        <v>0</v>
      </c>
      <c r="I611" s="189" t="e">
        <f t="shared" si="152"/>
        <v>#REF!</v>
      </c>
      <c r="J611" s="301">
        <f>SUM(J592:J610)</f>
        <v>0</v>
      </c>
      <c r="K611" s="299"/>
      <c r="L611" s="77">
        <f t="shared" ref="L611:S611" si="159">SUM(L592:L610)</f>
        <v>301998</v>
      </c>
      <c r="M611" s="77">
        <f t="shared" si="159"/>
        <v>160527.69000000003</v>
      </c>
      <c r="N611" s="77">
        <f t="shared" si="159"/>
        <v>228494</v>
      </c>
      <c r="O611" s="77">
        <f t="shared" si="159"/>
        <v>118060.76000000001</v>
      </c>
      <c r="P611" s="189">
        <f t="shared" si="159"/>
        <v>193224.28399999999</v>
      </c>
      <c r="Q611" s="189">
        <f t="shared" si="159"/>
        <v>233300</v>
      </c>
      <c r="R611" s="77">
        <f t="shared" si="159"/>
        <v>233300</v>
      </c>
      <c r="S611" s="77">
        <f t="shared" si="159"/>
        <v>0</v>
      </c>
    </row>
    <row r="612" spans="1:19" ht="15.75" customHeight="1" x14ac:dyDescent="0.2">
      <c r="C612" s="287"/>
      <c r="K612" s="287"/>
      <c r="L612" s="54"/>
      <c r="M612" s="54"/>
      <c r="N612" s="54"/>
      <c r="O612" s="54"/>
      <c r="P612" s="54"/>
      <c r="Q612" s="54"/>
      <c r="R612" s="83"/>
      <c r="S612" s="83"/>
    </row>
    <row r="613" spans="1:19" ht="15.75" customHeight="1" x14ac:dyDescent="0.2">
      <c r="A613" s="69" t="s">
        <v>184</v>
      </c>
      <c r="C613" s="287"/>
      <c r="K613" s="287"/>
      <c r="L613" s="54"/>
      <c r="M613" s="54"/>
      <c r="N613" s="54"/>
      <c r="O613" s="54"/>
      <c r="P613" s="54"/>
      <c r="Q613" s="54"/>
      <c r="R613" s="83"/>
      <c r="S613" s="83"/>
    </row>
    <row r="614" spans="1:19" ht="15.75" customHeight="1" x14ac:dyDescent="0.25">
      <c r="A614" s="51" t="s">
        <v>799</v>
      </c>
      <c r="B614" s="51" t="s">
        <v>800</v>
      </c>
      <c r="C614" s="307"/>
      <c r="D614" s="147">
        <v>-23243</v>
      </c>
      <c r="E614" s="160" t="e">
        <f>D614*#REF!</f>
        <v>#REF!</v>
      </c>
      <c r="F614" s="160" t="e">
        <f>D614*#REF!</f>
        <v>#REF!</v>
      </c>
      <c r="G614" s="160" t="e">
        <f>(D614*#REF!)*#REF!</f>
        <v>#REF!</v>
      </c>
      <c r="H614" s="296">
        <f t="shared" ref="H614:H615" si="160">IFERROR(((Q614-G614)/G614),0)</f>
        <v>0</v>
      </c>
      <c r="I614" s="147" t="e">
        <f t="shared" ref="I614:I615" si="161">Q614-G614</f>
        <v>#REF!</v>
      </c>
      <c r="J614" s="97">
        <v>0</v>
      </c>
      <c r="K614" s="307"/>
      <c r="L614" s="54">
        <v>0</v>
      </c>
      <c r="M614" s="54">
        <v>0</v>
      </c>
      <c r="N614" s="54">
        <v>0</v>
      </c>
      <c r="O614" s="20">
        <v>0</v>
      </c>
      <c r="P614" s="54"/>
      <c r="Q614" s="54">
        <v>0</v>
      </c>
      <c r="R614" s="81">
        <v>0</v>
      </c>
      <c r="S614" s="233">
        <f>Q614-R614</f>
        <v>0</v>
      </c>
    </row>
    <row r="615" spans="1:19" ht="15.75" customHeight="1" x14ac:dyDescent="0.2">
      <c r="A615" s="239" t="s">
        <v>189</v>
      </c>
      <c r="B615" s="75"/>
      <c r="C615" s="299"/>
      <c r="D615" s="189">
        <f t="shared" ref="D615:G615" si="162">SUM(D614)</f>
        <v>-23243</v>
      </c>
      <c r="E615" s="189" t="e">
        <f t="shared" si="162"/>
        <v>#REF!</v>
      </c>
      <c r="F615" s="189" t="e">
        <f t="shared" si="162"/>
        <v>#REF!</v>
      </c>
      <c r="G615" s="189" t="e">
        <f t="shared" si="162"/>
        <v>#REF!</v>
      </c>
      <c r="H615" s="300">
        <f t="shared" si="160"/>
        <v>0</v>
      </c>
      <c r="I615" s="189" t="e">
        <f t="shared" si="161"/>
        <v>#REF!</v>
      </c>
      <c r="J615" s="189">
        <f>SUM(J614)</f>
        <v>0</v>
      </c>
      <c r="K615" s="299"/>
      <c r="L615" s="77">
        <f t="shared" ref="L615:S615" si="163">SUM(L614)</f>
        <v>0</v>
      </c>
      <c r="M615" s="77">
        <f t="shared" si="163"/>
        <v>0</v>
      </c>
      <c r="N615" s="77">
        <f t="shared" si="163"/>
        <v>0</v>
      </c>
      <c r="O615" s="77">
        <f t="shared" si="163"/>
        <v>0</v>
      </c>
      <c r="P615" s="189">
        <f t="shared" si="163"/>
        <v>0</v>
      </c>
      <c r="Q615" s="189">
        <f t="shared" si="163"/>
        <v>0</v>
      </c>
      <c r="R615" s="77">
        <f t="shared" si="163"/>
        <v>0</v>
      </c>
      <c r="S615" s="77">
        <f t="shared" si="163"/>
        <v>0</v>
      </c>
    </row>
    <row r="616" spans="1:19" ht="15.75" customHeight="1" x14ac:dyDescent="0.2">
      <c r="C616" s="287"/>
      <c r="K616" s="287"/>
      <c r="L616" s="54"/>
      <c r="M616" s="54"/>
      <c r="N616" s="54"/>
      <c r="O616" s="54"/>
      <c r="P616" s="54"/>
      <c r="Q616" s="54"/>
      <c r="R616" s="83"/>
      <c r="S616" s="83"/>
    </row>
    <row r="617" spans="1:19" ht="15.75" customHeight="1" x14ac:dyDescent="0.2">
      <c r="A617" s="69" t="s">
        <v>190</v>
      </c>
      <c r="B617" s="51"/>
      <c r="C617" s="309"/>
      <c r="D617" s="193">
        <f t="shared" ref="D617:G617" si="164">D611+D615</f>
        <v>98623</v>
      </c>
      <c r="E617" s="193" t="e">
        <f t="shared" si="164"/>
        <v>#REF!</v>
      </c>
      <c r="F617" s="193" t="e">
        <f t="shared" si="164"/>
        <v>#REF!</v>
      </c>
      <c r="G617" s="193" t="e">
        <f t="shared" si="164"/>
        <v>#REF!</v>
      </c>
      <c r="H617" s="310">
        <f>IFERROR(((Q617-G617)/G617),0)</f>
        <v>0</v>
      </c>
      <c r="I617" s="193" t="e">
        <f>Q617-G617</f>
        <v>#REF!</v>
      </c>
      <c r="J617" s="193">
        <f>J615+J611+J608</f>
        <v>0</v>
      </c>
      <c r="K617" s="309"/>
      <c r="L617" s="245">
        <f t="shared" ref="L617:S617" si="165">L611+L615</f>
        <v>301998</v>
      </c>
      <c r="M617" s="245">
        <f t="shared" si="165"/>
        <v>160527.69000000003</v>
      </c>
      <c r="N617" s="245">
        <f t="shared" si="165"/>
        <v>228494</v>
      </c>
      <c r="O617" s="245">
        <f t="shared" si="165"/>
        <v>118060.76000000001</v>
      </c>
      <c r="P617" s="193">
        <f t="shared" si="165"/>
        <v>193224.28399999999</v>
      </c>
      <c r="Q617" s="193">
        <f t="shared" si="165"/>
        <v>233300</v>
      </c>
      <c r="R617" s="245">
        <f t="shared" si="165"/>
        <v>233300</v>
      </c>
      <c r="S617" s="245">
        <f t="shared" si="165"/>
        <v>0</v>
      </c>
    </row>
    <row r="618" spans="1:19" ht="15.75" customHeight="1" x14ac:dyDescent="0.2">
      <c r="C618" s="287"/>
      <c r="K618" s="287"/>
      <c r="L618" s="62"/>
      <c r="M618" s="62"/>
      <c r="N618" s="62"/>
      <c r="O618" s="62"/>
      <c r="P618" s="62"/>
      <c r="Q618" s="62"/>
      <c r="R618" s="62"/>
    </row>
    <row r="619" spans="1:19" ht="15.75" customHeight="1" x14ac:dyDescent="0.2">
      <c r="C619" s="288"/>
      <c r="K619" s="288"/>
      <c r="L619" s="199" t="e">
        <f t="shared" ref="L619:R619" si="166">#REF!</f>
        <v>#REF!</v>
      </c>
      <c r="M619" s="199" t="e">
        <f t="shared" si="166"/>
        <v>#REF!</v>
      </c>
      <c r="N619" s="199" t="e">
        <f t="shared" si="166"/>
        <v>#REF!</v>
      </c>
      <c r="O619" s="199" t="e">
        <f t="shared" si="166"/>
        <v>#REF!</v>
      </c>
      <c r="P619" s="199" t="e">
        <f t="shared" si="166"/>
        <v>#REF!</v>
      </c>
      <c r="Q619" s="199" t="e">
        <f t="shared" si="166"/>
        <v>#REF!</v>
      </c>
      <c r="R619" s="173" t="e">
        <f t="shared" si="166"/>
        <v>#REF!</v>
      </c>
    </row>
    <row r="620" spans="1:19" ht="15.75" customHeight="1" x14ac:dyDescent="0.2">
      <c r="C620" s="289"/>
      <c r="K620" s="289"/>
      <c r="L620" s="290">
        <f t="shared" ref="L620:R620" si="167">L617</f>
        <v>301998</v>
      </c>
      <c r="M620" s="290">
        <f t="shared" si="167"/>
        <v>160527.69000000003</v>
      </c>
      <c r="N620" s="290">
        <f t="shared" si="167"/>
        <v>228494</v>
      </c>
      <c r="O620" s="290">
        <f t="shared" si="167"/>
        <v>118060.76000000001</v>
      </c>
      <c r="P620" s="290">
        <f t="shared" si="167"/>
        <v>193224.28399999999</v>
      </c>
      <c r="Q620" s="290">
        <f t="shared" si="167"/>
        <v>233300</v>
      </c>
      <c r="R620" s="291">
        <f t="shared" si="167"/>
        <v>233300</v>
      </c>
    </row>
    <row r="621" spans="1:19" ht="15.75" customHeight="1" x14ac:dyDescent="0.2">
      <c r="C621" s="287"/>
      <c r="K621" s="287"/>
    </row>
    <row r="622" spans="1:19" ht="15.75" customHeight="1" x14ac:dyDescent="0.2">
      <c r="C622" s="287"/>
      <c r="K622" s="287"/>
    </row>
    <row r="623" spans="1:19" ht="15.75" customHeight="1" x14ac:dyDescent="0.2">
      <c r="C623" s="287"/>
      <c r="K623" s="287"/>
    </row>
    <row r="624" spans="1:19" ht="15.75" customHeight="1" x14ac:dyDescent="0.2">
      <c r="C624" s="287"/>
      <c r="K624" s="287"/>
    </row>
    <row r="625" spans="3:11" ht="15.75" customHeight="1" x14ac:dyDescent="0.2">
      <c r="C625" s="287"/>
      <c r="K625" s="287"/>
    </row>
    <row r="626" spans="3:11" ht="15.75" customHeight="1" x14ac:dyDescent="0.2">
      <c r="C626" s="287"/>
      <c r="K626" s="287"/>
    </row>
    <row r="627" spans="3:11" ht="15.75" customHeight="1" x14ac:dyDescent="0.2">
      <c r="C627" s="287"/>
      <c r="K627" s="287"/>
    </row>
    <row r="628" spans="3:11" ht="15.75" customHeight="1" x14ac:dyDescent="0.2">
      <c r="C628" s="287"/>
      <c r="K628" s="287"/>
    </row>
    <row r="629" spans="3:11" ht="15.75" customHeight="1" x14ac:dyDescent="0.2">
      <c r="C629" s="287"/>
      <c r="K629" s="287"/>
    </row>
    <row r="630" spans="3:11" ht="15.75" customHeight="1" x14ac:dyDescent="0.2">
      <c r="C630" s="287"/>
      <c r="K630" s="287"/>
    </row>
    <row r="631" spans="3:11" ht="15.75" customHeight="1" x14ac:dyDescent="0.2">
      <c r="C631" s="287"/>
      <c r="K631" s="287"/>
    </row>
    <row r="632" spans="3:11" ht="15.75" customHeight="1" x14ac:dyDescent="0.2">
      <c r="C632" s="287"/>
      <c r="K632" s="287"/>
    </row>
    <row r="633" spans="3:11" ht="15.75" customHeight="1" x14ac:dyDescent="0.2">
      <c r="C633" s="287"/>
      <c r="K633" s="287"/>
    </row>
    <row r="634" spans="3:11" ht="15.75" customHeight="1" x14ac:dyDescent="0.2">
      <c r="C634" s="287"/>
      <c r="K634" s="287"/>
    </row>
    <row r="635" spans="3:11" ht="15.75" customHeight="1" x14ac:dyDescent="0.2">
      <c r="C635" s="287"/>
      <c r="K635" s="287"/>
    </row>
    <row r="636" spans="3:11" ht="15.75" customHeight="1" x14ac:dyDescent="0.2">
      <c r="C636" s="287"/>
      <c r="K636" s="287"/>
    </row>
    <row r="637" spans="3:11" ht="15.75" customHeight="1" x14ac:dyDescent="0.2">
      <c r="C637" s="287"/>
      <c r="K637" s="287"/>
    </row>
    <row r="638" spans="3:11" ht="15.75" customHeight="1" x14ac:dyDescent="0.2">
      <c r="C638" s="287"/>
      <c r="K638" s="287"/>
    </row>
    <row r="639" spans="3:11" ht="15.75" customHeight="1" x14ac:dyDescent="0.2">
      <c r="C639" s="287"/>
      <c r="K639" s="287"/>
    </row>
    <row r="640" spans="3:11" ht="15.75" customHeight="1" x14ac:dyDescent="0.2">
      <c r="C640" s="287"/>
      <c r="K640" s="287"/>
    </row>
    <row r="641" spans="3:11" ht="15.75" customHeight="1" x14ac:dyDescent="0.2">
      <c r="C641" s="287"/>
      <c r="K641" s="287"/>
    </row>
    <row r="642" spans="3:11" ht="15.75" customHeight="1" x14ac:dyDescent="0.2">
      <c r="C642" s="287"/>
      <c r="K642" s="287"/>
    </row>
    <row r="643" spans="3:11" ht="15.75" customHeight="1" x14ac:dyDescent="0.2">
      <c r="C643" s="287"/>
      <c r="K643" s="287"/>
    </row>
    <row r="644" spans="3:11" ht="15.75" customHeight="1" x14ac:dyDescent="0.2">
      <c r="C644" s="287"/>
      <c r="K644" s="287"/>
    </row>
    <row r="645" spans="3:11" ht="15.75" customHeight="1" x14ac:dyDescent="0.2">
      <c r="C645" s="287"/>
      <c r="K645" s="287"/>
    </row>
    <row r="646" spans="3:11" ht="15.75" customHeight="1" x14ac:dyDescent="0.2">
      <c r="C646" s="287"/>
      <c r="K646" s="287"/>
    </row>
    <row r="647" spans="3:11" ht="15.75" customHeight="1" x14ac:dyDescent="0.2">
      <c r="C647" s="287"/>
      <c r="K647" s="287"/>
    </row>
    <row r="648" spans="3:11" ht="15.75" customHeight="1" x14ac:dyDescent="0.2">
      <c r="C648" s="287"/>
      <c r="K648" s="287"/>
    </row>
    <row r="649" spans="3:11" ht="15.75" customHeight="1" x14ac:dyDescent="0.2">
      <c r="C649" s="287"/>
      <c r="K649" s="287"/>
    </row>
    <row r="650" spans="3:11" ht="15.75" customHeight="1" x14ac:dyDescent="0.2">
      <c r="C650" s="287"/>
      <c r="K650" s="287"/>
    </row>
    <row r="651" spans="3:11" ht="15.75" customHeight="1" x14ac:dyDescent="0.2">
      <c r="C651" s="287"/>
      <c r="K651" s="287"/>
    </row>
    <row r="652" spans="3:11" ht="15.75" customHeight="1" x14ac:dyDescent="0.2">
      <c r="C652" s="287"/>
      <c r="K652" s="287"/>
    </row>
    <row r="653" spans="3:11" ht="15.75" customHeight="1" x14ac:dyDescent="0.2">
      <c r="C653" s="287"/>
      <c r="K653" s="287"/>
    </row>
    <row r="654" spans="3:11" ht="15.75" customHeight="1" x14ac:dyDescent="0.2">
      <c r="C654" s="287"/>
      <c r="K654" s="287"/>
    </row>
    <row r="655" spans="3:11" ht="15.75" customHeight="1" x14ac:dyDescent="0.2">
      <c r="C655" s="287"/>
      <c r="K655" s="287"/>
    </row>
    <row r="656" spans="3:11" ht="15.75" customHeight="1" x14ac:dyDescent="0.2">
      <c r="C656" s="287"/>
      <c r="K656" s="287"/>
    </row>
    <row r="657" spans="3:11" ht="15.75" customHeight="1" x14ac:dyDescent="0.2">
      <c r="C657" s="287"/>
      <c r="K657" s="287"/>
    </row>
    <row r="658" spans="3:11" ht="15.75" customHeight="1" x14ac:dyDescent="0.2">
      <c r="C658" s="287"/>
      <c r="K658" s="287"/>
    </row>
    <row r="659" spans="3:11" ht="15.75" customHeight="1" x14ac:dyDescent="0.2">
      <c r="C659" s="287"/>
      <c r="K659" s="287"/>
    </row>
    <row r="660" spans="3:11" ht="15.75" customHeight="1" x14ac:dyDescent="0.2">
      <c r="C660" s="287"/>
      <c r="K660" s="287"/>
    </row>
    <row r="661" spans="3:11" ht="15.75" customHeight="1" x14ac:dyDescent="0.2">
      <c r="C661" s="287"/>
      <c r="K661" s="287"/>
    </row>
    <row r="662" spans="3:11" ht="15.75" customHeight="1" x14ac:dyDescent="0.2">
      <c r="C662" s="287"/>
      <c r="K662" s="287"/>
    </row>
    <row r="663" spans="3:11" ht="15.75" customHeight="1" x14ac:dyDescent="0.2">
      <c r="C663" s="287"/>
      <c r="K663" s="287"/>
    </row>
    <row r="664" spans="3:11" ht="15.75" customHeight="1" x14ac:dyDescent="0.2">
      <c r="C664" s="287"/>
      <c r="K664" s="287"/>
    </row>
    <row r="665" spans="3:11" ht="15.75" customHeight="1" x14ac:dyDescent="0.2">
      <c r="C665" s="287"/>
      <c r="K665" s="287"/>
    </row>
    <row r="666" spans="3:11" ht="15.75" customHeight="1" x14ac:dyDescent="0.2">
      <c r="C666" s="287"/>
      <c r="K666" s="287"/>
    </row>
    <row r="667" spans="3:11" ht="15.75" customHeight="1" x14ac:dyDescent="0.2">
      <c r="C667" s="287"/>
      <c r="K667" s="287"/>
    </row>
    <row r="668" spans="3:11" ht="15.75" customHeight="1" x14ac:dyDescent="0.2">
      <c r="C668" s="287"/>
      <c r="K668" s="287"/>
    </row>
    <row r="669" spans="3:11" ht="15.75" customHeight="1" x14ac:dyDescent="0.2">
      <c r="C669" s="287"/>
      <c r="K669" s="287"/>
    </row>
    <row r="670" spans="3:11" ht="15.75" customHeight="1" x14ac:dyDescent="0.2">
      <c r="C670" s="287"/>
      <c r="K670" s="287"/>
    </row>
    <row r="671" spans="3:11" ht="15.75" customHeight="1" x14ac:dyDescent="0.2">
      <c r="C671" s="287"/>
      <c r="K671" s="287"/>
    </row>
    <row r="672" spans="3:11" ht="15.75" customHeight="1" x14ac:dyDescent="0.2">
      <c r="C672" s="287"/>
      <c r="K672" s="287"/>
    </row>
    <row r="673" spans="3:11" ht="15.75" customHeight="1" x14ac:dyDescent="0.2">
      <c r="C673" s="287"/>
      <c r="K673" s="287"/>
    </row>
    <row r="674" spans="3:11" ht="15.75" customHeight="1" x14ac:dyDescent="0.2">
      <c r="C674" s="287"/>
      <c r="K674" s="287"/>
    </row>
    <row r="675" spans="3:11" ht="15.75" customHeight="1" x14ac:dyDescent="0.2">
      <c r="C675" s="287"/>
      <c r="K675" s="287"/>
    </row>
    <row r="676" spans="3:11" ht="15.75" customHeight="1" x14ac:dyDescent="0.2">
      <c r="C676" s="287"/>
      <c r="K676" s="287"/>
    </row>
    <row r="677" spans="3:11" ht="15.75" customHeight="1" x14ac:dyDescent="0.2">
      <c r="C677" s="287"/>
      <c r="K677" s="287"/>
    </row>
    <row r="678" spans="3:11" ht="15.75" customHeight="1" x14ac:dyDescent="0.2">
      <c r="C678" s="287"/>
      <c r="K678" s="287"/>
    </row>
    <row r="679" spans="3:11" ht="15.75" customHeight="1" x14ac:dyDescent="0.2">
      <c r="C679" s="287"/>
      <c r="K679" s="287"/>
    </row>
    <row r="680" spans="3:11" ht="15.75" customHeight="1" x14ac:dyDescent="0.2">
      <c r="C680" s="287"/>
      <c r="K680" s="287"/>
    </row>
    <row r="681" spans="3:11" ht="15.75" customHeight="1" x14ac:dyDescent="0.2">
      <c r="C681" s="287"/>
      <c r="K681" s="287"/>
    </row>
    <row r="682" spans="3:11" ht="15.75" customHeight="1" x14ac:dyDescent="0.2">
      <c r="C682" s="287"/>
      <c r="K682" s="287"/>
    </row>
    <row r="683" spans="3:11" ht="15.75" customHeight="1" x14ac:dyDescent="0.2">
      <c r="C683" s="287"/>
      <c r="K683" s="287"/>
    </row>
    <row r="684" spans="3:11" ht="15.75" customHeight="1" x14ac:dyDescent="0.2">
      <c r="C684" s="287"/>
      <c r="K684" s="287"/>
    </row>
    <row r="685" spans="3:11" ht="15.75" customHeight="1" x14ac:dyDescent="0.2">
      <c r="C685" s="287"/>
      <c r="K685" s="287"/>
    </row>
    <row r="686" spans="3:11" ht="15.75" customHeight="1" x14ac:dyDescent="0.2">
      <c r="C686" s="287"/>
      <c r="K686" s="287"/>
    </row>
    <row r="687" spans="3:11" ht="15.75" customHeight="1" x14ac:dyDescent="0.2">
      <c r="C687" s="287"/>
      <c r="K687" s="287"/>
    </row>
    <row r="688" spans="3:11" ht="15.75" customHeight="1" x14ac:dyDescent="0.2">
      <c r="C688" s="287"/>
      <c r="K688" s="287"/>
    </row>
    <row r="689" spans="3:11" ht="15.75" customHeight="1" x14ac:dyDescent="0.2">
      <c r="C689" s="287"/>
      <c r="K689" s="287"/>
    </row>
    <row r="690" spans="3:11" ht="15.75" customHeight="1" x14ac:dyDescent="0.2">
      <c r="C690" s="287"/>
      <c r="K690" s="287"/>
    </row>
    <row r="691" spans="3:11" ht="15.75" customHeight="1" x14ac:dyDescent="0.2">
      <c r="C691" s="287"/>
      <c r="K691" s="287"/>
    </row>
    <row r="692" spans="3:11" ht="15.75" customHeight="1" x14ac:dyDescent="0.2">
      <c r="C692" s="287"/>
      <c r="K692" s="287"/>
    </row>
    <row r="693" spans="3:11" ht="15.75" customHeight="1" x14ac:dyDescent="0.2">
      <c r="C693" s="287"/>
      <c r="K693" s="287"/>
    </row>
    <row r="694" spans="3:11" ht="15.75" customHeight="1" x14ac:dyDescent="0.2">
      <c r="C694" s="287"/>
      <c r="K694" s="287"/>
    </row>
    <row r="695" spans="3:11" ht="15.75" customHeight="1" x14ac:dyDescent="0.2">
      <c r="C695" s="287"/>
      <c r="K695" s="287"/>
    </row>
    <row r="696" spans="3:11" ht="15.75" customHeight="1" x14ac:dyDescent="0.2">
      <c r="C696" s="287"/>
      <c r="K696" s="287"/>
    </row>
    <row r="697" spans="3:11" ht="15.75" customHeight="1" x14ac:dyDescent="0.2">
      <c r="C697" s="287"/>
      <c r="K697" s="287"/>
    </row>
    <row r="698" spans="3:11" ht="15.75" customHeight="1" x14ac:dyDescent="0.2">
      <c r="C698" s="287"/>
      <c r="K698" s="287"/>
    </row>
    <row r="699" spans="3:11" ht="15.75" customHeight="1" x14ac:dyDescent="0.2">
      <c r="C699" s="287"/>
      <c r="K699" s="287"/>
    </row>
    <row r="700" spans="3:11" ht="15.75" customHeight="1" x14ac:dyDescent="0.2">
      <c r="C700" s="287"/>
      <c r="K700" s="287"/>
    </row>
    <row r="701" spans="3:11" ht="15.75" customHeight="1" x14ac:dyDescent="0.2">
      <c r="C701" s="287"/>
      <c r="K701" s="287"/>
    </row>
    <row r="702" spans="3:11" ht="15.75" customHeight="1" x14ac:dyDescent="0.2">
      <c r="C702" s="287"/>
      <c r="K702" s="287"/>
    </row>
    <row r="703" spans="3:11" ht="15.75" customHeight="1" x14ac:dyDescent="0.2">
      <c r="C703" s="287"/>
      <c r="K703" s="287"/>
    </row>
    <row r="704" spans="3:11" ht="15.75" customHeight="1" x14ac:dyDescent="0.2">
      <c r="C704" s="287"/>
      <c r="K704" s="287"/>
    </row>
    <row r="705" spans="3:11" ht="15.75" customHeight="1" x14ac:dyDescent="0.2">
      <c r="C705" s="287"/>
      <c r="K705" s="287"/>
    </row>
    <row r="706" spans="3:11" ht="15.75" customHeight="1" x14ac:dyDescent="0.2">
      <c r="C706" s="287"/>
      <c r="K706" s="287"/>
    </row>
    <row r="707" spans="3:11" ht="15.75" customHeight="1" x14ac:dyDescent="0.2">
      <c r="C707" s="287"/>
      <c r="K707" s="287"/>
    </row>
    <row r="708" spans="3:11" ht="15.75" customHeight="1" x14ac:dyDescent="0.2">
      <c r="C708" s="287"/>
      <c r="K708" s="287"/>
    </row>
    <row r="709" spans="3:11" ht="15.75" customHeight="1" x14ac:dyDescent="0.2">
      <c r="C709" s="287"/>
      <c r="K709" s="287"/>
    </row>
    <row r="710" spans="3:11" ht="15.75" customHeight="1" x14ac:dyDescent="0.2">
      <c r="C710" s="287"/>
      <c r="K710" s="287"/>
    </row>
    <row r="711" spans="3:11" ht="15.75" customHeight="1" x14ac:dyDescent="0.2">
      <c r="C711" s="287"/>
      <c r="K711" s="287"/>
    </row>
    <row r="712" spans="3:11" ht="15.75" customHeight="1" x14ac:dyDescent="0.2">
      <c r="C712" s="287"/>
      <c r="K712" s="287"/>
    </row>
    <row r="713" spans="3:11" ht="15.75" customHeight="1" x14ac:dyDescent="0.2">
      <c r="C713" s="287"/>
      <c r="K713" s="287"/>
    </row>
    <row r="714" spans="3:11" ht="15.75" customHeight="1" x14ac:dyDescent="0.2">
      <c r="C714" s="287"/>
      <c r="K714" s="287"/>
    </row>
    <row r="715" spans="3:11" ht="15.75" customHeight="1" x14ac:dyDescent="0.2">
      <c r="C715" s="287"/>
      <c r="K715" s="287"/>
    </row>
    <row r="716" spans="3:11" ht="15.75" customHeight="1" x14ac:dyDescent="0.2">
      <c r="C716" s="287"/>
      <c r="K716" s="287"/>
    </row>
    <row r="717" spans="3:11" ht="15.75" customHeight="1" x14ac:dyDescent="0.2">
      <c r="C717" s="287"/>
      <c r="K717" s="287"/>
    </row>
    <row r="718" spans="3:11" ht="15.75" customHeight="1" x14ac:dyDescent="0.2">
      <c r="C718" s="287"/>
      <c r="K718" s="287"/>
    </row>
    <row r="719" spans="3:11" ht="15.75" customHeight="1" x14ac:dyDescent="0.2">
      <c r="C719" s="287"/>
      <c r="K719" s="287"/>
    </row>
    <row r="720" spans="3:11" ht="15.75" customHeight="1" x14ac:dyDescent="0.2">
      <c r="C720" s="287"/>
      <c r="K720" s="287"/>
    </row>
    <row r="721" spans="3:11" ht="15.75" customHeight="1" x14ac:dyDescent="0.2">
      <c r="C721" s="287"/>
      <c r="K721" s="287"/>
    </row>
    <row r="722" spans="3:11" ht="15.75" customHeight="1" x14ac:dyDescent="0.2">
      <c r="C722" s="287"/>
      <c r="K722" s="287"/>
    </row>
    <row r="723" spans="3:11" ht="15.75" customHeight="1" x14ac:dyDescent="0.2">
      <c r="C723" s="287"/>
      <c r="K723" s="287"/>
    </row>
    <row r="724" spans="3:11" ht="15.75" customHeight="1" x14ac:dyDescent="0.2">
      <c r="C724" s="287"/>
      <c r="K724" s="287"/>
    </row>
    <row r="725" spans="3:11" ht="15.75" customHeight="1" x14ac:dyDescent="0.2">
      <c r="C725" s="287"/>
      <c r="K725" s="287"/>
    </row>
    <row r="726" spans="3:11" ht="15.75" customHeight="1" x14ac:dyDescent="0.2">
      <c r="C726" s="287"/>
      <c r="K726" s="287"/>
    </row>
    <row r="727" spans="3:11" ht="15.75" customHeight="1" x14ac:dyDescent="0.2">
      <c r="C727" s="287"/>
      <c r="K727" s="287"/>
    </row>
    <row r="728" spans="3:11" ht="15.75" customHeight="1" x14ac:dyDescent="0.2">
      <c r="C728" s="287"/>
      <c r="K728" s="287"/>
    </row>
    <row r="729" spans="3:11" ht="15.75" customHeight="1" x14ac:dyDescent="0.2">
      <c r="C729" s="287"/>
      <c r="K729" s="287"/>
    </row>
    <row r="730" spans="3:11" ht="15.75" customHeight="1" x14ac:dyDescent="0.2">
      <c r="C730" s="287"/>
      <c r="K730" s="287"/>
    </row>
    <row r="731" spans="3:11" ht="15.75" customHeight="1" x14ac:dyDescent="0.2">
      <c r="C731" s="287"/>
      <c r="K731" s="287"/>
    </row>
    <row r="732" spans="3:11" ht="15.75" customHeight="1" x14ac:dyDescent="0.2">
      <c r="C732" s="287"/>
      <c r="K732" s="287"/>
    </row>
    <row r="733" spans="3:11" ht="15.75" customHeight="1" x14ac:dyDescent="0.2">
      <c r="C733" s="287"/>
      <c r="K733" s="287"/>
    </row>
    <row r="734" spans="3:11" ht="15.75" customHeight="1" x14ac:dyDescent="0.2">
      <c r="C734" s="287"/>
      <c r="K734" s="287"/>
    </row>
    <row r="735" spans="3:11" ht="15.75" customHeight="1" x14ac:dyDescent="0.2">
      <c r="C735" s="287"/>
      <c r="K735" s="287"/>
    </row>
    <row r="736" spans="3:11" ht="15.75" customHeight="1" x14ac:dyDescent="0.2">
      <c r="C736" s="287"/>
      <c r="K736" s="287"/>
    </row>
    <row r="737" spans="3:11" ht="15.75" customHeight="1" x14ac:dyDescent="0.2">
      <c r="C737" s="287"/>
      <c r="K737" s="287"/>
    </row>
    <row r="738" spans="3:11" ht="15.75" customHeight="1" x14ac:dyDescent="0.2">
      <c r="C738" s="287"/>
      <c r="K738" s="287"/>
    </row>
    <row r="739" spans="3:11" ht="15.75" customHeight="1" x14ac:dyDescent="0.2">
      <c r="C739" s="287"/>
      <c r="K739" s="287"/>
    </row>
    <row r="740" spans="3:11" ht="15.75" customHeight="1" x14ac:dyDescent="0.2">
      <c r="C740" s="287"/>
      <c r="K740" s="287"/>
    </row>
    <row r="741" spans="3:11" ht="15.75" customHeight="1" x14ac:dyDescent="0.2">
      <c r="C741" s="287"/>
      <c r="K741" s="287"/>
    </row>
    <row r="742" spans="3:11" ht="15.75" customHeight="1" x14ac:dyDescent="0.2">
      <c r="C742" s="287"/>
      <c r="K742" s="287"/>
    </row>
    <row r="743" spans="3:11" ht="15.75" customHeight="1" x14ac:dyDescent="0.2">
      <c r="C743" s="287"/>
      <c r="K743" s="287"/>
    </row>
    <row r="744" spans="3:11" ht="15.75" customHeight="1" x14ac:dyDescent="0.2">
      <c r="C744" s="287"/>
      <c r="K744" s="287"/>
    </row>
    <row r="745" spans="3:11" ht="15.75" customHeight="1" x14ac:dyDescent="0.2">
      <c r="C745" s="287"/>
      <c r="K745" s="287"/>
    </row>
    <row r="746" spans="3:11" ht="15.75" customHeight="1" x14ac:dyDescent="0.2">
      <c r="C746" s="287"/>
      <c r="K746" s="287"/>
    </row>
    <row r="747" spans="3:11" ht="15.75" customHeight="1" x14ac:dyDescent="0.2">
      <c r="C747" s="287"/>
      <c r="K747" s="287"/>
    </row>
    <row r="748" spans="3:11" ht="15.75" customHeight="1" x14ac:dyDescent="0.2">
      <c r="C748" s="287"/>
      <c r="K748" s="287"/>
    </row>
    <row r="749" spans="3:11" ht="15.75" customHeight="1" x14ac:dyDescent="0.2">
      <c r="C749" s="287"/>
      <c r="K749" s="287"/>
    </row>
    <row r="750" spans="3:11" ht="15.75" customHeight="1" x14ac:dyDescent="0.2">
      <c r="C750" s="287"/>
      <c r="K750" s="287"/>
    </row>
    <row r="751" spans="3:11" ht="15.75" customHeight="1" x14ac:dyDescent="0.2">
      <c r="C751" s="287"/>
      <c r="K751" s="287"/>
    </row>
    <row r="752" spans="3:11" ht="15.75" customHeight="1" x14ac:dyDescent="0.2">
      <c r="C752" s="287"/>
      <c r="K752" s="287"/>
    </row>
    <row r="753" spans="3:11" ht="15.75" customHeight="1" x14ac:dyDescent="0.2">
      <c r="C753" s="287"/>
      <c r="K753" s="287"/>
    </row>
    <row r="754" spans="3:11" ht="15.75" customHeight="1" x14ac:dyDescent="0.2">
      <c r="C754" s="287"/>
      <c r="K754" s="287"/>
    </row>
    <row r="755" spans="3:11" ht="15.75" customHeight="1" x14ac:dyDescent="0.2">
      <c r="C755" s="287"/>
      <c r="K755" s="287"/>
    </row>
    <row r="756" spans="3:11" ht="15.75" customHeight="1" x14ac:dyDescent="0.2">
      <c r="C756" s="287"/>
      <c r="K756" s="287"/>
    </row>
    <row r="757" spans="3:11" ht="15.75" customHeight="1" x14ac:dyDescent="0.2">
      <c r="C757" s="287"/>
      <c r="K757" s="287"/>
    </row>
    <row r="758" spans="3:11" ht="15.75" customHeight="1" x14ac:dyDescent="0.2">
      <c r="C758" s="287"/>
      <c r="K758" s="287"/>
    </row>
    <row r="759" spans="3:11" ht="15.75" customHeight="1" x14ac:dyDescent="0.2">
      <c r="C759" s="287"/>
      <c r="K759" s="287"/>
    </row>
    <row r="760" spans="3:11" ht="15.75" customHeight="1" x14ac:dyDescent="0.2">
      <c r="C760" s="287"/>
      <c r="K760" s="287"/>
    </row>
    <row r="761" spans="3:11" ht="15.75" customHeight="1" x14ac:dyDescent="0.2">
      <c r="C761" s="287"/>
      <c r="K761" s="287"/>
    </row>
    <row r="762" spans="3:11" ht="15.75" customHeight="1" x14ac:dyDescent="0.2">
      <c r="C762" s="287"/>
      <c r="K762" s="287"/>
    </row>
    <row r="763" spans="3:11" ht="15.75" customHeight="1" x14ac:dyDescent="0.2">
      <c r="C763" s="287"/>
      <c r="K763" s="287"/>
    </row>
    <row r="764" spans="3:11" ht="15.75" customHeight="1" x14ac:dyDescent="0.2">
      <c r="C764" s="287"/>
      <c r="K764" s="287"/>
    </row>
    <row r="765" spans="3:11" ht="15.75" customHeight="1" x14ac:dyDescent="0.2">
      <c r="C765" s="287"/>
      <c r="K765" s="287"/>
    </row>
    <row r="766" spans="3:11" ht="15.75" customHeight="1" x14ac:dyDescent="0.2">
      <c r="C766" s="287"/>
      <c r="K766" s="287"/>
    </row>
    <row r="767" spans="3:11" ht="15.75" customHeight="1" x14ac:dyDescent="0.2">
      <c r="C767" s="287"/>
      <c r="K767" s="287"/>
    </row>
    <row r="768" spans="3:11" ht="15.75" customHeight="1" x14ac:dyDescent="0.2">
      <c r="C768" s="287"/>
      <c r="K768" s="287"/>
    </row>
    <row r="769" spans="3:11" ht="15.75" customHeight="1" x14ac:dyDescent="0.2">
      <c r="C769" s="287"/>
      <c r="K769" s="287"/>
    </row>
    <row r="770" spans="3:11" ht="15.75" customHeight="1" x14ac:dyDescent="0.2">
      <c r="C770" s="287"/>
      <c r="K770" s="287"/>
    </row>
    <row r="771" spans="3:11" ht="15.75" customHeight="1" x14ac:dyDescent="0.2">
      <c r="C771" s="287"/>
      <c r="K771" s="287"/>
    </row>
    <row r="772" spans="3:11" ht="15.75" customHeight="1" x14ac:dyDescent="0.2">
      <c r="C772" s="287"/>
      <c r="K772" s="287"/>
    </row>
    <row r="773" spans="3:11" ht="15.75" customHeight="1" x14ac:dyDescent="0.2">
      <c r="C773" s="287"/>
      <c r="K773" s="287"/>
    </row>
    <row r="774" spans="3:11" ht="15.75" customHeight="1" x14ac:dyDescent="0.2">
      <c r="C774" s="287"/>
      <c r="K774" s="287"/>
    </row>
    <row r="775" spans="3:11" ht="15.75" customHeight="1" x14ac:dyDescent="0.2">
      <c r="C775" s="287"/>
      <c r="K775" s="287"/>
    </row>
    <row r="776" spans="3:11" ht="15.75" customHeight="1" x14ac:dyDescent="0.2">
      <c r="C776" s="287"/>
      <c r="K776" s="287"/>
    </row>
    <row r="777" spans="3:11" ht="15.75" customHeight="1" x14ac:dyDescent="0.2">
      <c r="C777" s="287"/>
      <c r="K777" s="287"/>
    </row>
    <row r="778" spans="3:11" ht="15.75" customHeight="1" x14ac:dyDescent="0.2">
      <c r="C778" s="287"/>
      <c r="K778" s="287"/>
    </row>
    <row r="779" spans="3:11" ht="15.75" customHeight="1" x14ac:dyDescent="0.2">
      <c r="C779" s="287"/>
      <c r="K779" s="287"/>
    </row>
    <row r="780" spans="3:11" ht="15.75" customHeight="1" x14ac:dyDescent="0.2">
      <c r="C780" s="287"/>
      <c r="K780" s="287"/>
    </row>
    <row r="781" spans="3:11" ht="15.75" customHeight="1" x14ac:dyDescent="0.2">
      <c r="C781" s="287"/>
      <c r="K781" s="287"/>
    </row>
    <row r="782" spans="3:11" ht="15.75" customHeight="1" x14ac:dyDescent="0.2">
      <c r="C782" s="287"/>
      <c r="K782" s="287"/>
    </row>
    <row r="783" spans="3:11" ht="15.75" customHeight="1" x14ac:dyDescent="0.2">
      <c r="C783" s="287"/>
      <c r="K783" s="287"/>
    </row>
    <row r="784" spans="3:11" ht="15.75" customHeight="1" x14ac:dyDescent="0.2">
      <c r="C784" s="287"/>
      <c r="K784" s="287"/>
    </row>
    <row r="785" spans="3:11" ht="15.75" customHeight="1" x14ac:dyDescent="0.2">
      <c r="C785" s="287"/>
      <c r="K785" s="287"/>
    </row>
    <row r="786" spans="3:11" ht="15.75" customHeight="1" x14ac:dyDescent="0.2">
      <c r="C786" s="287"/>
      <c r="K786" s="287"/>
    </row>
    <row r="787" spans="3:11" ht="15.75" customHeight="1" x14ac:dyDescent="0.2">
      <c r="C787" s="287"/>
      <c r="K787" s="287"/>
    </row>
    <row r="788" spans="3:11" ht="15.75" customHeight="1" x14ac:dyDescent="0.2">
      <c r="C788" s="287"/>
      <c r="K788" s="287"/>
    </row>
    <row r="789" spans="3:11" ht="15.75" customHeight="1" x14ac:dyDescent="0.2">
      <c r="C789" s="287"/>
      <c r="K789" s="287"/>
    </row>
    <row r="790" spans="3:11" ht="15.75" customHeight="1" x14ac:dyDescent="0.2">
      <c r="C790" s="287"/>
      <c r="K790" s="287"/>
    </row>
    <row r="791" spans="3:11" ht="15.75" customHeight="1" x14ac:dyDescent="0.2">
      <c r="C791" s="287"/>
      <c r="K791" s="287"/>
    </row>
    <row r="792" spans="3:11" ht="15.75" customHeight="1" x14ac:dyDescent="0.2">
      <c r="C792" s="287"/>
      <c r="K792" s="287"/>
    </row>
    <row r="793" spans="3:11" ht="15.75" customHeight="1" x14ac:dyDescent="0.2">
      <c r="C793" s="287"/>
      <c r="K793" s="287"/>
    </row>
    <row r="794" spans="3:11" ht="15.75" customHeight="1" x14ac:dyDescent="0.2">
      <c r="C794" s="287"/>
      <c r="K794" s="287"/>
    </row>
    <row r="795" spans="3:11" ht="15.75" customHeight="1" x14ac:dyDescent="0.2">
      <c r="C795" s="287"/>
      <c r="K795" s="287"/>
    </row>
    <row r="796" spans="3:11" ht="15.75" customHeight="1" x14ac:dyDescent="0.2">
      <c r="C796" s="287"/>
      <c r="K796" s="287"/>
    </row>
    <row r="797" spans="3:11" ht="15.75" customHeight="1" x14ac:dyDescent="0.2">
      <c r="C797" s="287"/>
      <c r="K797" s="287"/>
    </row>
    <row r="798" spans="3:11" ht="15.75" customHeight="1" x14ac:dyDescent="0.2">
      <c r="C798" s="287"/>
      <c r="K798" s="287"/>
    </row>
    <row r="799" spans="3:11" ht="15.75" customHeight="1" x14ac:dyDescent="0.2">
      <c r="C799" s="287"/>
      <c r="K799" s="287"/>
    </row>
    <row r="800" spans="3:11" ht="15.75" customHeight="1" x14ac:dyDescent="0.2">
      <c r="C800" s="287"/>
      <c r="K800" s="287"/>
    </row>
    <row r="801" spans="3:11" ht="15.75" customHeight="1" x14ac:dyDescent="0.2">
      <c r="C801" s="287"/>
      <c r="K801" s="287"/>
    </row>
    <row r="802" spans="3:11" ht="15.75" customHeight="1" x14ac:dyDescent="0.2">
      <c r="C802" s="287"/>
      <c r="K802" s="287"/>
    </row>
    <row r="803" spans="3:11" ht="15.75" customHeight="1" x14ac:dyDescent="0.2">
      <c r="C803" s="287"/>
      <c r="K803" s="287"/>
    </row>
    <row r="804" spans="3:11" ht="15.75" customHeight="1" x14ac:dyDescent="0.2">
      <c r="C804" s="287"/>
      <c r="K804" s="287"/>
    </row>
    <row r="805" spans="3:11" ht="15.75" customHeight="1" x14ac:dyDescent="0.2">
      <c r="C805" s="287"/>
      <c r="K805" s="287"/>
    </row>
    <row r="806" spans="3:11" ht="15.75" customHeight="1" x14ac:dyDescent="0.2">
      <c r="C806" s="287"/>
      <c r="K806" s="287"/>
    </row>
    <row r="807" spans="3:11" ht="15.75" customHeight="1" x14ac:dyDescent="0.2">
      <c r="C807" s="287"/>
      <c r="K807" s="287"/>
    </row>
    <row r="808" spans="3:11" ht="15.75" customHeight="1" x14ac:dyDescent="0.2">
      <c r="C808" s="287"/>
      <c r="K808" s="287"/>
    </row>
    <row r="809" spans="3:11" ht="15.75" customHeight="1" x14ac:dyDescent="0.2">
      <c r="C809" s="287"/>
      <c r="K809" s="287"/>
    </row>
    <row r="810" spans="3:11" ht="15.75" customHeight="1" x14ac:dyDescent="0.2">
      <c r="C810" s="287"/>
      <c r="K810" s="287"/>
    </row>
    <row r="811" spans="3:11" ht="15.75" customHeight="1" x14ac:dyDescent="0.2">
      <c r="C811" s="287"/>
      <c r="K811" s="287"/>
    </row>
    <row r="812" spans="3:11" ht="15.75" customHeight="1" x14ac:dyDescent="0.2">
      <c r="C812" s="287"/>
      <c r="K812" s="287"/>
    </row>
    <row r="813" spans="3:11" ht="15.75" customHeight="1" x14ac:dyDescent="0.2">
      <c r="C813" s="287"/>
      <c r="K813" s="287"/>
    </row>
    <row r="814" spans="3:11" ht="15.75" customHeight="1" x14ac:dyDescent="0.2">
      <c r="C814" s="287"/>
      <c r="K814" s="287"/>
    </row>
    <row r="815" spans="3:11" ht="15.75" customHeight="1" x14ac:dyDescent="0.2">
      <c r="C815" s="287"/>
      <c r="K815" s="287"/>
    </row>
    <row r="816" spans="3:11" ht="15.75" customHeight="1" x14ac:dyDescent="0.2">
      <c r="C816" s="287"/>
      <c r="K816" s="287"/>
    </row>
    <row r="817" spans="3:11" ht="15.75" customHeight="1" x14ac:dyDescent="0.2">
      <c r="C817" s="287"/>
      <c r="K817" s="287"/>
    </row>
    <row r="818" spans="3:11" ht="15.75" customHeight="1" x14ac:dyDescent="0.2">
      <c r="C818" s="287"/>
      <c r="K818" s="287"/>
    </row>
    <row r="819" spans="3:11" ht="15.75" customHeight="1" x14ac:dyDescent="0.2">
      <c r="C819" s="287"/>
      <c r="K819" s="287"/>
    </row>
    <row r="820" spans="3:11" ht="15.75" customHeight="1" x14ac:dyDescent="0.2">
      <c r="C820" s="287"/>
      <c r="K820" s="287"/>
    </row>
    <row r="821" spans="3:11" ht="15.75" customHeight="1" x14ac:dyDescent="0.2"/>
    <row r="822" spans="3:11" ht="15.75" customHeight="1" x14ac:dyDescent="0.2"/>
    <row r="823" spans="3:11" ht="15.75" customHeight="1" x14ac:dyDescent="0.2"/>
    <row r="824" spans="3:11" ht="15.75" customHeight="1" x14ac:dyDescent="0.2"/>
    <row r="825" spans="3:11" ht="15.75" customHeight="1" x14ac:dyDescent="0.2"/>
    <row r="826" spans="3:11" ht="15.75" customHeight="1" x14ac:dyDescent="0.2"/>
    <row r="827" spans="3:11" ht="15.75" customHeight="1" x14ac:dyDescent="0.2"/>
    <row r="828" spans="3:11" ht="15.75" customHeight="1" x14ac:dyDescent="0.2"/>
    <row r="829" spans="3:11" ht="15.75" customHeight="1" x14ac:dyDescent="0.2"/>
    <row r="830" spans="3:11" ht="15.75" customHeight="1" x14ac:dyDescent="0.2"/>
    <row r="831" spans="3:11" ht="15.75" customHeight="1" x14ac:dyDescent="0.2"/>
    <row r="832" spans="3:11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8">
    <mergeCell ref="A431:D431"/>
    <mergeCell ref="A503:B503"/>
    <mergeCell ref="A591:E591"/>
    <mergeCell ref="A1:D1"/>
    <mergeCell ref="A102:D102"/>
    <mergeCell ref="A185:B185"/>
    <mergeCell ref="A254:D254"/>
    <mergeCell ref="A363:B363"/>
  </mergeCells>
  <conditionalFormatting sqref="H1 H3:H26 H28:H32 H34 H37:H39 H102:H117 H119:H121 H123 H126:H128 H185:H192 H195 H255:H281 H283:H285 H287 H290:H304 H364:H368 H371 H432:H443 H446 H504:H522 H524:H525 H527 H530 H592:H611 H614">
    <cfRule type="cellIs" dxfId="21" priority="1" operator="lessThan">
      <formula>0</formula>
    </cfRule>
  </conditionalFormatting>
  <printOptions horizontalCentered="1" verticalCentered="1"/>
  <pageMargins left="0.25" right="0.25" top="0.75" bottom="0.75" header="0.3" footer="0.3"/>
  <pageSetup scale="87" fitToHeight="0" orientation="landscape" r:id="rId1"/>
  <headerFooter>
    <oddHeader>&amp;A</oddHeader>
    <oddFooter>Page 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84"/>
  <sheetViews>
    <sheetView workbookViewId="0"/>
  </sheetViews>
  <sheetFormatPr defaultColWidth="12.5703125" defaultRowHeight="15" customHeight="1" outlineLevelCol="1" x14ac:dyDescent="0.2"/>
  <cols>
    <col min="2" max="2" width="40" customWidth="1"/>
    <col min="3" max="3" width="3.42578125" hidden="1" customWidth="1" outlineLevel="1"/>
    <col min="4" max="10" width="0.140625" hidden="1" customWidth="1" outlineLevel="1"/>
    <col min="11" max="11" width="3.42578125" hidden="1" customWidth="1" outlineLevel="1"/>
    <col min="12" max="12" width="12.5703125" collapsed="1"/>
    <col min="13" max="13" width="14.85546875" customWidth="1"/>
    <col min="23" max="23" width="3.140625" customWidth="1"/>
  </cols>
  <sheetData>
    <row r="1" spans="1:31" ht="28.5" customHeight="1" x14ac:dyDescent="0.25">
      <c r="A1" s="1" t="s">
        <v>801</v>
      </c>
      <c r="B1" s="5"/>
      <c r="C1" s="15"/>
      <c r="D1" s="16"/>
      <c r="E1" s="16"/>
      <c r="F1" s="16"/>
      <c r="G1" s="16"/>
      <c r="H1" s="18"/>
      <c r="I1" s="16"/>
      <c r="J1" s="16"/>
      <c r="K1" s="15"/>
      <c r="L1" s="7"/>
      <c r="M1" s="7"/>
      <c r="N1" s="7"/>
      <c r="O1" s="7"/>
      <c r="P1" s="7"/>
      <c r="Q1" s="7"/>
      <c r="R1" s="7"/>
      <c r="S1" s="7"/>
      <c r="T1" s="206"/>
      <c r="W1" s="19"/>
      <c r="X1" s="20"/>
    </row>
    <row r="2" spans="1:31" ht="50.25" customHeight="1" x14ac:dyDescent="0.2">
      <c r="A2" s="3" t="s">
        <v>50</v>
      </c>
      <c r="B2" s="3" t="s">
        <v>51</v>
      </c>
      <c r="C2" s="21"/>
      <c r="D2" s="22" t="s">
        <v>52</v>
      </c>
      <c r="E2" s="23" t="s">
        <v>53</v>
      </c>
      <c r="F2" s="23" t="s">
        <v>54</v>
      </c>
      <c r="G2" s="23" t="s">
        <v>55</v>
      </c>
      <c r="H2" s="100" t="s">
        <v>56</v>
      </c>
      <c r="I2" s="23" t="s">
        <v>57</v>
      </c>
      <c r="J2" s="129" t="s">
        <v>58</v>
      </c>
      <c r="K2" s="130"/>
      <c r="L2" s="27" t="s">
        <v>59</v>
      </c>
      <c r="M2" s="27" t="s">
        <v>60</v>
      </c>
      <c r="N2" s="27" t="s">
        <v>61</v>
      </c>
      <c r="O2" s="27" t="s">
        <v>62</v>
      </c>
      <c r="P2" s="27" t="s">
        <v>63</v>
      </c>
      <c r="Q2" s="27" t="s">
        <v>64</v>
      </c>
      <c r="R2" s="27" t="s">
        <v>65</v>
      </c>
      <c r="S2" s="27" t="s">
        <v>66</v>
      </c>
      <c r="T2" s="207"/>
      <c r="U2" s="28"/>
      <c r="V2" s="19"/>
      <c r="X2" s="28"/>
      <c r="Y2" s="28"/>
      <c r="Z2" s="28"/>
      <c r="AA2" s="28"/>
      <c r="AB2" s="28"/>
      <c r="AC2" s="28"/>
      <c r="AD2" s="28"/>
      <c r="AE2" s="28"/>
    </row>
    <row r="3" spans="1:31" ht="15.75" customHeight="1" x14ac:dyDescent="0.25">
      <c r="A3" s="103" t="s">
        <v>802</v>
      </c>
      <c r="B3" s="103" t="s">
        <v>68</v>
      </c>
      <c r="C3" s="280"/>
      <c r="D3" s="142">
        <v>1209822</v>
      </c>
      <c r="E3" s="142" t="e">
        <f>D3*#REF!</f>
        <v>#REF!</v>
      </c>
      <c r="F3" s="142" t="e">
        <f>D3*#REF!</f>
        <v>#REF!</v>
      </c>
      <c r="G3" s="142" t="e">
        <f>(D3*#REF!)*#REF!</f>
        <v>#REF!</v>
      </c>
      <c r="H3" s="33">
        <f t="shared" ref="H3:H22" si="0">IFERROR(((Q3-G3)/G3),0)</f>
        <v>0</v>
      </c>
      <c r="I3" s="16" t="e">
        <f t="shared" ref="I3:I22" si="1">Q3-G3</f>
        <v>#REF!</v>
      </c>
      <c r="J3" s="18">
        <v>0</v>
      </c>
      <c r="K3" s="280"/>
      <c r="L3" s="216">
        <v>1850457</v>
      </c>
      <c r="M3" s="216">
        <v>1197894.55</v>
      </c>
      <c r="N3" s="216">
        <v>1508277</v>
      </c>
      <c r="O3" s="216">
        <f>VLOOKUP(A3,TB!A:F,3)</f>
        <v>1176079.8600000001</v>
      </c>
      <c r="P3" s="142">
        <f t="shared" ref="P3:P7" si="2">O3/20*26</f>
        <v>1528903.818</v>
      </c>
      <c r="Q3" s="142">
        <v>1758300</v>
      </c>
      <c r="R3" s="281">
        <f>VLOOKUP(A3,TB!A:F,6)</f>
        <v>1758300</v>
      </c>
      <c r="S3" s="281">
        <f t="shared" ref="S3:S21" si="3">Q3-R3</f>
        <v>0</v>
      </c>
    </row>
    <row r="4" spans="1:31" ht="15.75" customHeight="1" x14ac:dyDescent="0.25">
      <c r="A4" s="103" t="s">
        <v>803</v>
      </c>
      <c r="B4" s="103" t="s">
        <v>70</v>
      </c>
      <c r="C4" s="280"/>
      <c r="D4" s="142">
        <v>38576</v>
      </c>
      <c r="E4" s="142" t="e">
        <f>D4*#REF!</f>
        <v>#REF!</v>
      </c>
      <c r="F4" s="142" t="e">
        <f>D4*#REF!</f>
        <v>#REF!</v>
      </c>
      <c r="G4" s="142" t="e">
        <f>(D4*#REF!)*#REF!</f>
        <v>#REF!</v>
      </c>
      <c r="H4" s="33">
        <f t="shared" si="0"/>
        <v>0</v>
      </c>
      <c r="I4" s="16" t="e">
        <f t="shared" si="1"/>
        <v>#REF!</v>
      </c>
      <c r="J4" s="18">
        <v>0</v>
      </c>
      <c r="K4" s="280"/>
      <c r="L4" s="216">
        <v>129116</v>
      </c>
      <c r="M4" s="216">
        <v>76529.69</v>
      </c>
      <c r="N4" s="216">
        <v>105000</v>
      </c>
      <c r="O4" s="216">
        <f>VLOOKUP(A4,TB!A:F,3)</f>
        <v>21444.49</v>
      </c>
      <c r="P4" s="142">
        <f t="shared" si="2"/>
        <v>27877.837</v>
      </c>
      <c r="Q4" s="142">
        <v>85000</v>
      </c>
      <c r="R4" s="281">
        <f>VLOOKUP(A4,TB!A:F,6)</f>
        <v>85000</v>
      </c>
      <c r="S4" s="281">
        <f t="shared" si="3"/>
        <v>0</v>
      </c>
    </row>
    <row r="5" spans="1:31" ht="15.75" customHeight="1" x14ac:dyDescent="0.25">
      <c r="A5" s="103" t="s">
        <v>804</v>
      </c>
      <c r="B5" s="103" t="s">
        <v>132</v>
      </c>
      <c r="C5" s="280"/>
      <c r="D5" s="142">
        <v>37067</v>
      </c>
      <c r="E5" s="142" t="e">
        <f>D5*#REF!</f>
        <v>#REF!</v>
      </c>
      <c r="F5" s="142" t="e">
        <f>D5*#REF!</f>
        <v>#REF!</v>
      </c>
      <c r="G5" s="142" t="e">
        <f>(D5*#REF!)*#REF!</f>
        <v>#REF!</v>
      </c>
      <c r="H5" s="33">
        <f t="shared" si="0"/>
        <v>0</v>
      </c>
      <c r="I5" s="16" t="e">
        <f t="shared" si="1"/>
        <v>#REF!</v>
      </c>
      <c r="J5" s="18">
        <v>0</v>
      </c>
      <c r="K5" s="280"/>
      <c r="L5" s="216">
        <v>154362</v>
      </c>
      <c r="M5" s="216">
        <v>173124.61</v>
      </c>
      <c r="N5" s="216">
        <v>230430</v>
      </c>
      <c r="O5" s="216">
        <f>VLOOKUP(A5,TB!A:F,3)</f>
        <v>135189.01</v>
      </c>
      <c r="P5" s="142">
        <f t="shared" si="2"/>
        <v>175745.71300000002</v>
      </c>
      <c r="Q5" s="142">
        <v>307300</v>
      </c>
      <c r="R5" s="281">
        <f>VLOOKUP(A5,TB!A:F,6)</f>
        <v>307300</v>
      </c>
      <c r="S5" s="281">
        <f t="shared" si="3"/>
        <v>0</v>
      </c>
    </row>
    <row r="6" spans="1:31" ht="15.75" customHeight="1" x14ac:dyDescent="0.25">
      <c r="A6" s="103" t="s">
        <v>805</v>
      </c>
      <c r="B6" s="103" t="s">
        <v>72</v>
      </c>
      <c r="C6" s="280"/>
      <c r="D6" s="142">
        <v>771514</v>
      </c>
      <c r="E6" s="142" t="e">
        <f>D6*#REF!</f>
        <v>#REF!</v>
      </c>
      <c r="F6" s="142" t="e">
        <f>D6*#REF!</f>
        <v>#REF!</v>
      </c>
      <c r="G6" s="142" t="e">
        <f>(D6*#REF!)*#REF!</f>
        <v>#REF!</v>
      </c>
      <c r="H6" s="33">
        <f t="shared" si="0"/>
        <v>0</v>
      </c>
      <c r="I6" s="16" t="e">
        <f t="shared" si="1"/>
        <v>#REF!</v>
      </c>
      <c r="J6" s="18">
        <v>0</v>
      </c>
      <c r="K6" s="280"/>
      <c r="L6" s="216">
        <v>1155972</v>
      </c>
      <c r="M6" s="216">
        <v>735255.99</v>
      </c>
      <c r="N6" s="216">
        <v>1108182</v>
      </c>
      <c r="O6" s="216">
        <f>VLOOKUP(A6,TB!A:F,3)</f>
        <v>723384.09</v>
      </c>
      <c r="P6" s="142">
        <f t="shared" si="2"/>
        <v>940399.31700000004</v>
      </c>
      <c r="Q6" s="142">
        <v>1151900</v>
      </c>
      <c r="R6" s="281">
        <f>VLOOKUP(A6,TB!A:F,6)</f>
        <v>1151900</v>
      </c>
      <c r="S6" s="281">
        <f t="shared" si="3"/>
        <v>0</v>
      </c>
    </row>
    <row r="7" spans="1:31" ht="15.75" customHeight="1" x14ac:dyDescent="0.25">
      <c r="A7" s="103" t="s">
        <v>806</v>
      </c>
      <c r="B7" s="103" t="s">
        <v>451</v>
      </c>
      <c r="C7" s="280"/>
      <c r="D7" s="142">
        <v>12314</v>
      </c>
      <c r="E7" s="142" t="e">
        <f>D7*#REF!</f>
        <v>#REF!</v>
      </c>
      <c r="F7" s="142" t="e">
        <f>D7*#REF!</f>
        <v>#REF!</v>
      </c>
      <c r="G7" s="142" t="e">
        <f>(D7*#REF!)*#REF!</f>
        <v>#REF!</v>
      </c>
      <c r="H7" s="33">
        <f t="shared" si="0"/>
        <v>0</v>
      </c>
      <c r="I7" s="16" t="e">
        <f t="shared" si="1"/>
        <v>#REF!</v>
      </c>
      <c r="J7" s="18">
        <v>0</v>
      </c>
      <c r="K7" s="280"/>
      <c r="L7" s="216">
        <v>8723</v>
      </c>
      <c r="M7" s="216">
        <v>11937.51</v>
      </c>
      <c r="N7" s="216">
        <v>20000</v>
      </c>
      <c r="O7" s="216">
        <f>VLOOKUP(A7,TB!A:F,3)</f>
        <v>13459.7</v>
      </c>
      <c r="P7" s="142">
        <f t="shared" si="2"/>
        <v>17497.61</v>
      </c>
      <c r="Q7" s="142">
        <v>20000</v>
      </c>
      <c r="R7" s="281">
        <f>VLOOKUP(A7,TB!A:F,6)</f>
        <v>20000</v>
      </c>
      <c r="S7" s="281">
        <f t="shared" si="3"/>
        <v>0</v>
      </c>
    </row>
    <row r="8" spans="1:31" ht="15.75" customHeight="1" x14ac:dyDescent="0.25">
      <c r="A8" s="103" t="s">
        <v>807</v>
      </c>
      <c r="B8" s="103" t="s">
        <v>74</v>
      </c>
      <c r="C8" s="280"/>
      <c r="D8" s="142">
        <v>7732</v>
      </c>
      <c r="E8" s="142" t="e">
        <f>D8*#REF!</f>
        <v>#REF!</v>
      </c>
      <c r="F8" s="142" t="e">
        <f>D8*#REF!</f>
        <v>#REF!</v>
      </c>
      <c r="G8" s="142" t="e">
        <f>(D8*#REF!)*#REF!</f>
        <v>#REF!</v>
      </c>
      <c r="H8" s="33">
        <f t="shared" si="0"/>
        <v>0</v>
      </c>
      <c r="I8" s="16" t="e">
        <f t="shared" si="1"/>
        <v>#REF!</v>
      </c>
      <c r="J8" s="18">
        <v>0</v>
      </c>
      <c r="K8" s="280"/>
      <c r="L8" s="216">
        <v>41712</v>
      </c>
      <c r="M8" s="216">
        <v>3523.34</v>
      </c>
      <c r="N8" s="216">
        <v>6300</v>
      </c>
      <c r="O8" s="216">
        <f>VLOOKUP(A8,TB!A:F,3)</f>
        <v>940.18</v>
      </c>
      <c r="P8" s="142">
        <f>O8/9*12</f>
        <v>1253.5733333333333</v>
      </c>
      <c r="Q8" s="142">
        <v>5050</v>
      </c>
      <c r="R8" s="281">
        <f>VLOOKUP(A8,TB!A:F,6)</f>
        <v>5050</v>
      </c>
      <c r="S8" s="281">
        <f t="shared" si="3"/>
        <v>0</v>
      </c>
    </row>
    <row r="9" spans="1:31" ht="15.75" customHeight="1" x14ac:dyDescent="0.25">
      <c r="A9" s="103" t="s">
        <v>808</v>
      </c>
      <c r="B9" s="103" t="s">
        <v>76</v>
      </c>
      <c r="C9" s="280"/>
      <c r="D9" s="142">
        <v>12978</v>
      </c>
      <c r="E9" s="142" t="e">
        <f>D9*#REF!</f>
        <v>#REF!</v>
      </c>
      <c r="F9" s="142" t="e">
        <f>D9*#REF!</f>
        <v>#REF!</v>
      </c>
      <c r="G9" s="142" t="e">
        <f>(D9*#REF!)*#REF!</f>
        <v>#REF!</v>
      </c>
      <c r="H9" s="33">
        <f t="shared" si="0"/>
        <v>0</v>
      </c>
      <c r="I9" s="16" t="e">
        <f t="shared" si="1"/>
        <v>#REF!</v>
      </c>
      <c r="J9" s="18">
        <v>0</v>
      </c>
      <c r="K9" s="280"/>
      <c r="L9" s="216">
        <v>10311</v>
      </c>
      <c r="M9" s="216">
        <v>9549.39</v>
      </c>
      <c r="N9" s="216">
        <v>24000</v>
      </c>
      <c r="O9" s="216">
        <f>VLOOKUP(A9,TB!A:F,3)</f>
        <v>7936.49</v>
      </c>
      <c r="P9" s="272">
        <f t="shared" ref="P9:P13" si="4">N9</f>
        <v>24000</v>
      </c>
      <c r="Q9" s="142">
        <v>15000</v>
      </c>
      <c r="R9" s="281">
        <f>VLOOKUP(A9,TB!A:F,6)</f>
        <v>15000</v>
      </c>
      <c r="S9" s="281">
        <f t="shared" si="3"/>
        <v>0</v>
      </c>
    </row>
    <row r="10" spans="1:31" ht="15.75" customHeight="1" x14ac:dyDescent="0.25">
      <c r="A10" s="103" t="s">
        <v>809</v>
      </c>
      <c r="B10" s="103" t="s">
        <v>80</v>
      </c>
      <c r="C10" s="280"/>
      <c r="D10" s="142">
        <v>13412</v>
      </c>
      <c r="E10" s="142" t="e">
        <f>D10*#REF!</f>
        <v>#REF!</v>
      </c>
      <c r="F10" s="142" t="e">
        <f>D10*#REF!</f>
        <v>#REF!</v>
      </c>
      <c r="G10" s="142" t="e">
        <f>(D10*#REF!)*#REF!</f>
        <v>#REF!</v>
      </c>
      <c r="H10" s="33">
        <f t="shared" si="0"/>
        <v>0</v>
      </c>
      <c r="I10" s="16" t="e">
        <f t="shared" si="1"/>
        <v>#REF!</v>
      </c>
      <c r="J10" s="18">
        <v>0</v>
      </c>
      <c r="K10" s="280"/>
      <c r="L10" s="216">
        <v>7887</v>
      </c>
      <c r="M10" s="216">
        <v>0</v>
      </c>
      <c r="N10" s="216">
        <v>1500</v>
      </c>
      <c r="O10" s="216">
        <f>VLOOKUP(A10,TB!A:F,3)</f>
        <v>351.78</v>
      </c>
      <c r="P10" s="272">
        <f t="shared" si="4"/>
        <v>1500</v>
      </c>
      <c r="Q10" s="142">
        <v>1500</v>
      </c>
      <c r="R10" s="281">
        <f>VLOOKUP(A10,TB!A:F,6)</f>
        <v>1500</v>
      </c>
      <c r="S10" s="281">
        <f t="shared" si="3"/>
        <v>0</v>
      </c>
    </row>
    <row r="11" spans="1:31" ht="15.75" customHeight="1" x14ac:dyDescent="0.25">
      <c r="A11" s="103" t="s">
        <v>810</v>
      </c>
      <c r="B11" s="103" t="s">
        <v>82</v>
      </c>
      <c r="C11" s="280"/>
      <c r="D11" s="142">
        <v>15132</v>
      </c>
      <c r="E11" s="142" t="e">
        <f>D11*#REF!</f>
        <v>#REF!</v>
      </c>
      <c r="F11" s="142" t="e">
        <f>D11*#REF!</f>
        <v>#REF!</v>
      </c>
      <c r="G11" s="142" t="e">
        <f>(D11*#REF!)*#REF!</f>
        <v>#REF!</v>
      </c>
      <c r="H11" s="33">
        <f t="shared" si="0"/>
        <v>0</v>
      </c>
      <c r="I11" s="16" t="e">
        <f t="shared" si="1"/>
        <v>#REF!</v>
      </c>
      <c r="J11" s="18">
        <v>0</v>
      </c>
      <c r="K11" s="280"/>
      <c r="L11" s="216">
        <v>26310</v>
      </c>
      <c r="M11" s="216">
        <v>-547.41</v>
      </c>
      <c r="N11" s="216">
        <v>2000</v>
      </c>
      <c r="O11" s="216">
        <f>VLOOKUP(A11,TB!A:F,3)</f>
        <v>93</v>
      </c>
      <c r="P11" s="272">
        <f t="shared" si="4"/>
        <v>2000</v>
      </c>
      <c r="Q11" s="142">
        <v>2000</v>
      </c>
      <c r="R11" s="281">
        <f>VLOOKUP(A11,TB!A:F,6)</f>
        <v>2000</v>
      </c>
      <c r="S11" s="281">
        <f t="shared" si="3"/>
        <v>0</v>
      </c>
    </row>
    <row r="12" spans="1:31" ht="15.75" customHeight="1" x14ac:dyDescent="0.25">
      <c r="A12" s="103" t="s">
        <v>811</v>
      </c>
      <c r="B12" s="103" t="s">
        <v>115</v>
      </c>
      <c r="C12" s="280"/>
      <c r="D12" s="142">
        <v>11035</v>
      </c>
      <c r="E12" s="142" t="e">
        <f>D12*#REF!</f>
        <v>#REF!</v>
      </c>
      <c r="F12" s="142" t="e">
        <f>D12*#REF!</f>
        <v>#REF!</v>
      </c>
      <c r="G12" s="142" t="e">
        <f>(D12*#REF!)*#REF!</f>
        <v>#REF!</v>
      </c>
      <c r="H12" s="33">
        <f t="shared" si="0"/>
        <v>0</v>
      </c>
      <c r="I12" s="16" t="e">
        <f t="shared" si="1"/>
        <v>#REF!</v>
      </c>
      <c r="J12" s="18">
        <v>0</v>
      </c>
      <c r="K12" s="280"/>
      <c r="L12" s="216">
        <v>38804</v>
      </c>
      <c r="M12" s="216">
        <v>45178.42</v>
      </c>
      <c r="N12" s="216">
        <v>65000</v>
      </c>
      <c r="O12" s="216">
        <f>VLOOKUP(A12,TB!A:F,3)</f>
        <v>12435.16</v>
      </c>
      <c r="P12" s="272">
        <f t="shared" si="4"/>
        <v>65000</v>
      </c>
      <c r="Q12" s="142">
        <v>48500</v>
      </c>
      <c r="R12" s="281">
        <f>VLOOKUP(A12,TB!A:F,6)</f>
        <v>48500</v>
      </c>
      <c r="S12" s="281">
        <f t="shared" si="3"/>
        <v>0</v>
      </c>
    </row>
    <row r="13" spans="1:31" ht="15.75" customHeight="1" x14ac:dyDescent="0.25">
      <c r="A13" s="103" t="s">
        <v>812</v>
      </c>
      <c r="B13" s="103" t="s">
        <v>813</v>
      </c>
      <c r="C13" s="323"/>
      <c r="D13" s="320">
        <v>0</v>
      </c>
      <c r="E13" s="142" t="e">
        <f>D13*#REF!</f>
        <v>#REF!</v>
      </c>
      <c r="F13" s="142" t="e">
        <f>D13*#REF!</f>
        <v>#REF!</v>
      </c>
      <c r="G13" s="142" t="e">
        <f>(D13*#REF!)*#REF!</f>
        <v>#REF!</v>
      </c>
      <c r="H13" s="33">
        <f t="shared" si="0"/>
        <v>0</v>
      </c>
      <c r="I13" s="16" t="e">
        <f t="shared" si="1"/>
        <v>#REF!</v>
      </c>
      <c r="J13" s="18">
        <v>0</v>
      </c>
      <c r="K13" s="323"/>
      <c r="L13" s="216">
        <v>9638</v>
      </c>
      <c r="M13" s="216">
        <v>3367.22</v>
      </c>
      <c r="N13" s="216">
        <v>24000</v>
      </c>
      <c r="O13" s="216">
        <f>VLOOKUP(A13,TB!A:F,3)</f>
        <v>6504.16</v>
      </c>
      <c r="P13" s="272">
        <f t="shared" si="4"/>
        <v>24000</v>
      </c>
      <c r="Q13" s="142">
        <v>24000</v>
      </c>
      <c r="R13" s="281">
        <f>VLOOKUP(A13,TB!A:F,6)</f>
        <v>24000</v>
      </c>
      <c r="S13" s="281">
        <f t="shared" si="3"/>
        <v>0</v>
      </c>
    </row>
    <row r="14" spans="1:31" ht="15.75" customHeight="1" x14ac:dyDescent="0.25">
      <c r="A14" s="103" t="s">
        <v>814</v>
      </c>
      <c r="B14" s="103" t="s">
        <v>84</v>
      </c>
      <c r="C14" s="280"/>
      <c r="D14" s="142">
        <v>107614</v>
      </c>
      <c r="E14" s="142" t="e">
        <f>D14*#REF!</f>
        <v>#REF!</v>
      </c>
      <c r="F14" s="142" t="e">
        <f>D14*#REF!</f>
        <v>#REF!</v>
      </c>
      <c r="G14" s="142" t="e">
        <f>(D14*#REF!)*#REF!</f>
        <v>#REF!</v>
      </c>
      <c r="H14" s="33">
        <f t="shared" si="0"/>
        <v>0</v>
      </c>
      <c r="I14" s="16" t="e">
        <f t="shared" si="1"/>
        <v>#REF!</v>
      </c>
      <c r="J14" s="18">
        <v>0</v>
      </c>
      <c r="K14" s="280"/>
      <c r="L14" s="216">
        <v>107070</v>
      </c>
      <c r="M14" s="216">
        <v>4616.0600000000004</v>
      </c>
      <c r="N14" s="216">
        <v>0</v>
      </c>
      <c r="O14" s="216">
        <f>VLOOKUP(A14,TB!A:F,3)</f>
        <v>5847.07</v>
      </c>
      <c r="P14" s="142">
        <f t="shared" ref="P14:P15" si="5">O14/9*12</f>
        <v>7796.0933333333323</v>
      </c>
      <c r="Q14" s="142">
        <v>0</v>
      </c>
      <c r="R14" s="281">
        <f>VLOOKUP(A14,TB!A:F,6)</f>
        <v>0</v>
      </c>
      <c r="S14" s="281">
        <f t="shared" si="3"/>
        <v>0</v>
      </c>
    </row>
    <row r="15" spans="1:31" ht="15.75" customHeight="1" x14ac:dyDescent="0.25">
      <c r="A15" s="103" t="s">
        <v>815</v>
      </c>
      <c r="B15" s="103" t="s">
        <v>210</v>
      </c>
      <c r="C15" s="280"/>
      <c r="D15" s="142">
        <v>24652</v>
      </c>
      <c r="E15" s="142" t="e">
        <f>D15*#REF!</f>
        <v>#REF!</v>
      </c>
      <c r="F15" s="142" t="e">
        <f>D15*#REF!</f>
        <v>#REF!</v>
      </c>
      <c r="G15" s="142" t="e">
        <f>(D15*#REF!)*#REF!</f>
        <v>#REF!</v>
      </c>
      <c r="H15" s="33">
        <f t="shared" si="0"/>
        <v>0</v>
      </c>
      <c r="I15" s="16" t="e">
        <f t="shared" si="1"/>
        <v>#REF!</v>
      </c>
      <c r="J15" s="18">
        <v>0</v>
      </c>
      <c r="K15" s="280"/>
      <c r="L15" s="216">
        <v>40638</v>
      </c>
      <c r="M15" s="216">
        <v>0</v>
      </c>
      <c r="N15" s="216">
        <v>0</v>
      </c>
      <c r="O15" s="216">
        <f>VLOOKUP(A15,TB!A:F,3)</f>
        <v>0</v>
      </c>
      <c r="P15" s="142">
        <f t="shared" si="5"/>
        <v>0</v>
      </c>
      <c r="Q15" s="142">
        <v>0</v>
      </c>
      <c r="R15" s="281">
        <f>VLOOKUP(A15,TB!A:F,6)</f>
        <v>0</v>
      </c>
      <c r="S15" s="281">
        <f t="shared" si="3"/>
        <v>0</v>
      </c>
    </row>
    <row r="16" spans="1:31" ht="15.75" customHeight="1" x14ac:dyDescent="0.25">
      <c r="A16" s="103" t="s">
        <v>816</v>
      </c>
      <c r="B16" s="103" t="s">
        <v>88</v>
      </c>
      <c r="C16" s="280"/>
      <c r="D16" s="142">
        <v>0</v>
      </c>
      <c r="E16" s="142" t="e">
        <f>D16*#REF!</f>
        <v>#REF!</v>
      </c>
      <c r="F16" s="142" t="e">
        <f>D16*#REF!</f>
        <v>#REF!</v>
      </c>
      <c r="G16" s="142" t="e">
        <f>(D16*#REF!)*#REF!</f>
        <v>#REF!</v>
      </c>
      <c r="H16" s="33">
        <f t="shared" si="0"/>
        <v>0</v>
      </c>
      <c r="I16" s="16" t="e">
        <f t="shared" si="1"/>
        <v>#REF!</v>
      </c>
      <c r="J16" s="18">
        <v>0</v>
      </c>
      <c r="K16" s="280"/>
      <c r="L16" s="216">
        <v>20485</v>
      </c>
      <c r="M16" s="216">
        <v>10163.93</v>
      </c>
      <c r="N16" s="216">
        <v>24900</v>
      </c>
      <c r="O16" s="216">
        <f>VLOOKUP(A16,TB!A:F,3)</f>
        <v>18430</v>
      </c>
      <c r="P16" s="272">
        <f t="shared" ref="P16:P17" si="6">N16</f>
        <v>24900</v>
      </c>
      <c r="Q16" s="142">
        <v>12000</v>
      </c>
      <c r="R16" s="281">
        <f>VLOOKUP(A16,TB!A:F,6)</f>
        <v>12000</v>
      </c>
      <c r="S16" s="281">
        <f t="shared" si="3"/>
        <v>0</v>
      </c>
    </row>
    <row r="17" spans="1:30" ht="15.75" customHeight="1" x14ac:dyDescent="0.25">
      <c r="A17" s="103" t="s">
        <v>817</v>
      </c>
      <c r="B17" s="103" t="s">
        <v>90</v>
      </c>
      <c r="C17" s="280"/>
      <c r="D17" s="142">
        <v>12497</v>
      </c>
      <c r="E17" s="142" t="e">
        <f>D17*#REF!</f>
        <v>#REF!</v>
      </c>
      <c r="F17" s="142" t="e">
        <f>D17*#REF!</f>
        <v>#REF!</v>
      </c>
      <c r="G17" s="142" t="e">
        <f>(D17*#REF!)*#REF!</f>
        <v>#REF!</v>
      </c>
      <c r="H17" s="33">
        <f t="shared" si="0"/>
        <v>0</v>
      </c>
      <c r="I17" s="16" t="e">
        <f t="shared" si="1"/>
        <v>#REF!</v>
      </c>
      <c r="J17" s="18">
        <v>0</v>
      </c>
      <c r="K17" s="280"/>
      <c r="L17" s="216">
        <v>16161</v>
      </c>
      <c r="M17" s="216">
        <v>9526.2999999999993</v>
      </c>
      <c r="N17" s="216">
        <v>23000</v>
      </c>
      <c r="O17" s="216">
        <f>VLOOKUP(A17,TB!A:F,3)</f>
        <v>3841.91</v>
      </c>
      <c r="P17" s="272">
        <f t="shared" si="6"/>
        <v>23000</v>
      </c>
      <c r="Q17" s="142">
        <v>15000</v>
      </c>
      <c r="R17" s="281">
        <f>VLOOKUP(A17,TB!A:F,6)</f>
        <v>15000</v>
      </c>
      <c r="S17" s="281">
        <f t="shared" si="3"/>
        <v>0</v>
      </c>
    </row>
    <row r="18" spans="1:30" ht="15.75" customHeight="1" x14ac:dyDescent="0.25">
      <c r="A18" s="103" t="s">
        <v>818</v>
      </c>
      <c r="B18" s="103" t="s">
        <v>610</v>
      </c>
      <c r="C18" s="280"/>
      <c r="D18" s="142">
        <v>0</v>
      </c>
      <c r="E18" s="142" t="e">
        <f>D18*#REF!</f>
        <v>#REF!</v>
      </c>
      <c r="F18" s="142" t="e">
        <f>D18*#REF!</f>
        <v>#REF!</v>
      </c>
      <c r="G18" s="142" t="e">
        <f>(D18*#REF!)*#REF!</f>
        <v>#REF!</v>
      </c>
      <c r="H18" s="33">
        <f t="shared" si="0"/>
        <v>0</v>
      </c>
      <c r="I18" s="16" t="e">
        <f t="shared" si="1"/>
        <v>#REF!</v>
      </c>
      <c r="J18" s="18">
        <v>0</v>
      </c>
      <c r="K18" s="280"/>
      <c r="L18" s="216">
        <v>11081</v>
      </c>
      <c r="M18" s="216">
        <v>589.37</v>
      </c>
      <c r="N18" s="216">
        <v>0</v>
      </c>
      <c r="O18" s="216">
        <f>VLOOKUP(A18,TB!A:F,3)</f>
        <v>0</v>
      </c>
      <c r="P18" s="142">
        <f>O18/9*12</f>
        <v>0</v>
      </c>
      <c r="Q18" s="142">
        <v>0</v>
      </c>
      <c r="R18" s="281">
        <f>VLOOKUP(A18,TB!A:F,6)</f>
        <v>0</v>
      </c>
      <c r="S18" s="281">
        <f t="shared" si="3"/>
        <v>0</v>
      </c>
    </row>
    <row r="19" spans="1:30" ht="15.75" customHeight="1" x14ac:dyDescent="0.25">
      <c r="A19" s="103" t="s">
        <v>819</v>
      </c>
      <c r="B19" s="103" t="s">
        <v>252</v>
      </c>
      <c r="C19" s="280"/>
      <c r="D19" s="142">
        <v>49137</v>
      </c>
      <c r="E19" s="142" t="e">
        <f>D19*#REF!</f>
        <v>#REF!</v>
      </c>
      <c r="F19" s="142" t="e">
        <f>D19*#REF!</f>
        <v>#REF!</v>
      </c>
      <c r="G19" s="142" t="e">
        <f>(D19*#REF!)*#REF!</f>
        <v>#REF!</v>
      </c>
      <c r="H19" s="33">
        <f t="shared" si="0"/>
        <v>0</v>
      </c>
      <c r="I19" s="16" t="e">
        <f t="shared" si="1"/>
        <v>#REF!</v>
      </c>
      <c r="J19" s="18">
        <v>0</v>
      </c>
      <c r="K19" s="280"/>
      <c r="L19" s="216">
        <v>78670</v>
      </c>
      <c r="M19" s="216">
        <v>10741.78</v>
      </c>
      <c r="N19" s="216">
        <v>15000</v>
      </c>
      <c r="O19" s="216">
        <f>VLOOKUP(A19,TB!A:F,3)</f>
        <v>4074.03</v>
      </c>
      <c r="P19" s="272">
        <f t="shared" ref="P19:P20" si="7">N19</f>
        <v>15000</v>
      </c>
      <c r="Q19" s="142">
        <v>15000</v>
      </c>
      <c r="R19" s="281">
        <f>VLOOKUP(A19,TB!A:F,6)</f>
        <v>15000</v>
      </c>
      <c r="S19" s="281">
        <f t="shared" si="3"/>
        <v>0</v>
      </c>
    </row>
    <row r="20" spans="1:30" ht="15.75" customHeight="1" x14ac:dyDescent="0.25">
      <c r="A20" s="103" t="s">
        <v>820</v>
      </c>
      <c r="B20" s="103" t="s">
        <v>502</v>
      </c>
      <c r="C20" s="280"/>
      <c r="D20" s="142">
        <v>12960</v>
      </c>
      <c r="E20" s="142" t="e">
        <f>D20*#REF!</f>
        <v>#REF!</v>
      </c>
      <c r="F20" s="142" t="e">
        <f>D20*#REF!</f>
        <v>#REF!</v>
      </c>
      <c r="G20" s="142" t="e">
        <f>(D20*#REF!)*#REF!</f>
        <v>#REF!</v>
      </c>
      <c r="H20" s="33">
        <f t="shared" si="0"/>
        <v>0</v>
      </c>
      <c r="I20" s="16" t="e">
        <f t="shared" si="1"/>
        <v>#REF!</v>
      </c>
      <c r="J20" s="18">
        <v>0</v>
      </c>
      <c r="K20" s="280"/>
      <c r="L20" s="216">
        <v>19596</v>
      </c>
      <c r="M20" s="216">
        <v>1850.52</v>
      </c>
      <c r="N20" s="216">
        <v>16700</v>
      </c>
      <c r="O20" s="216">
        <f>VLOOKUP(A20,TB!A:F,3)</f>
        <v>1523.6</v>
      </c>
      <c r="P20" s="272">
        <f t="shared" si="7"/>
        <v>16700</v>
      </c>
      <c r="Q20" s="142">
        <v>16700</v>
      </c>
      <c r="R20" s="281">
        <f>VLOOKUP(A20,TB!A:F,6)</f>
        <v>16700</v>
      </c>
      <c r="S20" s="281">
        <f t="shared" si="3"/>
        <v>0</v>
      </c>
    </row>
    <row r="21" spans="1:30" ht="15.75" customHeight="1" x14ac:dyDescent="0.25">
      <c r="A21" s="103" t="s">
        <v>821</v>
      </c>
      <c r="B21" s="103" t="s">
        <v>92</v>
      </c>
      <c r="C21" s="280"/>
      <c r="D21" s="142">
        <v>0</v>
      </c>
      <c r="E21" s="142" t="e">
        <f>D21*#REF!</f>
        <v>#REF!</v>
      </c>
      <c r="F21" s="142" t="e">
        <f>D21*#REF!</f>
        <v>#REF!</v>
      </c>
      <c r="G21" s="142" t="e">
        <f>(D21*#REF!)*#REF!</f>
        <v>#REF!</v>
      </c>
      <c r="H21" s="33">
        <f t="shared" si="0"/>
        <v>0</v>
      </c>
      <c r="I21" s="16" t="e">
        <f t="shared" si="1"/>
        <v>#REF!</v>
      </c>
      <c r="J21" s="18">
        <v>0</v>
      </c>
      <c r="K21" s="280"/>
      <c r="L21" s="216">
        <v>32999</v>
      </c>
      <c r="M21" s="216">
        <v>0</v>
      </c>
      <c r="N21" s="216">
        <v>0</v>
      </c>
      <c r="O21" s="216">
        <f>VLOOKUP(A21,TB!A:F,3)</f>
        <v>0</v>
      </c>
      <c r="P21" s="142">
        <f>O21/9*12</f>
        <v>0</v>
      </c>
      <c r="Q21" s="320">
        <v>0</v>
      </c>
      <c r="R21" s="281">
        <f>VLOOKUP(A21,TB!A:F,6)</f>
        <v>0</v>
      </c>
      <c r="S21" s="281">
        <f t="shared" si="3"/>
        <v>0</v>
      </c>
    </row>
    <row r="22" spans="1:30" ht="15.75" customHeight="1" x14ac:dyDescent="0.25">
      <c r="A22" s="47" t="s">
        <v>822</v>
      </c>
      <c r="B22" s="48"/>
      <c r="C22" s="282"/>
      <c r="D22" s="50">
        <f t="shared" ref="D22:G22" si="8">SUM(D2:D21)</f>
        <v>2336442</v>
      </c>
      <c r="E22" s="50" t="e">
        <f t="shared" si="8"/>
        <v>#REF!</v>
      </c>
      <c r="F22" s="50" t="e">
        <f t="shared" si="8"/>
        <v>#REF!</v>
      </c>
      <c r="G22" s="50" t="e">
        <f t="shared" si="8"/>
        <v>#REF!</v>
      </c>
      <c r="H22" s="42">
        <f t="shared" si="0"/>
        <v>0</v>
      </c>
      <c r="I22" s="50" t="e">
        <f t="shared" si="1"/>
        <v>#REF!</v>
      </c>
      <c r="J22" s="283">
        <f>SUM(J3:J21)</f>
        <v>0</v>
      </c>
      <c r="K22" s="282"/>
      <c r="L22" s="12">
        <f t="shared" ref="L22:S22" si="9">SUM(L2:L21)</f>
        <v>3759992</v>
      </c>
      <c r="M22" s="12">
        <f t="shared" si="9"/>
        <v>2293301.2699999996</v>
      </c>
      <c r="N22" s="12">
        <f t="shared" si="9"/>
        <v>3174289</v>
      </c>
      <c r="O22" s="12">
        <f t="shared" si="9"/>
        <v>2131534.5299999998</v>
      </c>
      <c r="P22" s="50">
        <f t="shared" si="9"/>
        <v>2895573.9616666664</v>
      </c>
      <c r="Q22" s="50">
        <f t="shared" si="9"/>
        <v>3477250</v>
      </c>
      <c r="R22" s="124">
        <f t="shared" si="9"/>
        <v>3477250</v>
      </c>
      <c r="S22" s="124">
        <f t="shared" si="9"/>
        <v>0</v>
      </c>
    </row>
    <row r="23" spans="1:30" ht="15.75" customHeight="1" x14ac:dyDescent="0.2">
      <c r="A23" s="5"/>
      <c r="B23" s="5"/>
      <c r="C23" s="284"/>
      <c r="D23" s="5"/>
      <c r="E23" s="5"/>
      <c r="F23" s="5"/>
      <c r="G23" s="5"/>
      <c r="H23" s="5"/>
      <c r="I23" s="5"/>
      <c r="J23" s="5"/>
      <c r="K23" s="284"/>
      <c r="L23" s="5"/>
      <c r="M23" s="5"/>
      <c r="N23" s="5"/>
      <c r="O23" s="5"/>
      <c r="P23" s="5"/>
      <c r="Q23" s="5"/>
      <c r="R23" s="5"/>
      <c r="S23" s="5"/>
    </row>
    <row r="24" spans="1:30" ht="15.75" customHeight="1" x14ac:dyDescent="0.2">
      <c r="A24" s="11" t="s">
        <v>184</v>
      </c>
      <c r="B24" s="5"/>
      <c r="C24" s="284"/>
      <c r="D24" s="5"/>
      <c r="E24" s="5"/>
      <c r="F24" s="5"/>
      <c r="G24" s="5"/>
      <c r="H24" s="5"/>
      <c r="I24" s="5"/>
      <c r="J24" s="5"/>
      <c r="K24" s="284"/>
      <c r="L24" s="5"/>
      <c r="M24" s="5"/>
      <c r="N24" s="5"/>
      <c r="O24" s="5"/>
      <c r="P24" s="5"/>
      <c r="Q24" s="5"/>
      <c r="R24" s="5"/>
      <c r="S24" s="5"/>
    </row>
    <row r="25" spans="1:30" ht="15.75" customHeight="1" x14ac:dyDescent="0.25">
      <c r="A25" s="6" t="s">
        <v>823</v>
      </c>
      <c r="B25" s="6" t="s">
        <v>824</v>
      </c>
      <c r="C25" s="285"/>
      <c r="D25" s="16">
        <v>-147378</v>
      </c>
      <c r="E25" s="142" t="e">
        <f>D25*#REF!</f>
        <v>#REF!</v>
      </c>
      <c r="F25" s="142" t="e">
        <f>D25*#REF!</f>
        <v>#REF!</v>
      </c>
      <c r="G25" s="142" t="e">
        <f>(D25*#REF!)*#REF!</f>
        <v>#REF!</v>
      </c>
      <c r="H25" s="33">
        <f t="shared" ref="H25:H30" si="10">IFERROR(((Q25-G25)/G25),0)</f>
        <v>0</v>
      </c>
      <c r="I25" s="16" t="e">
        <f t="shared" ref="I25:I30" si="11">Q25-G25</f>
        <v>#REF!</v>
      </c>
      <c r="J25" s="18">
        <v>0</v>
      </c>
      <c r="K25" s="285"/>
      <c r="L25" s="7">
        <v>-114955</v>
      </c>
      <c r="M25" s="7">
        <v>-120266.29</v>
      </c>
      <c r="N25" s="7">
        <v>-130000</v>
      </c>
      <c r="O25" s="216">
        <f>VLOOKUP(A25,TB!A:F,3)</f>
        <v>-90857.87</v>
      </c>
      <c r="P25" s="322">
        <f t="shared" ref="P25:P29" si="12">N25</f>
        <v>-130000</v>
      </c>
      <c r="Q25" s="16">
        <v>-130000</v>
      </c>
      <c r="R25" s="281">
        <f>VLOOKUP(A25,TB!A:F,6)</f>
        <v>-130000</v>
      </c>
      <c r="S25" s="281">
        <f t="shared" ref="S25:S29" si="13">Q25-R25</f>
        <v>0</v>
      </c>
    </row>
    <row r="26" spans="1:30" ht="15.75" customHeight="1" x14ac:dyDescent="0.25">
      <c r="A26" s="6" t="s">
        <v>825</v>
      </c>
      <c r="B26" s="6" t="s">
        <v>826</v>
      </c>
      <c r="C26" s="285"/>
      <c r="D26" s="16">
        <v>-9273</v>
      </c>
      <c r="E26" s="142" t="e">
        <f>D26*#REF!</f>
        <v>#REF!</v>
      </c>
      <c r="F26" s="142" t="e">
        <f>D26*#REF!</f>
        <v>#REF!</v>
      </c>
      <c r="G26" s="142" t="e">
        <f>(D26*#REF!)*#REF!</f>
        <v>#REF!</v>
      </c>
      <c r="H26" s="33">
        <f t="shared" si="10"/>
        <v>0</v>
      </c>
      <c r="I26" s="16" t="e">
        <f t="shared" si="11"/>
        <v>#REF!</v>
      </c>
      <c r="J26" s="18">
        <v>0</v>
      </c>
      <c r="K26" s="285"/>
      <c r="L26" s="7">
        <v>-14242</v>
      </c>
      <c r="M26" s="7">
        <v>-15942</v>
      </c>
      <c r="N26" s="7">
        <v>-30000</v>
      </c>
      <c r="O26" s="216">
        <f>VLOOKUP(A26,TB!A:F,3)</f>
        <v>-21888.52</v>
      </c>
      <c r="P26" s="322">
        <f t="shared" si="12"/>
        <v>-30000</v>
      </c>
      <c r="Q26" s="16">
        <v>-46000</v>
      </c>
      <c r="R26" s="281">
        <f>VLOOKUP(A26,TB!A:F,6)</f>
        <v>-46000</v>
      </c>
      <c r="S26" s="281">
        <f t="shared" si="13"/>
        <v>0</v>
      </c>
    </row>
    <row r="27" spans="1:30" ht="15.75" customHeight="1" x14ac:dyDescent="0.25">
      <c r="A27" s="6" t="s">
        <v>827</v>
      </c>
      <c r="B27" s="6" t="s">
        <v>828</v>
      </c>
      <c r="C27" s="285"/>
      <c r="D27" s="16">
        <v>0</v>
      </c>
      <c r="E27" s="142" t="e">
        <f>D27*#REF!</f>
        <v>#REF!</v>
      </c>
      <c r="F27" s="142" t="e">
        <f>D27*#REF!</f>
        <v>#REF!</v>
      </c>
      <c r="G27" s="142" t="e">
        <f>(D27*#REF!)*#REF!</f>
        <v>#REF!</v>
      </c>
      <c r="H27" s="33">
        <f t="shared" si="10"/>
        <v>0</v>
      </c>
      <c r="I27" s="16" t="e">
        <f t="shared" si="11"/>
        <v>#REF!</v>
      </c>
      <c r="J27" s="18">
        <v>0</v>
      </c>
      <c r="K27" s="285"/>
      <c r="L27" s="7">
        <v>-1478</v>
      </c>
      <c r="M27" s="7">
        <v>-3112.5</v>
      </c>
      <c r="N27" s="7">
        <v>-2500</v>
      </c>
      <c r="O27" s="216">
        <f>VLOOKUP(A27,TB!A:F,3)</f>
        <v>-3112.5</v>
      </c>
      <c r="P27" s="322">
        <f t="shared" si="12"/>
        <v>-2500</v>
      </c>
      <c r="Q27" s="16">
        <v>-3500</v>
      </c>
      <c r="R27" s="281">
        <f>VLOOKUP(A27,TB!A:F,6)</f>
        <v>-3500</v>
      </c>
      <c r="S27" s="281">
        <f t="shared" si="13"/>
        <v>0</v>
      </c>
    </row>
    <row r="28" spans="1:30" ht="15.75" customHeight="1" x14ac:dyDescent="0.25">
      <c r="A28" s="6" t="s">
        <v>829</v>
      </c>
      <c r="B28" s="6" t="s">
        <v>830</v>
      </c>
      <c r="C28" s="285"/>
      <c r="D28" s="16">
        <v>-308656</v>
      </c>
      <c r="E28" s="142" t="e">
        <f>D28*#REF!</f>
        <v>#REF!</v>
      </c>
      <c r="F28" s="142" t="e">
        <f>D28*#REF!</f>
        <v>#REF!</v>
      </c>
      <c r="G28" s="142" t="e">
        <f>(D28*#REF!)*#REF!</f>
        <v>#REF!</v>
      </c>
      <c r="H28" s="33">
        <f t="shared" si="10"/>
        <v>0</v>
      </c>
      <c r="I28" s="16" t="e">
        <f t="shared" si="11"/>
        <v>#REF!</v>
      </c>
      <c r="J28" s="18">
        <v>0</v>
      </c>
      <c r="K28" s="285"/>
      <c r="L28" s="7">
        <v>-328123</v>
      </c>
      <c r="M28" s="7">
        <v>-361472.36</v>
      </c>
      <c r="N28" s="7">
        <v>-339378</v>
      </c>
      <c r="O28" s="216">
        <f>VLOOKUP(A28,TB!A:F,3)</f>
        <v>-235372.6</v>
      </c>
      <c r="P28" s="16">
        <f t="shared" si="12"/>
        <v>-339378</v>
      </c>
      <c r="Q28" s="16">
        <v>-408700</v>
      </c>
      <c r="R28" s="281">
        <f>VLOOKUP(A28,TB!A:F,6)</f>
        <v>-408700</v>
      </c>
      <c r="S28" s="281">
        <f t="shared" si="13"/>
        <v>0</v>
      </c>
    </row>
    <row r="29" spans="1:30" ht="15.75" customHeight="1" x14ac:dyDescent="0.25">
      <c r="A29" s="6" t="s">
        <v>831</v>
      </c>
      <c r="B29" s="6" t="s">
        <v>832</v>
      </c>
      <c r="C29" s="284"/>
      <c r="D29" s="18">
        <v>0</v>
      </c>
      <c r="E29" s="142" t="e">
        <f>D29*#REF!</f>
        <v>#REF!</v>
      </c>
      <c r="F29" s="142" t="e">
        <f>D29*#REF!</f>
        <v>#REF!</v>
      </c>
      <c r="G29" s="142" t="e">
        <f>(D29*#REF!)*#REF!</f>
        <v>#REF!</v>
      </c>
      <c r="H29" s="33">
        <f t="shared" si="10"/>
        <v>0</v>
      </c>
      <c r="I29" s="16" t="e">
        <f t="shared" si="11"/>
        <v>#REF!</v>
      </c>
      <c r="J29" s="18">
        <v>0</v>
      </c>
      <c r="K29" s="284"/>
      <c r="L29" s="7">
        <v>-49406</v>
      </c>
      <c r="M29" s="7">
        <v>-69972</v>
      </c>
      <c r="N29" s="7">
        <v>-60000</v>
      </c>
      <c r="O29" s="216">
        <f>VLOOKUP(A29,TB!A:F,3)</f>
        <v>-61524.51</v>
      </c>
      <c r="P29" s="322">
        <f t="shared" si="12"/>
        <v>-60000</v>
      </c>
      <c r="Q29" s="16">
        <v>-90000</v>
      </c>
      <c r="R29" s="281">
        <f>VLOOKUP(A29,TB!A:F,6)</f>
        <v>-90000</v>
      </c>
      <c r="S29" s="281">
        <f t="shared" si="13"/>
        <v>0</v>
      </c>
    </row>
    <row r="30" spans="1:30" ht="15.75" customHeight="1" x14ac:dyDescent="0.2">
      <c r="A30" s="11" t="s">
        <v>189</v>
      </c>
      <c r="B30" s="48"/>
      <c r="C30" s="282"/>
      <c r="D30" s="50">
        <f t="shared" ref="D30:G30" si="14">SUM(D25:D29)</f>
        <v>-465307</v>
      </c>
      <c r="E30" s="50" t="e">
        <f t="shared" si="14"/>
        <v>#REF!</v>
      </c>
      <c r="F30" s="50" t="e">
        <f t="shared" si="14"/>
        <v>#REF!</v>
      </c>
      <c r="G30" s="50" t="e">
        <f t="shared" si="14"/>
        <v>#REF!</v>
      </c>
      <c r="H30" s="42">
        <f t="shared" si="10"/>
        <v>0</v>
      </c>
      <c r="I30" s="50" t="e">
        <f t="shared" si="11"/>
        <v>#REF!</v>
      </c>
      <c r="J30" s="50">
        <v>0</v>
      </c>
      <c r="K30" s="282"/>
      <c r="L30" s="12">
        <f t="shared" ref="L30:S30" si="15">SUM(L25:L29)</f>
        <v>-508204</v>
      </c>
      <c r="M30" s="12">
        <f t="shared" si="15"/>
        <v>-570765.14999999991</v>
      </c>
      <c r="N30" s="12">
        <f t="shared" si="15"/>
        <v>-561878</v>
      </c>
      <c r="O30" s="12">
        <f t="shared" si="15"/>
        <v>-412756</v>
      </c>
      <c r="P30" s="50">
        <f t="shared" si="15"/>
        <v>-561878</v>
      </c>
      <c r="Q30" s="50">
        <f t="shared" si="15"/>
        <v>-678200</v>
      </c>
      <c r="R30" s="12">
        <f t="shared" si="15"/>
        <v>-678200</v>
      </c>
      <c r="S30" s="12">
        <f t="shared" si="15"/>
        <v>0</v>
      </c>
      <c r="T30" s="83"/>
    </row>
    <row r="31" spans="1:30" ht="15.75" customHeight="1" x14ac:dyDescent="0.2">
      <c r="A31" s="5"/>
      <c r="B31" s="5"/>
      <c r="C31" s="284"/>
      <c r="D31" s="5"/>
      <c r="E31" s="5"/>
      <c r="F31" s="5"/>
      <c r="G31" s="5"/>
      <c r="H31" s="5"/>
      <c r="I31" s="5"/>
      <c r="J31" s="5"/>
      <c r="K31" s="284"/>
      <c r="L31" s="5"/>
      <c r="M31" s="5"/>
      <c r="N31" s="5"/>
      <c r="O31" s="5"/>
      <c r="P31" s="5"/>
      <c r="Q31" s="5"/>
      <c r="R31" s="267"/>
      <c r="S31" s="267"/>
      <c r="T31" s="83"/>
    </row>
    <row r="32" spans="1:30" ht="15.75" customHeight="1" x14ac:dyDescent="0.2">
      <c r="A32" s="11" t="s">
        <v>190</v>
      </c>
      <c r="B32" s="6"/>
      <c r="C32" s="286"/>
      <c r="D32" s="178">
        <f t="shared" ref="D32:G32" si="16">D22+D30</f>
        <v>1871135</v>
      </c>
      <c r="E32" s="178" t="e">
        <f t="shared" si="16"/>
        <v>#REF!</v>
      </c>
      <c r="F32" s="178" t="e">
        <f t="shared" si="16"/>
        <v>#REF!</v>
      </c>
      <c r="G32" s="178" t="e">
        <f t="shared" si="16"/>
        <v>#REF!</v>
      </c>
      <c r="H32" s="273">
        <f>IFERROR(((Q32-G32)/G32),0)</f>
        <v>0</v>
      </c>
      <c r="I32" s="178" t="e">
        <f>Q32-G32</f>
        <v>#REF!</v>
      </c>
      <c r="J32" s="178">
        <f>J30+J27</f>
        <v>0</v>
      </c>
      <c r="K32" s="286"/>
      <c r="L32" s="227">
        <f t="shared" ref="L32:S32" si="17">L22+L30</f>
        <v>3251788</v>
      </c>
      <c r="M32" s="227">
        <f t="shared" si="17"/>
        <v>1722536.1199999996</v>
      </c>
      <c r="N32" s="227">
        <f t="shared" si="17"/>
        <v>2612411</v>
      </c>
      <c r="O32" s="227">
        <f t="shared" si="17"/>
        <v>1718778.5299999998</v>
      </c>
      <c r="P32" s="178">
        <f t="shared" si="17"/>
        <v>2333695.9616666664</v>
      </c>
      <c r="Q32" s="178">
        <f t="shared" si="17"/>
        <v>2799050</v>
      </c>
      <c r="R32" s="227">
        <f t="shared" si="17"/>
        <v>2799050</v>
      </c>
      <c r="S32" s="227">
        <f t="shared" si="17"/>
        <v>0</v>
      </c>
      <c r="W32" s="56"/>
      <c r="X32" s="56"/>
      <c r="Y32" s="56"/>
      <c r="Z32" s="56"/>
      <c r="AA32" s="56"/>
      <c r="AB32" s="56"/>
      <c r="AC32" s="56"/>
      <c r="AD32" s="56"/>
    </row>
    <row r="33" spans="3:19" ht="15.75" customHeight="1" x14ac:dyDescent="0.2">
      <c r="C33" s="287"/>
      <c r="K33" s="287"/>
      <c r="R33" s="83"/>
      <c r="S33" s="83"/>
    </row>
    <row r="34" spans="3:19" ht="15.75" customHeight="1" x14ac:dyDescent="0.2">
      <c r="C34" s="287"/>
      <c r="K34" s="287"/>
    </row>
    <row r="35" spans="3:19" ht="15.75" customHeight="1" x14ac:dyDescent="0.2">
      <c r="C35" s="288"/>
      <c r="K35" s="288"/>
      <c r="L35" s="199" t="e">
        <f t="shared" ref="L35:R35" si="18">#REF!</f>
        <v>#REF!</v>
      </c>
      <c r="M35" s="199" t="e">
        <f t="shared" si="18"/>
        <v>#REF!</v>
      </c>
      <c r="N35" s="199" t="e">
        <f t="shared" si="18"/>
        <v>#REF!</v>
      </c>
      <c r="O35" s="199" t="e">
        <f t="shared" si="18"/>
        <v>#REF!</v>
      </c>
      <c r="P35" s="199" t="e">
        <f t="shared" si="18"/>
        <v>#REF!</v>
      </c>
      <c r="Q35" s="199" t="e">
        <f t="shared" si="18"/>
        <v>#REF!</v>
      </c>
      <c r="R35" s="173" t="e">
        <f t="shared" si="18"/>
        <v>#REF!</v>
      </c>
    </row>
    <row r="36" spans="3:19" ht="15.75" customHeight="1" x14ac:dyDescent="0.2">
      <c r="C36" s="289"/>
      <c r="K36" s="289"/>
      <c r="L36" s="290">
        <f t="shared" ref="L36:R36" si="19">L32</f>
        <v>3251788</v>
      </c>
      <c r="M36" s="290">
        <f t="shared" si="19"/>
        <v>1722536.1199999996</v>
      </c>
      <c r="N36" s="290">
        <f t="shared" si="19"/>
        <v>2612411</v>
      </c>
      <c r="O36" s="290">
        <f t="shared" si="19"/>
        <v>1718778.5299999998</v>
      </c>
      <c r="P36" s="290">
        <f t="shared" si="19"/>
        <v>2333695.9616666664</v>
      </c>
      <c r="Q36" s="290">
        <f t="shared" si="19"/>
        <v>2799050</v>
      </c>
      <c r="R36" s="291">
        <f t="shared" si="19"/>
        <v>2799050</v>
      </c>
    </row>
    <row r="37" spans="3:19" ht="15.75" customHeight="1" x14ac:dyDescent="0.2">
      <c r="C37" s="287"/>
      <c r="K37" s="287"/>
    </row>
    <row r="38" spans="3:19" ht="15.75" customHeight="1" x14ac:dyDescent="0.2">
      <c r="C38" s="287"/>
      <c r="K38" s="287"/>
    </row>
    <row r="39" spans="3:19" ht="15.75" customHeight="1" x14ac:dyDescent="0.2">
      <c r="C39" s="287"/>
      <c r="K39" s="287"/>
    </row>
    <row r="40" spans="3:19" ht="15.75" customHeight="1" x14ac:dyDescent="0.2">
      <c r="C40" s="287"/>
      <c r="K40" s="287"/>
    </row>
    <row r="41" spans="3:19" ht="15.75" customHeight="1" x14ac:dyDescent="0.2">
      <c r="C41" s="287"/>
      <c r="K41" s="287"/>
    </row>
    <row r="42" spans="3:19" ht="15.75" customHeight="1" x14ac:dyDescent="0.2">
      <c r="C42" s="287"/>
      <c r="K42" s="287"/>
    </row>
    <row r="43" spans="3:19" ht="15.75" customHeight="1" x14ac:dyDescent="0.2">
      <c r="C43" s="287"/>
      <c r="K43" s="287"/>
    </row>
    <row r="44" spans="3:19" ht="15.75" customHeight="1" x14ac:dyDescent="0.2">
      <c r="C44" s="287"/>
      <c r="K44" s="287"/>
    </row>
    <row r="45" spans="3:19" ht="15.75" customHeight="1" x14ac:dyDescent="0.2">
      <c r="C45" s="287"/>
      <c r="K45" s="287"/>
    </row>
    <row r="46" spans="3:19" ht="15.75" customHeight="1" x14ac:dyDescent="0.2">
      <c r="C46" s="287"/>
      <c r="K46" s="287"/>
    </row>
    <row r="47" spans="3:19" ht="15.75" customHeight="1" x14ac:dyDescent="0.2">
      <c r="C47" s="287"/>
      <c r="K47" s="287"/>
    </row>
    <row r="48" spans="3:19" ht="15.75" customHeight="1" x14ac:dyDescent="0.2">
      <c r="C48" s="287"/>
      <c r="K48" s="287"/>
    </row>
    <row r="49" spans="3:11" ht="15.75" customHeight="1" x14ac:dyDescent="0.2">
      <c r="C49" s="287"/>
      <c r="K49" s="287"/>
    </row>
    <row r="50" spans="3:11" ht="15.75" customHeight="1" x14ac:dyDescent="0.2">
      <c r="C50" s="287"/>
      <c r="K50" s="287"/>
    </row>
    <row r="51" spans="3:11" ht="15.75" customHeight="1" x14ac:dyDescent="0.2">
      <c r="C51" s="287"/>
      <c r="K51" s="287"/>
    </row>
    <row r="52" spans="3:11" ht="15.75" customHeight="1" x14ac:dyDescent="0.2">
      <c r="C52" s="287"/>
      <c r="K52" s="287"/>
    </row>
    <row r="53" spans="3:11" ht="15.75" customHeight="1" x14ac:dyDescent="0.2">
      <c r="C53" s="287"/>
      <c r="K53" s="287"/>
    </row>
    <row r="54" spans="3:11" ht="15.75" customHeight="1" x14ac:dyDescent="0.2">
      <c r="C54" s="287"/>
      <c r="K54" s="287"/>
    </row>
    <row r="55" spans="3:11" ht="15" customHeight="1" x14ac:dyDescent="0.2">
      <c r="C55" s="287"/>
      <c r="K55" s="287"/>
    </row>
    <row r="56" spans="3:11" ht="15.75" customHeight="1" x14ac:dyDescent="0.2">
      <c r="C56" s="287"/>
      <c r="K56" s="287"/>
    </row>
    <row r="57" spans="3:11" ht="15.75" customHeight="1" x14ac:dyDescent="0.2">
      <c r="C57" s="287"/>
      <c r="K57" s="287"/>
    </row>
    <row r="58" spans="3:11" ht="15.75" customHeight="1" x14ac:dyDescent="0.2">
      <c r="C58" s="287"/>
      <c r="K58" s="287"/>
    </row>
    <row r="59" spans="3:11" ht="15.75" customHeight="1" x14ac:dyDescent="0.2">
      <c r="C59" s="287"/>
      <c r="K59" s="287"/>
    </row>
    <row r="60" spans="3:11" ht="15.75" customHeight="1" x14ac:dyDescent="0.2">
      <c r="C60" s="287"/>
      <c r="K60" s="287"/>
    </row>
    <row r="61" spans="3:11" ht="15.75" customHeight="1" x14ac:dyDescent="0.2">
      <c r="C61" s="287"/>
      <c r="K61" s="287"/>
    </row>
    <row r="62" spans="3:11" ht="15.75" customHeight="1" x14ac:dyDescent="0.2">
      <c r="C62" s="287"/>
      <c r="K62" s="287"/>
    </row>
    <row r="63" spans="3:11" ht="15.75" customHeight="1" x14ac:dyDescent="0.2">
      <c r="C63" s="287"/>
      <c r="K63" s="287"/>
    </row>
    <row r="64" spans="3:11" ht="15.75" customHeight="1" x14ac:dyDescent="0.2">
      <c r="C64" s="287"/>
      <c r="K64" s="287"/>
    </row>
    <row r="65" spans="3:11" ht="15.75" customHeight="1" x14ac:dyDescent="0.2">
      <c r="C65" s="287"/>
      <c r="K65" s="287"/>
    </row>
    <row r="66" spans="3:11" ht="15.75" customHeight="1" x14ac:dyDescent="0.2">
      <c r="C66" s="287"/>
      <c r="K66" s="287"/>
    </row>
    <row r="67" spans="3:11" ht="15.75" customHeight="1" x14ac:dyDescent="0.2">
      <c r="C67" s="287"/>
      <c r="K67" s="287"/>
    </row>
    <row r="68" spans="3:11" ht="15.75" customHeight="1" x14ac:dyDescent="0.2">
      <c r="C68" s="287"/>
      <c r="K68" s="287"/>
    </row>
    <row r="69" spans="3:11" ht="15.75" customHeight="1" x14ac:dyDescent="0.2">
      <c r="C69" s="287"/>
      <c r="K69" s="287"/>
    </row>
    <row r="70" spans="3:11" ht="15.75" customHeight="1" x14ac:dyDescent="0.2">
      <c r="C70" s="287"/>
      <c r="K70" s="287"/>
    </row>
    <row r="71" spans="3:11" ht="15.75" customHeight="1" x14ac:dyDescent="0.2">
      <c r="C71" s="287"/>
      <c r="K71" s="287"/>
    </row>
    <row r="72" spans="3:11" ht="15.75" customHeight="1" x14ac:dyDescent="0.2">
      <c r="C72" s="287"/>
      <c r="K72" s="287"/>
    </row>
    <row r="73" spans="3:11" ht="15.75" customHeight="1" x14ac:dyDescent="0.2">
      <c r="C73" s="287"/>
      <c r="K73" s="287"/>
    </row>
    <row r="74" spans="3:11" ht="15.75" customHeight="1" x14ac:dyDescent="0.2">
      <c r="C74" s="287"/>
      <c r="K74" s="287"/>
    </row>
    <row r="75" spans="3:11" ht="15.75" customHeight="1" x14ac:dyDescent="0.2">
      <c r="C75" s="287"/>
      <c r="K75" s="287"/>
    </row>
    <row r="76" spans="3:11" ht="15.75" customHeight="1" x14ac:dyDescent="0.2">
      <c r="C76" s="287"/>
      <c r="K76" s="287"/>
    </row>
    <row r="77" spans="3:11" ht="15.75" customHeight="1" x14ac:dyDescent="0.2">
      <c r="C77" s="287"/>
      <c r="K77" s="287"/>
    </row>
    <row r="78" spans="3:11" ht="15.75" customHeight="1" x14ac:dyDescent="0.2">
      <c r="C78" s="287"/>
      <c r="K78" s="287"/>
    </row>
    <row r="79" spans="3:11" ht="15.75" customHeight="1" x14ac:dyDescent="0.2">
      <c r="C79" s="287"/>
      <c r="K79" s="287"/>
    </row>
    <row r="80" spans="3:11" ht="15.75" customHeight="1" x14ac:dyDescent="0.2">
      <c r="C80" s="287"/>
      <c r="K80" s="287"/>
    </row>
    <row r="81" spans="1:31" ht="15.75" customHeight="1" x14ac:dyDescent="0.2">
      <c r="C81" s="287"/>
      <c r="K81" s="287"/>
    </row>
    <row r="82" spans="1:31" ht="15.75" customHeight="1" x14ac:dyDescent="0.2">
      <c r="C82" s="287"/>
      <c r="K82" s="287"/>
    </row>
    <row r="83" spans="1:31" ht="15.75" customHeight="1" x14ac:dyDescent="0.2">
      <c r="C83" s="287"/>
      <c r="K83" s="287"/>
    </row>
    <row r="84" spans="1:31" ht="15.75" customHeight="1" x14ac:dyDescent="0.2">
      <c r="C84" s="287"/>
      <c r="K84" s="287"/>
    </row>
    <row r="85" spans="1:31" ht="15.75" customHeight="1" x14ac:dyDescent="0.2">
      <c r="C85" s="287"/>
      <c r="K85" s="287"/>
    </row>
    <row r="86" spans="1:31" ht="15.75" customHeight="1" x14ac:dyDescent="0.2">
      <c r="C86" s="287"/>
      <c r="K86" s="287"/>
    </row>
    <row r="87" spans="1:31" ht="15.75" customHeight="1" x14ac:dyDescent="0.2">
      <c r="C87" s="287"/>
      <c r="K87" s="287"/>
    </row>
    <row r="88" spans="1:31" ht="15.75" customHeight="1" x14ac:dyDescent="0.2">
      <c r="C88" s="287"/>
      <c r="K88" s="287"/>
    </row>
    <row r="89" spans="1:31" ht="15.75" customHeight="1" x14ac:dyDescent="0.2">
      <c r="C89" s="287"/>
      <c r="K89" s="287"/>
    </row>
    <row r="90" spans="1:31" ht="28.5" customHeight="1" x14ac:dyDescent="0.25">
      <c r="A90" s="1" t="s">
        <v>574</v>
      </c>
      <c r="B90" s="5"/>
      <c r="C90" s="15"/>
      <c r="D90" s="16"/>
      <c r="E90" s="16"/>
      <c r="F90" s="16"/>
      <c r="G90" s="16"/>
      <c r="H90" s="18"/>
      <c r="I90" s="16"/>
      <c r="J90" s="16"/>
      <c r="K90" s="15"/>
      <c r="L90" s="7"/>
      <c r="M90" s="7"/>
      <c r="N90" s="7"/>
      <c r="O90" s="7"/>
      <c r="P90" s="7"/>
      <c r="Q90" s="7"/>
      <c r="R90" s="7"/>
      <c r="S90" s="7"/>
      <c r="T90" s="206"/>
      <c r="W90" s="19"/>
      <c r="X90" s="20"/>
    </row>
    <row r="91" spans="1:31" ht="50.25" customHeight="1" x14ac:dyDescent="0.2">
      <c r="A91" s="3" t="s">
        <v>50</v>
      </c>
      <c r="B91" s="3" t="s">
        <v>51</v>
      </c>
      <c r="C91" s="21"/>
      <c r="D91" s="22" t="s">
        <v>52</v>
      </c>
      <c r="E91" s="23" t="s">
        <v>53</v>
      </c>
      <c r="F91" s="23" t="s">
        <v>54</v>
      </c>
      <c r="G91" s="23" t="s">
        <v>55</v>
      </c>
      <c r="H91" s="100" t="s">
        <v>56</v>
      </c>
      <c r="I91" s="23" t="s">
        <v>57</v>
      </c>
      <c r="J91" s="129" t="s">
        <v>58</v>
      </c>
      <c r="K91" s="130"/>
      <c r="L91" s="27" t="s">
        <v>59</v>
      </c>
      <c r="M91" s="27" t="s">
        <v>60</v>
      </c>
      <c r="N91" s="27" t="s">
        <v>61</v>
      </c>
      <c r="O91" s="27" t="s">
        <v>62</v>
      </c>
      <c r="P91" s="27" t="s">
        <v>63</v>
      </c>
      <c r="Q91" s="27" t="s">
        <v>64</v>
      </c>
      <c r="R91" s="27" t="s">
        <v>65</v>
      </c>
      <c r="S91" s="27" t="s">
        <v>66</v>
      </c>
      <c r="T91" s="207"/>
      <c r="U91" s="28"/>
      <c r="V91" s="19"/>
      <c r="X91" s="28"/>
      <c r="Y91" s="28"/>
      <c r="Z91" s="28"/>
      <c r="AA91" s="28"/>
      <c r="AB91" s="28"/>
      <c r="AC91" s="28"/>
      <c r="AD91" s="28"/>
      <c r="AE91" s="28"/>
    </row>
    <row r="92" spans="1:31" ht="15.75" customHeight="1" x14ac:dyDescent="0.25">
      <c r="A92" s="103" t="s">
        <v>575</v>
      </c>
      <c r="B92" s="103" t="s">
        <v>68</v>
      </c>
      <c r="C92" s="280"/>
      <c r="D92" s="142">
        <v>0</v>
      </c>
      <c r="E92" s="142" t="e">
        <f>D92*#REF!</f>
        <v>#REF!</v>
      </c>
      <c r="F92" s="142" t="e">
        <f>D92*#REF!</f>
        <v>#REF!</v>
      </c>
      <c r="G92" s="142" t="e">
        <f>(D92*#REF!)*#REF!</f>
        <v>#REF!</v>
      </c>
      <c r="H92" s="33">
        <f t="shared" ref="H92:H101" si="20">IFERROR(((Q92-G92)/G92),0)</f>
        <v>0</v>
      </c>
      <c r="I92" s="16" t="e">
        <f t="shared" ref="I92:I101" si="21">Q92-G92</f>
        <v>#REF!</v>
      </c>
      <c r="J92" s="18">
        <v>0</v>
      </c>
      <c r="K92" s="280"/>
      <c r="L92" s="216">
        <v>0</v>
      </c>
      <c r="M92" s="216">
        <v>307033.65999999997</v>
      </c>
      <c r="N92" s="216">
        <v>293583</v>
      </c>
      <c r="O92" s="216">
        <f>VLOOKUP(A92,TB!A:F,3)</f>
        <v>266373.12</v>
      </c>
      <c r="P92" s="142">
        <f t="shared" ref="P92:P95" si="22">O92/20*26</f>
        <v>346285.05599999998</v>
      </c>
      <c r="Q92" s="142">
        <v>335600</v>
      </c>
      <c r="R92" s="281">
        <f>VLOOKUP(A92,TB!A:F,6)</f>
        <v>335600</v>
      </c>
      <c r="S92" s="281">
        <f t="shared" ref="S92:S100" si="23">Q92-R92</f>
        <v>0</v>
      </c>
    </row>
    <row r="93" spans="1:31" ht="15.75" customHeight="1" x14ac:dyDescent="0.25">
      <c r="A93" s="103" t="s">
        <v>576</v>
      </c>
      <c r="B93" s="103" t="s">
        <v>70</v>
      </c>
      <c r="C93" s="280"/>
      <c r="D93" s="142">
        <v>0</v>
      </c>
      <c r="E93" s="142" t="e">
        <f>D93*#REF!</f>
        <v>#REF!</v>
      </c>
      <c r="F93" s="142" t="e">
        <f>D93*#REF!</f>
        <v>#REF!</v>
      </c>
      <c r="G93" s="142" t="e">
        <f>(D93*#REF!)*#REF!</f>
        <v>#REF!</v>
      </c>
      <c r="H93" s="33">
        <f t="shared" si="20"/>
        <v>0</v>
      </c>
      <c r="I93" s="16" t="e">
        <f t="shared" si="21"/>
        <v>#REF!</v>
      </c>
      <c r="J93" s="18">
        <v>0</v>
      </c>
      <c r="K93" s="280"/>
      <c r="L93" s="216">
        <v>0</v>
      </c>
      <c r="M93" s="216">
        <v>2508.9699999999998</v>
      </c>
      <c r="N93" s="216">
        <v>5000</v>
      </c>
      <c r="O93" s="216">
        <f>VLOOKUP(A93,TB!A:F,3)</f>
        <v>3496.82</v>
      </c>
      <c r="P93" s="142">
        <f t="shared" si="22"/>
        <v>4545.866</v>
      </c>
      <c r="Q93" s="142">
        <v>2500</v>
      </c>
      <c r="R93" s="281">
        <f>VLOOKUP(A93,TB!A:F,6)</f>
        <v>2500</v>
      </c>
      <c r="S93" s="281">
        <f t="shared" si="23"/>
        <v>0</v>
      </c>
    </row>
    <row r="94" spans="1:31" ht="15.75" customHeight="1" x14ac:dyDescent="0.25">
      <c r="A94" s="103" t="s">
        <v>577</v>
      </c>
      <c r="B94" s="103" t="s">
        <v>132</v>
      </c>
      <c r="C94" s="280"/>
      <c r="D94" s="142">
        <v>0</v>
      </c>
      <c r="E94" s="142" t="e">
        <f>D94*#REF!</f>
        <v>#REF!</v>
      </c>
      <c r="F94" s="142" t="e">
        <f>D94*#REF!</f>
        <v>#REF!</v>
      </c>
      <c r="G94" s="142" t="e">
        <f>(D94*#REF!)*#REF!</f>
        <v>#REF!</v>
      </c>
      <c r="H94" s="33">
        <f t="shared" si="20"/>
        <v>0</v>
      </c>
      <c r="I94" s="16" t="e">
        <f t="shared" si="21"/>
        <v>#REF!</v>
      </c>
      <c r="J94" s="18">
        <v>0</v>
      </c>
      <c r="K94" s="280"/>
      <c r="L94" s="216">
        <v>0</v>
      </c>
      <c r="M94" s="216">
        <v>14770.72</v>
      </c>
      <c r="N94" s="216">
        <v>47611</v>
      </c>
      <c r="O94" s="216">
        <f>VLOOKUP(A94,TB!A:F,3)</f>
        <v>38164.769999999997</v>
      </c>
      <c r="P94" s="142">
        <f t="shared" si="22"/>
        <v>49614.201000000001</v>
      </c>
      <c r="Q94" s="142">
        <v>75400</v>
      </c>
      <c r="R94" s="281">
        <f>VLOOKUP(A94,TB!A:F,6)</f>
        <v>75400</v>
      </c>
      <c r="S94" s="281">
        <f t="shared" si="23"/>
        <v>0</v>
      </c>
    </row>
    <row r="95" spans="1:31" ht="15.75" customHeight="1" x14ac:dyDescent="0.25">
      <c r="A95" s="103" t="s">
        <v>578</v>
      </c>
      <c r="B95" s="103" t="s">
        <v>72</v>
      </c>
      <c r="C95" s="280"/>
      <c r="D95" s="142">
        <v>0</v>
      </c>
      <c r="E95" s="142" t="e">
        <f>D95*#REF!</f>
        <v>#REF!</v>
      </c>
      <c r="F95" s="142" t="e">
        <f>D95*#REF!</f>
        <v>#REF!</v>
      </c>
      <c r="G95" s="142" t="e">
        <f>(D95*#REF!)*#REF!</f>
        <v>#REF!</v>
      </c>
      <c r="H95" s="33">
        <f t="shared" si="20"/>
        <v>0</v>
      </c>
      <c r="I95" s="16" t="e">
        <f t="shared" si="21"/>
        <v>#REF!</v>
      </c>
      <c r="J95" s="18">
        <v>0</v>
      </c>
      <c r="K95" s="280"/>
      <c r="L95" s="216">
        <v>0</v>
      </c>
      <c r="M95" s="216">
        <v>187457.97</v>
      </c>
      <c r="N95" s="216">
        <v>222605</v>
      </c>
      <c r="O95" s="216">
        <f>VLOOKUP(A95,TB!A:F,3)</f>
        <v>167473.51999999999</v>
      </c>
      <c r="P95" s="142">
        <f t="shared" si="22"/>
        <v>217715.576</v>
      </c>
      <c r="Q95" s="142">
        <v>213500</v>
      </c>
      <c r="R95" s="281">
        <f>VLOOKUP(A95,TB!A:F,6)</f>
        <v>213500</v>
      </c>
      <c r="S95" s="281">
        <f t="shared" si="23"/>
        <v>0</v>
      </c>
    </row>
    <row r="96" spans="1:31" ht="15.75" customHeight="1" x14ac:dyDescent="0.25">
      <c r="A96" s="103" t="s">
        <v>579</v>
      </c>
      <c r="B96" s="103" t="s">
        <v>76</v>
      </c>
      <c r="C96" s="280"/>
      <c r="D96" s="142">
        <v>0</v>
      </c>
      <c r="E96" s="142" t="e">
        <f>D96*#REF!</f>
        <v>#REF!</v>
      </c>
      <c r="F96" s="142" t="e">
        <f>D96*#REF!</f>
        <v>#REF!</v>
      </c>
      <c r="G96" s="142" t="e">
        <f>(D96*#REF!)*#REF!</f>
        <v>#REF!</v>
      </c>
      <c r="H96" s="33">
        <f t="shared" si="20"/>
        <v>0</v>
      </c>
      <c r="I96" s="16" t="e">
        <f t="shared" si="21"/>
        <v>#REF!</v>
      </c>
      <c r="J96" s="18">
        <v>0</v>
      </c>
      <c r="K96" s="280"/>
      <c r="L96" s="216">
        <v>0</v>
      </c>
      <c r="M96" s="216">
        <v>1333.35</v>
      </c>
      <c r="N96" s="216">
        <v>3500</v>
      </c>
      <c r="O96" s="216">
        <f>VLOOKUP(A96,TB!A:F,3)</f>
        <v>3227.79</v>
      </c>
      <c r="P96" s="272">
        <f t="shared" ref="P96:P98" si="24">N96</f>
        <v>3500</v>
      </c>
      <c r="Q96" s="142">
        <v>3500</v>
      </c>
      <c r="R96" s="281">
        <f>VLOOKUP(A96,TB!A:F,6)</f>
        <v>3500</v>
      </c>
      <c r="S96" s="281">
        <f t="shared" si="23"/>
        <v>0</v>
      </c>
    </row>
    <row r="97" spans="1:30" ht="15.75" customHeight="1" x14ac:dyDescent="0.25">
      <c r="A97" s="103" t="s">
        <v>580</v>
      </c>
      <c r="B97" s="103" t="s">
        <v>80</v>
      </c>
      <c r="C97" s="280"/>
      <c r="D97" s="142">
        <v>0</v>
      </c>
      <c r="E97" s="142" t="e">
        <f>D97*#REF!</f>
        <v>#REF!</v>
      </c>
      <c r="F97" s="142" t="e">
        <f>D97*#REF!</f>
        <v>#REF!</v>
      </c>
      <c r="G97" s="142" t="e">
        <f>(D97*#REF!)*#REF!</f>
        <v>#REF!</v>
      </c>
      <c r="H97" s="33">
        <f t="shared" si="20"/>
        <v>0</v>
      </c>
      <c r="I97" s="16" t="e">
        <f t="shared" si="21"/>
        <v>#REF!</v>
      </c>
      <c r="J97" s="18">
        <v>0</v>
      </c>
      <c r="K97" s="280"/>
      <c r="L97" s="216">
        <v>0</v>
      </c>
      <c r="M97" s="216">
        <v>5.0999999999999996</v>
      </c>
      <c r="N97" s="216">
        <v>8000</v>
      </c>
      <c r="O97" s="216">
        <f>VLOOKUP(A97,TB!A:F,3)</f>
        <v>1667.03</v>
      </c>
      <c r="P97" s="272">
        <f t="shared" si="24"/>
        <v>8000</v>
      </c>
      <c r="Q97" s="142">
        <v>5000</v>
      </c>
      <c r="R97" s="281">
        <f>VLOOKUP(A97,TB!A:F,6)</f>
        <v>5000</v>
      </c>
      <c r="S97" s="281">
        <f t="shared" si="23"/>
        <v>0</v>
      </c>
    </row>
    <row r="98" spans="1:30" ht="15.75" customHeight="1" x14ac:dyDescent="0.25">
      <c r="A98" s="103" t="s">
        <v>581</v>
      </c>
      <c r="B98" s="103" t="s">
        <v>90</v>
      </c>
      <c r="C98" s="280"/>
      <c r="D98" s="142">
        <v>0</v>
      </c>
      <c r="E98" s="142" t="e">
        <f>D98*#REF!</f>
        <v>#REF!</v>
      </c>
      <c r="F98" s="142" t="e">
        <f>D98*#REF!</f>
        <v>#REF!</v>
      </c>
      <c r="G98" s="142" t="e">
        <f>(D98*#REF!)*#REF!</f>
        <v>#REF!</v>
      </c>
      <c r="H98" s="33">
        <f t="shared" si="20"/>
        <v>0</v>
      </c>
      <c r="I98" s="16" t="e">
        <f t="shared" si="21"/>
        <v>#REF!</v>
      </c>
      <c r="J98" s="18">
        <v>0</v>
      </c>
      <c r="K98" s="280"/>
      <c r="L98" s="216">
        <v>0</v>
      </c>
      <c r="M98" s="216">
        <v>87.42</v>
      </c>
      <c r="N98" s="216">
        <v>5000</v>
      </c>
      <c r="O98" s="216">
        <f>VLOOKUP(A98,TB!A:F,3)</f>
        <v>1469.94</v>
      </c>
      <c r="P98" s="272">
        <f t="shared" si="24"/>
        <v>5000</v>
      </c>
      <c r="Q98" s="142">
        <v>3000</v>
      </c>
      <c r="R98" s="281">
        <f>VLOOKUP(A98,TB!A:F,6)</f>
        <v>3000</v>
      </c>
      <c r="S98" s="281">
        <f t="shared" si="23"/>
        <v>0</v>
      </c>
    </row>
    <row r="99" spans="1:30" ht="15.75" customHeight="1" x14ac:dyDescent="0.25">
      <c r="A99" s="103" t="s">
        <v>582</v>
      </c>
      <c r="B99" s="103" t="s">
        <v>583</v>
      </c>
      <c r="C99" s="280"/>
      <c r="D99" s="142">
        <v>0</v>
      </c>
      <c r="E99" s="142" t="e">
        <f>D99*#REF!</f>
        <v>#REF!</v>
      </c>
      <c r="F99" s="142" t="e">
        <f>D99*#REF!</f>
        <v>#REF!</v>
      </c>
      <c r="G99" s="142" t="e">
        <f>(D99*#REF!)*#REF!</f>
        <v>#REF!</v>
      </c>
      <c r="H99" s="33">
        <f t="shared" si="20"/>
        <v>0</v>
      </c>
      <c r="I99" s="16" t="e">
        <f t="shared" si="21"/>
        <v>#REF!</v>
      </c>
      <c r="J99" s="18">
        <v>0</v>
      </c>
      <c r="K99" s="280"/>
      <c r="L99" s="216">
        <v>0</v>
      </c>
      <c r="M99" s="216">
        <v>6702.61</v>
      </c>
      <c r="N99" s="216">
        <v>5000</v>
      </c>
      <c r="O99" s="216">
        <f>VLOOKUP(A99,TB!A:F,3)</f>
        <v>5837.4</v>
      </c>
      <c r="P99" s="142">
        <f>O99/9*12</f>
        <v>7783.1999999999989</v>
      </c>
      <c r="Q99" s="142">
        <v>13050</v>
      </c>
      <c r="R99" s="281">
        <f>VLOOKUP(A99,TB!A:F,6)</f>
        <v>13050</v>
      </c>
      <c r="S99" s="281">
        <f t="shared" si="23"/>
        <v>0</v>
      </c>
    </row>
    <row r="100" spans="1:30" ht="15.75" customHeight="1" x14ac:dyDescent="0.25">
      <c r="A100" s="103" t="s">
        <v>584</v>
      </c>
      <c r="B100" s="103" t="s">
        <v>502</v>
      </c>
      <c r="C100" s="280"/>
      <c r="D100" s="142">
        <v>0</v>
      </c>
      <c r="E100" s="142" t="e">
        <f>D100*#REF!</f>
        <v>#REF!</v>
      </c>
      <c r="F100" s="142" t="e">
        <f>D100*#REF!</f>
        <v>#REF!</v>
      </c>
      <c r="G100" s="142" t="e">
        <f>(D100*#REF!)*#REF!</f>
        <v>#REF!</v>
      </c>
      <c r="H100" s="33">
        <f t="shared" si="20"/>
        <v>0</v>
      </c>
      <c r="I100" s="16" t="e">
        <f t="shared" si="21"/>
        <v>#REF!</v>
      </c>
      <c r="J100" s="18">
        <v>0</v>
      </c>
      <c r="K100" s="280"/>
      <c r="L100" s="216">
        <v>0</v>
      </c>
      <c r="M100" s="216">
        <v>1827.42</v>
      </c>
      <c r="N100" s="216">
        <v>1600</v>
      </c>
      <c r="O100" s="216">
        <f>VLOOKUP(A100,TB!A:F,3)</f>
        <v>1020.86</v>
      </c>
      <c r="P100" s="272">
        <f>N100</f>
        <v>1600</v>
      </c>
      <c r="Q100" s="142">
        <v>1600</v>
      </c>
      <c r="R100" s="281">
        <f>VLOOKUP(A100,TB!A:F,6)</f>
        <v>1600</v>
      </c>
      <c r="S100" s="281">
        <f t="shared" si="23"/>
        <v>0</v>
      </c>
    </row>
    <row r="101" spans="1:30" ht="15.75" customHeight="1" x14ac:dyDescent="0.25">
      <c r="A101" s="47" t="s">
        <v>585</v>
      </c>
      <c r="B101" s="48"/>
      <c r="C101" s="282"/>
      <c r="D101" s="50">
        <f t="shared" ref="D101:G101" si="25">SUM(D92:D100)</f>
        <v>0</v>
      </c>
      <c r="E101" s="50" t="e">
        <f t="shared" si="25"/>
        <v>#REF!</v>
      </c>
      <c r="F101" s="50" t="e">
        <f t="shared" si="25"/>
        <v>#REF!</v>
      </c>
      <c r="G101" s="50" t="e">
        <f t="shared" si="25"/>
        <v>#REF!</v>
      </c>
      <c r="H101" s="42">
        <f t="shared" si="20"/>
        <v>0</v>
      </c>
      <c r="I101" s="50" t="e">
        <f t="shared" si="21"/>
        <v>#REF!</v>
      </c>
      <c r="J101" s="283">
        <f>SUM(J92:J100)</f>
        <v>0</v>
      </c>
      <c r="K101" s="282"/>
      <c r="L101" s="12">
        <f t="shared" ref="L101:S101" si="26">SUM(L92:L100)</f>
        <v>0</v>
      </c>
      <c r="M101" s="12">
        <f t="shared" si="26"/>
        <v>521727.21999999986</v>
      </c>
      <c r="N101" s="12">
        <f t="shared" si="26"/>
        <v>591899</v>
      </c>
      <c r="O101" s="12">
        <f t="shared" si="26"/>
        <v>488731.25</v>
      </c>
      <c r="P101" s="50">
        <f t="shared" si="26"/>
        <v>644043.89899999998</v>
      </c>
      <c r="Q101" s="50">
        <f t="shared" si="26"/>
        <v>653150</v>
      </c>
      <c r="R101" s="12">
        <f t="shared" si="26"/>
        <v>653150</v>
      </c>
      <c r="S101" s="12">
        <f t="shared" si="26"/>
        <v>0</v>
      </c>
    </row>
    <row r="102" spans="1:30" ht="15.75" customHeight="1" x14ac:dyDescent="0.2">
      <c r="A102" s="5"/>
      <c r="B102" s="5"/>
      <c r="C102" s="284"/>
      <c r="D102" s="5"/>
      <c r="E102" s="5"/>
      <c r="F102" s="5"/>
      <c r="G102" s="5"/>
      <c r="H102" s="5"/>
      <c r="I102" s="5"/>
      <c r="J102" s="5"/>
      <c r="K102" s="284"/>
      <c r="L102" s="5"/>
      <c r="M102" s="5"/>
      <c r="N102" s="5"/>
      <c r="O102" s="5"/>
      <c r="P102" s="5"/>
      <c r="Q102" s="5"/>
      <c r="R102" s="267"/>
      <c r="S102" s="267"/>
    </row>
    <row r="103" spans="1:30" ht="15.75" customHeight="1" x14ac:dyDescent="0.2">
      <c r="A103" s="11" t="s">
        <v>184</v>
      </c>
      <c r="B103" s="5"/>
      <c r="C103" s="284"/>
      <c r="D103" s="5"/>
      <c r="E103" s="5"/>
      <c r="F103" s="5"/>
      <c r="G103" s="5"/>
      <c r="H103" s="5"/>
      <c r="I103" s="5"/>
      <c r="J103" s="5"/>
      <c r="K103" s="284"/>
      <c r="L103" s="5"/>
      <c r="M103" s="5"/>
      <c r="N103" s="5"/>
      <c r="O103" s="5"/>
      <c r="P103" s="5"/>
      <c r="Q103" s="5"/>
      <c r="R103" s="267"/>
      <c r="S103" s="267"/>
    </row>
    <row r="104" spans="1:30" ht="15.75" customHeight="1" x14ac:dyDescent="0.25">
      <c r="A104" s="5"/>
      <c r="B104" s="5"/>
      <c r="C104" s="285"/>
      <c r="D104" s="16"/>
      <c r="E104" s="142" t="e">
        <f>D104*#REF!</f>
        <v>#REF!</v>
      </c>
      <c r="F104" s="142" t="e">
        <f>D104*#REF!</f>
        <v>#REF!</v>
      </c>
      <c r="G104" s="142" t="e">
        <f>(D104*#REF!)*#REF!</f>
        <v>#REF!</v>
      </c>
      <c r="H104" s="33">
        <f t="shared" ref="H104:H105" si="27">IFERROR(((Q104-G104)/G104),0)</f>
        <v>0</v>
      </c>
      <c r="I104" s="16" t="e">
        <f t="shared" ref="I104:I105" si="28">Q104-G104</f>
        <v>#REF!</v>
      </c>
      <c r="J104" s="18">
        <v>0</v>
      </c>
      <c r="K104" s="285"/>
      <c r="L104" s="7"/>
      <c r="M104" s="7"/>
      <c r="N104" s="7"/>
      <c r="O104" s="7"/>
      <c r="P104" s="7"/>
      <c r="Q104" s="7"/>
      <c r="R104" s="213"/>
      <c r="S104" s="213"/>
    </row>
    <row r="105" spans="1:30" ht="15.75" customHeight="1" x14ac:dyDescent="0.2">
      <c r="A105" s="11" t="s">
        <v>189</v>
      </c>
      <c r="B105" s="48"/>
      <c r="C105" s="282"/>
      <c r="D105" s="50">
        <f t="shared" ref="D105:G105" si="29">SUM(D104)</f>
        <v>0</v>
      </c>
      <c r="E105" s="50" t="e">
        <f t="shared" si="29"/>
        <v>#REF!</v>
      </c>
      <c r="F105" s="50" t="e">
        <f t="shared" si="29"/>
        <v>#REF!</v>
      </c>
      <c r="G105" s="50" t="e">
        <f t="shared" si="29"/>
        <v>#REF!</v>
      </c>
      <c r="H105" s="42">
        <f t="shared" si="27"/>
        <v>0</v>
      </c>
      <c r="I105" s="50" t="e">
        <f t="shared" si="28"/>
        <v>#REF!</v>
      </c>
      <c r="J105" s="50">
        <v>0</v>
      </c>
      <c r="K105" s="282"/>
      <c r="L105" s="12">
        <f t="shared" ref="L105:S105" si="30">SUM(L104)</f>
        <v>0</v>
      </c>
      <c r="M105" s="12">
        <f t="shared" si="30"/>
        <v>0</v>
      </c>
      <c r="N105" s="12">
        <f t="shared" si="30"/>
        <v>0</v>
      </c>
      <c r="O105" s="12">
        <f t="shared" si="30"/>
        <v>0</v>
      </c>
      <c r="P105" s="50">
        <f t="shared" si="30"/>
        <v>0</v>
      </c>
      <c r="Q105" s="50">
        <f t="shared" si="30"/>
        <v>0</v>
      </c>
      <c r="R105" s="12">
        <f t="shared" si="30"/>
        <v>0</v>
      </c>
      <c r="S105" s="12">
        <f t="shared" si="30"/>
        <v>0</v>
      </c>
    </row>
    <row r="106" spans="1:30" ht="15.75" customHeight="1" x14ac:dyDescent="0.2">
      <c r="A106" s="5"/>
      <c r="B106" s="5"/>
      <c r="C106" s="284"/>
      <c r="D106" s="5"/>
      <c r="E106" s="5"/>
      <c r="F106" s="5"/>
      <c r="G106" s="5"/>
      <c r="H106" s="5"/>
      <c r="I106" s="5"/>
      <c r="J106" s="5"/>
      <c r="K106" s="284"/>
      <c r="L106" s="5"/>
      <c r="M106" s="5"/>
      <c r="N106" s="5"/>
      <c r="O106" s="5"/>
      <c r="P106" s="5"/>
      <c r="Q106" s="5"/>
      <c r="R106" s="267"/>
      <c r="S106" s="267"/>
    </row>
    <row r="107" spans="1:30" ht="15.75" customHeight="1" x14ac:dyDescent="0.2">
      <c r="A107" s="11" t="s">
        <v>190</v>
      </c>
      <c r="B107" s="6"/>
      <c r="C107" s="286"/>
      <c r="D107" s="178">
        <f t="shared" ref="D107:G107" si="31">D101+D105</f>
        <v>0</v>
      </c>
      <c r="E107" s="178" t="e">
        <f t="shared" si="31"/>
        <v>#REF!</v>
      </c>
      <c r="F107" s="178" t="e">
        <f t="shared" si="31"/>
        <v>#REF!</v>
      </c>
      <c r="G107" s="178" t="e">
        <f t="shared" si="31"/>
        <v>#REF!</v>
      </c>
      <c r="H107" s="273">
        <f>IFERROR(((Q107-G107)/G107),0)</f>
        <v>0</v>
      </c>
      <c r="I107" s="178" t="e">
        <f>Q107-G107</f>
        <v>#REF!</v>
      </c>
      <c r="J107" s="178">
        <v>0</v>
      </c>
      <c r="K107" s="286"/>
      <c r="L107" s="227">
        <f t="shared" ref="L107:S107" si="32">L101+L105</f>
        <v>0</v>
      </c>
      <c r="M107" s="227">
        <f t="shared" si="32"/>
        <v>521727.21999999986</v>
      </c>
      <c r="N107" s="227">
        <f t="shared" si="32"/>
        <v>591899</v>
      </c>
      <c r="O107" s="227">
        <f t="shared" si="32"/>
        <v>488731.25</v>
      </c>
      <c r="P107" s="178">
        <f t="shared" si="32"/>
        <v>644043.89899999998</v>
      </c>
      <c r="Q107" s="178">
        <f t="shared" si="32"/>
        <v>653150</v>
      </c>
      <c r="R107" s="227">
        <f t="shared" si="32"/>
        <v>653150</v>
      </c>
      <c r="S107" s="227">
        <f t="shared" si="32"/>
        <v>0</v>
      </c>
      <c r="W107" s="56"/>
      <c r="X107" s="56"/>
      <c r="Y107" s="56"/>
      <c r="Z107" s="56"/>
      <c r="AA107" s="56"/>
      <c r="AB107" s="56"/>
      <c r="AC107" s="56"/>
      <c r="AD107" s="56"/>
    </row>
    <row r="108" spans="1:30" ht="15.75" customHeight="1" x14ac:dyDescent="0.2">
      <c r="C108" s="287"/>
      <c r="K108" s="287"/>
    </row>
    <row r="109" spans="1:30" ht="15.75" customHeight="1" x14ac:dyDescent="0.2">
      <c r="C109" s="287"/>
      <c r="K109" s="287"/>
    </row>
    <row r="110" spans="1:30" ht="15.75" customHeight="1" x14ac:dyDescent="0.2">
      <c r="C110" s="288"/>
      <c r="K110" s="288"/>
      <c r="L110" s="199" t="e">
        <f t="shared" ref="L110:R110" si="33">#REF!</f>
        <v>#REF!</v>
      </c>
      <c r="M110" s="199" t="e">
        <f t="shared" si="33"/>
        <v>#REF!</v>
      </c>
      <c r="N110" s="199" t="e">
        <f t="shared" si="33"/>
        <v>#REF!</v>
      </c>
      <c r="O110" s="199" t="e">
        <f t="shared" si="33"/>
        <v>#REF!</v>
      </c>
      <c r="P110" s="199" t="e">
        <f t="shared" si="33"/>
        <v>#REF!</v>
      </c>
      <c r="Q110" s="199" t="e">
        <f t="shared" si="33"/>
        <v>#REF!</v>
      </c>
      <c r="R110" s="173" t="e">
        <f t="shared" si="33"/>
        <v>#REF!</v>
      </c>
    </row>
    <row r="111" spans="1:30" ht="15.75" customHeight="1" x14ac:dyDescent="0.2">
      <c r="C111" s="289"/>
      <c r="K111" s="289"/>
      <c r="L111" s="290">
        <f t="shared" ref="L111:R111" si="34">L107</f>
        <v>0</v>
      </c>
      <c r="M111" s="290">
        <f t="shared" si="34"/>
        <v>521727.21999999986</v>
      </c>
      <c r="N111" s="290">
        <f t="shared" si="34"/>
        <v>591899</v>
      </c>
      <c r="O111" s="290">
        <f t="shared" si="34"/>
        <v>488731.25</v>
      </c>
      <c r="P111" s="290">
        <f t="shared" si="34"/>
        <v>644043.89899999998</v>
      </c>
      <c r="Q111" s="290">
        <f t="shared" si="34"/>
        <v>653150</v>
      </c>
      <c r="R111" s="291">
        <f t="shared" si="34"/>
        <v>653150</v>
      </c>
    </row>
    <row r="112" spans="1:30" ht="15.75" customHeight="1" x14ac:dyDescent="0.2">
      <c r="C112" s="287"/>
      <c r="K112" s="287"/>
    </row>
    <row r="113" spans="3:11" ht="15.75" customHeight="1" x14ac:dyDescent="0.2">
      <c r="C113" s="287"/>
      <c r="K113" s="287"/>
    </row>
    <row r="114" spans="3:11" ht="15.75" customHeight="1" x14ac:dyDescent="0.2">
      <c r="C114" s="287"/>
      <c r="K114" s="287"/>
    </row>
    <row r="115" spans="3:11" ht="15.75" customHeight="1" x14ac:dyDescent="0.2">
      <c r="C115" s="287"/>
      <c r="K115" s="287"/>
    </row>
    <row r="116" spans="3:11" ht="15.75" customHeight="1" x14ac:dyDescent="0.2">
      <c r="C116" s="287"/>
      <c r="K116" s="287"/>
    </row>
    <row r="117" spans="3:11" ht="15.75" customHeight="1" x14ac:dyDescent="0.2">
      <c r="C117" s="287"/>
      <c r="K117" s="287"/>
    </row>
    <row r="118" spans="3:11" ht="15.75" customHeight="1" x14ac:dyDescent="0.2">
      <c r="C118" s="287"/>
      <c r="K118" s="287"/>
    </row>
    <row r="119" spans="3:11" ht="15.75" customHeight="1" x14ac:dyDescent="0.2">
      <c r="C119" s="287"/>
      <c r="K119" s="287"/>
    </row>
    <row r="120" spans="3:11" ht="15.75" customHeight="1" x14ac:dyDescent="0.2">
      <c r="C120" s="287"/>
      <c r="K120" s="287"/>
    </row>
    <row r="121" spans="3:11" ht="15.75" customHeight="1" x14ac:dyDescent="0.2">
      <c r="C121" s="287"/>
      <c r="K121" s="287"/>
    </row>
    <row r="122" spans="3:11" ht="15.75" customHeight="1" x14ac:dyDescent="0.2">
      <c r="C122" s="287"/>
      <c r="K122" s="287"/>
    </row>
    <row r="123" spans="3:11" ht="15.75" customHeight="1" x14ac:dyDescent="0.2">
      <c r="C123" s="287"/>
      <c r="K123" s="287"/>
    </row>
    <row r="124" spans="3:11" ht="15.75" customHeight="1" x14ac:dyDescent="0.2">
      <c r="C124" s="287"/>
      <c r="K124" s="287"/>
    </row>
    <row r="125" spans="3:11" ht="15.75" customHeight="1" x14ac:dyDescent="0.2">
      <c r="C125" s="287"/>
      <c r="K125" s="287"/>
    </row>
    <row r="126" spans="3:11" ht="15.75" customHeight="1" x14ac:dyDescent="0.2">
      <c r="C126" s="287"/>
      <c r="K126" s="287"/>
    </row>
    <row r="127" spans="3:11" ht="15.75" customHeight="1" x14ac:dyDescent="0.2">
      <c r="C127" s="287"/>
      <c r="K127" s="287"/>
    </row>
    <row r="128" spans="3:11" ht="15.75" customHeight="1" x14ac:dyDescent="0.2">
      <c r="C128" s="287"/>
      <c r="K128" s="287"/>
    </row>
    <row r="129" spans="3:11" ht="15.75" customHeight="1" x14ac:dyDescent="0.2">
      <c r="C129" s="287"/>
      <c r="K129" s="287"/>
    </row>
    <row r="130" spans="3:11" ht="15.75" customHeight="1" x14ac:dyDescent="0.2">
      <c r="C130" s="287"/>
      <c r="K130" s="287"/>
    </row>
    <row r="131" spans="3:11" ht="15.75" customHeight="1" x14ac:dyDescent="0.2">
      <c r="C131" s="287"/>
      <c r="K131" s="287"/>
    </row>
    <row r="132" spans="3:11" ht="15.75" customHeight="1" x14ac:dyDescent="0.2">
      <c r="C132" s="287"/>
      <c r="K132" s="287"/>
    </row>
    <row r="133" spans="3:11" ht="15.75" customHeight="1" x14ac:dyDescent="0.2">
      <c r="C133" s="287"/>
      <c r="K133" s="287"/>
    </row>
    <row r="134" spans="3:11" ht="15.75" customHeight="1" x14ac:dyDescent="0.2">
      <c r="C134" s="287"/>
      <c r="K134" s="287"/>
    </row>
    <row r="135" spans="3:11" ht="15.75" customHeight="1" x14ac:dyDescent="0.2">
      <c r="C135" s="287"/>
      <c r="K135" s="287"/>
    </row>
    <row r="136" spans="3:11" ht="15.75" customHeight="1" x14ac:dyDescent="0.2">
      <c r="C136" s="287"/>
      <c r="K136" s="287"/>
    </row>
    <row r="137" spans="3:11" ht="15.75" customHeight="1" x14ac:dyDescent="0.2">
      <c r="C137" s="287"/>
      <c r="K137" s="287"/>
    </row>
    <row r="138" spans="3:11" ht="15.75" customHeight="1" x14ac:dyDescent="0.2">
      <c r="C138" s="287"/>
      <c r="K138" s="287"/>
    </row>
    <row r="139" spans="3:11" ht="15.75" customHeight="1" x14ac:dyDescent="0.2">
      <c r="C139" s="287"/>
      <c r="K139" s="287"/>
    </row>
    <row r="140" spans="3:11" ht="15.75" customHeight="1" x14ac:dyDescent="0.2">
      <c r="C140" s="287"/>
      <c r="K140" s="287"/>
    </row>
    <row r="141" spans="3:11" ht="15.75" customHeight="1" x14ac:dyDescent="0.2">
      <c r="C141" s="287"/>
      <c r="K141" s="287"/>
    </row>
    <row r="142" spans="3:11" ht="15.75" customHeight="1" x14ac:dyDescent="0.2">
      <c r="C142" s="287"/>
      <c r="K142" s="287"/>
    </row>
    <row r="143" spans="3:11" ht="15.75" customHeight="1" x14ac:dyDescent="0.2">
      <c r="C143" s="287"/>
      <c r="K143" s="287"/>
    </row>
    <row r="144" spans="3:11" ht="15.75" customHeight="1" x14ac:dyDescent="0.2">
      <c r="C144" s="287"/>
      <c r="K144" s="287"/>
    </row>
    <row r="145" spans="3:11" ht="15.75" customHeight="1" x14ac:dyDescent="0.2">
      <c r="C145" s="287"/>
      <c r="K145" s="287"/>
    </row>
    <row r="146" spans="3:11" ht="15.75" customHeight="1" x14ac:dyDescent="0.2">
      <c r="C146" s="287"/>
      <c r="K146" s="287"/>
    </row>
    <row r="147" spans="3:11" ht="15.75" customHeight="1" x14ac:dyDescent="0.2">
      <c r="C147" s="287"/>
      <c r="K147" s="287"/>
    </row>
    <row r="148" spans="3:11" ht="15.75" customHeight="1" x14ac:dyDescent="0.2">
      <c r="C148" s="287"/>
      <c r="K148" s="287"/>
    </row>
    <row r="149" spans="3:11" ht="15.75" customHeight="1" x14ac:dyDescent="0.2">
      <c r="C149" s="287"/>
      <c r="K149" s="287"/>
    </row>
    <row r="150" spans="3:11" ht="15.75" customHeight="1" x14ac:dyDescent="0.2">
      <c r="C150" s="287"/>
      <c r="K150" s="287"/>
    </row>
    <row r="151" spans="3:11" ht="15.75" customHeight="1" x14ac:dyDescent="0.2">
      <c r="C151" s="287"/>
      <c r="K151" s="287"/>
    </row>
    <row r="152" spans="3:11" ht="15.75" customHeight="1" x14ac:dyDescent="0.2">
      <c r="C152" s="287"/>
      <c r="K152" s="287"/>
    </row>
    <row r="153" spans="3:11" ht="15.75" customHeight="1" x14ac:dyDescent="0.2">
      <c r="C153" s="287"/>
      <c r="K153" s="287"/>
    </row>
    <row r="154" spans="3:11" ht="15.75" customHeight="1" x14ac:dyDescent="0.2">
      <c r="C154" s="287"/>
      <c r="K154" s="287"/>
    </row>
    <row r="155" spans="3:11" ht="15.75" customHeight="1" x14ac:dyDescent="0.2">
      <c r="C155" s="287"/>
      <c r="K155" s="287"/>
    </row>
    <row r="156" spans="3:11" ht="15.75" customHeight="1" x14ac:dyDescent="0.2">
      <c r="C156" s="287"/>
      <c r="K156" s="287"/>
    </row>
    <row r="157" spans="3:11" ht="15.75" customHeight="1" x14ac:dyDescent="0.2">
      <c r="C157" s="287"/>
      <c r="K157" s="287"/>
    </row>
    <row r="158" spans="3:11" ht="15.75" customHeight="1" x14ac:dyDescent="0.2">
      <c r="C158" s="287"/>
      <c r="K158" s="287"/>
    </row>
    <row r="159" spans="3:11" ht="15.75" customHeight="1" x14ac:dyDescent="0.2">
      <c r="C159" s="287"/>
      <c r="K159" s="287"/>
    </row>
    <row r="160" spans="3:11" ht="15.75" customHeight="1" x14ac:dyDescent="0.2">
      <c r="C160" s="287"/>
      <c r="K160" s="287"/>
    </row>
    <row r="161" spans="1:19" ht="15.75" customHeight="1" x14ac:dyDescent="0.2">
      <c r="C161" s="287"/>
      <c r="K161" s="287"/>
    </row>
    <row r="162" spans="1:19" ht="15.75" customHeight="1" x14ac:dyDescent="0.2">
      <c r="C162" s="287"/>
      <c r="K162" s="287"/>
    </row>
    <row r="163" spans="1:19" ht="15.75" customHeight="1" x14ac:dyDescent="0.2">
      <c r="C163" s="287"/>
      <c r="K163" s="287"/>
    </row>
    <row r="164" spans="1:19" ht="15.75" customHeight="1" x14ac:dyDescent="0.2">
      <c r="C164" s="287"/>
      <c r="K164" s="287"/>
    </row>
    <row r="165" spans="1:19" ht="15.75" customHeight="1" x14ac:dyDescent="0.2">
      <c r="A165" s="3" t="s">
        <v>50</v>
      </c>
      <c r="B165" s="3" t="s">
        <v>51</v>
      </c>
      <c r="C165" s="292"/>
      <c r="D165" s="99" t="s">
        <v>52</v>
      </c>
      <c r="E165" s="100" t="s">
        <v>53</v>
      </c>
      <c r="F165" s="100" t="s">
        <v>54</v>
      </c>
      <c r="G165" s="100" t="s">
        <v>55</v>
      </c>
      <c r="H165" s="24" t="s">
        <v>56</v>
      </c>
      <c r="I165" s="24" t="s">
        <v>57</v>
      </c>
      <c r="J165" s="101" t="s">
        <v>58</v>
      </c>
      <c r="K165" s="292"/>
      <c r="L165" s="3" t="s">
        <v>59</v>
      </c>
      <c r="M165" s="3" t="s">
        <v>60</v>
      </c>
      <c r="N165" s="3" t="s">
        <v>61</v>
      </c>
      <c r="O165" s="3" t="s">
        <v>62</v>
      </c>
      <c r="P165" s="293" t="s">
        <v>541</v>
      </c>
      <c r="Q165" s="293" t="s">
        <v>64</v>
      </c>
      <c r="R165" s="294" t="s">
        <v>65</v>
      </c>
      <c r="S165" s="294" t="s">
        <v>586</v>
      </c>
    </row>
    <row r="166" spans="1:19" ht="15.75" customHeight="1" x14ac:dyDescent="0.25">
      <c r="A166" s="565" t="s">
        <v>587</v>
      </c>
      <c r="B166" s="566"/>
      <c r="C166" s="566"/>
      <c r="D166" s="566"/>
      <c r="E166" s="66"/>
      <c r="F166" s="66"/>
      <c r="G166" s="276"/>
      <c r="H166" s="234"/>
      <c r="L166" s="65"/>
      <c r="M166" s="165"/>
      <c r="N166" s="65"/>
      <c r="O166" s="165"/>
      <c r="P166" s="157"/>
      <c r="Q166" s="157"/>
      <c r="R166" s="275"/>
      <c r="S166" s="275"/>
    </row>
    <row r="167" spans="1:19" ht="15.75" customHeight="1" x14ac:dyDescent="0.25">
      <c r="A167" s="66" t="s">
        <v>588</v>
      </c>
      <c r="B167" s="66" t="s">
        <v>68</v>
      </c>
      <c r="C167" s="295"/>
      <c r="D167" s="160">
        <v>408884</v>
      </c>
      <c r="E167" s="160" t="e">
        <f>D167*#REF!</f>
        <v>#REF!</v>
      </c>
      <c r="F167" s="160" t="e">
        <f>D167*#REF!</f>
        <v>#REF!</v>
      </c>
      <c r="G167" s="160" t="e">
        <f>(D167*#REF!)*#REF!</f>
        <v>#REF!</v>
      </c>
      <c r="H167" s="296">
        <f t="shared" ref="H167:H190" si="35">IFERROR(((Q167-G167)/G167),0)</f>
        <v>0</v>
      </c>
      <c r="I167" s="147" t="e">
        <f t="shared" ref="I167:I190" si="36">Q167-G167</f>
        <v>#REF!</v>
      </c>
      <c r="J167" s="97">
        <v>0</v>
      </c>
      <c r="K167" s="295"/>
      <c r="L167" s="20">
        <v>546142</v>
      </c>
      <c r="M167" s="20">
        <v>717391.03</v>
      </c>
      <c r="N167" s="20">
        <v>848140</v>
      </c>
      <c r="O167" s="20">
        <f>VLOOKUP(A167,TB!A:F,3)</f>
        <v>575485.72</v>
      </c>
      <c r="P167" s="160">
        <f t="shared" ref="P167:P170" si="37">O167/20*26</f>
        <v>748131.43599999999</v>
      </c>
      <c r="Q167" s="160">
        <v>847100</v>
      </c>
      <c r="R167" s="233">
        <f>VLOOKUP(A167,TB!A:F,6)</f>
        <v>847100</v>
      </c>
      <c r="S167" s="233">
        <f t="shared" ref="S167:S189" si="38">Q167-R167</f>
        <v>0</v>
      </c>
    </row>
    <row r="168" spans="1:19" ht="15.75" customHeight="1" x14ac:dyDescent="0.25">
      <c r="A168" s="66" t="s">
        <v>589</v>
      </c>
      <c r="B168" s="66" t="s">
        <v>70</v>
      </c>
      <c r="C168" s="295"/>
      <c r="D168" s="160">
        <v>3121</v>
      </c>
      <c r="E168" s="160" t="e">
        <f>D168*#REF!</f>
        <v>#REF!</v>
      </c>
      <c r="F168" s="160" t="e">
        <f>D168*#REF!</f>
        <v>#REF!</v>
      </c>
      <c r="G168" s="160" t="e">
        <f>(D168*#REF!)*#REF!</f>
        <v>#REF!</v>
      </c>
      <c r="H168" s="296">
        <f t="shared" si="35"/>
        <v>0</v>
      </c>
      <c r="I168" s="147" t="e">
        <f t="shared" si="36"/>
        <v>#REF!</v>
      </c>
      <c r="J168" s="97">
        <v>0</v>
      </c>
      <c r="K168" s="295"/>
      <c r="L168" s="20">
        <v>5258</v>
      </c>
      <c r="M168" s="20">
        <v>27489.63</v>
      </c>
      <c r="N168" s="20">
        <v>15000</v>
      </c>
      <c r="O168" s="20">
        <f>VLOOKUP(A168,TB!A:F,3)</f>
        <v>10383.83</v>
      </c>
      <c r="P168" s="160">
        <f t="shared" si="37"/>
        <v>13498.979000000001</v>
      </c>
      <c r="Q168" s="160">
        <v>15000</v>
      </c>
      <c r="R168" s="233">
        <f>VLOOKUP(A168,TB!A:F,6)</f>
        <v>15000</v>
      </c>
      <c r="S168" s="233">
        <f t="shared" si="38"/>
        <v>0</v>
      </c>
    </row>
    <row r="169" spans="1:19" ht="15.75" customHeight="1" x14ac:dyDescent="0.25">
      <c r="A169" s="66" t="s">
        <v>590</v>
      </c>
      <c r="B169" s="66" t="s">
        <v>132</v>
      </c>
      <c r="C169" s="295"/>
      <c r="D169" s="160">
        <v>28991</v>
      </c>
      <c r="E169" s="160" t="e">
        <f>D169*#REF!</f>
        <v>#REF!</v>
      </c>
      <c r="F169" s="160" t="e">
        <f>D169*#REF!</f>
        <v>#REF!</v>
      </c>
      <c r="G169" s="160" t="e">
        <f>(D169*#REF!)*#REF!</f>
        <v>#REF!</v>
      </c>
      <c r="H169" s="296">
        <f t="shared" si="35"/>
        <v>0</v>
      </c>
      <c r="I169" s="147" t="e">
        <f t="shared" si="36"/>
        <v>#REF!</v>
      </c>
      <c r="J169" s="97">
        <v>0</v>
      </c>
      <c r="K169" s="295"/>
      <c r="L169" s="20">
        <v>52166</v>
      </c>
      <c r="M169" s="20">
        <v>46211.5</v>
      </c>
      <c r="N169" s="20">
        <v>36904</v>
      </c>
      <c r="O169" s="20">
        <f>VLOOKUP(A169,TB!A:F,3)</f>
        <v>29053.4</v>
      </c>
      <c r="P169" s="160">
        <f t="shared" si="37"/>
        <v>37769.42</v>
      </c>
      <c r="Q169" s="160">
        <v>70800</v>
      </c>
      <c r="R169" s="233">
        <f>VLOOKUP(A169,TB!A:F,6)</f>
        <v>70800</v>
      </c>
      <c r="S169" s="233">
        <f t="shared" si="38"/>
        <v>0</v>
      </c>
    </row>
    <row r="170" spans="1:19" ht="15.75" customHeight="1" x14ac:dyDescent="0.25">
      <c r="A170" s="66" t="s">
        <v>591</v>
      </c>
      <c r="B170" s="66" t="s">
        <v>72</v>
      </c>
      <c r="C170" s="295"/>
      <c r="D170" s="160">
        <v>220165</v>
      </c>
      <c r="E170" s="160" t="e">
        <f>D170*#REF!</f>
        <v>#REF!</v>
      </c>
      <c r="F170" s="160" t="e">
        <f>D170*#REF!</f>
        <v>#REF!</v>
      </c>
      <c r="G170" s="160" t="e">
        <f>(D170*#REF!)*#REF!</f>
        <v>#REF!</v>
      </c>
      <c r="H170" s="296">
        <f t="shared" si="35"/>
        <v>0</v>
      </c>
      <c r="I170" s="147" t="e">
        <f t="shared" si="36"/>
        <v>#REF!</v>
      </c>
      <c r="J170" s="97">
        <v>0</v>
      </c>
      <c r="K170" s="295"/>
      <c r="L170" s="20">
        <v>285834</v>
      </c>
      <c r="M170" s="20">
        <v>420996.54</v>
      </c>
      <c r="N170" s="20">
        <v>507086</v>
      </c>
      <c r="O170" s="20">
        <f>VLOOKUP(A170,TB!A:F,3)</f>
        <v>325224.90000000002</v>
      </c>
      <c r="P170" s="160">
        <f t="shared" si="37"/>
        <v>422792.37</v>
      </c>
      <c r="Q170" s="160">
        <v>499100</v>
      </c>
      <c r="R170" s="233">
        <f>VLOOKUP(A170,TB!A:F,6)</f>
        <v>499100</v>
      </c>
      <c r="S170" s="233">
        <f t="shared" si="38"/>
        <v>0</v>
      </c>
    </row>
    <row r="171" spans="1:19" ht="15.75" customHeight="1" x14ac:dyDescent="0.25">
      <c r="A171" s="66" t="s">
        <v>592</v>
      </c>
      <c r="B171" s="66" t="s">
        <v>74</v>
      </c>
      <c r="C171" s="295"/>
      <c r="D171" s="160">
        <v>1535</v>
      </c>
      <c r="E171" s="160" t="e">
        <f>D171*#REF!</f>
        <v>#REF!</v>
      </c>
      <c r="F171" s="160" t="e">
        <f>D171*#REF!</f>
        <v>#REF!</v>
      </c>
      <c r="G171" s="160" t="e">
        <f>(D171*#REF!)*#REF!</f>
        <v>#REF!</v>
      </c>
      <c r="H171" s="296">
        <f t="shared" si="35"/>
        <v>0</v>
      </c>
      <c r="I171" s="147" t="e">
        <f t="shared" si="36"/>
        <v>#REF!</v>
      </c>
      <c r="J171" s="97">
        <v>0</v>
      </c>
      <c r="K171" s="295"/>
      <c r="L171" s="20">
        <v>18489</v>
      </c>
      <c r="M171" s="20">
        <v>9748.0499999999993</v>
      </c>
      <c r="N171" s="20">
        <v>74600</v>
      </c>
      <c r="O171" s="20">
        <f>VLOOKUP(A171,TB!A:F,3)</f>
        <v>28534.35</v>
      </c>
      <c r="P171" s="163">
        <f t="shared" ref="P171:P173" si="39">N171</f>
        <v>74600</v>
      </c>
      <c r="Q171" s="160">
        <v>212835</v>
      </c>
      <c r="R171" s="233">
        <f>VLOOKUP(A171,TB!A:F,6)</f>
        <v>212835.24</v>
      </c>
      <c r="S171" s="233">
        <f t="shared" si="38"/>
        <v>-0.23999999999068677</v>
      </c>
    </row>
    <row r="172" spans="1:19" ht="15.75" customHeight="1" x14ac:dyDescent="0.25">
      <c r="A172" s="66" t="s">
        <v>593</v>
      </c>
      <c r="B172" s="66" t="s">
        <v>76</v>
      </c>
      <c r="C172" s="295"/>
      <c r="D172" s="160">
        <v>6498</v>
      </c>
      <c r="E172" s="160" t="e">
        <f>D172*#REF!</f>
        <v>#REF!</v>
      </c>
      <c r="F172" s="160" t="e">
        <f>D172*#REF!</f>
        <v>#REF!</v>
      </c>
      <c r="G172" s="160" t="e">
        <f>(D172*#REF!)*#REF!</f>
        <v>#REF!</v>
      </c>
      <c r="H172" s="296">
        <f t="shared" si="35"/>
        <v>0</v>
      </c>
      <c r="I172" s="147" t="e">
        <f t="shared" si="36"/>
        <v>#REF!</v>
      </c>
      <c r="J172" s="97">
        <v>0</v>
      </c>
      <c r="K172" s="295"/>
      <c r="L172" s="20">
        <v>7221</v>
      </c>
      <c r="M172" s="20">
        <v>4168.42</v>
      </c>
      <c r="N172" s="20">
        <v>10000</v>
      </c>
      <c r="O172" s="20">
        <f>VLOOKUP(A172,TB!A:F,3)</f>
        <v>6252.74</v>
      </c>
      <c r="P172" s="163">
        <f t="shared" si="39"/>
        <v>10000</v>
      </c>
      <c r="Q172" s="160">
        <v>5500</v>
      </c>
      <c r="R172" s="233">
        <f>VLOOKUP(A172,TB!A:F,6)</f>
        <v>5500</v>
      </c>
      <c r="S172" s="233">
        <f t="shared" si="38"/>
        <v>0</v>
      </c>
    </row>
    <row r="173" spans="1:19" ht="15.75" customHeight="1" x14ac:dyDescent="0.25">
      <c r="A173" s="66" t="s">
        <v>594</v>
      </c>
      <c r="B173" s="66" t="s">
        <v>80</v>
      </c>
      <c r="C173" s="295"/>
      <c r="D173" s="160">
        <v>9082</v>
      </c>
      <c r="E173" s="160" t="e">
        <f>D173*#REF!</f>
        <v>#REF!</v>
      </c>
      <c r="F173" s="160" t="e">
        <f>D173*#REF!</f>
        <v>#REF!</v>
      </c>
      <c r="G173" s="160" t="e">
        <f>(D173*#REF!)*#REF!</f>
        <v>#REF!</v>
      </c>
      <c r="H173" s="296">
        <f t="shared" si="35"/>
        <v>0</v>
      </c>
      <c r="I173" s="147" t="e">
        <f t="shared" si="36"/>
        <v>#REF!</v>
      </c>
      <c r="J173" s="97">
        <v>0</v>
      </c>
      <c r="K173" s="295"/>
      <c r="L173" s="20">
        <v>29388</v>
      </c>
      <c r="M173" s="20">
        <v>84666.93</v>
      </c>
      <c r="N173" s="20">
        <v>75000</v>
      </c>
      <c r="O173" s="20">
        <f>VLOOKUP(A173,TB!A:F,3)</f>
        <v>53615.1</v>
      </c>
      <c r="P173" s="163">
        <f t="shared" si="39"/>
        <v>75000</v>
      </c>
      <c r="Q173" s="160">
        <v>83250</v>
      </c>
      <c r="R173" s="233">
        <f>VLOOKUP(A173,TB!A:F,6)</f>
        <v>83250</v>
      </c>
      <c r="S173" s="233">
        <f t="shared" si="38"/>
        <v>0</v>
      </c>
    </row>
    <row r="174" spans="1:19" ht="15.75" customHeight="1" x14ac:dyDescent="0.25">
      <c r="A174" s="66" t="s">
        <v>595</v>
      </c>
      <c r="B174" s="66" t="s">
        <v>596</v>
      </c>
      <c r="C174" s="295"/>
      <c r="D174" s="160">
        <v>14134</v>
      </c>
      <c r="E174" s="160" t="e">
        <f>D174*#REF!</f>
        <v>#REF!</v>
      </c>
      <c r="F174" s="160" t="e">
        <f>D174*#REF!</f>
        <v>#REF!</v>
      </c>
      <c r="G174" s="160" t="e">
        <f>(D174*#REF!)*#REF!</f>
        <v>#REF!</v>
      </c>
      <c r="H174" s="296">
        <f t="shared" si="35"/>
        <v>0</v>
      </c>
      <c r="I174" s="147" t="e">
        <f t="shared" si="36"/>
        <v>#REF!</v>
      </c>
      <c r="J174" s="97">
        <v>0</v>
      </c>
      <c r="K174" s="295"/>
      <c r="L174" s="20">
        <v>20856</v>
      </c>
      <c r="M174" s="20">
        <v>132017.1</v>
      </c>
      <c r="N174" s="20">
        <v>75500</v>
      </c>
      <c r="O174" s="20">
        <f>VLOOKUP(A174,TB!A:F,3)</f>
        <v>125965.79</v>
      </c>
      <c r="P174" s="160">
        <f>O174/9*12</f>
        <v>167954.38666666666</v>
      </c>
      <c r="Q174" s="160">
        <v>63500</v>
      </c>
      <c r="R174" s="233">
        <f>VLOOKUP(A174,TB!A:F,6)</f>
        <v>63500</v>
      </c>
      <c r="S174" s="233">
        <f t="shared" si="38"/>
        <v>0</v>
      </c>
    </row>
    <row r="175" spans="1:19" ht="15.75" customHeight="1" x14ac:dyDescent="0.25">
      <c r="A175" s="66" t="s">
        <v>597</v>
      </c>
      <c r="B175" s="66" t="s">
        <v>115</v>
      </c>
      <c r="C175" s="295"/>
      <c r="D175" s="160">
        <v>7979</v>
      </c>
      <c r="E175" s="160" t="e">
        <f>D175*#REF!</f>
        <v>#REF!</v>
      </c>
      <c r="F175" s="160" t="e">
        <f>D175*#REF!</f>
        <v>#REF!</v>
      </c>
      <c r="G175" s="160" t="e">
        <f>(D175*#REF!)*#REF!</f>
        <v>#REF!</v>
      </c>
      <c r="H175" s="296">
        <f t="shared" si="35"/>
        <v>0</v>
      </c>
      <c r="I175" s="147" t="e">
        <f t="shared" si="36"/>
        <v>#REF!</v>
      </c>
      <c r="J175" s="97">
        <v>0</v>
      </c>
      <c r="K175" s="295"/>
      <c r="L175" s="20">
        <v>21483</v>
      </c>
      <c r="M175" s="20">
        <v>13699.52</v>
      </c>
      <c r="N175" s="20">
        <v>66000</v>
      </c>
      <c r="O175" s="20">
        <f>VLOOKUP(A175,TB!A:F,3)</f>
        <v>47019.79</v>
      </c>
      <c r="P175" s="163">
        <f>N175</f>
        <v>66000</v>
      </c>
      <c r="Q175" s="160">
        <v>86100</v>
      </c>
      <c r="R175" s="233">
        <f>VLOOKUP(A175,TB!A:F,6)</f>
        <v>86100</v>
      </c>
      <c r="S175" s="233">
        <f t="shared" si="38"/>
        <v>0</v>
      </c>
    </row>
    <row r="176" spans="1:19" ht="15.75" customHeight="1" x14ac:dyDescent="0.25">
      <c r="A176" s="66" t="s">
        <v>598</v>
      </c>
      <c r="B176" s="66" t="s">
        <v>555</v>
      </c>
      <c r="C176" s="295"/>
      <c r="D176" s="160">
        <v>120134</v>
      </c>
      <c r="E176" s="160" t="e">
        <f>D176*#REF!</f>
        <v>#REF!</v>
      </c>
      <c r="F176" s="160" t="e">
        <f>D176*#REF!</f>
        <v>#REF!</v>
      </c>
      <c r="G176" s="160" t="e">
        <f>(D176*#REF!)*#REF!</f>
        <v>#REF!</v>
      </c>
      <c r="H176" s="296">
        <f t="shared" si="35"/>
        <v>0</v>
      </c>
      <c r="I176" s="147" t="e">
        <f t="shared" si="36"/>
        <v>#REF!</v>
      </c>
      <c r="J176" s="97">
        <v>0</v>
      </c>
      <c r="K176" s="295"/>
      <c r="L176" s="20">
        <v>106354</v>
      </c>
      <c r="M176" s="20">
        <v>161121.07</v>
      </c>
      <c r="N176" s="20">
        <v>160500</v>
      </c>
      <c r="O176" s="20">
        <f>VLOOKUP(A176,TB!A:F,3)</f>
        <v>168253.26</v>
      </c>
      <c r="P176" s="160">
        <f>O176/9*12</f>
        <v>224337.68</v>
      </c>
      <c r="Q176" s="160">
        <v>168500</v>
      </c>
      <c r="R176" s="233">
        <f>VLOOKUP(A176,TB!A:F,6)</f>
        <v>168500</v>
      </c>
      <c r="S176" s="233">
        <f t="shared" si="38"/>
        <v>0</v>
      </c>
    </row>
    <row r="177" spans="1:19" ht="15.75" customHeight="1" x14ac:dyDescent="0.25">
      <c r="A177" s="66" t="s">
        <v>599</v>
      </c>
      <c r="B177" s="66" t="s">
        <v>277</v>
      </c>
      <c r="C177" s="295"/>
      <c r="D177" s="160">
        <v>212465</v>
      </c>
      <c r="E177" s="160" t="e">
        <f>D177*#REF!</f>
        <v>#REF!</v>
      </c>
      <c r="F177" s="160" t="e">
        <f>D177*#REF!</f>
        <v>#REF!</v>
      </c>
      <c r="G177" s="160" t="e">
        <f>(D177*#REF!)*#REF!</f>
        <v>#REF!</v>
      </c>
      <c r="H177" s="296">
        <f t="shared" si="35"/>
        <v>0</v>
      </c>
      <c r="I177" s="147" t="e">
        <f t="shared" si="36"/>
        <v>#REF!</v>
      </c>
      <c r="J177" s="97">
        <v>0</v>
      </c>
      <c r="K177" s="295"/>
      <c r="L177" s="20">
        <v>365338</v>
      </c>
      <c r="M177" s="20">
        <v>275618</v>
      </c>
      <c r="N177" s="20">
        <v>315500</v>
      </c>
      <c r="O177" s="20">
        <f>VLOOKUP(A177,TB!A:F,3)</f>
        <v>220596.22</v>
      </c>
      <c r="P177" s="163">
        <f>N177</f>
        <v>315500</v>
      </c>
      <c r="Q177" s="160">
        <v>315000</v>
      </c>
      <c r="R177" s="233">
        <f>VLOOKUP(A177,TB!A:F,6)</f>
        <v>315000</v>
      </c>
      <c r="S177" s="233">
        <f t="shared" si="38"/>
        <v>0</v>
      </c>
    </row>
    <row r="178" spans="1:19" ht="15.75" customHeight="1" x14ac:dyDescent="0.25">
      <c r="A178" s="66" t="s">
        <v>600</v>
      </c>
      <c r="B178" s="66" t="s">
        <v>84</v>
      </c>
      <c r="C178" s="295"/>
      <c r="D178" s="160">
        <v>0</v>
      </c>
      <c r="E178" s="160" t="e">
        <f>D178*#REF!</f>
        <v>#REF!</v>
      </c>
      <c r="F178" s="160" t="e">
        <f>D178*#REF!</f>
        <v>#REF!</v>
      </c>
      <c r="G178" s="160" t="e">
        <f>(D178*#REF!)*#REF!</f>
        <v>#REF!</v>
      </c>
      <c r="H178" s="296">
        <f t="shared" si="35"/>
        <v>0</v>
      </c>
      <c r="I178" s="147" t="e">
        <f t="shared" si="36"/>
        <v>#REF!</v>
      </c>
      <c r="J178" s="97">
        <v>0</v>
      </c>
      <c r="K178" s="295"/>
      <c r="L178" s="20">
        <v>1045</v>
      </c>
      <c r="M178" s="20">
        <v>465</v>
      </c>
      <c r="N178" s="20">
        <v>0</v>
      </c>
      <c r="O178" s="20">
        <f>VLOOKUP(A178,TB!A:F,3)</f>
        <v>255</v>
      </c>
      <c r="P178" s="160">
        <f>O178/9*12</f>
        <v>340</v>
      </c>
      <c r="Q178" s="160">
        <v>0</v>
      </c>
      <c r="R178" s="233">
        <f>VLOOKUP(A178,TB!A:F,6)</f>
        <v>0</v>
      </c>
      <c r="S178" s="233">
        <f t="shared" si="38"/>
        <v>0</v>
      </c>
    </row>
    <row r="179" spans="1:19" ht="15.75" customHeight="1" x14ac:dyDescent="0.25">
      <c r="A179" s="66" t="s">
        <v>601</v>
      </c>
      <c r="B179" s="66" t="s">
        <v>210</v>
      </c>
      <c r="C179" s="295"/>
      <c r="D179" s="160">
        <v>6207</v>
      </c>
      <c r="E179" s="160" t="e">
        <f>D179*#REF!</f>
        <v>#REF!</v>
      </c>
      <c r="F179" s="160" t="e">
        <f>D179*#REF!</f>
        <v>#REF!</v>
      </c>
      <c r="G179" s="160" t="e">
        <f>(D179*#REF!)*#REF!</f>
        <v>#REF!</v>
      </c>
      <c r="H179" s="296">
        <f t="shared" si="35"/>
        <v>0</v>
      </c>
      <c r="I179" s="147" t="e">
        <f t="shared" si="36"/>
        <v>#REF!</v>
      </c>
      <c r="J179" s="97">
        <v>0</v>
      </c>
      <c r="K179" s="295"/>
      <c r="L179" s="20">
        <v>27636</v>
      </c>
      <c r="M179" s="20">
        <v>249838.68</v>
      </c>
      <c r="N179" s="20">
        <v>198500</v>
      </c>
      <c r="O179" s="20">
        <f>VLOOKUP(A179,TB!A:F,3)</f>
        <v>160605.81</v>
      </c>
      <c r="P179" s="163">
        <f t="shared" ref="P179:P180" si="40">N179</f>
        <v>198500</v>
      </c>
      <c r="Q179" s="160">
        <v>198500</v>
      </c>
      <c r="R179" s="233">
        <f>VLOOKUP(A179,TB!A:F,6)</f>
        <v>198500</v>
      </c>
      <c r="S179" s="233">
        <f t="shared" si="38"/>
        <v>0</v>
      </c>
    </row>
    <row r="180" spans="1:19" ht="15.75" customHeight="1" x14ac:dyDescent="0.25">
      <c r="A180" s="66" t="s">
        <v>602</v>
      </c>
      <c r="B180" s="66" t="s">
        <v>86</v>
      </c>
      <c r="C180" s="295"/>
      <c r="D180" s="160">
        <v>0</v>
      </c>
      <c r="E180" s="160" t="e">
        <f>D180*#REF!</f>
        <v>#REF!</v>
      </c>
      <c r="F180" s="160" t="e">
        <f>D180*#REF!</f>
        <v>#REF!</v>
      </c>
      <c r="G180" s="160" t="e">
        <f>(D180*#REF!)*#REF!</f>
        <v>#REF!</v>
      </c>
      <c r="H180" s="296">
        <f t="shared" si="35"/>
        <v>0</v>
      </c>
      <c r="I180" s="147" t="e">
        <f t="shared" si="36"/>
        <v>#REF!</v>
      </c>
      <c r="J180" s="97">
        <v>0</v>
      </c>
      <c r="K180" s="295"/>
      <c r="L180" s="20">
        <v>450</v>
      </c>
      <c r="M180" s="20">
        <v>1492434.49</v>
      </c>
      <c r="N180" s="20">
        <v>77000</v>
      </c>
      <c r="O180" s="20">
        <f>VLOOKUP(A180,TB!A:F,3)</f>
        <v>52273.62</v>
      </c>
      <c r="P180" s="163">
        <f t="shared" si="40"/>
        <v>77000</v>
      </c>
      <c r="Q180" s="160">
        <v>80800</v>
      </c>
      <c r="R180" s="233">
        <f>VLOOKUP(A180,TB!A:F,6)</f>
        <v>80800</v>
      </c>
      <c r="S180" s="233">
        <f t="shared" si="38"/>
        <v>0</v>
      </c>
    </row>
    <row r="181" spans="1:19" ht="15.75" customHeight="1" x14ac:dyDescent="0.25">
      <c r="A181" s="66" t="s">
        <v>603</v>
      </c>
      <c r="B181" s="66" t="s">
        <v>88</v>
      </c>
      <c r="C181" s="295"/>
      <c r="D181" s="160">
        <v>122103</v>
      </c>
      <c r="E181" s="160" t="e">
        <f>D181*#REF!</f>
        <v>#REF!</v>
      </c>
      <c r="F181" s="160" t="e">
        <f>D181*#REF!</f>
        <v>#REF!</v>
      </c>
      <c r="G181" s="160" t="e">
        <f>(D181*#REF!)*#REF!</f>
        <v>#REF!</v>
      </c>
      <c r="H181" s="296">
        <f t="shared" si="35"/>
        <v>0</v>
      </c>
      <c r="I181" s="147" t="e">
        <f t="shared" si="36"/>
        <v>#REF!</v>
      </c>
      <c r="J181" s="97">
        <v>0</v>
      </c>
      <c r="K181" s="295"/>
      <c r="L181" s="20">
        <v>151754</v>
      </c>
      <c r="M181" s="20">
        <v>158958.48000000001</v>
      </c>
      <c r="N181" s="20">
        <v>244200</v>
      </c>
      <c r="O181" s="20">
        <f>VLOOKUP(A181,TB!A:F,3)</f>
        <v>258451.8</v>
      </c>
      <c r="P181" s="160">
        <f>O181/9*12</f>
        <v>344602.39999999997</v>
      </c>
      <c r="Q181" s="160">
        <v>114108</v>
      </c>
      <c r="R181" s="233">
        <f>VLOOKUP(A181,TB!A:F,6)</f>
        <v>114108</v>
      </c>
      <c r="S181" s="233">
        <f t="shared" si="38"/>
        <v>0</v>
      </c>
    </row>
    <row r="182" spans="1:19" ht="15.75" customHeight="1" x14ac:dyDescent="0.25">
      <c r="A182" s="66" t="s">
        <v>604</v>
      </c>
      <c r="B182" s="66" t="s">
        <v>90</v>
      </c>
      <c r="C182" s="295"/>
      <c r="D182" s="160">
        <v>3996</v>
      </c>
      <c r="E182" s="160" t="e">
        <f>D182*#REF!</f>
        <v>#REF!</v>
      </c>
      <c r="F182" s="160" t="e">
        <f>D182*#REF!</f>
        <v>#REF!</v>
      </c>
      <c r="G182" s="160" t="e">
        <f>(D182*#REF!)*#REF!</f>
        <v>#REF!</v>
      </c>
      <c r="H182" s="296">
        <f t="shared" si="35"/>
        <v>0</v>
      </c>
      <c r="I182" s="147" t="e">
        <f t="shared" si="36"/>
        <v>#REF!</v>
      </c>
      <c r="J182" s="97">
        <v>0</v>
      </c>
      <c r="K182" s="295"/>
      <c r="L182" s="20">
        <v>10677</v>
      </c>
      <c r="M182" s="20">
        <v>7117.2</v>
      </c>
      <c r="N182" s="20">
        <v>10000</v>
      </c>
      <c r="O182" s="20">
        <f>VLOOKUP(A182,TB!A:F,3)</f>
        <v>2791.65</v>
      </c>
      <c r="P182" s="163">
        <f>N182</f>
        <v>10000</v>
      </c>
      <c r="Q182" s="160">
        <v>6000</v>
      </c>
      <c r="R182" s="233">
        <f>VLOOKUP(A182,TB!A:F,6)</f>
        <v>6000</v>
      </c>
      <c r="S182" s="233">
        <f t="shared" si="38"/>
        <v>0</v>
      </c>
    </row>
    <row r="183" spans="1:19" ht="15.75" customHeight="1" x14ac:dyDescent="0.25">
      <c r="A183" s="66" t="s">
        <v>605</v>
      </c>
      <c r="B183" s="66" t="s">
        <v>606</v>
      </c>
      <c r="C183" s="295"/>
      <c r="D183" s="160">
        <v>0</v>
      </c>
      <c r="E183" s="160" t="e">
        <f>D183*#REF!</f>
        <v>#REF!</v>
      </c>
      <c r="F183" s="160" t="e">
        <f>D183*#REF!</f>
        <v>#REF!</v>
      </c>
      <c r="G183" s="160" t="e">
        <f>(D183*#REF!)*#REF!</f>
        <v>#REF!</v>
      </c>
      <c r="H183" s="296">
        <f t="shared" si="35"/>
        <v>0</v>
      </c>
      <c r="I183" s="147" t="e">
        <f t="shared" si="36"/>
        <v>#REF!</v>
      </c>
      <c r="J183" s="97">
        <v>0</v>
      </c>
      <c r="K183" s="295"/>
      <c r="L183" s="20">
        <v>0</v>
      </c>
      <c r="M183" s="20">
        <v>0</v>
      </c>
      <c r="N183" s="20">
        <v>0</v>
      </c>
      <c r="O183" s="20">
        <f>VLOOKUP(A183,TB!A:F,3)</f>
        <v>0</v>
      </c>
      <c r="P183" s="160">
        <f t="shared" ref="P183:P184" si="41">O183/9*12</f>
        <v>0</v>
      </c>
      <c r="Q183" s="160">
        <v>10500</v>
      </c>
      <c r="R183" s="233">
        <f>VLOOKUP(A183,TB!A:F,6)</f>
        <v>10500</v>
      </c>
      <c r="S183" s="233">
        <f t="shared" si="38"/>
        <v>0</v>
      </c>
    </row>
    <row r="184" spans="1:19" ht="15.75" customHeight="1" x14ac:dyDescent="0.25">
      <c r="A184" s="66" t="s">
        <v>607</v>
      </c>
      <c r="B184" s="66" t="s">
        <v>608</v>
      </c>
      <c r="C184" s="295"/>
      <c r="D184" s="160">
        <v>0</v>
      </c>
      <c r="E184" s="160" t="e">
        <f>D184*#REF!</f>
        <v>#REF!</v>
      </c>
      <c r="F184" s="160" t="e">
        <f>D184*#REF!</f>
        <v>#REF!</v>
      </c>
      <c r="G184" s="160" t="e">
        <f>(D184*#REF!)*#REF!</f>
        <v>#REF!</v>
      </c>
      <c r="H184" s="296">
        <f t="shared" si="35"/>
        <v>0</v>
      </c>
      <c r="I184" s="147" t="e">
        <f t="shared" si="36"/>
        <v>#REF!</v>
      </c>
      <c r="J184" s="97">
        <v>0</v>
      </c>
      <c r="K184" s="295"/>
      <c r="L184" s="20">
        <v>0</v>
      </c>
      <c r="M184" s="20">
        <v>458501.62</v>
      </c>
      <c r="N184" s="20">
        <v>0</v>
      </c>
      <c r="O184" s="20">
        <f>VLOOKUP(A184,TB!A:F,3)</f>
        <v>0</v>
      </c>
      <c r="P184" s="160">
        <f t="shared" si="41"/>
        <v>0</v>
      </c>
      <c r="Q184" s="160">
        <v>0</v>
      </c>
      <c r="R184" s="233">
        <f>VLOOKUP(A184,TB!A:F,6)</f>
        <v>0</v>
      </c>
      <c r="S184" s="233">
        <f t="shared" si="38"/>
        <v>0</v>
      </c>
    </row>
    <row r="185" spans="1:19" ht="15.75" customHeight="1" x14ac:dyDescent="0.25">
      <c r="A185" s="66" t="s">
        <v>609</v>
      </c>
      <c r="B185" s="66" t="s">
        <v>610</v>
      </c>
      <c r="C185" s="295"/>
      <c r="D185" s="160">
        <v>0</v>
      </c>
      <c r="E185" s="160" t="e">
        <f>D185*#REF!</f>
        <v>#REF!</v>
      </c>
      <c r="F185" s="160" t="e">
        <f>D185*#REF!</f>
        <v>#REF!</v>
      </c>
      <c r="G185" s="160" t="e">
        <f>(D185*#REF!)*#REF!</f>
        <v>#REF!</v>
      </c>
      <c r="H185" s="296">
        <f t="shared" si="35"/>
        <v>0</v>
      </c>
      <c r="I185" s="147" t="e">
        <f t="shared" si="36"/>
        <v>#REF!</v>
      </c>
      <c r="J185" s="97">
        <v>0</v>
      </c>
      <c r="K185" s="295"/>
      <c r="L185" s="20">
        <v>40</v>
      </c>
      <c r="M185" s="20">
        <v>325.62</v>
      </c>
      <c r="N185" s="20">
        <v>7500</v>
      </c>
      <c r="O185" s="20">
        <f>VLOOKUP(A185,TB!A:F,3)</f>
        <v>1600.46</v>
      </c>
      <c r="P185" s="163">
        <f>N185</f>
        <v>7500</v>
      </c>
      <c r="Q185" s="160">
        <v>4000</v>
      </c>
      <c r="R185" s="233">
        <f>VLOOKUP(A185,TB!A:F,6)</f>
        <v>4000</v>
      </c>
      <c r="S185" s="233">
        <f t="shared" si="38"/>
        <v>0</v>
      </c>
    </row>
    <row r="186" spans="1:19" ht="15.75" customHeight="1" x14ac:dyDescent="0.25">
      <c r="A186" s="66" t="s">
        <v>611</v>
      </c>
      <c r="B186" s="66" t="s">
        <v>583</v>
      </c>
      <c r="C186" s="295"/>
      <c r="D186" s="160">
        <v>21033</v>
      </c>
      <c r="E186" s="160" t="e">
        <f>D186*#REF!</f>
        <v>#REF!</v>
      </c>
      <c r="F186" s="160" t="e">
        <f>D186*#REF!</f>
        <v>#REF!</v>
      </c>
      <c r="G186" s="160" t="e">
        <f>(D186*#REF!)*#REF!</f>
        <v>#REF!</v>
      </c>
      <c r="H186" s="296">
        <f t="shared" si="35"/>
        <v>0</v>
      </c>
      <c r="I186" s="147" t="e">
        <f t="shared" si="36"/>
        <v>#REF!</v>
      </c>
      <c r="J186" s="97">
        <v>0</v>
      </c>
      <c r="K186" s="295"/>
      <c r="L186" s="20">
        <v>29368</v>
      </c>
      <c r="M186" s="20">
        <v>90186.22</v>
      </c>
      <c r="N186" s="20">
        <v>89100</v>
      </c>
      <c r="O186" s="20">
        <f>VLOOKUP(A186,TB!A:F,3)</f>
        <v>88824.14</v>
      </c>
      <c r="P186" s="160">
        <f>O186/9*12</f>
        <v>118432.18666666668</v>
      </c>
      <c r="Q186" s="160">
        <v>80000</v>
      </c>
      <c r="R186" s="233">
        <f>VLOOKUP(A186,TB!A:F,6)</f>
        <v>80000</v>
      </c>
      <c r="S186" s="233">
        <f t="shared" si="38"/>
        <v>0</v>
      </c>
    </row>
    <row r="187" spans="1:19" ht="15.75" customHeight="1" x14ac:dyDescent="0.25">
      <c r="A187" s="165" t="s">
        <v>612</v>
      </c>
      <c r="B187" s="165" t="s">
        <v>502</v>
      </c>
      <c r="C187" s="297"/>
      <c r="D187" s="298">
        <v>4782</v>
      </c>
      <c r="E187" s="160" t="e">
        <f>D187*#REF!</f>
        <v>#REF!</v>
      </c>
      <c r="F187" s="160" t="e">
        <f>D187*#REF!</f>
        <v>#REF!</v>
      </c>
      <c r="G187" s="160" t="e">
        <f>(D187*#REF!)*#REF!</f>
        <v>#REF!</v>
      </c>
      <c r="H187" s="296">
        <f t="shared" si="35"/>
        <v>0</v>
      </c>
      <c r="I187" s="147" t="e">
        <f t="shared" si="36"/>
        <v>#REF!</v>
      </c>
      <c r="J187" s="97">
        <v>0</v>
      </c>
      <c r="K187" s="297"/>
      <c r="L187" s="20">
        <v>12447</v>
      </c>
      <c r="M187" s="20">
        <v>174273.91</v>
      </c>
      <c r="N187" s="20">
        <v>173000</v>
      </c>
      <c r="O187" s="20">
        <f>VLOOKUP(A187,TB!A:F,3)</f>
        <v>130862.44</v>
      </c>
      <c r="P187" s="163">
        <f t="shared" ref="P187:P188" si="42">N187</f>
        <v>173000</v>
      </c>
      <c r="Q187" s="160">
        <v>210100</v>
      </c>
      <c r="R187" s="233">
        <f>VLOOKUP(A187,TB!A:F,6)</f>
        <v>210100</v>
      </c>
      <c r="S187" s="233">
        <f t="shared" si="38"/>
        <v>0</v>
      </c>
    </row>
    <row r="188" spans="1:19" ht="15.75" customHeight="1" x14ac:dyDescent="0.25">
      <c r="A188" s="66" t="s">
        <v>613</v>
      </c>
      <c r="B188" s="66" t="s">
        <v>92</v>
      </c>
      <c r="C188" s="295"/>
      <c r="D188" s="160">
        <v>0</v>
      </c>
      <c r="E188" s="160" t="e">
        <f>D188*#REF!</f>
        <v>#REF!</v>
      </c>
      <c r="F188" s="160" t="e">
        <f>D188*#REF!</f>
        <v>#REF!</v>
      </c>
      <c r="G188" s="160" t="e">
        <f>(D188*#REF!)*#REF!</f>
        <v>#REF!</v>
      </c>
      <c r="H188" s="296">
        <f t="shared" si="35"/>
        <v>0</v>
      </c>
      <c r="I188" s="147" t="e">
        <f t="shared" si="36"/>
        <v>#REF!</v>
      </c>
      <c r="J188" s="97">
        <v>0</v>
      </c>
      <c r="K188" s="295"/>
      <c r="L188" s="20">
        <v>6424</v>
      </c>
      <c r="M188" s="20">
        <v>182849.08</v>
      </c>
      <c r="N188" s="20">
        <v>165900</v>
      </c>
      <c r="O188" s="20">
        <f>VLOOKUP(A188,TB!A:F,3)</f>
        <v>205879.08</v>
      </c>
      <c r="P188" s="163">
        <f t="shared" si="42"/>
        <v>165900</v>
      </c>
      <c r="Q188" s="160">
        <v>165900</v>
      </c>
      <c r="R188" s="233">
        <f>VLOOKUP(A188,TB!A:F,6)</f>
        <v>165900</v>
      </c>
      <c r="S188" s="233">
        <f t="shared" si="38"/>
        <v>0</v>
      </c>
    </row>
    <row r="189" spans="1:19" ht="15.75" customHeight="1" x14ac:dyDescent="0.25">
      <c r="A189" s="66" t="s">
        <v>614</v>
      </c>
      <c r="B189" s="66" t="s">
        <v>94</v>
      </c>
      <c r="C189" s="295"/>
      <c r="D189" s="160">
        <v>0</v>
      </c>
      <c r="E189" s="160" t="e">
        <f>D189*#REF!</f>
        <v>#REF!</v>
      </c>
      <c r="F189" s="160" t="e">
        <f>D189*#REF!</f>
        <v>#REF!</v>
      </c>
      <c r="G189" s="160" t="e">
        <f>(D189*#REF!)*#REF!</f>
        <v>#REF!</v>
      </c>
      <c r="H189" s="296">
        <f t="shared" si="35"/>
        <v>0</v>
      </c>
      <c r="I189" s="147" t="e">
        <f t="shared" si="36"/>
        <v>#REF!</v>
      </c>
      <c r="J189" s="97">
        <v>0</v>
      </c>
      <c r="K189" s="295"/>
      <c r="L189" s="20">
        <v>0</v>
      </c>
      <c r="M189" s="20">
        <v>0</v>
      </c>
      <c r="N189" s="20">
        <v>0</v>
      </c>
      <c r="O189" s="20">
        <v>0</v>
      </c>
      <c r="P189" s="160">
        <f>O189/9*12</f>
        <v>0</v>
      </c>
      <c r="Q189" s="160">
        <v>0</v>
      </c>
      <c r="R189" s="233">
        <v>0</v>
      </c>
      <c r="S189" s="233">
        <f t="shared" si="38"/>
        <v>0</v>
      </c>
    </row>
    <row r="190" spans="1:19" ht="15.75" customHeight="1" x14ac:dyDescent="0.25">
      <c r="A190" s="74" t="s">
        <v>585</v>
      </c>
      <c r="B190" s="75"/>
      <c r="C190" s="299"/>
      <c r="D190" s="189">
        <f t="shared" ref="D190:G190" si="43">SUM(D167:D189)</f>
        <v>1191109</v>
      </c>
      <c r="E190" s="189" t="e">
        <f t="shared" si="43"/>
        <v>#REF!</v>
      </c>
      <c r="F190" s="189" t="e">
        <f t="shared" si="43"/>
        <v>#REF!</v>
      </c>
      <c r="G190" s="189" t="e">
        <f t="shared" si="43"/>
        <v>#REF!</v>
      </c>
      <c r="H190" s="300">
        <f t="shared" si="35"/>
        <v>0</v>
      </c>
      <c r="I190" s="189" t="e">
        <f t="shared" si="36"/>
        <v>#REF!</v>
      </c>
      <c r="J190" s="301">
        <f>SUM(J167:J189)</f>
        <v>0</v>
      </c>
      <c r="K190" s="299"/>
      <c r="L190" s="77">
        <f t="shared" ref="L190:S190" si="44">SUM(L167:L189)</f>
        <v>1698370</v>
      </c>
      <c r="M190" s="77">
        <f t="shared" si="44"/>
        <v>4708078.09</v>
      </c>
      <c r="N190" s="77">
        <f t="shared" si="44"/>
        <v>3149430</v>
      </c>
      <c r="O190" s="77">
        <f t="shared" si="44"/>
        <v>2491929.1</v>
      </c>
      <c r="P190" s="189">
        <f t="shared" si="44"/>
        <v>3250858.8583333329</v>
      </c>
      <c r="Q190" s="189">
        <f t="shared" si="44"/>
        <v>3236593</v>
      </c>
      <c r="R190" s="77">
        <f t="shared" si="44"/>
        <v>3236593.24</v>
      </c>
      <c r="S190" s="77">
        <f t="shared" si="44"/>
        <v>-0.23999999999068677</v>
      </c>
    </row>
    <row r="191" spans="1:19" ht="15.75" customHeight="1" x14ac:dyDescent="0.2">
      <c r="C191" s="287"/>
      <c r="K191" s="287"/>
    </row>
    <row r="192" spans="1:19" ht="15.75" customHeight="1" x14ac:dyDescent="0.25">
      <c r="A192" s="66"/>
      <c r="B192" s="66"/>
      <c r="C192" s="295"/>
      <c r="D192" s="20"/>
      <c r="E192" s="20"/>
      <c r="F192" s="20"/>
      <c r="G192" s="20"/>
      <c r="H192" s="234"/>
      <c r="K192" s="295"/>
      <c r="L192" s="302"/>
      <c r="M192" s="302"/>
      <c r="N192" s="302"/>
      <c r="O192" s="302"/>
      <c r="P192" s="303"/>
      <c r="Q192" s="303"/>
      <c r="R192" s="303"/>
      <c r="S192" s="303"/>
    </row>
    <row r="193" spans="1:30" ht="15.75" customHeight="1" x14ac:dyDescent="0.25">
      <c r="A193" s="66" t="s">
        <v>615</v>
      </c>
      <c r="B193" s="66" t="s">
        <v>532</v>
      </c>
      <c r="C193" s="295"/>
      <c r="D193" s="160">
        <v>0</v>
      </c>
      <c r="E193" s="160">
        <v>0</v>
      </c>
      <c r="F193" s="160">
        <v>0</v>
      </c>
      <c r="G193" s="160">
        <v>0</v>
      </c>
      <c r="H193" s="296">
        <f t="shared" ref="H193:H196" si="45">IFERROR(((Q193-G193)/G193),0)</f>
        <v>0</v>
      </c>
      <c r="I193" s="147">
        <f t="shared" ref="I193:I196" si="46">Q193-G193</f>
        <v>100000</v>
      </c>
      <c r="J193" s="97">
        <v>0</v>
      </c>
      <c r="K193" s="295"/>
      <c r="L193" s="20">
        <v>0</v>
      </c>
      <c r="M193" s="20">
        <v>0</v>
      </c>
      <c r="N193" s="20">
        <v>50000</v>
      </c>
      <c r="O193" s="20">
        <f>VLOOKUP(A193,TB!A:F,3)</f>
        <v>9339.58</v>
      </c>
      <c r="P193" s="163">
        <f t="shared" ref="P193:P195" si="47">N193</f>
        <v>50000</v>
      </c>
      <c r="Q193" s="160">
        <v>100000</v>
      </c>
      <c r="R193" s="233">
        <f>VLOOKUP(A193,TB!A:F,6)</f>
        <v>100000</v>
      </c>
      <c r="S193" s="233">
        <f t="shared" ref="S193:S195" si="48">Q193-R193</f>
        <v>0</v>
      </c>
    </row>
    <row r="194" spans="1:30" ht="15.75" customHeight="1" x14ac:dyDescent="0.25">
      <c r="A194" s="66" t="s">
        <v>616</v>
      </c>
      <c r="B194" s="66" t="s">
        <v>617</v>
      </c>
      <c r="C194" s="295"/>
      <c r="D194" s="160">
        <v>216080</v>
      </c>
      <c r="E194" s="160" t="e">
        <f>D194*#REF!</f>
        <v>#REF!</v>
      </c>
      <c r="F194" s="160" t="e">
        <f>D194*#REF!</f>
        <v>#REF!</v>
      </c>
      <c r="G194" s="160" t="e">
        <f>(D194*#REF!)*#REF!</f>
        <v>#REF!</v>
      </c>
      <c r="H194" s="296">
        <f t="shared" si="45"/>
        <v>0</v>
      </c>
      <c r="I194" s="147" t="e">
        <f t="shared" si="46"/>
        <v>#REF!</v>
      </c>
      <c r="J194" s="97"/>
      <c r="K194" s="295"/>
      <c r="L194" s="20">
        <v>37833</v>
      </c>
      <c r="M194" s="20">
        <v>0</v>
      </c>
      <c r="N194" s="20">
        <v>372500</v>
      </c>
      <c r="O194" s="20">
        <f>VLOOKUP(A194,TB!A:F,3)</f>
        <v>372500</v>
      </c>
      <c r="P194" s="163">
        <f t="shared" si="47"/>
        <v>372500</v>
      </c>
      <c r="Q194" s="304">
        <v>0</v>
      </c>
      <c r="R194" s="233">
        <f>VLOOKUP(A194,TB!A:F,6)</f>
        <v>0</v>
      </c>
      <c r="S194" s="233">
        <f t="shared" si="48"/>
        <v>0</v>
      </c>
    </row>
    <row r="195" spans="1:30" ht="15.75" customHeight="1" x14ac:dyDescent="0.25">
      <c r="A195" s="66" t="s">
        <v>618</v>
      </c>
      <c r="B195" s="66" t="s">
        <v>99</v>
      </c>
      <c r="C195" s="295"/>
      <c r="D195" s="160">
        <v>7867</v>
      </c>
      <c r="E195" s="160" t="e">
        <f>D195*#REF!</f>
        <v>#REF!</v>
      </c>
      <c r="F195" s="160" t="e">
        <f>D195*#REF!</f>
        <v>#REF!</v>
      </c>
      <c r="G195" s="160" t="e">
        <f>(D195*#REF!)*#REF!</f>
        <v>#REF!</v>
      </c>
      <c r="H195" s="296">
        <f t="shared" si="45"/>
        <v>0</v>
      </c>
      <c r="I195" s="147" t="e">
        <f t="shared" si="46"/>
        <v>#REF!</v>
      </c>
      <c r="J195" s="97"/>
      <c r="K195" s="295"/>
      <c r="L195" s="20">
        <v>25488</v>
      </c>
      <c r="M195" s="20">
        <v>555699.85</v>
      </c>
      <c r="N195" s="20">
        <v>243100</v>
      </c>
      <c r="O195" s="20">
        <f>VLOOKUP(A195,TB!A:F,3)</f>
        <v>222851.89</v>
      </c>
      <c r="P195" s="163">
        <f t="shared" si="47"/>
        <v>243100</v>
      </c>
      <c r="Q195" s="160">
        <v>65000</v>
      </c>
      <c r="R195" s="233">
        <f>VLOOKUP(A195,TB!A:F,6)</f>
        <v>65000</v>
      </c>
      <c r="S195" s="233">
        <f t="shared" si="48"/>
        <v>0</v>
      </c>
    </row>
    <row r="196" spans="1:30" ht="15.75" customHeight="1" x14ac:dyDescent="0.25">
      <c r="A196" s="74" t="s">
        <v>619</v>
      </c>
      <c r="B196" s="75"/>
      <c r="C196" s="299"/>
      <c r="D196" s="189">
        <f t="shared" ref="D196:G196" si="49">SUM(D194:D195)</f>
        <v>223947</v>
      </c>
      <c r="E196" s="189" t="e">
        <f t="shared" si="49"/>
        <v>#REF!</v>
      </c>
      <c r="F196" s="189" t="e">
        <f t="shared" si="49"/>
        <v>#REF!</v>
      </c>
      <c r="G196" s="189" t="e">
        <f t="shared" si="49"/>
        <v>#REF!</v>
      </c>
      <c r="H196" s="300">
        <f t="shared" si="45"/>
        <v>0</v>
      </c>
      <c r="I196" s="189" t="e">
        <f t="shared" si="46"/>
        <v>#REF!</v>
      </c>
      <c r="J196" s="301">
        <f>SUM(J193:J195)</f>
        <v>0</v>
      </c>
      <c r="K196" s="299"/>
      <c r="L196" s="77">
        <f t="shared" ref="L196:M196" si="50">SUM(L194:L195)</f>
        <v>63321</v>
      </c>
      <c r="M196" s="77">
        <f t="shared" si="50"/>
        <v>555699.85</v>
      </c>
      <c r="N196" s="77">
        <f t="shared" ref="N196:S196" si="51">SUM(N193:N195)</f>
        <v>665600</v>
      </c>
      <c r="O196" s="77">
        <f t="shared" si="51"/>
        <v>604691.47</v>
      </c>
      <c r="P196" s="189">
        <f t="shared" si="51"/>
        <v>665600</v>
      </c>
      <c r="Q196" s="189">
        <f t="shared" si="51"/>
        <v>165000</v>
      </c>
      <c r="R196" s="77">
        <f t="shared" si="51"/>
        <v>165000</v>
      </c>
      <c r="S196" s="77">
        <f t="shared" si="51"/>
        <v>0</v>
      </c>
    </row>
    <row r="197" spans="1:30" ht="15.75" customHeight="1" x14ac:dyDescent="0.2">
      <c r="C197" s="287"/>
      <c r="K197" s="287"/>
      <c r="R197" s="83"/>
      <c r="S197" s="83"/>
    </row>
    <row r="198" spans="1:30" ht="15.75" customHeight="1" x14ac:dyDescent="0.25">
      <c r="A198" s="74" t="s">
        <v>620</v>
      </c>
      <c r="B198" s="305"/>
      <c r="C198" s="306"/>
      <c r="D198" s="189">
        <f t="shared" ref="D198:G198" si="52">D190+D196</f>
        <v>1415056</v>
      </c>
      <c r="E198" s="189" t="e">
        <f t="shared" si="52"/>
        <v>#REF!</v>
      </c>
      <c r="F198" s="189" t="e">
        <f t="shared" si="52"/>
        <v>#REF!</v>
      </c>
      <c r="G198" s="189" t="e">
        <f t="shared" si="52"/>
        <v>#REF!</v>
      </c>
      <c r="H198" s="300">
        <f>IFERROR(((Q198-G198)/G198),0)</f>
        <v>0</v>
      </c>
      <c r="I198" s="189" t="e">
        <f>Q198-G198</f>
        <v>#REF!</v>
      </c>
      <c r="J198" s="301">
        <f>J197</f>
        <v>0</v>
      </c>
      <c r="K198" s="306"/>
      <c r="L198" s="77">
        <f t="shared" ref="L198:S198" si="53">L190+L196</f>
        <v>1761691</v>
      </c>
      <c r="M198" s="77">
        <f t="shared" si="53"/>
        <v>5263777.9399999995</v>
      </c>
      <c r="N198" s="77">
        <f t="shared" si="53"/>
        <v>3815030</v>
      </c>
      <c r="O198" s="77">
        <f t="shared" si="53"/>
        <v>3096620.5700000003</v>
      </c>
      <c r="P198" s="189">
        <f t="shared" si="53"/>
        <v>3916458.8583333329</v>
      </c>
      <c r="Q198" s="189">
        <f t="shared" si="53"/>
        <v>3401593</v>
      </c>
      <c r="R198" s="77">
        <f t="shared" si="53"/>
        <v>3401593.24</v>
      </c>
      <c r="S198" s="77">
        <f t="shared" si="53"/>
        <v>-0.23999999999068677</v>
      </c>
    </row>
    <row r="199" spans="1:30" ht="15.75" customHeight="1" x14ac:dyDescent="0.2">
      <c r="C199" s="287"/>
      <c r="K199" s="287"/>
      <c r="R199" s="83"/>
      <c r="S199" s="83"/>
    </row>
    <row r="200" spans="1:30" ht="15.75" customHeight="1" x14ac:dyDescent="0.25">
      <c r="A200" s="69" t="s">
        <v>184</v>
      </c>
      <c r="C200" s="287"/>
      <c r="K200" s="287"/>
      <c r="O200" s="20"/>
      <c r="R200" s="83"/>
      <c r="S200" s="83"/>
    </row>
    <row r="201" spans="1:30" ht="15.75" customHeight="1" x14ac:dyDescent="0.25">
      <c r="A201" s="51" t="s">
        <v>621</v>
      </c>
      <c r="B201" s="51" t="s">
        <v>622</v>
      </c>
      <c r="C201" s="307"/>
      <c r="D201" s="147">
        <v>-2255</v>
      </c>
      <c r="E201" s="160" t="e">
        <f>D201*#REF!</f>
        <v>#REF!</v>
      </c>
      <c r="F201" s="160" t="e">
        <f>D201*#REF!</f>
        <v>#REF!</v>
      </c>
      <c r="G201" s="160" t="e">
        <f>(D201*#REF!)*#REF!</f>
        <v>#REF!</v>
      </c>
      <c r="H201" s="296">
        <f t="shared" ref="H201:H204" si="54">IFERROR(((Q201-G201)/G201),0)</f>
        <v>0</v>
      </c>
      <c r="I201" s="147" t="e">
        <f t="shared" ref="I201:I204" si="55">Q201-G201</f>
        <v>#REF!</v>
      </c>
      <c r="J201" s="97">
        <v>0</v>
      </c>
      <c r="K201" s="307"/>
      <c r="L201" s="54">
        <v>-6310</v>
      </c>
      <c r="M201" s="54">
        <v>-3406.8</v>
      </c>
      <c r="N201" s="54">
        <v>-1500</v>
      </c>
      <c r="O201" s="20">
        <f>VLOOKUP(A201,TB!A:F,3)</f>
        <v>-4669.4799999999996</v>
      </c>
      <c r="P201" s="308">
        <f>O201/9*12</f>
        <v>-6225.9733333333334</v>
      </c>
      <c r="Q201" s="147">
        <v>-3500</v>
      </c>
      <c r="R201" s="233">
        <f>VLOOKUP(A201,TB!A:F,6)</f>
        <v>-3500</v>
      </c>
      <c r="S201" s="233">
        <f t="shared" ref="S201:S203" si="56">Q201-R201</f>
        <v>0</v>
      </c>
    </row>
    <row r="202" spans="1:30" ht="15.75" customHeight="1" x14ac:dyDescent="0.25">
      <c r="A202" s="51" t="s">
        <v>623</v>
      </c>
      <c r="B202" s="51" t="s">
        <v>624</v>
      </c>
      <c r="C202" s="307"/>
      <c r="D202" s="147">
        <v>-44452</v>
      </c>
      <c r="E202" s="160" t="e">
        <f>D202*#REF!</f>
        <v>#REF!</v>
      </c>
      <c r="F202" s="160" t="e">
        <f>D202*#REF!</f>
        <v>#REF!</v>
      </c>
      <c r="G202" s="160" t="e">
        <f>(D202*#REF!)*#REF!</f>
        <v>#REF!</v>
      </c>
      <c r="H202" s="296">
        <f t="shared" si="54"/>
        <v>0</v>
      </c>
      <c r="I202" s="147" t="e">
        <f t="shared" si="55"/>
        <v>#REF!</v>
      </c>
      <c r="J202" s="97">
        <v>0</v>
      </c>
      <c r="K202" s="307"/>
      <c r="L202" s="54">
        <v>-39834</v>
      </c>
      <c r="M202" s="54">
        <v>-44505</v>
      </c>
      <c r="N202" s="54">
        <v>-48900</v>
      </c>
      <c r="O202" s="20">
        <f>VLOOKUP(A202,TB!A:F,3)</f>
        <v>-29910</v>
      </c>
      <c r="P202" s="308">
        <f t="shared" ref="P202:P203" si="57">N202</f>
        <v>-48900</v>
      </c>
      <c r="Q202" s="147">
        <v>-45000</v>
      </c>
      <c r="R202" s="233">
        <f>VLOOKUP(A202,TB!A:F,6)</f>
        <v>-45000</v>
      </c>
      <c r="S202" s="233">
        <f t="shared" si="56"/>
        <v>0</v>
      </c>
    </row>
    <row r="203" spans="1:30" ht="15.75" customHeight="1" x14ac:dyDescent="0.25">
      <c r="A203" s="51" t="s">
        <v>625</v>
      </c>
      <c r="B203" s="51" t="s">
        <v>626</v>
      </c>
      <c r="C203" s="307"/>
      <c r="D203" s="147">
        <v>0</v>
      </c>
      <c r="E203" s="160" t="e">
        <f>D203*#REF!</f>
        <v>#REF!</v>
      </c>
      <c r="F203" s="160" t="e">
        <f>D203*#REF!</f>
        <v>#REF!</v>
      </c>
      <c r="G203" s="160" t="e">
        <f>(D203*#REF!)*#REF!</f>
        <v>#REF!</v>
      </c>
      <c r="H203" s="296">
        <f t="shared" si="54"/>
        <v>0</v>
      </c>
      <c r="I203" s="147" t="e">
        <f t="shared" si="55"/>
        <v>#REF!</v>
      </c>
      <c r="J203" s="97">
        <v>0</v>
      </c>
      <c r="K203" s="307"/>
      <c r="L203" s="54">
        <v>-39444</v>
      </c>
      <c r="M203" s="54">
        <v>-314.04000000000002</v>
      </c>
      <c r="N203" s="54">
        <v>-7000</v>
      </c>
      <c r="O203" s="20">
        <f>VLOOKUP(A203,TB!A:F,3)</f>
        <v>-4917.04</v>
      </c>
      <c r="P203" s="308">
        <f t="shared" si="57"/>
        <v>-7000</v>
      </c>
      <c r="Q203" s="147">
        <v>-5000</v>
      </c>
      <c r="R203" s="233">
        <f>VLOOKUP(A203,TB!A:F,6)</f>
        <v>-5000</v>
      </c>
      <c r="S203" s="233">
        <f t="shared" si="56"/>
        <v>0</v>
      </c>
    </row>
    <row r="204" spans="1:30" ht="15.75" customHeight="1" x14ac:dyDescent="0.2">
      <c r="A204" s="239" t="s">
        <v>189</v>
      </c>
      <c r="B204" s="75"/>
      <c r="C204" s="299"/>
      <c r="D204" s="189">
        <f t="shared" ref="D204:G204" si="58">SUM(D201:D203)</f>
        <v>-46707</v>
      </c>
      <c r="E204" s="189" t="e">
        <f t="shared" si="58"/>
        <v>#REF!</v>
      </c>
      <c r="F204" s="189" t="e">
        <f t="shared" si="58"/>
        <v>#REF!</v>
      </c>
      <c r="G204" s="189" t="e">
        <f t="shared" si="58"/>
        <v>#REF!</v>
      </c>
      <c r="H204" s="300">
        <f t="shared" si="54"/>
        <v>0</v>
      </c>
      <c r="I204" s="189" t="e">
        <f t="shared" si="55"/>
        <v>#REF!</v>
      </c>
      <c r="J204" s="189">
        <v>0</v>
      </c>
      <c r="K204" s="299"/>
      <c r="L204" s="77">
        <f t="shared" ref="L204:S204" si="59">SUM(L201:L203)</f>
        <v>-85588</v>
      </c>
      <c r="M204" s="77">
        <f t="shared" si="59"/>
        <v>-48225.840000000004</v>
      </c>
      <c r="N204" s="77">
        <f t="shared" si="59"/>
        <v>-57400</v>
      </c>
      <c r="O204" s="77">
        <f t="shared" si="59"/>
        <v>-39496.519999999997</v>
      </c>
      <c r="P204" s="189">
        <f t="shared" si="59"/>
        <v>-62125.973333333335</v>
      </c>
      <c r="Q204" s="189">
        <f t="shared" si="59"/>
        <v>-53500</v>
      </c>
      <c r="R204" s="77">
        <f t="shared" si="59"/>
        <v>-53500</v>
      </c>
      <c r="S204" s="77">
        <f t="shared" si="59"/>
        <v>0</v>
      </c>
    </row>
    <row r="205" spans="1:30" ht="15.75" customHeight="1" x14ac:dyDescent="0.2">
      <c r="C205" s="287"/>
      <c r="K205" s="287"/>
      <c r="R205" s="83"/>
      <c r="S205" s="83"/>
    </row>
    <row r="206" spans="1:30" ht="15.75" customHeight="1" x14ac:dyDescent="0.2">
      <c r="A206" s="69" t="s">
        <v>190</v>
      </c>
      <c r="B206" s="51"/>
      <c r="C206" s="309"/>
      <c r="D206" s="193">
        <f t="shared" ref="D206:G206" si="60">D198+D204</f>
        <v>1368349</v>
      </c>
      <c r="E206" s="193" t="e">
        <f t="shared" si="60"/>
        <v>#REF!</v>
      </c>
      <c r="F206" s="193" t="e">
        <f t="shared" si="60"/>
        <v>#REF!</v>
      </c>
      <c r="G206" s="193" t="e">
        <f t="shared" si="60"/>
        <v>#REF!</v>
      </c>
      <c r="H206" s="310">
        <f>IFERROR(((Q206-G206)/G206),0)</f>
        <v>0</v>
      </c>
      <c r="I206" s="193" t="e">
        <f>Q206-G206</f>
        <v>#REF!</v>
      </c>
      <c r="J206" s="193">
        <f>J204+J203</f>
        <v>0</v>
      </c>
      <c r="K206" s="309"/>
      <c r="L206" s="245">
        <f t="shared" ref="L206:S206" si="61">L198+L204</f>
        <v>1676103</v>
      </c>
      <c r="M206" s="245">
        <f t="shared" si="61"/>
        <v>5215552.0999999996</v>
      </c>
      <c r="N206" s="245">
        <f t="shared" si="61"/>
        <v>3757630</v>
      </c>
      <c r="O206" s="245">
        <f t="shared" si="61"/>
        <v>3057124.0500000003</v>
      </c>
      <c r="P206" s="193">
        <f t="shared" si="61"/>
        <v>3854332.8849999998</v>
      </c>
      <c r="Q206" s="193">
        <f t="shared" si="61"/>
        <v>3348093</v>
      </c>
      <c r="R206" s="245">
        <f t="shared" si="61"/>
        <v>3348093.24</v>
      </c>
      <c r="S206" s="245">
        <f t="shared" si="61"/>
        <v>-0.23999999999068677</v>
      </c>
      <c r="W206" s="56"/>
      <c r="X206" s="56"/>
      <c r="Y206" s="56"/>
      <c r="Z206" s="56"/>
      <c r="AA206" s="56"/>
      <c r="AB206" s="56"/>
      <c r="AC206" s="56"/>
      <c r="AD206" s="56"/>
    </row>
    <row r="207" spans="1:30" ht="15.75" customHeight="1" x14ac:dyDescent="0.2">
      <c r="C207" s="287"/>
      <c r="K207" s="287"/>
    </row>
    <row r="208" spans="1:30" ht="15.75" customHeight="1" x14ac:dyDescent="0.2">
      <c r="C208" s="287"/>
      <c r="K208" s="287"/>
    </row>
    <row r="209" spans="3:18" ht="15.75" customHeight="1" x14ac:dyDescent="0.2">
      <c r="C209" s="288"/>
      <c r="K209" s="288"/>
      <c r="L209" s="199" t="e">
        <f t="shared" ref="L209:R209" si="62">#REF!</f>
        <v>#REF!</v>
      </c>
      <c r="M209" s="199" t="e">
        <f t="shared" si="62"/>
        <v>#REF!</v>
      </c>
      <c r="N209" s="199" t="e">
        <f t="shared" si="62"/>
        <v>#REF!</v>
      </c>
      <c r="O209" s="199" t="e">
        <f t="shared" si="62"/>
        <v>#REF!</v>
      </c>
      <c r="P209" s="199" t="e">
        <f t="shared" si="62"/>
        <v>#REF!</v>
      </c>
      <c r="Q209" s="199" t="e">
        <f t="shared" si="62"/>
        <v>#REF!</v>
      </c>
      <c r="R209" s="173" t="e">
        <f t="shared" si="62"/>
        <v>#REF!</v>
      </c>
    </row>
    <row r="210" spans="3:18" ht="15.75" customHeight="1" x14ac:dyDescent="0.2">
      <c r="C210" s="289"/>
      <c r="K210" s="289"/>
      <c r="L210" s="290">
        <f t="shared" ref="L210:R210" si="63">L206</f>
        <v>1676103</v>
      </c>
      <c r="M210" s="290">
        <f t="shared" si="63"/>
        <v>5215552.0999999996</v>
      </c>
      <c r="N210" s="290">
        <f t="shared" si="63"/>
        <v>3757630</v>
      </c>
      <c r="O210" s="290">
        <f t="shared" si="63"/>
        <v>3057124.0500000003</v>
      </c>
      <c r="P210" s="290">
        <f t="shared" si="63"/>
        <v>3854332.8849999998</v>
      </c>
      <c r="Q210" s="290">
        <f t="shared" si="63"/>
        <v>3348093</v>
      </c>
      <c r="R210" s="291">
        <f t="shared" si="63"/>
        <v>3348093.24</v>
      </c>
    </row>
    <row r="211" spans="3:18" ht="15.75" customHeight="1" x14ac:dyDescent="0.2">
      <c r="C211" s="287"/>
      <c r="K211" s="287"/>
    </row>
    <row r="212" spans="3:18" ht="15.75" customHeight="1" x14ac:dyDescent="0.2">
      <c r="C212" s="287"/>
      <c r="K212" s="287"/>
    </row>
    <row r="213" spans="3:18" ht="15.75" customHeight="1" x14ac:dyDescent="0.2">
      <c r="C213" s="287"/>
      <c r="K213" s="287"/>
    </row>
    <row r="214" spans="3:18" ht="15.75" customHeight="1" x14ac:dyDescent="0.2">
      <c r="C214" s="287"/>
      <c r="K214" s="287"/>
    </row>
    <row r="215" spans="3:18" ht="15.75" customHeight="1" x14ac:dyDescent="0.2">
      <c r="C215" s="287"/>
      <c r="K215" s="287"/>
    </row>
    <row r="216" spans="3:18" ht="15.75" customHeight="1" x14ac:dyDescent="0.2">
      <c r="C216" s="287"/>
      <c r="K216" s="287"/>
    </row>
    <row r="217" spans="3:18" ht="15.75" customHeight="1" x14ac:dyDescent="0.2">
      <c r="C217" s="287"/>
      <c r="K217" s="287"/>
    </row>
    <row r="218" spans="3:18" ht="15.75" customHeight="1" x14ac:dyDescent="0.2">
      <c r="C218" s="287"/>
      <c r="K218" s="287"/>
    </row>
    <row r="219" spans="3:18" ht="15.75" customHeight="1" x14ac:dyDescent="0.2">
      <c r="C219" s="287"/>
      <c r="K219" s="287"/>
    </row>
    <row r="220" spans="3:18" ht="15.75" customHeight="1" x14ac:dyDescent="0.2">
      <c r="C220" s="287"/>
      <c r="K220" s="287"/>
    </row>
    <row r="221" spans="3:18" ht="15.75" customHeight="1" x14ac:dyDescent="0.2">
      <c r="C221" s="287"/>
      <c r="K221" s="287"/>
    </row>
    <row r="222" spans="3:18" ht="15.75" customHeight="1" x14ac:dyDescent="0.2">
      <c r="C222" s="287"/>
      <c r="K222" s="287"/>
    </row>
    <row r="223" spans="3:18" ht="15.75" customHeight="1" x14ac:dyDescent="0.2">
      <c r="C223" s="287"/>
      <c r="K223" s="287"/>
    </row>
    <row r="224" spans="3:18" ht="15.75" customHeight="1" x14ac:dyDescent="0.2">
      <c r="C224" s="287"/>
      <c r="K224" s="287"/>
    </row>
    <row r="225" spans="3:11" ht="15.75" customHeight="1" x14ac:dyDescent="0.2">
      <c r="C225" s="287"/>
      <c r="K225" s="287"/>
    </row>
    <row r="226" spans="3:11" ht="15.75" customHeight="1" x14ac:dyDescent="0.2">
      <c r="C226" s="287"/>
      <c r="K226" s="287"/>
    </row>
    <row r="227" spans="3:11" ht="15.75" customHeight="1" x14ac:dyDescent="0.2">
      <c r="C227" s="287"/>
      <c r="K227" s="287"/>
    </row>
    <row r="228" spans="3:11" ht="15.75" customHeight="1" x14ac:dyDescent="0.2">
      <c r="C228" s="287"/>
      <c r="K228" s="287"/>
    </row>
    <row r="229" spans="3:11" ht="15.75" customHeight="1" x14ac:dyDescent="0.2">
      <c r="C229" s="287"/>
      <c r="K229" s="287"/>
    </row>
    <row r="230" spans="3:11" ht="15.75" customHeight="1" x14ac:dyDescent="0.2">
      <c r="C230" s="287"/>
      <c r="K230" s="287"/>
    </row>
    <row r="231" spans="3:11" ht="15.75" customHeight="1" x14ac:dyDescent="0.2">
      <c r="C231" s="287"/>
      <c r="K231" s="287"/>
    </row>
    <row r="232" spans="3:11" ht="15.75" customHeight="1" x14ac:dyDescent="0.2">
      <c r="C232" s="287"/>
      <c r="K232" s="287"/>
    </row>
    <row r="233" spans="3:11" ht="15.75" customHeight="1" x14ac:dyDescent="0.2">
      <c r="C233" s="287"/>
      <c r="K233" s="287"/>
    </row>
    <row r="234" spans="3:11" ht="15.75" customHeight="1" x14ac:dyDescent="0.2">
      <c r="C234" s="287"/>
      <c r="K234" s="287"/>
    </row>
    <row r="235" spans="3:11" ht="15.75" customHeight="1" x14ac:dyDescent="0.2">
      <c r="C235" s="287"/>
      <c r="K235" s="287"/>
    </row>
    <row r="236" spans="3:11" ht="15.75" customHeight="1" x14ac:dyDescent="0.2">
      <c r="C236" s="287"/>
      <c r="K236" s="287"/>
    </row>
    <row r="237" spans="3:11" ht="15.75" customHeight="1" x14ac:dyDescent="0.2">
      <c r="C237" s="287"/>
      <c r="K237" s="287"/>
    </row>
    <row r="238" spans="3:11" ht="15.75" customHeight="1" x14ac:dyDescent="0.2">
      <c r="C238" s="287"/>
      <c r="K238" s="287"/>
    </row>
    <row r="239" spans="3:11" ht="15.75" customHeight="1" x14ac:dyDescent="0.2">
      <c r="C239" s="287"/>
      <c r="K239" s="287"/>
    </row>
    <row r="240" spans="3:11" ht="15.75" customHeight="1" x14ac:dyDescent="0.2">
      <c r="C240" s="287"/>
      <c r="K240" s="287"/>
    </row>
    <row r="241" spans="3:11" ht="15.75" customHeight="1" x14ac:dyDescent="0.2">
      <c r="C241" s="287"/>
      <c r="K241" s="287"/>
    </row>
    <row r="242" spans="3:11" ht="15.75" customHeight="1" x14ac:dyDescent="0.2">
      <c r="C242" s="287"/>
      <c r="K242" s="287"/>
    </row>
    <row r="243" spans="3:11" ht="15.75" customHeight="1" x14ac:dyDescent="0.2">
      <c r="C243" s="287"/>
      <c r="K243" s="287"/>
    </row>
    <row r="244" spans="3:11" ht="15.75" customHeight="1" x14ac:dyDescent="0.2">
      <c r="C244" s="287"/>
      <c r="K244" s="287"/>
    </row>
    <row r="245" spans="3:11" ht="15.75" customHeight="1" x14ac:dyDescent="0.2">
      <c r="C245" s="287"/>
      <c r="K245" s="287"/>
    </row>
    <row r="246" spans="3:11" ht="15.75" customHeight="1" x14ac:dyDescent="0.2">
      <c r="C246" s="287"/>
      <c r="K246" s="287"/>
    </row>
    <row r="247" spans="3:11" ht="15.75" customHeight="1" x14ac:dyDescent="0.2">
      <c r="C247" s="287"/>
      <c r="K247" s="287"/>
    </row>
    <row r="248" spans="3:11" ht="15.75" customHeight="1" x14ac:dyDescent="0.2">
      <c r="C248" s="287"/>
      <c r="K248" s="287"/>
    </row>
    <row r="249" spans="3:11" ht="15.75" customHeight="1" x14ac:dyDescent="0.2">
      <c r="C249" s="287"/>
      <c r="K249" s="287"/>
    </row>
    <row r="250" spans="3:11" ht="15.75" customHeight="1" x14ac:dyDescent="0.2">
      <c r="C250" s="287"/>
      <c r="K250" s="287"/>
    </row>
    <row r="251" spans="3:11" ht="15.75" customHeight="1" x14ac:dyDescent="0.2">
      <c r="C251" s="287"/>
      <c r="K251" s="287"/>
    </row>
    <row r="252" spans="3:11" ht="15.75" customHeight="1" x14ac:dyDescent="0.2">
      <c r="C252" s="287"/>
      <c r="K252" s="287"/>
    </row>
    <row r="253" spans="3:11" ht="15.75" customHeight="1" x14ac:dyDescent="0.2">
      <c r="C253" s="287"/>
      <c r="K253" s="287"/>
    </row>
    <row r="254" spans="3:11" ht="15.75" customHeight="1" x14ac:dyDescent="0.2">
      <c r="C254" s="287"/>
      <c r="K254" s="287"/>
    </row>
    <row r="255" spans="3:11" ht="15.75" customHeight="1" x14ac:dyDescent="0.2">
      <c r="C255" s="287"/>
      <c r="K255" s="287"/>
    </row>
    <row r="256" spans="3:11" ht="15.75" customHeight="1" x14ac:dyDescent="0.2">
      <c r="C256" s="287"/>
      <c r="K256" s="287"/>
    </row>
    <row r="257" spans="1:19" ht="15.75" customHeight="1" x14ac:dyDescent="0.2">
      <c r="C257" s="287"/>
      <c r="K257" s="287"/>
    </row>
    <row r="258" spans="1:19" ht="15.75" customHeight="1" x14ac:dyDescent="0.2">
      <c r="C258" s="287"/>
      <c r="K258" s="287"/>
    </row>
    <row r="259" spans="1:19" ht="15.75" customHeight="1" x14ac:dyDescent="0.2">
      <c r="C259" s="287"/>
      <c r="K259" s="287"/>
    </row>
    <row r="260" spans="1:19" ht="15.75" customHeight="1" x14ac:dyDescent="0.2">
      <c r="C260" s="287"/>
      <c r="K260" s="287"/>
    </row>
    <row r="261" spans="1:19" ht="15.75" customHeight="1" x14ac:dyDescent="0.2">
      <c r="C261" s="287"/>
      <c r="K261" s="287"/>
    </row>
    <row r="262" spans="1:19" ht="15.75" customHeight="1" x14ac:dyDescent="0.2">
      <c r="C262" s="287"/>
      <c r="K262" s="287"/>
    </row>
    <row r="263" spans="1:19" ht="15.75" customHeight="1" x14ac:dyDescent="0.2">
      <c r="C263" s="287"/>
      <c r="K263" s="287"/>
    </row>
    <row r="264" spans="1:19" ht="15.75" customHeight="1" x14ac:dyDescent="0.2">
      <c r="C264" s="287"/>
      <c r="K264" s="287"/>
    </row>
    <row r="265" spans="1:19" ht="15.75" customHeight="1" x14ac:dyDescent="0.2">
      <c r="A265" s="3" t="s">
        <v>50</v>
      </c>
      <c r="B265" s="3" t="s">
        <v>51</v>
      </c>
      <c r="C265" s="292"/>
      <c r="D265" s="99" t="s">
        <v>52</v>
      </c>
      <c r="E265" s="100" t="s">
        <v>53</v>
      </c>
      <c r="F265" s="100" t="s">
        <v>54</v>
      </c>
      <c r="G265" s="100" t="s">
        <v>55</v>
      </c>
      <c r="H265" s="24" t="s">
        <v>56</v>
      </c>
      <c r="I265" s="24" t="s">
        <v>57</v>
      </c>
      <c r="J265" s="101" t="s">
        <v>58</v>
      </c>
      <c r="K265" s="292"/>
      <c r="L265" s="3" t="s">
        <v>59</v>
      </c>
      <c r="M265" s="3" t="s">
        <v>60</v>
      </c>
      <c r="N265" s="3" t="s">
        <v>61</v>
      </c>
      <c r="O265" s="3" t="s">
        <v>62</v>
      </c>
      <c r="P265" s="293" t="s">
        <v>541</v>
      </c>
      <c r="Q265" s="293" t="s">
        <v>64</v>
      </c>
      <c r="R265" s="293" t="s">
        <v>65</v>
      </c>
      <c r="S265" s="293" t="s">
        <v>586</v>
      </c>
    </row>
    <row r="266" spans="1:19" ht="15.75" customHeight="1" x14ac:dyDescent="0.25">
      <c r="A266" s="565" t="s">
        <v>627</v>
      </c>
      <c r="B266" s="566"/>
      <c r="C266" s="566"/>
      <c r="D266" s="566"/>
      <c r="E266" s="66"/>
      <c r="F266" s="66"/>
      <c r="G266" s="66"/>
      <c r="H266" s="234"/>
      <c r="L266" s="65"/>
      <c r="M266" s="165"/>
      <c r="N266" s="65"/>
      <c r="O266" s="165"/>
      <c r="P266" s="65"/>
      <c r="Q266" s="65"/>
      <c r="R266" s="65"/>
      <c r="S266" s="65"/>
    </row>
    <row r="267" spans="1:19" ht="15.75" customHeight="1" x14ac:dyDescent="0.25">
      <c r="A267" s="66" t="s">
        <v>628</v>
      </c>
      <c r="B267" s="66" t="s">
        <v>74</v>
      </c>
      <c r="C267" s="295"/>
      <c r="D267" s="160">
        <v>2530</v>
      </c>
      <c r="E267" s="160" t="e">
        <f>D267*#REF!</f>
        <v>#REF!</v>
      </c>
      <c r="F267" s="160" t="e">
        <f>D267*#REF!</f>
        <v>#REF!</v>
      </c>
      <c r="G267" s="160" t="e">
        <f>(D267*#REF!)*#REF!</f>
        <v>#REF!</v>
      </c>
      <c r="H267" s="296">
        <f t="shared" ref="H267:H281" si="64">IFERROR(((Q267-G267)/G267),0)</f>
        <v>0</v>
      </c>
      <c r="I267" s="147" t="e">
        <f t="shared" ref="I267:I281" si="65">Q267-G267</f>
        <v>#REF!</v>
      </c>
      <c r="J267" s="97">
        <v>0</v>
      </c>
      <c r="K267" s="295"/>
      <c r="L267" s="20">
        <v>2227</v>
      </c>
      <c r="M267" s="302">
        <v>5042.45</v>
      </c>
      <c r="N267" s="20">
        <v>5600</v>
      </c>
      <c r="O267" s="20">
        <f>VLOOKUP(A267,TB!A:F,3)</f>
        <v>787.14</v>
      </c>
      <c r="P267" s="163">
        <f>N267</f>
        <v>5600</v>
      </c>
      <c r="Q267" s="160">
        <v>6000</v>
      </c>
      <c r="R267" s="233">
        <f>VLOOKUP(A267,TB!A:F,6)</f>
        <v>6000</v>
      </c>
      <c r="S267" s="233">
        <f t="shared" ref="S267:S280" si="66">Q267-R267</f>
        <v>0</v>
      </c>
    </row>
    <row r="268" spans="1:19" ht="15.75" customHeight="1" x14ac:dyDescent="0.25">
      <c r="A268" s="66" t="s">
        <v>629</v>
      </c>
      <c r="B268" s="66" t="s">
        <v>76</v>
      </c>
      <c r="C268" s="295"/>
      <c r="D268" s="160">
        <v>3984</v>
      </c>
      <c r="E268" s="160" t="e">
        <f>D268*#REF!</f>
        <v>#REF!</v>
      </c>
      <c r="F268" s="160" t="e">
        <f>D268*#REF!</f>
        <v>#REF!</v>
      </c>
      <c r="G268" s="160" t="e">
        <f>(D268*#REF!)*#REF!</f>
        <v>#REF!</v>
      </c>
      <c r="H268" s="296">
        <f t="shared" si="64"/>
        <v>0</v>
      </c>
      <c r="I268" s="147" t="e">
        <f t="shared" si="65"/>
        <v>#REF!</v>
      </c>
      <c r="J268" s="97">
        <v>0</v>
      </c>
      <c r="K268" s="295"/>
      <c r="L268" s="20">
        <v>1665</v>
      </c>
      <c r="M268" s="302">
        <v>1414.74</v>
      </c>
      <c r="N268" s="20">
        <v>6000</v>
      </c>
      <c r="O268" s="20">
        <f>VLOOKUP(A268,TB!A:F,3)</f>
        <v>4536.21</v>
      </c>
      <c r="P268" s="160">
        <f>O268/9*12</f>
        <v>6048.28</v>
      </c>
      <c r="Q268" s="160">
        <v>6000</v>
      </c>
      <c r="R268" s="233">
        <f>VLOOKUP(A268,TB!A:F,6)</f>
        <v>6000</v>
      </c>
      <c r="S268" s="233">
        <f t="shared" si="66"/>
        <v>0</v>
      </c>
    </row>
    <row r="269" spans="1:19" ht="15.75" customHeight="1" x14ac:dyDescent="0.25">
      <c r="A269" s="66" t="s">
        <v>630</v>
      </c>
      <c r="B269" s="66" t="s">
        <v>80</v>
      </c>
      <c r="C269" s="295"/>
      <c r="D269" s="160">
        <v>130</v>
      </c>
      <c r="E269" s="160" t="e">
        <f>D269*#REF!</f>
        <v>#REF!</v>
      </c>
      <c r="F269" s="160" t="e">
        <f>D269*#REF!</f>
        <v>#REF!</v>
      </c>
      <c r="G269" s="160" t="e">
        <f>(D269*#REF!)*#REF!</f>
        <v>#REF!</v>
      </c>
      <c r="H269" s="296">
        <f t="shared" si="64"/>
        <v>0</v>
      </c>
      <c r="I269" s="147" t="e">
        <f t="shared" si="65"/>
        <v>#REF!</v>
      </c>
      <c r="J269" s="97">
        <v>0</v>
      </c>
      <c r="K269" s="295"/>
      <c r="L269" s="20">
        <v>50</v>
      </c>
      <c r="M269" s="302">
        <v>0</v>
      </c>
      <c r="N269" s="20">
        <v>500</v>
      </c>
      <c r="O269" s="20">
        <f>VLOOKUP(A269,TB!A:F,3)</f>
        <v>0</v>
      </c>
      <c r="P269" s="163">
        <f t="shared" ref="P269:P271" si="67">N269</f>
        <v>500</v>
      </c>
      <c r="Q269" s="160">
        <v>750</v>
      </c>
      <c r="R269" s="233">
        <f>VLOOKUP(A269,TB!A:F,6)</f>
        <v>750</v>
      </c>
      <c r="S269" s="233">
        <f t="shared" si="66"/>
        <v>0</v>
      </c>
    </row>
    <row r="270" spans="1:19" ht="15.75" customHeight="1" x14ac:dyDescent="0.25">
      <c r="A270" s="66" t="s">
        <v>631</v>
      </c>
      <c r="B270" s="66" t="s">
        <v>82</v>
      </c>
      <c r="C270" s="295"/>
      <c r="D270" s="160">
        <v>14690</v>
      </c>
      <c r="E270" s="160" t="e">
        <f>D270*#REF!</f>
        <v>#REF!</v>
      </c>
      <c r="F270" s="160" t="e">
        <f>D270*#REF!</f>
        <v>#REF!</v>
      </c>
      <c r="G270" s="160" t="e">
        <f>(D270*#REF!)*#REF!</f>
        <v>#REF!</v>
      </c>
      <c r="H270" s="296">
        <f t="shared" si="64"/>
        <v>0</v>
      </c>
      <c r="I270" s="147" t="e">
        <f t="shared" si="65"/>
        <v>#REF!</v>
      </c>
      <c r="J270" s="97">
        <v>0</v>
      </c>
      <c r="K270" s="295"/>
      <c r="L270" s="20">
        <v>11176</v>
      </c>
      <c r="M270" s="302">
        <v>11334.28</v>
      </c>
      <c r="N270" s="20">
        <v>12000</v>
      </c>
      <c r="O270" s="20">
        <f>VLOOKUP(A270,TB!A:F,3)</f>
        <v>9370.16</v>
      </c>
      <c r="P270" s="163">
        <f t="shared" si="67"/>
        <v>12000</v>
      </c>
      <c r="Q270" s="160">
        <v>14000</v>
      </c>
      <c r="R270" s="233">
        <f>VLOOKUP(A270,TB!A:F,6)</f>
        <v>14000</v>
      </c>
      <c r="S270" s="233">
        <f t="shared" si="66"/>
        <v>0</v>
      </c>
    </row>
    <row r="271" spans="1:19" ht="15.75" customHeight="1" x14ac:dyDescent="0.25">
      <c r="A271" s="66" t="s">
        <v>632</v>
      </c>
      <c r="B271" s="66" t="s">
        <v>115</v>
      </c>
      <c r="C271" s="295"/>
      <c r="D271" s="160">
        <v>17515</v>
      </c>
      <c r="E271" s="160" t="e">
        <f>D271*#REF!</f>
        <v>#REF!</v>
      </c>
      <c r="F271" s="160" t="e">
        <f>D271*#REF!</f>
        <v>#REF!</v>
      </c>
      <c r="G271" s="160" t="e">
        <f>(D271*#REF!)*#REF!</f>
        <v>#REF!</v>
      </c>
      <c r="H271" s="296">
        <f t="shared" si="64"/>
        <v>0</v>
      </c>
      <c r="I271" s="147" t="e">
        <f t="shared" si="65"/>
        <v>#REF!</v>
      </c>
      <c r="J271" s="97">
        <v>0</v>
      </c>
      <c r="K271" s="295"/>
      <c r="L271" s="20">
        <v>22416</v>
      </c>
      <c r="M271" s="302">
        <v>22594.26</v>
      </c>
      <c r="N271" s="20">
        <v>30500</v>
      </c>
      <c r="O271" s="20">
        <f>VLOOKUP(A271,TB!A:F,3)</f>
        <v>9211.3799999999992</v>
      </c>
      <c r="P271" s="163">
        <f t="shared" si="67"/>
        <v>30500</v>
      </c>
      <c r="Q271" s="160">
        <v>29000</v>
      </c>
      <c r="R271" s="233">
        <f>VLOOKUP(A271,TB!A:F,6)</f>
        <v>29000</v>
      </c>
      <c r="S271" s="233">
        <f t="shared" si="66"/>
        <v>0</v>
      </c>
    </row>
    <row r="272" spans="1:19" ht="15.75" customHeight="1" x14ac:dyDescent="0.25">
      <c r="A272" s="66" t="s">
        <v>633</v>
      </c>
      <c r="B272" s="66" t="s">
        <v>277</v>
      </c>
      <c r="C272" s="295"/>
      <c r="D272" s="160">
        <v>0</v>
      </c>
      <c r="E272" s="160" t="e">
        <f>D272*#REF!</f>
        <v>#REF!</v>
      </c>
      <c r="F272" s="160" t="e">
        <f>D272*#REF!</f>
        <v>#REF!</v>
      </c>
      <c r="G272" s="160" t="e">
        <f>(D272*#REF!)*#REF!</f>
        <v>#REF!</v>
      </c>
      <c r="H272" s="296">
        <f t="shared" si="64"/>
        <v>0</v>
      </c>
      <c r="I272" s="147" t="e">
        <f t="shared" si="65"/>
        <v>#REF!</v>
      </c>
      <c r="J272" s="97">
        <v>0</v>
      </c>
      <c r="K272" s="295"/>
      <c r="L272" s="20">
        <v>10350</v>
      </c>
      <c r="M272" s="302">
        <v>0</v>
      </c>
      <c r="N272" s="20">
        <v>0</v>
      </c>
      <c r="O272" s="20">
        <f>VLOOKUP(A272,TB!A:F,3)</f>
        <v>0</v>
      </c>
      <c r="P272" s="160">
        <f>O272/9*12</f>
        <v>0</v>
      </c>
      <c r="Q272" s="160">
        <v>0</v>
      </c>
      <c r="R272" s="233">
        <f>VLOOKUP(A272,TB!A:F,6)</f>
        <v>0</v>
      </c>
      <c r="S272" s="233">
        <f t="shared" si="66"/>
        <v>0</v>
      </c>
    </row>
    <row r="273" spans="1:19" ht="15.75" customHeight="1" x14ac:dyDescent="0.25">
      <c r="A273" s="66" t="s">
        <v>634</v>
      </c>
      <c r="B273" s="66" t="s">
        <v>84</v>
      </c>
      <c r="C273" s="295"/>
      <c r="D273" s="160">
        <v>0</v>
      </c>
      <c r="E273" s="160" t="e">
        <f>D273*#REF!</f>
        <v>#REF!</v>
      </c>
      <c r="F273" s="160" t="e">
        <f>D273*#REF!</f>
        <v>#REF!</v>
      </c>
      <c r="G273" s="160" t="e">
        <f>(D273*#REF!)*#REF!</f>
        <v>#REF!</v>
      </c>
      <c r="H273" s="296">
        <f t="shared" si="64"/>
        <v>0</v>
      </c>
      <c r="I273" s="147" t="e">
        <f t="shared" si="65"/>
        <v>#REF!</v>
      </c>
      <c r="J273" s="97">
        <v>0</v>
      </c>
      <c r="K273" s="295"/>
      <c r="L273" s="20">
        <v>35</v>
      </c>
      <c r="M273" s="302">
        <v>568.51</v>
      </c>
      <c r="N273" s="20">
        <v>2500</v>
      </c>
      <c r="O273" s="20">
        <f>VLOOKUP(A273,TB!A:F,3)</f>
        <v>305.73</v>
      </c>
      <c r="P273" s="163">
        <f t="shared" ref="P273:P277" si="68">N273</f>
        <v>2500</v>
      </c>
      <c r="Q273" s="160">
        <v>0</v>
      </c>
      <c r="R273" s="233">
        <f>VLOOKUP(A273,TB!A:F,6)</f>
        <v>0</v>
      </c>
      <c r="S273" s="233">
        <f t="shared" si="66"/>
        <v>0</v>
      </c>
    </row>
    <row r="274" spans="1:19" ht="15.75" customHeight="1" x14ac:dyDescent="0.25">
      <c r="A274" s="66" t="s">
        <v>635</v>
      </c>
      <c r="B274" s="66" t="s">
        <v>90</v>
      </c>
      <c r="C274" s="295"/>
      <c r="D274" s="160">
        <v>10670</v>
      </c>
      <c r="E274" s="160" t="e">
        <f>D274*#REF!</f>
        <v>#REF!</v>
      </c>
      <c r="F274" s="160" t="e">
        <f>D274*#REF!</f>
        <v>#REF!</v>
      </c>
      <c r="G274" s="160" t="e">
        <f>(D274*#REF!)*#REF!</f>
        <v>#REF!</v>
      </c>
      <c r="H274" s="296">
        <f t="shared" si="64"/>
        <v>0</v>
      </c>
      <c r="I274" s="147" t="e">
        <f t="shared" si="65"/>
        <v>#REF!</v>
      </c>
      <c r="J274" s="97">
        <v>0</v>
      </c>
      <c r="K274" s="295"/>
      <c r="L274" s="20">
        <v>10057</v>
      </c>
      <c r="M274" s="302">
        <v>7032.01</v>
      </c>
      <c r="N274" s="20">
        <v>10000</v>
      </c>
      <c r="O274" s="20">
        <f>VLOOKUP(A274,TB!A:F,3)</f>
        <v>3775.36</v>
      </c>
      <c r="P274" s="163">
        <f t="shared" si="68"/>
        <v>10000</v>
      </c>
      <c r="Q274" s="160">
        <v>12000</v>
      </c>
      <c r="R274" s="233">
        <f>VLOOKUP(A274,TB!A:F,6)</f>
        <v>12000</v>
      </c>
      <c r="S274" s="233">
        <f t="shared" si="66"/>
        <v>0</v>
      </c>
    </row>
    <row r="275" spans="1:19" ht="15.75" customHeight="1" x14ac:dyDescent="0.25">
      <c r="A275" s="66" t="s">
        <v>636</v>
      </c>
      <c r="B275" s="66" t="s">
        <v>252</v>
      </c>
      <c r="C275" s="295"/>
      <c r="D275" s="160">
        <v>3813</v>
      </c>
      <c r="E275" s="160" t="e">
        <f>D275*#REF!</f>
        <v>#REF!</v>
      </c>
      <c r="F275" s="160" t="e">
        <f>D275*#REF!</f>
        <v>#REF!</v>
      </c>
      <c r="G275" s="160" t="e">
        <f>(D275*#REF!)*#REF!</f>
        <v>#REF!</v>
      </c>
      <c r="H275" s="296">
        <f t="shared" si="64"/>
        <v>0</v>
      </c>
      <c r="I275" s="147" t="e">
        <f t="shared" si="65"/>
        <v>#REF!</v>
      </c>
      <c r="J275" s="97">
        <v>0</v>
      </c>
      <c r="K275" s="295"/>
      <c r="L275" s="20">
        <v>5230</v>
      </c>
      <c r="M275" s="302">
        <v>5161.68</v>
      </c>
      <c r="N275" s="20">
        <v>5500</v>
      </c>
      <c r="O275" s="20">
        <f>VLOOKUP(A275,TB!A:F,3)</f>
        <v>1388.31</v>
      </c>
      <c r="P275" s="163">
        <f t="shared" si="68"/>
        <v>5500</v>
      </c>
      <c r="Q275" s="160">
        <v>5500</v>
      </c>
      <c r="R275" s="233">
        <f>VLOOKUP(A275,TB!A:F,6)</f>
        <v>5500</v>
      </c>
      <c r="S275" s="233">
        <f t="shared" si="66"/>
        <v>0</v>
      </c>
    </row>
    <row r="276" spans="1:19" ht="15.75" customHeight="1" x14ac:dyDescent="0.25">
      <c r="A276" s="66" t="s">
        <v>637</v>
      </c>
      <c r="B276" s="66" t="s">
        <v>638</v>
      </c>
      <c r="C276" s="295"/>
      <c r="D276" s="160">
        <v>0</v>
      </c>
      <c r="E276" s="160" t="e">
        <f>D276*#REF!</f>
        <v>#REF!</v>
      </c>
      <c r="F276" s="160" t="e">
        <f>D276*#REF!</f>
        <v>#REF!</v>
      </c>
      <c r="G276" s="160" t="e">
        <f>(D276*#REF!)*#REF!</f>
        <v>#REF!</v>
      </c>
      <c r="H276" s="296">
        <f t="shared" si="64"/>
        <v>0</v>
      </c>
      <c r="I276" s="147" t="e">
        <f t="shared" si="65"/>
        <v>#REF!</v>
      </c>
      <c r="J276" s="97">
        <v>0</v>
      </c>
      <c r="K276" s="295"/>
      <c r="L276" s="20">
        <v>0</v>
      </c>
      <c r="M276" s="302">
        <v>116.32</v>
      </c>
      <c r="N276" s="20">
        <v>1000</v>
      </c>
      <c r="O276" s="20">
        <f>VLOOKUP(A276,TB!A:F,3)</f>
        <v>0</v>
      </c>
      <c r="P276" s="163">
        <f t="shared" si="68"/>
        <v>1000</v>
      </c>
      <c r="Q276" s="160">
        <v>0</v>
      </c>
      <c r="R276" s="233">
        <f>VLOOKUP(A276,TB!A:F,6)</f>
        <v>0</v>
      </c>
      <c r="S276" s="233">
        <f t="shared" si="66"/>
        <v>0</v>
      </c>
    </row>
    <row r="277" spans="1:19" ht="15.75" customHeight="1" x14ac:dyDescent="0.25">
      <c r="A277" s="66" t="s">
        <v>639</v>
      </c>
      <c r="B277" s="66" t="s">
        <v>502</v>
      </c>
      <c r="C277" s="295"/>
      <c r="D277" s="160">
        <v>2886</v>
      </c>
      <c r="E277" s="160" t="e">
        <f>D277*#REF!</f>
        <v>#REF!</v>
      </c>
      <c r="F277" s="160" t="e">
        <f>D277*#REF!</f>
        <v>#REF!</v>
      </c>
      <c r="G277" s="160" t="e">
        <f>(D277*#REF!)*#REF!</f>
        <v>#REF!</v>
      </c>
      <c r="H277" s="296">
        <f t="shared" si="64"/>
        <v>0</v>
      </c>
      <c r="I277" s="147" t="e">
        <f t="shared" si="65"/>
        <v>#REF!</v>
      </c>
      <c r="J277" s="97">
        <v>0</v>
      </c>
      <c r="K277" s="295"/>
      <c r="L277" s="20">
        <v>2848</v>
      </c>
      <c r="M277" s="302">
        <v>7315.13</v>
      </c>
      <c r="N277" s="20">
        <v>3500</v>
      </c>
      <c r="O277" s="20">
        <f>VLOOKUP(A277,TB!A:F,3)</f>
        <v>285.8</v>
      </c>
      <c r="P277" s="163">
        <f t="shared" si="68"/>
        <v>3500</v>
      </c>
      <c r="Q277" s="160">
        <v>3500</v>
      </c>
      <c r="R277" s="233">
        <f>VLOOKUP(A277,TB!A:F,6)</f>
        <v>3500</v>
      </c>
      <c r="S277" s="233">
        <f t="shared" si="66"/>
        <v>0</v>
      </c>
    </row>
    <row r="278" spans="1:19" ht="15.75" customHeight="1" x14ac:dyDescent="0.25">
      <c r="A278" s="66" t="s">
        <v>640</v>
      </c>
      <c r="B278" s="66" t="s">
        <v>92</v>
      </c>
      <c r="C278" s="295"/>
      <c r="D278" s="160">
        <v>0</v>
      </c>
      <c r="E278" s="160" t="e">
        <f>D278*#REF!</f>
        <v>#REF!</v>
      </c>
      <c r="F278" s="160" t="e">
        <f>D278*#REF!</f>
        <v>#REF!</v>
      </c>
      <c r="G278" s="160" t="e">
        <f>(D278*#REF!)*#REF!</f>
        <v>#REF!</v>
      </c>
      <c r="H278" s="296">
        <f t="shared" si="64"/>
        <v>0</v>
      </c>
      <c r="I278" s="147" t="e">
        <f t="shared" si="65"/>
        <v>#REF!</v>
      </c>
      <c r="J278" s="97">
        <v>0</v>
      </c>
      <c r="K278" s="295"/>
      <c r="L278" s="20">
        <v>3949</v>
      </c>
      <c r="M278" s="302">
        <v>0</v>
      </c>
      <c r="N278" s="20">
        <v>0</v>
      </c>
      <c r="O278" s="20">
        <f>VLOOKUP(A278,TB!A:F,3)</f>
        <v>0</v>
      </c>
      <c r="P278" s="160">
        <f t="shared" ref="P278:P280" si="69">O278/9*12</f>
        <v>0</v>
      </c>
      <c r="Q278" s="160">
        <v>0</v>
      </c>
      <c r="R278" s="233">
        <f>VLOOKUP(A278,TB!A:F,6)</f>
        <v>0</v>
      </c>
      <c r="S278" s="233">
        <f t="shared" si="66"/>
        <v>0</v>
      </c>
    </row>
    <row r="279" spans="1:19" ht="15.75" customHeight="1" x14ac:dyDescent="0.25">
      <c r="A279" s="66" t="s">
        <v>641</v>
      </c>
      <c r="B279" s="66" t="s">
        <v>180</v>
      </c>
      <c r="C279" s="295"/>
      <c r="D279" s="160">
        <v>0</v>
      </c>
      <c r="E279" s="160" t="e">
        <f>D279*#REF!</f>
        <v>#REF!</v>
      </c>
      <c r="F279" s="160" t="e">
        <f>D279*#REF!</f>
        <v>#REF!</v>
      </c>
      <c r="G279" s="160" t="e">
        <f>(D279*#REF!)*#REF!</f>
        <v>#REF!</v>
      </c>
      <c r="H279" s="296">
        <f t="shared" si="64"/>
        <v>0</v>
      </c>
      <c r="I279" s="147" t="e">
        <f t="shared" si="65"/>
        <v>#REF!</v>
      </c>
      <c r="J279" s="97">
        <v>0</v>
      </c>
      <c r="K279" s="295"/>
      <c r="L279" s="20">
        <v>6374</v>
      </c>
      <c r="M279" s="302">
        <v>0</v>
      </c>
      <c r="N279" s="20">
        <v>0</v>
      </c>
      <c r="O279" s="20">
        <f>VLOOKUP(A279,TB!A:F,3)</f>
        <v>0</v>
      </c>
      <c r="P279" s="160">
        <f t="shared" si="69"/>
        <v>0</v>
      </c>
      <c r="Q279" s="160">
        <v>0</v>
      </c>
      <c r="R279" s="233">
        <f>VLOOKUP(A279,TB!A:F,6)</f>
        <v>0</v>
      </c>
      <c r="S279" s="233">
        <f t="shared" si="66"/>
        <v>0</v>
      </c>
    </row>
    <row r="280" spans="1:19" ht="15.75" customHeight="1" x14ac:dyDescent="0.25">
      <c r="A280" s="66" t="s">
        <v>642</v>
      </c>
      <c r="B280" s="66" t="s">
        <v>99</v>
      </c>
      <c r="C280" s="295"/>
      <c r="D280" s="160">
        <v>15500</v>
      </c>
      <c r="E280" s="160" t="e">
        <f>D280*#REF!</f>
        <v>#REF!</v>
      </c>
      <c r="F280" s="160" t="e">
        <f>D280*#REF!</f>
        <v>#REF!</v>
      </c>
      <c r="G280" s="160" t="e">
        <f>(D280*#REF!)*#REF!</f>
        <v>#REF!</v>
      </c>
      <c r="H280" s="296">
        <f t="shared" si="64"/>
        <v>0</v>
      </c>
      <c r="I280" s="147" t="e">
        <f t="shared" si="65"/>
        <v>#REF!</v>
      </c>
      <c r="J280" s="97">
        <v>0</v>
      </c>
      <c r="K280" s="295"/>
      <c r="L280" s="20">
        <v>124316</v>
      </c>
      <c r="M280" s="302">
        <v>9229</v>
      </c>
      <c r="N280" s="20">
        <v>0</v>
      </c>
      <c r="O280" s="20">
        <f>VLOOKUP(A280,TB!A:F,3)</f>
        <v>0</v>
      </c>
      <c r="P280" s="160">
        <f t="shared" si="69"/>
        <v>0</v>
      </c>
      <c r="Q280" s="160">
        <v>0</v>
      </c>
      <c r="R280" s="233">
        <f>VLOOKUP(A280,TB!A:F,6)</f>
        <v>0</v>
      </c>
      <c r="S280" s="233">
        <f t="shared" si="66"/>
        <v>0</v>
      </c>
    </row>
    <row r="281" spans="1:19" ht="15.75" customHeight="1" x14ac:dyDescent="0.25">
      <c r="A281" s="74" t="s">
        <v>643</v>
      </c>
      <c r="B281" s="75"/>
      <c r="C281" s="299"/>
      <c r="D281" s="189">
        <f t="shared" ref="D281:G281" si="70">SUM(D267:D280)</f>
        <v>71718</v>
      </c>
      <c r="E281" s="189" t="e">
        <f t="shared" si="70"/>
        <v>#REF!</v>
      </c>
      <c r="F281" s="189" t="e">
        <f t="shared" si="70"/>
        <v>#REF!</v>
      </c>
      <c r="G281" s="189" t="e">
        <f t="shared" si="70"/>
        <v>#REF!</v>
      </c>
      <c r="H281" s="300">
        <f t="shared" si="64"/>
        <v>0</v>
      </c>
      <c r="I281" s="189" t="e">
        <f t="shared" si="65"/>
        <v>#REF!</v>
      </c>
      <c r="J281" s="301">
        <f>SUM(J267:J280)</f>
        <v>0</v>
      </c>
      <c r="K281" s="299"/>
      <c r="L281" s="77">
        <f t="shared" ref="L281:S281" si="71">SUM(L267:L280)</f>
        <v>200693</v>
      </c>
      <c r="M281" s="77">
        <f t="shared" si="71"/>
        <v>69808.38</v>
      </c>
      <c r="N281" s="77">
        <f t="shared" si="71"/>
        <v>77100</v>
      </c>
      <c r="O281" s="77">
        <f t="shared" si="71"/>
        <v>29660.09</v>
      </c>
      <c r="P281" s="189">
        <f t="shared" si="71"/>
        <v>77148.28</v>
      </c>
      <c r="Q281" s="189">
        <f t="shared" si="71"/>
        <v>76750</v>
      </c>
      <c r="R281" s="77">
        <f t="shared" si="71"/>
        <v>76750</v>
      </c>
      <c r="S281" s="77">
        <f t="shared" si="71"/>
        <v>0</v>
      </c>
    </row>
    <row r="282" spans="1:19" ht="15.75" customHeight="1" x14ac:dyDescent="0.2">
      <c r="C282" s="287"/>
      <c r="K282" s="287"/>
      <c r="R282" s="83"/>
      <c r="S282" s="83"/>
    </row>
    <row r="283" spans="1:19" ht="15.75" customHeight="1" x14ac:dyDescent="0.25">
      <c r="A283" s="66" t="s">
        <v>641</v>
      </c>
      <c r="B283" s="66" t="s">
        <v>180</v>
      </c>
      <c r="C283" s="295"/>
      <c r="D283" s="160">
        <v>0</v>
      </c>
      <c r="E283" s="160" t="e">
        <f>D283*#REF!</f>
        <v>#REF!</v>
      </c>
      <c r="F283" s="160" t="e">
        <f>D283*#REF!</f>
        <v>#REF!</v>
      </c>
      <c r="G283" s="160" t="e">
        <f>(D283*#REF!)*#REF!</f>
        <v>#REF!</v>
      </c>
      <c r="H283" s="296">
        <f t="shared" ref="H283:H285" si="72">IFERROR(((Q283-G283)/G283),0)</f>
        <v>0</v>
      </c>
      <c r="I283" s="147" t="e">
        <f t="shared" ref="I283:I285" si="73">Q283-G283</f>
        <v>#REF!</v>
      </c>
      <c r="J283" s="97">
        <v>0</v>
      </c>
      <c r="K283" s="295"/>
      <c r="L283" s="20">
        <v>6374</v>
      </c>
      <c r="M283" s="302">
        <v>0</v>
      </c>
      <c r="N283" s="20">
        <v>0</v>
      </c>
      <c r="O283" s="20">
        <v>0</v>
      </c>
      <c r="P283" s="160">
        <f t="shared" ref="P283:P284" si="74">N283</f>
        <v>0</v>
      </c>
      <c r="Q283" s="160">
        <v>0</v>
      </c>
      <c r="R283" s="233">
        <f>VLOOKUP(A283,TB!A:F,6)</f>
        <v>0</v>
      </c>
      <c r="S283" s="233">
        <f t="shared" ref="S283:S284" si="75">Q283-R283</f>
        <v>0</v>
      </c>
    </row>
    <row r="284" spans="1:19" ht="15.75" customHeight="1" x14ac:dyDescent="0.25">
      <c r="A284" s="66" t="s">
        <v>642</v>
      </c>
      <c r="B284" s="66" t="s">
        <v>99</v>
      </c>
      <c r="C284" s="295"/>
      <c r="D284" s="160">
        <v>15500</v>
      </c>
      <c r="E284" s="160" t="e">
        <f>D284*#REF!</f>
        <v>#REF!</v>
      </c>
      <c r="F284" s="160" t="e">
        <f>D284*#REF!</f>
        <v>#REF!</v>
      </c>
      <c r="G284" s="160" t="e">
        <f>(D284*#REF!)*#REF!</f>
        <v>#REF!</v>
      </c>
      <c r="H284" s="296">
        <f t="shared" si="72"/>
        <v>0</v>
      </c>
      <c r="I284" s="147" t="e">
        <f t="shared" si="73"/>
        <v>#REF!</v>
      </c>
      <c r="J284" s="97">
        <v>0</v>
      </c>
      <c r="K284" s="295"/>
      <c r="L284" s="20">
        <v>124316</v>
      </c>
      <c r="M284" s="302">
        <v>9229</v>
      </c>
      <c r="N284" s="20">
        <v>28000</v>
      </c>
      <c r="O284" s="20">
        <v>0</v>
      </c>
      <c r="P284" s="163">
        <f t="shared" si="74"/>
        <v>28000</v>
      </c>
      <c r="Q284" s="160">
        <v>0</v>
      </c>
      <c r="R284" s="233">
        <f>VLOOKUP(A284,TB!A:F,6)</f>
        <v>0</v>
      </c>
      <c r="S284" s="233">
        <f t="shared" si="75"/>
        <v>0</v>
      </c>
    </row>
    <row r="285" spans="1:19" ht="15.75" customHeight="1" x14ac:dyDescent="0.25">
      <c r="A285" s="74" t="s">
        <v>644</v>
      </c>
      <c r="B285" s="75"/>
      <c r="C285" s="299"/>
      <c r="D285" s="189">
        <f>SUM(D283:D284)</f>
        <v>15500</v>
      </c>
      <c r="E285" s="189" t="e">
        <f t="shared" ref="E285:G285" si="76">SUM(E271:E284)</f>
        <v>#REF!</v>
      </c>
      <c r="F285" s="189" t="e">
        <f t="shared" si="76"/>
        <v>#REF!</v>
      </c>
      <c r="G285" s="189" t="e">
        <f t="shared" si="76"/>
        <v>#REF!</v>
      </c>
      <c r="H285" s="300">
        <f t="shared" si="72"/>
        <v>0</v>
      </c>
      <c r="I285" s="189" t="e">
        <f t="shared" si="73"/>
        <v>#REF!</v>
      </c>
      <c r="J285" s="301">
        <f>SUM(J283:J284)</f>
        <v>0</v>
      </c>
      <c r="K285" s="299"/>
      <c r="L285" s="77">
        <f t="shared" ref="L285:S285" si="77">SUM(L283:L284)</f>
        <v>130690</v>
      </c>
      <c r="M285" s="77">
        <f t="shared" si="77"/>
        <v>9229</v>
      </c>
      <c r="N285" s="77">
        <f t="shared" si="77"/>
        <v>28000</v>
      </c>
      <c r="O285" s="77">
        <f t="shared" si="77"/>
        <v>0</v>
      </c>
      <c r="P285" s="189">
        <f t="shared" si="77"/>
        <v>28000</v>
      </c>
      <c r="Q285" s="189">
        <f t="shared" si="77"/>
        <v>0</v>
      </c>
      <c r="R285" s="77">
        <f t="shared" si="77"/>
        <v>0</v>
      </c>
      <c r="S285" s="77">
        <f t="shared" si="77"/>
        <v>0</v>
      </c>
    </row>
    <row r="286" spans="1:19" ht="15.75" customHeight="1" x14ac:dyDescent="0.2">
      <c r="C286" s="287"/>
      <c r="K286" s="287"/>
      <c r="R286" s="83"/>
      <c r="S286" s="83"/>
    </row>
    <row r="287" spans="1:19" ht="15.75" customHeight="1" x14ac:dyDescent="0.25">
      <c r="A287" s="74" t="s">
        <v>645</v>
      </c>
      <c r="B287" s="305"/>
      <c r="C287" s="306"/>
      <c r="D287" s="189">
        <f t="shared" ref="D287:G287" si="78">D281+D285</f>
        <v>87218</v>
      </c>
      <c r="E287" s="189" t="e">
        <f t="shared" si="78"/>
        <v>#REF!</v>
      </c>
      <c r="F287" s="189" t="e">
        <f t="shared" si="78"/>
        <v>#REF!</v>
      </c>
      <c r="G287" s="189" t="e">
        <f t="shared" si="78"/>
        <v>#REF!</v>
      </c>
      <c r="H287" s="300">
        <f>IFERROR(((Q287-G287)/G287),0)</f>
        <v>0</v>
      </c>
      <c r="I287" s="189" t="e">
        <f>Q287-G287</f>
        <v>#REF!</v>
      </c>
      <c r="J287" s="301">
        <f>J286</f>
        <v>0</v>
      </c>
      <c r="K287" s="306"/>
      <c r="L287" s="77">
        <f t="shared" ref="L287:S287" si="79">L281+L285</f>
        <v>331383</v>
      </c>
      <c r="M287" s="77">
        <f t="shared" si="79"/>
        <v>79037.38</v>
      </c>
      <c r="N287" s="77">
        <f t="shared" si="79"/>
        <v>105100</v>
      </c>
      <c r="O287" s="77">
        <f t="shared" si="79"/>
        <v>29660.09</v>
      </c>
      <c r="P287" s="189">
        <f t="shared" si="79"/>
        <v>105148.28</v>
      </c>
      <c r="Q287" s="189">
        <f t="shared" si="79"/>
        <v>76750</v>
      </c>
      <c r="R287" s="77">
        <f t="shared" si="79"/>
        <v>76750</v>
      </c>
      <c r="S287" s="77">
        <f t="shared" si="79"/>
        <v>0</v>
      </c>
    </row>
    <row r="288" spans="1:19" ht="15.75" customHeight="1" x14ac:dyDescent="0.2">
      <c r="C288" s="287"/>
      <c r="K288" s="287"/>
      <c r="R288" s="83"/>
      <c r="S288" s="83"/>
    </row>
    <row r="289" spans="1:30" ht="15.75" customHeight="1" x14ac:dyDescent="0.2">
      <c r="A289" s="69" t="s">
        <v>184</v>
      </c>
      <c r="C289" s="287"/>
      <c r="K289" s="287"/>
      <c r="R289" s="83"/>
      <c r="S289" s="83"/>
    </row>
    <row r="290" spans="1:30" ht="15.75" customHeight="1" x14ac:dyDescent="0.25">
      <c r="A290" s="51" t="s">
        <v>646</v>
      </c>
      <c r="B290" s="51" t="s">
        <v>647</v>
      </c>
      <c r="C290" s="307"/>
      <c r="D290" s="147">
        <v>-20957</v>
      </c>
      <c r="E290" s="160" t="e">
        <f>D290*#REF!</f>
        <v>#REF!</v>
      </c>
      <c r="F290" s="160" t="e">
        <f>D290*#REF!</f>
        <v>#REF!</v>
      </c>
      <c r="G290" s="160" t="e">
        <f>(D290*#REF!)*#REF!</f>
        <v>#REF!</v>
      </c>
      <c r="H290" s="296">
        <f t="shared" ref="H290:H293" si="80">IFERROR(((Q290-G290)/G290),0)</f>
        <v>0</v>
      </c>
      <c r="I290" s="147" t="e">
        <f t="shared" ref="I290:I293" si="81">Q290-G290</f>
        <v>#REF!</v>
      </c>
      <c r="J290" s="97">
        <v>0</v>
      </c>
      <c r="K290" s="307"/>
      <c r="L290" s="54">
        <v>-19985</v>
      </c>
      <c r="M290" s="54">
        <v>-19475.28</v>
      </c>
      <c r="N290" s="54">
        <v>-20000</v>
      </c>
      <c r="O290" s="20">
        <f>VLOOKUP(A290,TB!A:F,3)</f>
        <v>0</v>
      </c>
      <c r="P290" s="308">
        <f t="shared" ref="P290:P292" si="82">N290</f>
        <v>-20000</v>
      </c>
      <c r="Q290" s="147">
        <v>-20000</v>
      </c>
      <c r="R290" s="233">
        <f>VLOOKUP(A290,TB!A:F,6)</f>
        <v>-20000</v>
      </c>
      <c r="S290" s="233">
        <f t="shared" ref="S290:S292" si="83">Q290-R290</f>
        <v>0</v>
      </c>
    </row>
    <row r="291" spans="1:30" ht="15.75" customHeight="1" x14ac:dyDescent="0.25">
      <c r="A291" s="51" t="s">
        <v>648</v>
      </c>
      <c r="B291" s="51" t="s">
        <v>649</v>
      </c>
      <c r="C291" s="307"/>
      <c r="D291" s="147">
        <v>-23952</v>
      </c>
      <c r="E291" s="160" t="e">
        <f>D291*#REF!</f>
        <v>#REF!</v>
      </c>
      <c r="F291" s="160" t="e">
        <f>D291*#REF!</f>
        <v>#REF!</v>
      </c>
      <c r="G291" s="160" t="e">
        <f>(D291*#REF!)*#REF!</f>
        <v>#REF!</v>
      </c>
      <c r="H291" s="296">
        <f t="shared" si="80"/>
        <v>0</v>
      </c>
      <c r="I291" s="147" t="e">
        <f t="shared" si="81"/>
        <v>#REF!</v>
      </c>
      <c r="J291" s="97">
        <v>0</v>
      </c>
      <c r="K291" s="307"/>
      <c r="L291" s="54">
        <v>-52917</v>
      </c>
      <c r="M291" s="54">
        <v>-11786.7</v>
      </c>
      <c r="N291" s="54">
        <v>-20000</v>
      </c>
      <c r="O291" s="20">
        <f>VLOOKUP(A291,TB!A:F,3)</f>
        <v>0</v>
      </c>
      <c r="P291" s="308">
        <f t="shared" si="82"/>
        <v>-20000</v>
      </c>
      <c r="Q291" s="147">
        <v>-20000</v>
      </c>
      <c r="R291" s="233">
        <f>VLOOKUP(A291,TB!A:F,6)</f>
        <v>-20000</v>
      </c>
      <c r="S291" s="233">
        <f t="shared" si="83"/>
        <v>0</v>
      </c>
    </row>
    <row r="292" spans="1:30" ht="15.75" customHeight="1" x14ac:dyDescent="0.25">
      <c r="A292" s="51" t="s">
        <v>650</v>
      </c>
      <c r="B292" s="51" t="s">
        <v>651</v>
      </c>
      <c r="C292" s="307"/>
      <c r="D292" s="147">
        <v>-150</v>
      </c>
      <c r="E292" s="160" t="e">
        <f>D292*#REF!</f>
        <v>#REF!</v>
      </c>
      <c r="F292" s="160" t="e">
        <f>D292*#REF!</f>
        <v>#REF!</v>
      </c>
      <c r="G292" s="160" t="e">
        <f>(D292*#REF!)*#REF!</f>
        <v>#REF!</v>
      </c>
      <c r="H292" s="296">
        <f t="shared" si="80"/>
        <v>0</v>
      </c>
      <c r="I292" s="147" t="e">
        <f t="shared" si="81"/>
        <v>#REF!</v>
      </c>
      <c r="J292" s="97">
        <v>0</v>
      </c>
      <c r="K292" s="307"/>
      <c r="L292" s="54">
        <v>-5682</v>
      </c>
      <c r="M292" s="54">
        <v>-200</v>
      </c>
      <c r="N292" s="54">
        <v>-2500</v>
      </c>
      <c r="O292" s="20">
        <f>VLOOKUP(A292,TB!A:F,3)</f>
        <v>-138.04</v>
      </c>
      <c r="P292" s="308">
        <f t="shared" si="82"/>
        <v>-2500</v>
      </c>
      <c r="Q292" s="147">
        <v>0</v>
      </c>
      <c r="R292" s="233">
        <f>VLOOKUP(A292,TB!A:F,6)</f>
        <v>0</v>
      </c>
      <c r="S292" s="233">
        <f t="shared" si="83"/>
        <v>0</v>
      </c>
    </row>
    <row r="293" spans="1:30" ht="15.75" customHeight="1" x14ac:dyDescent="0.2">
      <c r="A293" s="239" t="s">
        <v>189</v>
      </c>
      <c r="B293" s="75"/>
      <c r="C293" s="299"/>
      <c r="D293" s="189">
        <f t="shared" ref="D293:G293" si="84">SUM(D290:D292)</f>
        <v>-45059</v>
      </c>
      <c r="E293" s="189" t="e">
        <f t="shared" si="84"/>
        <v>#REF!</v>
      </c>
      <c r="F293" s="189" t="e">
        <f t="shared" si="84"/>
        <v>#REF!</v>
      </c>
      <c r="G293" s="189" t="e">
        <f t="shared" si="84"/>
        <v>#REF!</v>
      </c>
      <c r="H293" s="300">
        <f t="shared" si="80"/>
        <v>0</v>
      </c>
      <c r="I293" s="189" t="e">
        <f t="shared" si="81"/>
        <v>#REF!</v>
      </c>
      <c r="J293" s="189">
        <v>0</v>
      </c>
      <c r="K293" s="299"/>
      <c r="L293" s="77">
        <f t="shared" ref="L293:S293" si="85">SUM(L290:L292)</f>
        <v>-78584</v>
      </c>
      <c r="M293" s="77">
        <f t="shared" si="85"/>
        <v>-31461.98</v>
      </c>
      <c r="N293" s="77">
        <f t="shared" si="85"/>
        <v>-42500</v>
      </c>
      <c r="O293" s="77">
        <f t="shared" si="85"/>
        <v>-138.04</v>
      </c>
      <c r="P293" s="189">
        <f t="shared" si="85"/>
        <v>-42500</v>
      </c>
      <c r="Q293" s="189">
        <f t="shared" si="85"/>
        <v>-40000</v>
      </c>
      <c r="R293" s="77">
        <f t="shared" si="85"/>
        <v>-40000</v>
      </c>
      <c r="S293" s="77">
        <f t="shared" si="85"/>
        <v>0</v>
      </c>
    </row>
    <row r="294" spans="1:30" ht="15.75" customHeight="1" x14ac:dyDescent="0.2">
      <c r="C294" s="287"/>
      <c r="K294" s="287"/>
      <c r="R294" s="83"/>
      <c r="S294" s="83"/>
    </row>
    <row r="295" spans="1:30" ht="15.75" customHeight="1" x14ac:dyDescent="0.2">
      <c r="A295" s="69" t="s">
        <v>190</v>
      </c>
      <c r="B295" s="51"/>
      <c r="C295" s="309"/>
      <c r="D295" s="193">
        <f t="shared" ref="D295:G295" si="86">D287+D293</f>
        <v>42159</v>
      </c>
      <c r="E295" s="193" t="e">
        <f t="shared" si="86"/>
        <v>#REF!</v>
      </c>
      <c r="F295" s="193" t="e">
        <f t="shared" si="86"/>
        <v>#REF!</v>
      </c>
      <c r="G295" s="193" t="e">
        <f t="shared" si="86"/>
        <v>#REF!</v>
      </c>
      <c r="H295" s="310">
        <f>IFERROR(((Q295-G295)/G295),0)</f>
        <v>0</v>
      </c>
      <c r="I295" s="193" t="e">
        <f>Q295-G295</f>
        <v>#REF!</v>
      </c>
      <c r="J295" s="193">
        <f>J293+J292</f>
        <v>0</v>
      </c>
      <c r="K295" s="309"/>
      <c r="L295" s="245">
        <f t="shared" ref="L295:S295" si="87">L287+L293</f>
        <v>252799</v>
      </c>
      <c r="M295" s="245">
        <f t="shared" si="87"/>
        <v>47575.400000000009</v>
      </c>
      <c r="N295" s="245">
        <f t="shared" si="87"/>
        <v>62600</v>
      </c>
      <c r="O295" s="245">
        <f t="shared" si="87"/>
        <v>29522.05</v>
      </c>
      <c r="P295" s="193">
        <f t="shared" si="87"/>
        <v>62648.28</v>
      </c>
      <c r="Q295" s="193">
        <f t="shared" si="87"/>
        <v>36750</v>
      </c>
      <c r="R295" s="245">
        <f t="shared" si="87"/>
        <v>36750</v>
      </c>
      <c r="S295" s="245">
        <f t="shared" si="87"/>
        <v>0</v>
      </c>
      <c r="W295" s="56"/>
      <c r="X295" s="56"/>
      <c r="Y295" s="56"/>
      <c r="Z295" s="56"/>
      <c r="AA295" s="56"/>
      <c r="AB295" s="56"/>
      <c r="AC295" s="56"/>
      <c r="AD295" s="56"/>
    </row>
    <row r="296" spans="1:30" ht="15.75" customHeight="1" x14ac:dyDescent="0.2">
      <c r="C296" s="287"/>
      <c r="K296" s="287"/>
    </row>
    <row r="297" spans="1:30" ht="15.75" customHeight="1" x14ac:dyDescent="0.2">
      <c r="C297" s="287"/>
      <c r="K297" s="287"/>
    </row>
    <row r="298" spans="1:30" ht="15.75" customHeight="1" x14ac:dyDescent="0.2">
      <c r="C298" s="288"/>
      <c r="K298" s="288"/>
      <c r="L298" s="199" t="e">
        <f t="shared" ref="L298:R298" si="88">#REF!</f>
        <v>#REF!</v>
      </c>
      <c r="M298" s="199" t="e">
        <f t="shared" si="88"/>
        <v>#REF!</v>
      </c>
      <c r="N298" s="199" t="e">
        <f t="shared" si="88"/>
        <v>#REF!</v>
      </c>
      <c r="O298" s="199" t="e">
        <f t="shared" si="88"/>
        <v>#REF!</v>
      </c>
      <c r="P298" s="199" t="e">
        <f t="shared" si="88"/>
        <v>#REF!</v>
      </c>
      <c r="Q298" s="199" t="e">
        <f t="shared" si="88"/>
        <v>#REF!</v>
      </c>
      <c r="R298" s="173" t="e">
        <f t="shared" si="88"/>
        <v>#REF!</v>
      </c>
    </row>
    <row r="299" spans="1:30" ht="15.75" customHeight="1" x14ac:dyDescent="0.2">
      <c r="C299" s="289"/>
      <c r="K299" s="289"/>
      <c r="L299" s="290">
        <f t="shared" ref="L299:R299" si="89">L295</f>
        <v>252799</v>
      </c>
      <c r="M299" s="290">
        <f t="shared" si="89"/>
        <v>47575.400000000009</v>
      </c>
      <c r="N299" s="290">
        <f t="shared" si="89"/>
        <v>62600</v>
      </c>
      <c r="O299" s="290">
        <f t="shared" si="89"/>
        <v>29522.05</v>
      </c>
      <c r="P299" s="290">
        <f t="shared" si="89"/>
        <v>62648.28</v>
      </c>
      <c r="Q299" s="290">
        <f t="shared" si="89"/>
        <v>36750</v>
      </c>
      <c r="R299" s="291">
        <f t="shared" si="89"/>
        <v>36750</v>
      </c>
    </row>
    <row r="300" spans="1:30" ht="15.75" customHeight="1" x14ac:dyDescent="0.2">
      <c r="C300" s="287"/>
      <c r="K300" s="287"/>
    </row>
    <row r="301" spans="1:30" ht="15.75" customHeight="1" x14ac:dyDescent="0.2">
      <c r="C301" s="287"/>
      <c r="K301" s="287"/>
    </row>
    <row r="302" spans="1:30" ht="15.75" customHeight="1" x14ac:dyDescent="0.2">
      <c r="C302" s="287"/>
      <c r="K302" s="287"/>
    </row>
    <row r="303" spans="1:30" ht="15.75" customHeight="1" x14ac:dyDescent="0.2">
      <c r="C303" s="287"/>
      <c r="K303" s="287"/>
    </row>
    <row r="304" spans="1:30" ht="15.75" customHeight="1" x14ac:dyDescent="0.2">
      <c r="C304" s="287"/>
      <c r="K304" s="287"/>
    </row>
    <row r="305" spans="3:11" ht="15.75" customHeight="1" x14ac:dyDescent="0.2">
      <c r="C305" s="287"/>
      <c r="K305" s="287"/>
    </row>
    <row r="306" spans="3:11" ht="15.75" customHeight="1" x14ac:dyDescent="0.2">
      <c r="C306" s="287"/>
      <c r="K306" s="287"/>
    </row>
    <row r="307" spans="3:11" ht="15.75" customHeight="1" x14ac:dyDescent="0.2">
      <c r="C307" s="287"/>
      <c r="K307" s="287"/>
    </row>
    <row r="308" spans="3:11" ht="15.75" customHeight="1" x14ac:dyDescent="0.2">
      <c r="C308" s="287"/>
      <c r="K308" s="287"/>
    </row>
    <row r="309" spans="3:11" ht="15.75" customHeight="1" x14ac:dyDescent="0.2">
      <c r="C309" s="287"/>
      <c r="K309" s="287"/>
    </row>
    <row r="310" spans="3:11" ht="15.75" customHeight="1" x14ac:dyDescent="0.2">
      <c r="C310" s="287"/>
      <c r="K310" s="287"/>
    </row>
    <row r="311" spans="3:11" ht="15.75" customHeight="1" x14ac:dyDescent="0.2">
      <c r="C311" s="287"/>
      <c r="K311" s="287"/>
    </row>
    <row r="312" spans="3:11" ht="15.75" customHeight="1" x14ac:dyDescent="0.2">
      <c r="C312" s="287"/>
      <c r="K312" s="287"/>
    </row>
    <row r="313" spans="3:11" ht="15.75" customHeight="1" x14ac:dyDescent="0.2">
      <c r="C313" s="287"/>
      <c r="K313" s="287"/>
    </row>
    <row r="314" spans="3:11" ht="15.75" customHeight="1" x14ac:dyDescent="0.2">
      <c r="C314" s="287"/>
      <c r="K314" s="287"/>
    </row>
    <row r="315" spans="3:11" ht="15.75" customHeight="1" x14ac:dyDescent="0.2">
      <c r="C315" s="287"/>
      <c r="K315" s="287"/>
    </row>
    <row r="316" spans="3:11" ht="15.75" customHeight="1" x14ac:dyDescent="0.2">
      <c r="C316" s="287"/>
      <c r="K316" s="287"/>
    </row>
    <row r="317" spans="3:11" ht="15.75" customHeight="1" x14ac:dyDescent="0.2">
      <c r="C317" s="287"/>
      <c r="K317" s="287"/>
    </row>
    <row r="318" spans="3:11" ht="15.75" customHeight="1" x14ac:dyDescent="0.2">
      <c r="C318" s="287"/>
      <c r="K318" s="287"/>
    </row>
    <row r="319" spans="3:11" ht="15.75" customHeight="1" x14ac:dyDescent="0.2">
      <c r="C319" s="287"/>
      <c r="K319" s="287"/>
    </row>
    <row r="320" spans="3:11" ht="15.75" customHeight="1" x14ac:dyDescent="0.2">
      <c r="C320" s="287"/>
      <c r="K320" s="287"/>
    </row>
    <row r="321" spans="3:11" ht="15.75" customHeight="1" x14ac:dyDescent="0.2">
      <c r="C321" s="287"/>
      <c r="K321" s="287"/>
    </row>
    <row r="322" spans="3:11" ht="15.75" customHeight="1" x14ac:dyDescent="0.2">
      <c r="C322" s="287"/>
      <c r="K322" s="287"/>
    </row>
    <row r="323" spans="3:11" ht="15.75" customHeight="1" x14ac:dyDescent="0.2">
      <c r="C323" s="287"/>
      <c r="K323" s="287"/>
    </row>
    <row r="324" spans="3:11" ht="15.75" customHeight="1" x14ac:dyDescent="0.2">
      <c r="C324" s="287"/>
      <c r="K324" s="287"/>
    </row>
    <row r="325" spans="3:11" ht="15.75" customHeight="1" x14ac:dyDescent="0.2">
      <c r="C325" s="287"/>
      <c r="K325" s="287"/>
    </row>
    <row r="326" spans="3:11" ht="15.75" customHeight="1" x14ac:dyDescent="0.2">
      <c r="C326" s="287"/>
      <c r="K326" s="287"/>
    </row>
    <row r="327" spans="3:11" ht="15.75" customHeight="1" x14ac:dyDescent="0.2">
      <c r="C327" s="287"/>
      <c r="K327" s="287"/>
    </row>
    <row r="328" spans="3:11" ht="15.75" customHeight="1" x14ac:dyDescent="0.2">
      <c r="C328" s="287"/>
      <c r="K328" s="287"/>
    </row>
    <row r="329" spans="3:11" ht="15.75" customHeight="1" x14ac:dyDescent="0.2">
      <c r="C329" s="287"/>
      <c r="K329" s="287"/>
    </row>
    <row r="330" spans="3:11" ht="15.75" customHeight="1" x14ac:dyDescent="0.2">
      <c r="C330" s="287"/>
      <c r="K330" s="287"/>
    </row>
    <row r="331" spans="3:11" ht="15.75" customHeight="1" x14ac:dyDescent="0.2">
      <c r="C331" s="287"/>
      <c r="K331" s="287"/>
    </row>
    <row r="332" spans="3:11" ht="15.75" customHeight="1" x14ac:dyDescent="0.2">
      <c r="C332" s="287"/>
      <c r="K332" s="287"/>
    </row>
    <row r="333" spans="3:11" ht="15.75" customHeight="1" x14ac:dyDescent="0.2">
      <c r="C333" s="287"/>
      <c r="K333" s="287"/>
    </row>
    <row r="334" spans="3:11" ht="15.75" customHeight="1" x14ac:dyDescent="0.2">
      <c r="C334" s="287"/>
      <c r="K334" s="287"/>
    </row>
    <row r="335" spans="3:11" ht="15.75" customHeight="1" x14ac:dyDescent="0.2">
      <c r="C335" s="287"/>
      <c r="K335" s="287"/>
    </row>
    <row r="336" spans="3:11" ht="15.75" customHeight="1" x14ac:dyDescent="0.2">
      <c r="C336" s="287"/>
      <c r="K336" s="287"/>
    </row>
    <row r="337" spans="1:19" ht="15.75" customHeight="1" x14ac:dyDescent="0.2">
      <c r="C337" s="287"/>
      <c r="K337" s="287"/>
    </row>
    <row r="338" spans="1:19" ht="15.75" customHeight="1" x14ac:dyDescent="0.2">
      <c r="C338" s="287"/>
      <c r="K338" s="287"/>
    </row>
    <row r="339" spans="1:19" ht="15.75" customHeight="1" x14ac:dyDescent="0.2">
      <c r="C339" s="287"/>
      <c r="K339" s="287"/>
    </row>
    <row r="340" spans="1:19" ht="15.75" customHeight="1" x14ac:dyDescent="0.2">
      <c r="C340" s="287"/>
      <c r="K340" s="287"/>
    </row>
    <row r="341" spans="1:19" ht="15.75" customHeight="1" x14ac:dyDescent="0.2">
      <c r="C341" s="287"/>
      <c r="K341" s="287"/>
    </row>
    <row r="342" spans="1:19" ht="15.75" customHeight="1" x14ac:dyDescent="0.2">
      <c r="C342" s="287"/>
      <c r="K342" s="287"/>
    </row>
    <row r="343" spans="1:19" ht="15.75" customHeight="1" x14ac:dyDescent="0.2">
      <c r="C343" s="287"/>
      <c r="K343" s="287"/>
    </row>
    <row r="344" spans="1:19" ht="15.75" customHeight="1" x14ac:dyDescent="0.2">
      <c r="C344" s="287"/>
      <c r="K344" s="287"/>
    </row>
    <row r="345" spans="1:19" ht="15.75" customHeight="1" x14ac:dyDescent="0.2">
      <c r="C345" s="287"/>
      <c r="K345" s="287"/>
    </row>
    <row r="346" spans="1:19" ht="15.75" customHeight="1" x14ac:dyDescent="0.2">
      <c r="C346" s="287"/>
      <c r="K346" s="287"/>
    </row>
    <row r="347" spans="1:19" ht="15.75" customHeight="1" x14ac:dyDescent="0.2">
      <c r="C347" s="287"/>
      <c r="K347" s="287"/>
    </row>
    <row r="348" spans="1:19" ht="15.75" customHeight="1" x14ac:dyDescent="0.2">
      <c r="A348" s="3" t="s">
        <v>50</v>
      </c>
      <c r="B348" s="3" t="s">
        <v>51</v>
      </c>
      <c r="C348" s="292"/>
      <c r="D348" s="99" t="s">
        <v>52</v>
      </c>
      <c r="E348" s="100" t="s">
        <v>53</v>
      </c>
      <c r="F348" s="100" t="s">
        <v>54</v>
      </c>
      <c r="G348" s="100" t="s">
        <v>55</v>
      </c>
      <c r="H348" s="24" t="s">
        <v>56</v>
      </c>
      <c r="I348" s="24" t="s">
        <v>57</v>
      </c>
      <c r="J348" s="101" t="s">
        <v>58</v>
      </c>
      <c r="K348" s="292"/>
      <c r="L348" s="3" t="s">
        <v>59</v>
      </c>
      <c r="M348" s="3" t="s">
        <v>60</v>
      </c>
      <c r="N348" s="3" t="s">
        <v>61</v>
      </c>
      <c r="O348" s="3" t="s">
        <v>62</v>
      </c>
      <c r="P348" s="293" t="s">
        <v>541</v>
      </c>
      <c r="Q348" s="293" t="s">
        <v>64</v>
      </c>
      <c r="R348" s="293" t="s">
        <v>65</v>
      </c>
      <c r="S348" s="293" t="s">
        <v>586</v>
      </c>
    </row>
    <row r="349" spans="1:19" ht="15.75" customHeight="1" x14ac:dyDescent="0.25">
      <c r="A349" s="565" t="s">
        <v>652</v>
      </c>
      <c r="B349" s="566"/>
      <c r="C349" s="311"/>
      <c r="D349" s="66"/>
      <c r="E349" s="66"/>
      <c r="F349" s="66"/>
      <c r="G349" s="276"/>
      <c r="H349" s="234"/>
      <c r="K349" s="311"/>
      <c r="L349" s="65"/>
      <c r="M349" s="165"/>
      <c r="N349" s="65"/>
      <c r="O349" s="165"/>
      <c r="P349" s="157"/>
      <c r="Q349" s="157"/>
      <c r="R349" s="275"/>
      <c r="S349" s="275"/>
    </row>
    <row r="350" spans="1:19" ht="15.75" customHeight="1" x14ac:dyDescent="0.25">
      <c r="A350" s="66" t="s">
        <v>653</v>
      </c>
      <c r="B350" s="66" t="s">
        <v>74</v>
      </c>
      <c r="C350" s="295"/>
      <c r="D350" s="160">
        <v>450</v>
      </c>
      <c r="E350" s="160" t="e">
        <f>D350*#REF!</f>
        <v>#REF!</v>
      </c>
      <c r="F350" s="160" t="e">
        <f>D350*#REF!</f>
        <v>#REF!</v>
      </c>
      <c r="G350" s="160" t="e">
        <f>(D350*#REF!)*#REF!</f>
        <v>#REF!</v>
      </c>
      <c r="H350" s="296">
        <f t="shared" ref="H350:H356" si="90">IFERROR(((Q350-G350)/G350),0)</f>
        <v>0</v>
      </c>
      <c r="I350" s="147" t="e">
        <f t="shared" ref="I350:I356" si="91">Q350-G350</f>
        <v>#REF!</v>
      </c>
      <c r="J350" s="97">
        <v>0</v>
      </c>
      <c r="K350" s="295"/>
      <c r="L350" s="20">
        <v>1256</v>
      </c>
      <c r="M350" s="20">
        <v>1307.8399999999999</v>
      </c>
      <c r="N350" s="20">
        <v>1200</v>
      </c>
      <c r="O350" s="20">
        <f>VLOOKUP(A350,TB!A:F,3)</f>
        <v>-205</v>
      </c>
      <c r="P350" s="163">
        <f t="shared" ref="P350:P354" si="92">N350</f>
        <v>1200</v>
      </c>
      <c r="Q350" s="160">
        <v>1500</v>
      </c>
      <c r="R350" s="233">
        <f>VLOOKUP(A350,TB!A:F,6)</f>
        <v>1500</v>
      </c>
      <c r="S350" s="233">
        <f t="shared" ref="S350:S355" si="93">Q350-R350</f>
        <v>0</v>
      </c>
    </row>
    <row r="351" spans="1:19" ht="15.75" customHeight="1" x14ac:dyDescent="0.25">
      <c r="A351" s="66" t="s">
        <v>654</v>
      </c>
      <c r="B351" s="66" t="s">
        <v>82</v>
      </c>
      <c r="C351" s="295"/>
      <c r="D351" s="160">
        <v>886</v>
      </c>
      <c r="E351" s="160" t="e">
        <f>D351*#REF!</f>
        <v>#REF!</v>
      </c>
      <c r="F351" s="160" t="e">
        <f>D351*#REF!</f>
        <v>#REF!</v>
      </c>
      <c r="G351" s="160" t="e">
        <f>(D351*#REF!)*#REF!</f>
        <v>#REF!</v>
      </c>
      <c r="H351" s="296">
        <f t="shared" si="90"/>
        <v>0</v>
      </c>
      <c r="I351" s="147" t="e">
        <f t="shared" si="91"/>
        <v>#REF!</v>
      </c>
      <c r="J351" s="97">
        <v>0</v>
      </c>
      <c r="K351" s="295"/>
      <c r="L351" s="20">
        <v>0</v>
      </c>
      <c r="M351" s="20">
        <v>0</v>
      </c>
      <c r="N351" s="20">
        <v>2000</v>
      </c>
      <c r="O351" s="20">
        <f>VLOOKUP(A351,TB!A:F,3)</f>
        <v>0</v>
      </c>
      <c r="P351" s="163">
        <f t="shared" si="92"/>
        <v>2000</v>
      </c>
      <c r="Q351" s="160">
        <v>0</v>
      </c>
      <c r="R351" s="233">
        <f>VLOOKUP(A351,TB!A:F,6)</f>
        <v>0</v>
      </c>
      <c r="S351" s="233">
        <f t="shared" si="93"/>
        <v>0</v>
      </c>
    </row>
    <row r="352" spans="1:19" ht="15.75" customHeight="1" x14ac:dyDescent="0.25">
      <c r="A352" s="66" t="s">
        <v>655</v>
      </c>
      <c r="B352" s="66" t="s">
        <v>115</v>
      </c>
      <c r="C352" s="295"/>
      <c r="D352" s="160">
        <v>622</v>
      </c>
      <c r="E352" s="160" t="e">
        <f>D352*#REF!</f>
        <v>#REF!</v>
      </c>
      <c r="F352" s="160" t="e">
        <f>D352*#REF!</f>
        <v>#REF!</v>
      </c>
      <c r="G352" s="160" t="e">
        <f>(D352*#REF!)*#REF!</f>
        <v>#REF!</v>
      </c>
      <c r="H352" s="296">
        <f t="shared" si="90"/>
        <v>0</v>
      </c>
      <c r="I352" s="147" t="e">
        <f t="shared" si="91"/>
        <v>#REF!</v>
      </c>
      <c r="J352" s="97">
        <v>0</v>
      </c>
      <c r="K352" s="295"/>
      <c r="L352" s="20">
        <v>2112</v>
      </c>
      <c r="M352" s="20">
        <v>1927.76</v>
      </c>
      <c r="N352" s="20">
        <v>5000</v>
      </c>
      <c r="O352" s="20">
        <f>VLOOKUP(A352,TB!A:F,3)</f>
        <v>0</v>
      </c>
      <c r="P352" s="163">
        <f t="shared" si="92"/>
        <v>5000</v>
      </c>
      <c r="Q352" s="160">
        <v>5000</v>
      </c>
      <c r="R352" s="233">
        <f>VLOOKUP(A352,TB!A:F,6)</f>
        <v>5000</v>
      </c>
      <c r="S352" s="233">
        <f t="shared" si="93"/>
        <v>0</v>
      </c>
    </row>
    <row r="353" spans="1:30" ht="15.75" customHeight="1" x14ac:dyDescent="0.25">
      <c r="A353" s="66" t="s">
        <v>656</v>
      </c>
      <c r="B353" s="66" t="s">
        <v>90</v>
      </c>
      <c r="C353" s="295"/>
      <c r="D353" s="160">
        <v>0</v>
      </c>
      <c r="E353" s="160" t="e">
        <f>D353*#REF!</f>
        <v>#REF!</v>
      </c>
      <c r="F353" s="160" t="e">
        <f>D353*#REF!</f>
        <v>#REF!</v>
      </c>
      <c r="G353" s="160" t="e">
        <f>(D353*#REF!)*#REF!</f>
        <v>#REF!</v>
      </c>
      <c r="H353" s="296">
        <f t="shared" si="90"/>
        <v>0</v>
      </c>
      <c r="I353" s="147" t="e">
        <f t="shared" si="91"/>
        <v>#REF!</v>
      </c>
      <c r="J353" s="97">
        <v>0</v>
      </c>
      <c r="K353" s="295"/>
      <c r="L353" s="20">
        <v>66</v>
      </c>
      <c r="M353" s="20">
        <v>399.01</v>
      </c>
      <c r="N353" s="20">
        <v>1000</v>
      </c>
      <c r="O353" s="20">
        <f>VLOOKUP(A353,TB!A:F,3)</f>
        <v>0</v>
      </c>
      <c r="P353" s="163">
        <f t="shared" si="92"/>
        <v>1000</v>
      </c>
      <c r="Q353" s="160">
        <v>1200</v>
      </c>
      <c r="R353" s="233">
        <f>VLOOKUP(A353,TB!A:F,6)</f>
        <v>1200</v>
      </c>
      <c r="S353" s="233">
        <f t="shared" si="93"/>
        <v>0</v>
      </c>
    </row>
    <row r="354" spans="1:30" ht="15.75" customHeight="1" x14ac:dyDescent="0.25">
      <c r="A354" s="66" t="s">
        <v>657</v>
      </c>
      <c r="B354" s="66" t="s">
        <v>502</v>
      </c>
      <c r="C354" s="295"/>
      <c r="D354" s="160">
        <v>697</v>
      </c>
      <c r="E354" s="160" t="e">
        <f>D354*#REF!</f>
        <v>#REF!</v>
      </c>
      <c r="F354" s="160" t="e">
        <f>D354*#REF!</f>
        <v>#REF!</v>
      </c>
      <c r="G354" s="160" t="e">
        <f>(D354*#REF!)*#REF!</f>
        <v>#REF!</v>
      </c>
      <c r="H354" s="296">
        <f t="shared" si="90"/>
        <v>0</v>
      </c>
      <c r="I354" s="147" t="e">
        <f t="shared" si="91"/>
        <v>#REF!</v>
      </c>
      <c r="J354" s="97">
        <v>0</v>
      </c>
      <c r="K354" s="295"/>
      <c r="L354" s="20">
        <v>4894</v>
      </c>
      <c r="M354" s="20">
        <v>1157.04</v>
      </c>
      <c r="N354" s="20">
        <v>4500</v>
      </c>
      <c r="O354" s="20">
        <f>VLOOKUP(A354,TB!A:F,3)</f>
        <v>964</v>
      </c>
      <c r="P354" s="163">
        <f t="shared" si="92"/>
        <v>4500</v>
      </c>
      <c r="Q354" s="160">
        <v>4500</v>
      </c>
      <c r="R354" s="233">
        <f>VLOOKUP(A354,TB!A:F,6)</f>
        <v>4500</v>
      </c>
      <c r="S354" s="233">
        <f t="shared" si="93"/>
        <v>0</v>
      </c>
    </row>
    <row r="355" spans="1:30" ht="15.75" customHeight="1" x14ac:dyDescent="0.25">
      <c r="A355" s="66" t="s">
        <v>658</v>
      </c>
      <c r="B355" s="66" t="s">
        <v>659</v>
      </c>
      <c r="C355" s="295"/>
      <c r="D355" s="160">
        <v>11902</v>
      </c>
      <c r="E355" s="160" t="e">
        <f>D355*#REF!</f>
        <v>#REF!</v>
      </c>
      <c r="F355" s="160" t="e">
        <f>D355*#REF!</f>
        <v>#REF!</v>
      </c>
      <c r="G355" s="160" t="e">
        <f>(D355*#REF!)*#REF!</f>
        <v>#REF!</v>
      </c>
      <c r="H355" s="296">
        <f t="shared" si="90"/>
        <v>0</v>
      </c>
      <c r="I355" s="147" t="e">
        <f t="shared" si="91"/>
        <v>#REF!</v>
      </c>
      <c r="J355" s="97">
        <v>0</v>
      </c>
      <c r="K355" s="295"/>
      <c r="L355" s="20">
        <v>13528</v>
      </c>
      <c r="M355" s="20">
        <v>13857.9</v>
      </c>
      <c r="N355" s="20">
        <v>18000</v>
      </c>
      <c r="O355" s="20">
        <f>VLOOKUP(A355,TB!A:F,3)</f>
        <v>15158.23</v>
      </c>
      <c r="P355" s="160">
        <f>M355/9*12</f>
        <v>18477.2</v>
      </c>
      <c r="Q355" s="160">
        <v>18000</v>
      </c>
      <c r="R355" s="233">
        <f>VLOOKUP(A355,TB!A:F,6)</f>
        <v>18000</v>
      </c>
      <c r="S355" s="233">
        <f t="shared" si="93"/>
        <v>0</v>
      </c>
    </row>
    <row r="356" spans="1:30" ht="15.75" customHeight="1" x14ac:dyDescent="0.25">
      <c r="A356" s="74" t="s">
        <v>660</v>
      </c>
      <c r="B356" s="75"/>
      <c r="C356" s="299"/>
      <c r="D356" s="189">
        <f t="shared" ref="D356:G356" si="94">SUM(D350:D355)</f>
        <v>14557</v>
      </c>
      <c r="E356" s="189" t="e">
        <f t="shared" si="94"/>
        <v>#REF!</v>
      </c>
      <c r="F356" s="189" t="e">
        <f t="shared" si="94"/>
        <v>#REF!</v>
      </c>
      <c r="G356" s="189" t="e">
        <f t="shared" si="94"/>
        <v>#REF!</v>
      </c>
      <c r="H356" s="300">
        <f t="shared" si="90"/>
        <v>0</v>
      </c>
      <c r="I356" s="189" t="e">
        <f t="shared" si="91"/>
        <v>#REF!</v>
      </c>
      <c r="J356" s="301">
        <f>SUM(J350:J355)</f>
        <v>0</v>
      </c>
      <c r="K356" s="299"/>
      <c r="L356" s="77">
        <f t="shared" ref="L356:S356" si="95">SUM(L350:L355)</f>
        <v>21856</v>
      </c>
      <c r="M356" s="77">
        <f t="shared" si="95"/>
        <v>18649.55</v>
      </c>
      <c r="N356" s="77">
        <f t="shared" si="95"/>
        <v>31700</v>
      </c>
      <c r="O356" s="77">
        <f t="shared" si="95"/>
        <v>15917.23</v>
      </c>
      <c r="P356" s="189">
        <f t="shared" si="95"/>
        <v>32177.200000000001</v>
      </c>
      <c r="Q356" s="189">
        <f t="shared" si="95"/>
        <v>30200</v>
      </c>
      <c r="R356" s="77">
        <f t="shared" si="95"/>
        <v>30200</v>
      </c>
      <c r="S356" s="77">
        <f t="shared" si="95"/>
        <v>0</v>
      </c>
    </row>
    <row r="357" spans="1:30" ht="15.75" customHeight="1" x14ac:dyDescent="0.2">
      <c r="C357" s="287"/>
      <c r="K357" s="287"/>
      <c r="R357" s="83"/>
      <c r="S357" s="83"/>
    </row>
    <row r="358" spans="1:30" ht="15.75" customHeight="1" x14ac:dyDescent="0.2">
      <c r="A358" s="69" t="s">
        <v>184</v>
      </c>
      <c r="C358" s="287"/>
      <c r="K358" s="287"/>
      <c r="R358" s="83"/>
      <c r="S358" s="83"/>
    </row>
    <row r="359" spans="1:30" ht="15.75" customHeight="1" x14ac:dyDescent="0.25">
      <c r="A359" s="51" t="s">
        <v>661</v>
      </c>
      <c r="B359" s="51" t="s">
        <v>662</v>
      </c>
      <c r="C359" s="307"/>
      <c r="D359" s="147">
        <v>-37359</v>
      </c>
      <c r="E359" s="160" t="e">
        <f>D359*#REF!</f>
        <v>#REF!</v>
      </c>
      <c r="F359" s="160" t="e">
        <f>D359*#REF!</f>
        <v>#REF!</v>
      </c>
      <c r="G359" s="160" t="e">
        <f>(D359*#REF!)*#REF!</f>
        <v>#REF!</v>
      </c>
      <c r="H359" s="296">
        <f t="shared" ref="H359:H360" si="96">IFERROR(((Q359-G359)/G359),0)</f>
        <v>0</v>
      </c>
      <c r="I359" s="147" t="e">
        <f t="shared" ref="I359:I360" si="97">Q359-G359</f>
        <v>#REF!</v>
      </c>
      <c r="J359" s="97">
        <v>0</v>
      </c>
      <c r="K359" s="307"/>
      <c r="L359" s="54">
        <v>-31064</v>
      </c>
      <c r="M359" s="54">
        <v>-30552.76</v>
      </c>
      <c r="N359" s="54">
        <v>-18000</v>
      </c>
      <c r="O359" s="20">
        <f>VLOOKUP(A359,TB!A:F,3)</f>
        <v>-32673.89</v>
      </c>
      <c r="P359" s="54">
        <f>O359</f>
        <v>-32673.89</v>
      </c>
      <c r="Q359" s="54">
        <v>-18000</v>
      </c>
      <c r="R359" s="233">
        <f>VLOOKUP(A359,TB!A:F,6)</f>
        <v>-18000</v>
      </c>
      <c r="S359" s="233">
        <f>Q359-R359</f>
        <v>0</v>
      </c>
    </row>
    <row r="360" spans="1:30" ht="15.75" customHeight="1" x14ac:dyDescent="0.2">
      <c r="A360" s="239" t="s">
        <v>189</v>
      </c>
      <c r="B360" s="75"/>
      <c r="C360" s="299"/>
      <c r="D360" s="189">
        <f t="shared" ref="D360:G360" si="98">SUM(D359)</f>
        <v>-37359</v>
      </c>
      <c r="E360" s="189" t="e">
        <f t="shared" si="98"/>
        <v>#REF!</v>
      </c>
      <c r="F360" s="189" t="e">
        <f t="shared" si="98"/>
        <v>#REF!</v>
      </c>
      <c r="G360" s="189" t="e">
        <f t="shared" si="98"/>
        <v>#REF!</v>
      </c>
      <c r="H360" s="300">
        <f t="shared" si="96"/>
        <v>0</v>
      </c>
      <c r="I360" s="189" t="e">
        <f t="shared" si="97"/>
        <v>#REF!</v>
      </c>
      <c r="J360" s="189">
        <f>SUM(J359)</f>
        <v>0</v>
      </c>
      <c r="K360" s="299"/>
      <c r="L360" s="77">
        <f t="shared" ref="L360:S360" si="99">SUM(L359)</f>
        <v>-31064</v>
      </c>
      <c r="M360" s="77">
        <f t="shared" si="99"/>
        <v>-30552.76</v>
      </c>
      <c r="N360" s="77">
        <f t="shared" si="99"/>
        <v>-18000</v>
      </c>
      <c r="O360" s="77">
        <f t="shared" si="99"/>
        <v>-32673.89</v>
      </c>
      <c r="P360" s="189">
        <f t="shared" si="99"/>
        <v>-32673.89</v>
      </c>
      <c r="Q360" s="189">
        <f t="shared" si="99"/>
        <v>-18000</v>
      </c>
      <c r="R360" s="77">
        <f t="shared" si="99"/>
        <v>-18000</v>
      </c>
      <c r="S360" s="77">
        <f t="shared" si="99"/>
        <v>0</v>
      </c>
    </row>
    <row r="361" spans="1:30" ht="15.75" customHeight="1" x14ac:dyDescent="0.2">
      <c r="C361" s="287"/>
      <c r="K361" s="287"/>
      <c r="R361" s="83"/>
      <c r="S361" s="83"/>
    </row>
    <row r="362" spans="1:30" ht="15.75" customHeight="1" x14ac:dyDescent="0.2">
      <c r="A362" s="69" t="s">
        <v>190</v>
      </c>
      <c r="B362" s="51"/>
      <c r="C362" s="309"/>
      <c r="D362" s="193">
        <f t="shared" ref="D362:G362" si="100">D356+D360</f>
        <v>-22802</v>
      </c>
      <c r="E362" s="193" t="e">
        <f t="shared" si="100"/>
        <v>#REF!</v>
      </c>
      <c r="F362" s="193" t="e">
        <f t="shared" si="100"/>
        <v>#REF!</v>
      </c>
      <c r="G362" s="193" t="e">
        <f t="shared" si="100"/>
        <v>#REF!</v>
      </c>
      <c r="H362" s="310">
        <f>IFERROR(((Q362-G362)/G362),0)</f>
        <v>0</v>
      </c>
      <c r="I362" s="193" t="e">
        <f>Q362-G362</f>
        <v>#REF!</v>
      </c>
      <c r="J362" s="193">
        <v>0</v>
      </c>
      <c r="K362" s="309"/>
      <c r="L362" s="245">
        <f t="shared" ref="L362:S362" si="101">L356+L360</f>
        <v>-9208</v>
      </c>
      <c r="M362" s="245">
        <f t="shared" si="101"/>
        <v>-11903.21</v>
      </c>
      <c r="N362" s="245">
        <f t="shared" si="101"/>
        <v>13700</v>
      </c>
      <c r="O362" s="245">
        <f t="shared" si="101"/>
        <v>-16756.66</v>
      </c>
      <c r="P362" s="193">
        <f t="shared" si="101"/>
        <v>-496.68999999999869</v>
      </c>
      <c r="Q362" s="193">
        <f t="shared" si="101"/>
        <v>12200</v>
      </c>
      <c r="R362" s="245">
        <f t="shared" si="101"/>
        <v>12200</v>
      </c>
      <c r="S362" s="245">
        <f t="shared" si="101"/>
        <v>0</v>
      </c>
      <c r="W362" s="56"/>
      <c r="X362" s="56"/>
      <c r="Y362" s="56"/>
      <c r="Z362" s="56"/>
      <c r="AA362" s="56"/>
      <c r="AB362" s="56"/>
      <c r="AC362" s="56"/>
      <c r="AD362" s="56"/>
    </row>
    <row r="363" spans="1:30" ht="15.75" customHeight="1" x14ac:dyDescent="0.2">
      <c r="C363" s="287"/>
      <c r="K363" s="287"/>
      <c r="R363" s="83"/>
      <c r="S363" s="83"/>
    </row>
    <row r="364" spans="1:30" ht="15.75" customHeight="1" x14ac:dyDescent="0.2">
      <c r="C364" s="287"/>
      <c r="K364" s="287"/>
    </row>
    <row r="365" spans="1:30" ht="15.75" customHeight="1" x14ac:dyDescent="0.2">
      <c r="C365" s="288"/>
      <c r="K365" s="288"/>
      <c r="L365" s="149" t="str">
        <f t="shared" ref="L365:R365" si="102">L348</f>
        <v>2023 Actual</v>
      </c>
      <c r="M365" s="149" t="str">
        <f t="shared" si="102"/>
        <v>2024 Actual</v>
      </c>
      <c r="N365" s="149" t="str">
        <f t="shared" si="102"/>
        <v>Approved
  2025
 Budget</v>
      </c>
      <c r="O365" s="149" t="str">
        <f t="shared" si="102"/>
        <v>2025 YTD Actual</v>
      </c>
      <c r="P365" s="149" t="str">
        <f t="shared" si="102"/>
        <v>Projected 2025</v>
      </c>
      <c r="Q365" s="149" t="str">
        <f t="shared" si="102"/>
        <v>2026
 Requested
 Budget</v>
      </c>
      <c r="R365" s="269" t="str">
        <f t="shared" si="102"/>
        <v>2026 
Tentative 
Budget</v>
      </c>
    </row>
    <row r="366" spans="1:30" ht="15.75" customHeight="1" x14ac:dyDescent="0.2">
      <c r="C366" s="289"/>
      <c r="K366" s="289"/>
      <c r="L366" s="290">
        <f t="shared" ref="L366:R366" si="103">L362</f>
        <v>-9208</v>
      </c>
      <c r="M366" s="290">
        <f t="shared" si="103"/>
        <v>-11903.21</v>
      </c>
      <c r="N366" s="290">
        <f t="shared" si="103"/>
        <v>13700</v>
      </c>
      <c r="O366" s="290">
        <f t="shared" si="103"/>
        <v>-16756.66</v>
      </c>
      <c r="P366" s="290">
        <f t="shared" si="103"/>
        <v>-496.68999999999869</v>
      </c>
      <c r="Q366" s="290">
        <f t="shared" si="103"/>
        <v>12200</v>
      </c>
      <c r="R366" s="291">
        <f t="shared" si="103"/>
        <v>12200</v>
      </c>
    </row>
    <row r="367" spans="1:30" ht="15.75" customHeight="1" x14ac:dyDescent="0.2">
      <c r="C367" s="287"/>
      <c r="K367" s="287"/>
    </row>
    <row r="368" spans="1:30" ht="15.75" customHeight="1" x14ac:dyDescent="0.2">
      <c r="C368" s="287"/>
      <c r="K368" s="287"/>
    </row>
    <row r="369" spans="3:11" ht="15.75" customHeight="1" x14ac:dyDescent="0.2">
      <c r="C369" s="287"/>
      <c r="K369" s="287"/>
    </row>
    <row r="370" spans="3:11" ht="15.75" customHeight="1" x14ac:dyDescent="0.2">
      <c r="C370" s="287"/>
      <c r="K370" s="287"/>
    </row>
    <row r="371" spans="3:11" ht="15.75" customHeight="1" x14ac:dyDescent="0.2">
      <c r="C371" s="287"/>
      <c r="K371" s="287"/>
    </row>
    <row r="372" spans="3:11" ht="15.75" customHeight="1" x14ac:dyDescent="0.2">
      <c r="C372" s="287"/>
      <c r="K372" s="287"/>
    </row>
    <row r="373" spans="3:11" ht="15.75" customHeight="1" x14ac:dyDescent="0.2">
      <c r="C373" s="287"/>
      <c r="K373" s="287"/>
    </row>
    <row r="374" spans="3:11" ht="15.75" customHeight="1" x14ac:dyDescent="0.2">
      <c r="C374" s="287"/>
      <c r="K374" s="287"/>
    </row>
    <row r="375" spans="3:11" ht="15.75" customHeight="1" x14ac:dyDescent="0.2">
      <c r="C375" s="287"/>
      <c r="K375" s="287"/>
    </row>
    <row r="376" spans="3:11" ht="15.75" customHeight="1" x14ac:dyDescent="0.2">
      <c r="C376" s="287"/>
      <c r="K376" s="287"/>
    </row>
    <row r="377" spans="3:11" ht="15.75" customHeight="1" x14ac:dyDescent="0.2">
      <c r="C377" s="287"/>
      <c r="K377" s="287"/>
    </row>
    <row r="378" spans="3:11" ht="15.75" customHeight="1" x14ac:dyDescent="0.2">
      <c r="C378" s="287"/>
      <c r="K378" s="287"/>
    </row>
    <row r="379" spans="3:11" ht="15.75" customHeight="1" x14ac:dyDescent="0.2">
      <c r="C379" s="287"/>
      <c r="K379" s="287"/>
    </row>
    <row r="380" spans="3:11" ht="15.75" customHeight="1" x14ac:dyDescent="0.2">
      <c r="C380" s="287"/>
      <c r="K380" s="287"/>
    </row>
    <row r="381" spans="3:11" ht="15.75" customHeight="1" x14ac:dyDescent="0.2">
      <c r="C381" s="287"/>
      <c r="K381" s="287"/>
    </row>
    <row r="382" spans="3:11" ht="15.75" customHeight="1" x14ac:dyDescent="0.2">
      <c r="C382" s="287"/>
      <c r="K382" s="287"/>
    </row>
    <row r="383" spans="3:11" ht="15.75" customHeight="1" x14ac:dyDescent="0.2">
      <c r="C383" s="287"/>
      <c r="K383" s="287"/>
    </row>
    <row r="384" spans="3:11" ht="15.75" customHeight="1" x14ac:dyDescent="0.2">
      <c r="C384" s="287"/>
      <c r="K384" s="287"/>
    </row>
    <row r="385" spans="3:11" ht="15.75" customHeight="1" x14ac:dyDescent="0.2">
      <c r="C385" s="287"/>
      <c r="K385" s="287"/>
    </row>
    <row r="386" spans="3:11" ht="15.75" customHeight="1" x14ac:dyDescent="0.2">
      <c r="C386" s="287"/>
      <c r="K386" s="287"/>
    </row>
    <row r="387" spans="3:11" ht="15.75" customHeight="1" x14ac:dyDescent="0.2">
      <c r="C387" s="287"/>
      <c r="K387" s="287"/>
    </row>
    <row r="388" spans="3:11" ht="15.75" customHeight="1" x14ac:dyDescent="0.2">
      <c r="C388" s="287"/>
      <c r="K388" s="287"/>
    </row>
    <row r="389" spans="3:11" ht="15.75" customHeight="1" x14ac:dyDescent="0.2">
      <c r="C389" s="287"/>
      <c r="K389" s="287"/>
    </row>
    <row r="390" spans="3:11" ht="15.75" customHeight="1" x14ac:dyDescent="0.2">
      <c r="C390" s="287"/>
      <c r="K390" s="287"/>
    </row>
    <row r="391" spans="3:11" ht="15.75" customHeight="1" x14ac:dyDescent="0.2">
      <c r="C391" s="287"/>
      <c r="K391" s="287"/>
    </row>
    <row r="392" spans="3:11" ht="15.75" customHeight="1" x14ac:dyDescent="0.2">
      <c r="C392" s="287"/>
      <c r="K392" s="287"/>
    </row>
    <row r="393" spans="3:11" ht="15.75" customHeight="1" x14ac:dyDescent="0.2">
      <c r="C393" s="287"/>
      <c r="K393" s="287"/>
    </row>
    <row r="394" spans="3:11" ht="15.75" customHeight="1" x14ac:dyDescent="0.2">
      <c r="C394" s="287"/>
      <c r="K394" s="287"/>
    </row>
    <row r="395" spans="3:11" ht="15.75" customHeight="1" x14ac:dyDescent="0.2">
      <c r="C395" s="287"/>
      <c r="K395" s="287"/>
    </row>
    <row r="396" spans="3:11" ht="15.75" customHeight="1" x14ac:dyDescent="0.2">
      <c r="C396" s="287"/>
      <c r="K396" s="287"/>
    </row>
    <row r="397" spans="3:11" ht="15.75" customHeight="1" x14ac:dyDescent="0.2">
      <c r="C397" s="287"/>
      <c r="K397" s="287"/>
    </row>
    <row r="398" spans="3:11" ht="15.75" customHeight="1" x14ac:dyDescent="0.2">
      <c r="C398" s="287"/>
      <c r="K398" s="287"/>
    </row>
    <row r="399" spans="3:11" ht="15.75" customHeight="1" x14ac:dyDescent="0.2">
      <c r="C399" s="287"/>
      <c r="K399" s="287"/>
    </row>
    <row r="400" spans="3:11" ht="15.75" customHeight="1" x14ac:dyDescent="0.2">
      <c r="C400" s="287"/>
      <c r="K400" s="287"/>
    </row>
    <row r="401" spans="3:11" ht="15.75" customHeight="1" x14ac:dyDescent="0.2">
      <c r="C401" s="287"/>
      <c r="K401" s="287"/>
    </row>
    <row r="402" spans="3:11" ht="15.75" customHeight="1" x14ac:dyDescent="0.2">
      <c r="C402" s="287"/>
      <c r="K402" s="287"/>
    </row>
    <row r="403" spans="3:11" ht="15.75" customHeight="1" x14ac:dyDescent="0.2">
      <c r="C403" s="287"/>
      <c r="K403" s="287"/>
    </row>
    <row r="404" spans="3:11" ht="15.75" customHeight="1" x14ac:dyDescent="0.2">
      <c r="C404" s="287"/>
      <c r="K404" s="287"/>
    </row>
    <row r="405" spans="3:11" ht="15.75" customHeight="1" x14ac:dyDescent="0.2">
      <c r="C405" s="287"/>
      <c r="K405" s="287"/>
    </row>
    <row r="406" spans="3:11" ht="15.75" customHeight="1" x14ac:dyDescent="0.2">
      <c r="C406" s="287"/>
      <c r="K406" s="287"/>
    </row>
    <row r="407" spans="3:11" ht="15.75" customHeight="1" x14ac:dyDescent="0.2">
      <c r="C407" s="287"/>
      <c r="K407" s="287"/>
    </row>
    <row r="408" spans="3:11" ht="15.75" customHeight="1" x14ac:dyDescent="0.2">
      <c r="C408" s="287"/>
      <c r="K408" s="287"/>
    </row>
    <row r="409" spans="3:11" ht="15.75" customHeight="1" x14ac:dyDescent="0.2">
      <c r="C409" s="287"/>
      <c r="K409" s="287"/>
    </row>
    <row r="410" spans="3:11" ht="15.75" customHeight="1" x14ac:dyDescent="0.2">
      <c r="C410" s="287"/>
      <c r="K410" s="287"/>
    </row>
    <row r="411" spans="3:11" ht="15.75" customHeight="1" x14ac:dyDescent="0.2">
      <c r="C411" s="287"/>
      <c r="K411" s="287"/>
    </row>
    <row r="412" spans="3:11" ht="15.75" customHeight="1" x14ac:dyDescent="0.2">
      <c r="C412" s="287"/>
      <c r="K412" s="287"/>
    </row>
    <row r="413" spans="3:11" ht="15.75" customHeight="1" x14ac:dyDescent="0.2">
      <c r="C413" s="287"/>
      <c r="K413" s="287"/>
    </row>
    <row r="414" spans="3:11" ht="15.75" customHeight="1" x14ac:dyDescent="0.2">
      <c r="C414" s="287"/>
      <c r="K414" s="287"/>
    </row>
    <row r="415" spans="3:11" ht="15.75" customHeight="1" x14ac:dyDescent="0.2">
      <c r="C415" s="287"/>
      <c r="K415" s="287"/>
    </row>
    <row r="416" spans="3:11" ht="15.75" customHeight="1" x14ac:dyDescent="0.2">
      <c r="C416" s="287"/>
      <c r="K416" s="287"/>
    </row>
    <row r="417" spans="1:20" ht="15.75" customHeight="1" x14ac:dyDescent="0.2">
      <c r="A417" s="3" t="s">
        <v>50</v>
      </c>
      <c r="B417" s="3" t="s">
        <v>51</v>
      </c>
      <c r="C417" s="292"/>
      <c r="D417" s="99" t="s">
        <v>52</v>
      </c>
      <c r="E417" s="100" t="s">
        <v>53</v>
      </c>
      <c r="F417" s="100" t="s">
        <v>54</v>
      </c>
      <c r="G417" s="100" t="s">
        <v>55</v>
      </c>
      <c r="H417" s="24" t="s">
        <v>56</v>
      </c>
      <c r="I417" s="24" t="s">
        <v>57</v>
      </c>
      <c r="J417" s="101" t="s">
        <v>58</v>
      </c>
      <c r="K417" s="292"/>
      <c r="L417" s="3" t="s">
        <v>59</v>
      </c>
      <c r="M417" s="3" t="s">
        <v>60</v>
      </c>
      <c r="N417" s="3" t="s">
        <v>61</v>
      </c>
      <c r="O417" s="3" t="s">
        <v>62</v>
      </c>
      <c r="P417" s="293" t="s">
        <v>541</v>
      </c>
      <c r="Q417" s="293" t="s">
        <v>64</v>
      </c>
      <c r="R417" s="293" t="s">
        <v>65</v>
      </c>
      <c r="S417" s="293" t="s">
        <v>586</v>
      </c>
    </row>
    <row r="418" spans="1:20" ht="15.75" customHeight="1" x14ac:dyDescent="0.25">
      <c r="A418" s="565" t="s">
        <v>663</v>
      </c>
      <c r="B418" s="566"/>
      <c r="C418" s="566"/>
      <c r="D418" s="566"/>
      <c r="E418" s="66"/>
      <c r="F418" s="66"/>
      <c r="G418" s="312"/>
      <c r="H418" s="234"/>
      <c r="L418" s="65"/>
      <c r="M418" s="65"/>
      <c r="N418" s="65"/>
      <c r="O418" s="165"/>
      <c r="P418" s="157"/>
      <c r="Q418" s="157"/>
      <c r="R418" s="233"/>
      <c r="S418" s="275"/>
      <c r="T418" s="83"/>
    </row>
    <row r="419" spans="1:20" ht="15.75" customHeight="1" x14ac:dyDescent="0.25">
      <c r="A419" s="66" t="s">
        <v>664</v>
      </c>
      <c r="B419" s="66" t="s">
        <v>68</v>
      </c>
      <c r="C419" s="295"/>
      <c r="D419" s="160">
        <v>3498927</v>
      </c>
      <c r="E419" s="160" t="e">
        <f>D419*#REF!</f>
        <v>#REF!</v>
      </c>
      <c r="F419" s="160" t="e">
        <f>D419*#REF!</f>
        <v>#REF!</v>
      </c>
      <c r="G419" s="160" t="e">
        <f>(D419*#REF!)*#REF!</f>
        <v>#REF!</v>
      </c>
      <c r="H419" s="296">
        <f t="shared" ref="H419:H445" si="104">IFERROR(((Q419-G419)/G419),0)</f>
        <v>0</v>
      </c>
      <c r="I419" s="147" t="e">
        <f t="shared" ref="I419:I445" si="105">Q419-G419</f>
        <v>#REF!</v>
      </c>
      <c r="J419" s="97">
        <v>0</v>
      </c>
      <c r="K419" s="295"/>
      <c r="L419" s="20">
        <v>4394037</v>
      </c>
      <c r="M419" s="20">
        <v>4688561.2300000004</v>
      </c>
      <c r="N419" s="20">
        <v>4899001</v>
      </c>
      <c r="O419" s="20">
        <f>VLOOKUP(A419,TB!A:F,3)</f>
        <v>3644863.85</v>
      </c>
      <c r="P419" s="160">
        <f t="shared" ref="P419:P423" si="106">O419/20*26</f>
        <v>4738323.0049999999</v>
      </c>
      <c r="Q419" s="160">
        <v>5672600</v>
      </c>
      <c r="R419" s="233">
        <f>VLOOKUP(A419,TB!A:F,6)</f>
        <v>5672600</v>
      </c>
      <c r="S419" s="233">
        <f t="shared" ref="S419:S444" si="107">Q419-R419</f>
        <v>0</v>
      </c>
      <c r="T419" s="83"/>
    </row>
    <row r="420" spans="1:20" ht="15.75" customHeight="1" x14ac:dyDescent="0.25">
      <c r="A420" s="66" t="s">
        <v>665</v>
      </c>
      <c r="B420" s="66" t="s">
        <v>70</v>
      </c>
      <c r="C420" s="295"/>
      <c r="D420" s="160">
        <v>88887</v>
      </c>
      <c r="E420" s="160" t="e">
        <f>D420*#REF!</f>
        <v>#REF!</v>
      </c>
      <c r="F420" s="160" t="e">
        <f>D420*#REF!</f>
        <v>#REF!</v>
      </c>
      <c r="G420" s="160" t="e">
        <f>(D420*#REF!)*#REF!</f>
        <v>#REF!</v>
      </c>
      <c r="H420" s="296">
        <f t="shared" si="104"/>
        <v>0</v>
      </c>
      <c r="I420" s="147" t="e">
        <f t="shared" si="105"/>
        <v>#REF!</v>
      </c>
      <c r="J420" s="97">
        <v>0</v>
      </c>
      <c r="K420" s="295"/>
      <c r="L420" s="20">
        <v>332965</v>
      </c>
      <c r="M420" s="20">
        <v>304050.82</v>
      </c>
      <c r="N420" s="20">
        <v>300000</v>
      </c>
      <c r="O420" s="20">
        <f>VLOOKUP(A420,TB!A:F,3)</f>
        <v>123782.65</v>
      </c>
      <c r="P420" s="160">
        <f t="shared" si="106"/>
        <v>160917.44500000001</v>
      </c>
      <c r="Q420" s="160">
        <v>150000</v>
      </c>
      <c r="R420" s="233">
        <f>VLOOKUP(A420,TB!A:F,6)</f>
        <v>150000</v>
      </c>
      <c r="S420" s="233">
        <f t="shared" si="107"/>
        <v>0</v>
      </c>
      <c r="T420" s="83"/>
    </row>
    <row r="421" spans="1:20" ht="15.75" customHeight="1" x14ac:dyDescent="0.25">
      <c r="A421" s="66" t="s">
        <v>666</v>
      </c>
      <c r="B421" s="66" t="s">
        <v>132</v>
      </c>
      <c r="C421" s="295"/>
      <c r="D421" s="160">
        <v>21796</v>
      </c>
      <c r="E421" s="160" t="e">
        <f>D421*#REF!</f>
        <v>#REF!</v>
      </c>
      <c r="F421" s="160" t="e">
        <f>D421*#REF!</f>
        <v>#REF!</v>
      </c>
      <c r="G421" s="160" t="e">
        <f>(D421*#REF!)*#REF!</f>
        <v>#REF!</v>
      </c>
      <c r="H421" s="296">
        <f t="shared" si="104"/>
        <v>0</v>
      </c>
      <c r="I421" s="147" t="e">
        <f t="shared" si="105"/>
        <v>#REF!</v>
      </c>
      <c r="J421" s="97">
        <v>0</v>
      </c>
      <c r="K421" s="295"/>
      <c r="L421" s="20">
        <v>74791</v>
      </c>
      <c r="M421" s="20">
        <v>7522.6</v>
      </c>
      <c r="N421" s="20">
        <v>0</v>
      </c>
      <c r="O421" s="20">
        <f>VLOOKUP(A421,TB!A:F,3)</f>
        <v>0</v>
      </c>
      <c r="P421" s="160">
        <f t="shared" si="106"/>
        <v>0</v>
      </c>
      <c r="Q421" s="160">
        <v>0</v>
      </c>
      <c r="R421" s="233">
        <f>VLOOKUP(A421,TB!A:F,6)</f>
        <v>0</v>
      </c>
      <c r="S421" s="233">
        <f t="shared" si="107"/>
        <v>0</v>
      </c>
      <c r="T421" s="83"/>
    </row>
    <row r="422" spans="1:20" ht="15.75" customHeight="1" x14ac:dyDescent="0.25">
      <c r="A422" s="66" t="s">
        <v>667</v>
      </c>
      <c r="B422" s="66" t="s">
        <v>72</v>
      </c>
      <c r="C422" s="295"/>
      <c r="D422" s="160">
        <v>2263505</v>
      </c>
      <c r="E422" s="160" t="e">
        <f>D422*#REF!</f>
        <v>#REF!</v>
      </c>
      <c r="F422" s="160" t="e">
        <f>D422*#REF!</f>
        <v>#REF!</v>
      </c>
      <c r="G422" s="160" t="e">
        <f>(D422*#REF!)*#REF!</f>
        <v>#REF!</v>
      </c>
      <c r="H422" s="296">
        <f t="shared" si="104"/>
        <v>0</v>
      </c>
      <c r="I422" s="147" t="e">
        <f t="shared" si="105"/>
        <v>#REF!</v>
      </c>
      <c r="J422" s="97">
        <v>0</v>
      </c>
      <c r="K422" s="295"/>
      <c r="L422" s="20">
        <v>2748193</v>
      </c>
      <c r="M422" s="20">
        <v>2926856.82</v>
      </c>
      <c r="N422" s="20">
        <v>3628142</v>
      </c>
      <c r="O422" s="20">
        <f>VLOOKUP(A422,TB!A:F,3)</f>
        <v>2209623.5299999998</v>
      </c>
      <c r="P422" s="160">
        <f t="shared" si="106"/>
        <v>2872510.5889999997</v>
      </c>
      <c r="Q422" s="160">
        <v>3450500</v>
      </c>
      <c r="R422" s="233">
        <f>VLOOKUP(A422,TB!A:F,6)</f>
        <v>3450500</v>
      </c>
      <c r="S422" s="233">
        <f t="shared" si="107"/>
        <v>0</v>
      </c>
      <c r="T422" s="83"/>
    </row>
    <row r="423" spans="1:20" ht="15.75" customHeight="1" x14ac:dyDescent="0.25">
      <c r="A423" s="66" t="s">
        <v>668</v>
      </c>
      <c r="B423" s="66" t="s">
        <v>451</v>
      </c>
      <c r="C423" s="295"/>
      <c r="D423" s="160">
        <v>10747</v>
      </c>
      <c r="E423" s="160" t="e">
        <f>D423*#REF!</f>
        <v>#REF!</v>
      </c>
      <c r="F423" s="160" t="e">
        <f>D423*#REF!</f>
        <v>#REF!</v>
      </c>
      <c r="G423" s="160" t="e">
        <f>(D423*#REF!)*#REF!</f>
        <v>#REF!</v>
      </c>
      <c r="H423" s="296">
        <f t="shared" si="104"/>
        <v>0</v>
      </c>
      <c r="I423" s="147" t="e">
        <f t="shared" si="105"/>
        <v>#REF!</v>
      </c>
      <c r="J423" s="97">
        <v>0</v>
      </c>
      <c r="K423" s="295"/>
      <c r="L423" s="20">
        <v>22550</v>
      </c>
      <c r="M423" s="20">
        <v>35325.06</v>
      </c>
      <c r="N423" s="20">
        <v>16000</v>
      </c>
      <c r="O423" s="20">
        <f>VLOOKUP(A423,TB!A:F,3)</f>
        <v>21031.32</v>
      </c>
      <c r="P423" s="160">
        <f t="shared" si="106"/>
        <v>27340.716</v>
      </c>
      <c r="Q423" s="160">
        <v>28000</v>
      </c>
      <c r="R423" s="233">
        <f>VLOOKUP(A423,TB!A:F,6)</f>
        <v>28000</v>
      </c>
      <c r="S423" s="233">
        <f t="shared" si="107"/>
        <v>0</v>
      </c>
      <c r="T423" s="83"/>
    </row>
    <row r="424" spans="1:20" ht="15.75" customHeight="1" x14ac:dyDescent="0.25">
      <c r="A424" s="66" t="s">
        <v>669</v>
      </c>
      <c r="B424" s="66" t="s">
        <v>670</v>
      </c>
      <c r="C424" s="295"/>
      <c r="D424" s="160">
        <v>282088</v>
      </c>
      <c r="E424" s="160" t="e">
        <f>D424*#REF!</f>
        <v>#REF!</v>
      </c>
      <c r="F424" s="160" t="e">
        <f>D424*#REF!</f>
        <v>#REF!</v>
      </c>
      <c r="G424" s="160" t="e">
        <f>(D424*#REF!)*#REF!</f>
        <v>#REF!</v>
      </c>
      <c r="H424" s="296">
        <f t="shared" si="104"/>
        <v>0</v>
      </c>
      <c r="I424" s="147" t="e">
        <f t="shared" si="105"/>
        <v>#REF!</v>
      </c>
      <c r="J424" s="97">
        <v>0</v>
      </c>
      <c r="K424" s="295"/>
      <c r="L424" s="20">
        <v>288637</v>
      </c>
      <c r="M424" s="20">
        <v>263560.34999999998</v>
      </c>
      <c r="N424" s="20">
        <v>268900</v>
      </c>
      <c r="O424" s="20">
        <f>VLOOKUP(A424,TB!A:F,3)</f>
        <v>185075.11</v>
      </c>
      <c r="P424" s="163">
        <f>N424</f>
        <v>268900</v>
      </c>
      <c r="Q424" s="160">
        <v>259400</v>
      </c>
      <c r="R424" s="233">
        <f>VLOOKUP(A424,TB!A:F,6)</f>
        <v>259400</v>
      </c>
      <c r="S424" s="233">
        <f t="shared" si="107"/>
        <v>0</v>
      </c>
      <c r="T424" s="83"/>
    </row>
    <row r="425" spans="1:20" ht="15.75" customHeight="1" x14ac:dyDescent="0.25">
      <c r="A425" s="66" t="s">
        <v>671</v>
      </c>
      <c r="B425" s="66" t="s">
        <v>74</v>
      </c>
      <c r="C425" s="295"/>
      <c r="D425" s="160">
        <v>5255</v>
      </c>
      <c r="E425" s="160" t="e">
        <f>D425*#REF!</f>
        <v>#REF!</v>
      </c>
      <c r="F425" s="160" t="e">
        <f>D425*#REF!</f>
        <v>#REF!</v>
      </c>
      <c r="G425" s="160" t="e">
        <f>(D425*#REF!)*#REF!</f>
        <v>#REF!</v>
      </c>
      <c r="H425" s="296">
        <f t="shared" si="104"/>
        <v>0</v>
      </c>
      <c r="I425" s="147" t="e">
        <f t="shared" si="105"/>
        <v>#REF!</v>
      </c>
      <c r="J425" s="97">
        <v>0</v>
      </c>
      <c r="K425" s="295"/>
      <c r="L425" s="20">
        <v>425</v>
      </c>
      <c r="M425" s="20">
        <v>0</v>
      </c>
      <c r="N425" s="20">
        <v>0</v>
      </c>
      <c r="O425" s="20">
        <f>VLOOKUP(A425,TB!A:F,3)</f>
        <v>0</v>
      </c>
      <c r="P425" s="160">
        <f t="shared" ref="P425:P426" si="108">O425/9*12</f>
        <v>0</v>
      </c>
      <c r="Q425" s="160">
        <v>0</v>
      </c>
      <c r="R425" s="233">
        <f>VLOOKUP(A425,TB!A:F,6)</f>
        <v>0</v>
      </c>
      <c r="S425" s="233">
        <f t="shared" si="107"/>
        <v>0</v>
      </c>
      <c r="T425" s="83"/>
    </row>
    <row r="426" spans="1:20" ht="15.75" customHeight="1" x14ac:dyDescent="0.25">
      <c r="A426" s="66" t="s">
        <v>672</v>
      </c>
      <c r="B426" s="66" t="s">
        <v>76</v>
      </c>
      <c r="C426" s="295"/>
      <c r="D426" s="160">
        <v>24165</v>
      </c>
      <c r="E426" s="160" t="e">
        <f>D426*#REF!</f>
        <v>#REF!</v>
      </c>
      <c r="F426" s="160" t="e">
        <f>D426*#REF!</f>
        <v>#REF!</v>
      </c>
      <c r="G426" s="160" t="e">
        <f>(D426*#REF!)*#REF!</f>
        <v>#REF!</v>
      </c>
      <c r="H426" s="296">
        <f t="shared" si="104"/>
        <v>0</v>
      </c>
      <c r="I426" s="147" t="e">
        <f t="shared" si="105"/>
        <v>#REF!</v>
      </c>
      <c r="J426" s="97">
        <v>0</v>
      </c>
      <c r="K426" s="295"/>
      <c r="L426" s="20">
        <v>40174</v>
      </c>
      <c r="M426" s="20">
        <v>33281.89</v>
      </c>
      <c r="N426" s="20">
        <v>30000</v>
      </c>
      <c r="O426" s="20">
        <f>VLOOKUP(A426,TB!A:F,3)</f>
        <v>27084.23</v>
      </c>
      <c r="P426" s="160">
        <f t="shared" si="108"/>
        <v>36112.306666666671</v>
      </c>
      <c r="Q426" s="160">
        <v>30000</v>
      </c>
      <c r="R426" s="233">
        <f>VLOOKUP(A426,TB!A:F,6)</f>
        <v>30000</v>
      </c>
      <c r="S426" s="233">
        <f t="shared" si="107"/>
        <v>0</v>
      </c>
      <c r="T426" s="83"/>
    </row>
    <row r="427" spans="1:20" ht="15.75" customHeight="1" x14ac:dyDescent="0.25">
      <c r="A427" s="66" t="s">
        <v>673</v>
      </c>
      <c r="B427" s="66" t="s">
        <v>674</v>
      </c>
      <c r="C427" s="295"/>
      <c r="D427" s="160">
        <v>-37</v>
      </c>
      <c r="E427" s="160" t="e">
        <f>D427*#REF!</f>
        <v>#REF!</v>
      </c>
      <c r="F427" s="160" t="e">
        <f>D427*#REF!</f>
        <v>#REF!</v>
      </c>
      <c r="G427" s="160" t="e">
        <f>(D427*#REF!)*#REF!</f>
        <v>#REF!</v>
      </c>
      <c r="H427" s="296">
        <f t="shared" si="104"/>
        <v>0</v>
      </c>
      <c r="I427" s="147" t="e">
        <f t="shared" si="105"/>
        <v>#REF!</v>
      </c>
      <c r="J427" s="97">
        <v>0</v>
      </c>
      <c r="K427" s="295"/>
      <c r="L427" s="20">
        <v>-733</v>
      </c>
      <c r="M427" s="20">
        <v>2861.26</v>
      </c>
      <c r="N427" s="20">
        <v>4100</v>
      </c>
      <c r="O427" s="20">
        <f>VLOOKUP(A427,TB!A:F,3)</f>
        <v>-440.59</v>
      </c>
      <c r="P427" s="163">
        <f>N427</f>
        <v>4100</v>
      </c>
      <c r="Q427" s="160">
        <v>4100</v>
      </c>
      <c r="R427" s="233">
        <f>VLOOKUP(A427,TB!A:F,6)</f>
        <v>4100</v>
      </c>
      <c r="S427" s="233">
        <f t="shared" si="107"/>
        <v>0</v>
      </c>
      <c r="T427" s="83"/>
    </row>
    <row r="428" spans="1:20" ht="15.75" customHeight="1" x14ac:dyDescent="0.25">
      <c r="A428" s="66" t="s">
        <v>675</v>
      </c>
      <c r="B428" s="66" t="s">
        <v>80</v>
      </c>
      <c r="C428" s="295"/>
      <c r="D428" s="160">
        <v>23503</v>
      </c>
      <c r="E428" s="160" t="e">
        <f>D428*#REF!</f>
        <v>#REF!</v>
      </c>
      <c r="F428" s="160" t="e">
        <f>D428*#REF!</f>
        <v>#REF!</v>
      </c>
      <c r="G428" s="160" t="e">
        <f>(D428*#REF!)*#REF!</f>
        <v>#REF!</v>
      </c>
      <c r="H428" s="296">
        <f t="shared" si="104"/>
        <v>0</v>
      </c>
      <c r="I428" s="147" t="e">
        <f t="shared" si="105"/>
        <v>#REF!</v>
      </c>
      <c r="J428" s="97">
        <v>0</v>
      </c>
      <c r="K428" s="295"/>
      <c r="L428" s="20">
        <v>36477</v>
      </c>
      <c r="M428" s="20">
        <v>591.96</v>
      </c>
      <c r="N428" s="20">
        <v>0</v>
      </c>
      <c r="O428" s="20">
        <f>VLOOKUP(A428,TB!A:F,3)</f>
        <v>8.69</v>
      </c>
      <c r="P428" s="160">
        <f t="shared" ref="P428:P429" si="109">O428/9*12</f>
        <v>11.586666666666666</v>
      </c>
      <c r="Q428" s="160">
        <v>0</v>
      </c>
      <c r="R428" s="233">
        <f>VLOOKUP(A428,TB!A:F,6)</f>
        <v>0</v>
      </c>
      <c r="S428" s="233">
        <f t="shared" si="107"/>
        <v>0</v>
      </c>
      <c r="T428" s="83"/>
    </row>
    <row r="429" spans="1:20" ht="15.75" customHeight="1" x14ac:dyDescent="0.25">
      <c r="A429" s="66" t="s">
        <v>676</v>
      </c>
      <c r="B429" s="66" t="s">
        <v>82</v>
      </c>
      <c r="C429" s="295"/>
      <c r="D429" s="160">
        <v>24750</v>
      </c>
      <c r="E429" s="160" t="e">
        <f>D429*#REF!</f>
        <v>#REF!</v>
      </c>
      <c r="F429" s="160" t="e">
        <f>D429*#REF!</f>
        <v>#REF!</v>
      </c>
      <c r="G429" s="160" t="e">
        <f>(D429*#REF!)*#REF!</f>
        <v>#REF!</v>
      </c>
      <c r="H429" s="296">
        <f t="shared" si="104"/>
        <v>0</v>
      </c>
      <c r="I429" s="147" t="e">
        <f t="shared" si="105"/>
        <v>#REF!</v>
      </c>
      <c r="J429" s="97">
        <v>0</v>
      </c>
      <c r="K429" s="295"/>
      <c r="L429" s="20">
        <v>26769</v>
      </c>
      <c r="M429" s="20">
        <v>777.9</v>
      </c>
      <c r="N429" s="20">
        <v>0</v>
      </c>
      <c r="O429" s="20">
        <f>VLOOKUP(A429,TB!A:F,3)</f>
        <v>0</v>
      </c>
      <c r="P429" s="160">
        <f t="shared" si="109"/>
        <v>0</v>
      </c>
      <c r="Q429" s="160">
        <v>0</v>
      </c>
      <c r="R429" s="233">
        <f>VLOOKUP(A429,TB!A:F,6)</f>
        <v>0</v>
      </c>
      <c r="S429" s="233">
        <f t="shared" si="107"/>
        <v>0</v>
      </c>
      <c r="T429" s="83"/>
    </row>
    <row r="430" spans="1:20" ht="15.75" customHeight="1" x14ac:dyDescent="0.25">
      <c r="A430" s="66" t="s">
        <v>677</v>
      </c>
      <c r="B430" s="66" t="s">
        <v>115</v>
      </c>
      <c r="C430" s="295"/>
      <c r="D430" s="160">
        <v>29524</v>
      </c>
      <c r="E430" s="160" t="e">
        <f>D430*#REF!</f>
        <v>#REF!</v>
      </c>
      <c r="F430" s="160" t="e">
        <f>D430*#REF!</f>
        <v>#REF!</v>
      </c>
      <c r="G430" s="160" t="e">
        <f>(D430*#REF!)*#REF!</f>
        <v>#REF!</v>
      </c>
      <c r="H430" s="296">
        <f t="shared" si="104"/>
        <v>0</v>
      </c>
      <c r="I430" s="147" t="e">
        <f t="shared" si="105"/>
        <v>#REF!</v>
      </c>
      <c r="J430" s="97">
        <v>0</v>
      </c>
      <c r="K430" s="295"/>
      <c r="L430" s="20">
        <v>42880</v>
      </c>
      <c r="M430" s="20">
        <v>33869.050000000003</v>
      </c>
      <c r="N430" s="20">
        <v>50000</v>
      </c>
      <c r="O430" s="20">
        <f>VLOOKUP(A430,TB!A:F,3)</f>
        <v>21055.02</v>
      </c>
      <c r="P430" s="163">
        <f t="shared" ref="P430:P431" si="110">N430</f>
        <v>50000</v>
      </c>
      <c r="Q430" s="160">
        <v>38500</v>
      </c>
      <c r="R430" s="233">
        <f>VLOOKUP(A430,TB!A:F,6)</f>
        <v>38500</v>
      </c>
      <c r="S430" s="233">
        <f t="shared" si="107"/>
        <v>0</v>
      </c>
      <c r="T430" s="83"/>
    </row>
    <row r="431" spans="1:20" ht="15.75" customHeight="1" x14ac:dyDescent="0.25">
      <c r="A431" s="66" t="s">
        <v>678</v>
      </c>
      <c r="B431" s="66" t="s">
        <v>679</v>
      </c>
      <c r="C431" s="295"/>
      <c r="D431" s="160">
        <v>2811</v>
      </c>
      <c r="E431" s="160" t="e">
        <f>D431*#REF!</f>
        <v>#REF!</v>
      </c>
      <c r="F431" s="160" t="e">
        <f>D431*#REF!</f>
        <v>#REF!</v>
      </c>
      <c r="G431" s="160" t="e">
        <f>(D431*#REF!)*#REF!</f>
        <v>#REF!</v>
      </c>
      <c r="H431" s="296">
        <f t="shared" si="104"/>
        <v>0</v>
      </c>
      <c r="I431" s="147" t="e">
        <f t="shared" si="105"/>
        <v>#REF!</v>
      </c>
      <c r="J431" s="97">
        <v>0</v>
      </c>
      <c r="K431" s="295"/>
      <c r="L431" s="20">
        <v>1570</v>
      </c>
      <c r="M431" s="20">
        <v>9230.81</v>
      </c>
      <c r="N431" s="20">
        <v>5400</v>
      </c>
      <c r="O431" s="20">
        <f>VLOOKUP(A431,TB!A:F,3)</f>
        <v>748.49</v>
      </c>
      <c r="P431" s="163">
        <f t="shared" si="110"/>
        <v>5400</v>
      </c>
      <c r="Q431" s="160">
        <v>5400</v>
      </c>
      <c r="R431" s="233">
        <f>VLOOKUP(A431,TB!A:F,6)</f>
        <v>5400</v>
      </c>
      <c r="S431" s="233">
        <f t="shared" si="107"/>
        <v>0</v>
      </c>
      <c r="T431" s="83"/>
    </row>
    <row r="432" spans="1:20" ht="15.75" customHeight="1" x14ac:dyDescent="0.25">
      <c r="A432" s="66" t="s">
        <v>680</v>
      </c>
      <c r="B432" s="66" t="s">
        <v>277</v>
      </c>
      <c r="C432" s="295"/>
      <c r="D432" s="160">
        <v>0</v>
      </c>
      <c r="E432" s="160" t="e">
        <f>D432*#REF!</f>
        <v>#REF!</v>
      </c>
      <c r="F432" s="160" t="e">
        <f>D432*#REF!</f>
        <v>#REF!</v>
      </c>
      <c r="G432" s="160" t="e">
        <f>(D432*#REF!)*#REF!</f>
        <v>#REF!</v>
      </c>
      <c r="H432" s="296">
        <f t="shared" si="104"/>
        <v>0</v>
      </c>
      <c r="I432" s="147" t="e">
        <f t="shared" si="105"/>
        <v>#REF!</v>
      </c>
      <c r="J432" s="97">
        <v>0</v>
      </c>
      <c r="K432" s="295"/>
      <c r="L432" s="20">
        <v>16755</v>
      </c>
      <c r="M432" s="20">
        <v>0</v>
      </c>
      <c r="N432" s="20">
        <v>0</v>
      </c>
      <c r="O432" s="20">
        <f>VLOOKUP(A432,TB!A:F,3)</f>
        <v>0</v>
      </c>
      <c r="P432" s="160">
        <f t="shared" ref="P432:P434" si="111">O432/9*12</f>
        <v>0</v>
      </c>
      <c r="Q432" s="160">
        <v>0</v>
      </c>
      <c r="R432" s="233">
        <f>VLOOKUP(A432,TB!A:F,6)</f>
        <v>0</v>
      </c>
      <c r="S432" s="233">
        <f t="shared" si="107"/>
        <v>0</v>
      </c>
      <c r="T432" s="83"/>
    </row>
    <row r="433" spans="1:20" ht="15.75" customHeight="1" x14ac:dyDescent="0.25">
      <c r="A433" s="66" t="s">
        <v>681</v>
      </c>
      <c r="B433" s="66" t="s">
        <v>84</v>
      </c>
      <c r="C433" s="295"/>
      <c r="D433" s="160">
        <v>197</v>
      </c>
      <c r="E433" s="160" t="e">
        <f>D433*#REF!</f>
        <v>#REF!</v>
      </c>
      <c r="F433" s="160" t="e">
        <f>D433*#REF!</f>
        <v>#REF!</v>
      </c>
      <c r="G433" s="160" t="e">
        <f>(D433*#REF!)*#REF!</f>
        <v>#REF!</v>
      </c>
      <c r="H433" s="296">
        <f t="shared" si="104"/>
        <v>0</v>
      </c>
      <c r="I433" s="147" t="e">
        <f t="shared" si="105"/>
        <v>#REF!</v>
      </c>
      <c r="J433" s="97">
        <v>0</v>
      </c>
      <c r="K433" s="295"/>
      <c r="L433" s="20">
        <v>1635</v>
      </c>
      <c r="M433" s="20">
        <v>0</v>
      </c>
      <c r="N433" s="20">
        <v>0</v>
      </c>
      <c r="O433" s="20">
        <f>VLOOKUP(A433,TB!A:F,3)</f>
        <v>492.82</v>
      </c>
      <c r="P433" s="160">
        <f t="shared" si="111"/>
        <v>657.09333333333325</v>
      </c>
      <c r="Q433" s="160">
        <v>0</v>
      </c>
      <c r="R433" s="233">
        <f>VLOOKUP(A433,TB!A:F,6)</f>
        <v>0</v>
      </c>
      <c r="S433" s="233">
        <f t="shared" si="107"/>
        <v>0</v>
      </c>
      <c r="T433" s="83"/>
    </row>
    <row r="434" spans="1:20" ht="15.75" customHeight="1" x14ac:dyDescent="0.25">
      <c r="A434" s="66" t="s">
        <v>682</v>
      </c>
      <c r="B434" s="66" t="s">
        <v>210</v>
      </c>
      <c r="C434" s="295"/>
      <c r="D434" s="160">
        <v>20205</v>
      </c>
      <c r="E434" s="160" t="e">
        <f>D434*#REF!</f>
        <v>#REF!</v>
      </c>
      <c r="F434" s="160" t="e">
        <f>D434*#REF!</f>
        <v>#REF!</v>
      </c>
      <c r="G434" s="160" t="e">
        <f>(D434*#REF!)*#REF!</f>
        <v>#REF!</v>
      </c>
      <c r="H434" s="296">
        <f t="shared" si="104"/>
        <v>0</v>
      </c>
      <c r="I434" s="147" t="e">
        <f t="shared" si="105"/>
        <v>#REF!</v>
      </c>
      <c r="J434" s="97">
        <v>0</v>
      </c>
      <c r="K434" s="295"/>
      <c r="L434" s="20">
        <v>22170</v>
      </c>
      <c r="M434" s="20">
        <v>0</v>
      </c>
      <c r="N434" s="20">
        <v>0</v>
      </c>
      <c r="O434" s="20">
        <f>VLOOKUP(A434,TB!A:F,3)</f>
        <v>0</v>
      </c>
      <c r="P434" s="160">
        <f t="shared" si="111"/>
        <v>0</v>
      </c>
      <c r="Q434" s="160">
        <v>0</v>
      </c>
      <c r="R434" s="233">
        <f>VLOOKUP(A434,TB!A:F,6)</f>
        <v>0</v>
      </c>
      <c r="S434" s="233">
        <f t="shared" si="107"/>
        <v>0</v>
      </c>
      <c r="T434" s="83"/>
    </row>
    <row r="435" spans="1:20" ht="15.75" customHeight="1" x14ac:dyDescent="0.25">
      <c r="A435" s="66" t="s">
        <v>683</v>
      </c>
      <c r="B435" s="66" t="s">
        <v>86</v>
      </c>
      <c r="C435" s="295"/>
      <c r="D435" s="160">
        <v>1121905</v>
      </c>
      <c r="E435" s="160" t="e">
        <f>D435*#REF!</f>
        <v>#REF!</v>
      </c>
      <c r="F435" s="160" t="e">
        <f>D435*#REF!</f>
        <v>#REF!</v>
      </c>
      <c r="G435" s="160" t="e">
        <f>(D435*#REF!)*#REF!</f>
        <v>#REF!</v>
      </c>
      <c r="H435" s="296">
        <f t="shared" si="104"/>
        <v>0</v>
      </c>
      <c r="I435" s="147" t="e">
        <f t="shared" si="105"/>
        <v>#REF!</v>
      </c>
      <c r="J435" s="97">
        <v>0</v>
      </c>
      <c r="K435" s="295"/>
      <c r="L435" s="20">
        <v>1401521</v>
      </c>
      <c r="M435" s="20">
        <v>0</v>
      </c>
      <c r="N435" s="20">
        <v>1552645</v>
      </c>
      <c r="O435" s="20">
        <f>VLOOKUP(A435,TB!A:F,3)</f>
        <v>1237637.5</v>
      </c>
      <c r="P435" s="160">
        <f>N435</f>
        <v>1552645</v>
      </c>
      <c r="Q435" s="160">
        <v>1601224</v>
      </c>
      <c r="R435" s="233">
        <f>VLOOKUP(A435,TB!A:F,6)</f>
        <v>1601224</v>
      </c>
      <c r="S435" s="233">
        <f t="shared" si="107"/>
        <v>0</v>
      </c>
      <c r="T435" s="83"/>
    </row>
    <row r="436" spans="1:20" ht="15.75" customHeight="1" x14ac:dyDescent="0.25">
      <c r="A436" s="66" t="s">
        <v>684</v>
      </c>
      <c r="B436" s="66" t="s">
        <v>88</v>
      </c>
      <c r="C436" s="295"/>
      <c r="D436" s="160">
        <v>0</v>
      </c>
      <c r="E436" s="160" t="e">
        <f>D436*#REF!</f>
        <v>#REF!</v>
      </c>
      <c r="F436" s="160" t="e">
        <f>D436*#REF!</f>
        <v>#REF!</v>
      </c>
      <c r="G436" s="160" t="e">
        <f>(D436*#REF!)*#REF!</f>
        <v>#REF!</v>
      </c>
      <c r="H436" s="296">
        <f t="shared" si="104"/>
        <v>0</v>
      </c>
      <c r="I436" s="147" t="e">
        <f t="shared" si="105"/>
        <v>#REF!</v>
      </c>
      <c r="J436" s="97">
        <v>0</v>
      </c>
      <c r="K436" s="295"/>
      <c r="L436" s="20">
        <v>1459</v>
      </c>
      <c r="M436" s="20">
        <v>16052.6</v>
      </c>
      <c r="N436" s="20">
        <v>0</v>
      </c>
      <c r="O436" s="20">
        <f>VLOOKUP(A436,TB!A:F,3)</f>
        <v>0</v>
      </c>
      <c r="P436" s="160">
        <f>O436/9*12</f>
        <v>0</v>
      </c>
      <c r="Q436" s="160">
        <v>0</v>
      </c>
      <c r="R436" s="233">
        <f>VLOOKUP(A436,TB!A:F,6)</f>
        <v>0</v>
      </c>
      <c r="S436" s="233">
        <f t="shared" si="107"/>
        <v>0</v>
      </c>
      <c r="T436" s="83"/>
    </row>
    <row r="437" spans="1:20" ht="15.75" customHeight="1" x14ac:dyDescent="0.25">
      <c r="A437" s="66" t="s">
        <v>685</v>
      </c>
      <c r="B437" s="66" t="s">
        <v>686</v>
      </c>
      <c r="C437" s="295"/>
      <c r="D437" s="160">
        <v>189000</v>
      </c>
      <c r="E437" s="160" t="e">
        <f>D437*#REF!</f>
        <v>#REF!</v>
      </c>
      <c r="F437" s="160" t="e">
        <f>D437*#REF!</f>
        <v>#REF!</v>
      </c>
      <c r="G437" s="160" t="e">
        <f>(D437*#REF!)*#REF!</f>
        <v>#REF!</v>
      </c>
      <c r="H437" s="296">
        <f t="shared" si="104"/>
        <v>0</v>
      </c>
      <c r="I437" s="147" t="e">
        <f t="shared" si="105"/>
        <v>#REF!</v>
      </c>
      <c r="J437" s="97">
        <v>0</v>
      </c>
      <c r="K437" s="295"/>
      <c r="L437" s="20">
        <v>236316</v>
      </c>
      <c r="M437" s="20">
        <v>280616.76</v>
      </c>
      <c r="N437" s="20">
        <v>241000</v>
      </c>
      <c r="O437" s="20">
        <f>VLOOKUP(A437,TB!A:F,3)</f>
        <v>160305.60000000001</v>
      </c>
      <c r="P437" s="163">
        <f t="shared" ref="P437:P439" si="112">N437</f>
        <v>241000</v>
      </c>
      <c r="Q437" s="160">
        <v>250040</v>
      </c>
      <c r="R437" s="233">
        <f>VLOOKUP(A437,TB!A:F,6)</f>
        <v>250040</v>
      </c>
      <c r="S437" s="233">
        <f t="shared" si="107"/>
        <v>0</v>
      </c>
      <c r="T437" s="83"/>
    </row>
    <row r="438" spans="1:20" ht="15.75" customHeight="1" x14ac:dyDescent="0.25">
      <c r="A438" s="66" t="s">
        <v>687</v>
      </c>
      <c r="B438" s="66" t="s">
        <v>688</v>
      </c>
      <c r="C438" s="295"/>
      <c r="D438" s="160">
        <v>24769</v>
      </c>
      <c r="E438" s="160" t="e">
        <f>D438*#REF!</f>
        <v>#REF!</v>
      </c>
      <c r="F438" s="160" t="e">
        <f>D438*#REF!</f>
        <v>#REF!</v>
      </c>
      <c r="G438" s="160" t="e">
        <f>(D438*#REF!)*#REF!</f>
        <v>#REF!</v>
      </c>
      <c r="H438" s="296">
        <f t="shared" si="104"/>
        <v>0</v>
      </c>
      <c r="I438" s="147" t="e">
        <f t="shared" si="105"/>
        <v>#REF!</v>
      </c>
      <c r="J438" s="97">
        <v>0</v>
      </c>
      <c r="K438" s="295"/>
      <c r="L438" s="20">
        <v>12996</v>
      </c>
      <c r="M438" s="20">
        <v>35609.14</v>
      </c>
      <c r="N438" s="20">
        <v>36100</v>
      </c>
      <c r="O438" s="20">
        <f>VLOOKUP(A438,TB!A:F,3)</f>
        <v>11277.05</v>
      </c>
      <c r="P438" s="163">
        <f t="shared" si="112"/>
        <v>36100</v>
      </c>
      <c r="Q438" s="160">
        <v>36100</v>
      </c>
      <c r="R438" s="233">
        <f>VLOOKUP(A438,TB!A:F,6)</f>
        <v>36100</v>
      </c>
      <c r="S438" s="233">
        <f t="shared" si="107"/>
        <v>0</v>
      </c>
      <c r="T438" s="83"/>
    </row>
    <row r="439" spans="1:20" ht="15.75" customHeight="1" x14ac:dyDescent="0.25">
      <c r="A439" s="66" t="s">
        <v>689</v>
      </c>
      <c r="B439" s="66" t="s">
        <v>90</v>
      </c>
      <c r="C439" s="295"/>
      <c r="D439" s="160">
        <v>30452</v>
      </c>
      <c r="E439" s="160" t="e">
        <f>D439*#REF!</f>
        <v>#REF!</v>
      </c>
      <c r="F439" s="160" t="e">
        <f>D439*#REF!</f>
        <v>#REF!</v>
      </c>
      <c r="G439" s="160" t="e">
        <f>(D439*#REF!)*#REF!</f>
        <v>#REF!</v>
      </c>
      <c r="H439" s="296">
        <f t="shared" si="104"/>
        <v>0</v>
      </c>
      <c r="I439" s="147" t="e">
        <f t="shared" si="105"/>
        <v>#REF!</v>
      </c>
      <c r="J439" s="97">
        <v>0</v>
      </c>
      <c r="K439" s="295"/>
      <c r="L439" s="20">
        <v>24620</v>
      </c>
      <c r="M439" s="20">
        <v>29249.18</v>
      </c>
      <c r="N439" s="20">
        <v>45000</v>
      </c>
      <c r="O439" s="20">
        <f>VLOOKUP(A439,TB!A:F,3)</f>
        <v>13921.06</v>
      </c>
      <c r="P439" s="163">
        <f t="shared" si="112"/>
        <v>45000</v>
      </c>
      <c r="Q439" s="160">
        <v>25000</v>
      </c>
      <c r="R439" s="233">
        <f>VLOOKUP(A439,TB!A:F,6)</f>
        <v>25000</v>
      </c>
      <c r="S439" s="233">
        <f t="shared" si="107"/>
        <v>0</v>
      </c>
      <c r="T439" s="83"/>
    </row>
    <row r="440" spans="1:20" ht="15.75" customHeight="1" x14ac:dyDescent="0.25">
      <c r="A440" s="66" t="s">
        <v>690</v>
      </c>
      <c r="B440" s="66" t="s">
        <v>606</v>
      </c>
      <c r="C440" s="295"/>
      <c r="D440" s="160">
        <v>6949</v>
      </c>
      <c r="E440" s="160" t="e">
        <f>D440*#REF!</f>
        <v>#REF!</v>
      </c>
      <c r="F440" s="160" t="e">
        <f>D440*#REF!</f>
        <v>#REF!</v>
      </c>
      <c r="G440" s="160" t="e">
        <f>(D440*#REF!)*#REF!</f>
        <v>#REF!</v>
      </c>
      <c r="H440" s="296">
        <f t="shared" si="104"/>
        <v>0</v>
      </c>
      <c r="I440" s="147" t="e">
        <f t="shared" si="105"/>
        <v>#REF!</v>
      </c>
      <c r="J440" s="97">
        <v>0</v>
      </c>
      <c r="K440" s="295"/>
      <c r="L440" s="20">
        <v>2852</v>
      </c>
      <c r="M440" s="20">
        <v>5212</v>
      </c>
      <c r="N440" s="20">
        <v>8300</v>
      </c>
      <c r="O440" s="20">
        <f>VLOOKUP(A440,TB!A:F,3)</f>
        <v>10418.41</v>
      </c>
      <c r="P440" s="160">
        <f>O440/9*12</f>
        <v>13891.213333333333</v>
      </c>
      <c r="Q440" s="160">
        <v>0</v>
      </c>
      <c r="R440" s="233">
        <f>VLOOKUP(A440,TB!A:F,6)</f>
        <v>0</v>
      </c>
      <c r="S440" s="233">
        <f t="shared" si="107"/>
        <v>0</v>
      </c>
      <c r="T440" s="83"/>
    </row>
    <row r="441" spans="1:20" ht="15.75" customHeight="1" x14ac:dyDescent="0.25">
      <c r="A441" s="66" t="s">
        <v>691</v>
      </c>
      <c r="B441" s="66" t="s">
        <v>608</v>
      </c>
      <c r="C441" s="295"/>
      <c r="D441" s="160">
        <v>378683</v>
      </c>
      <c r="E441" s="160" t="e">
        <f>D441*#REF!</f>
        <v>#REF!</v>
      </c>
      <c r="F441" s="160" t="e">
        <f>D441*#REF!</f>
        <v>#REF!</v>
      </c>
      <c r="G441" s="160" t="e">
        <f>(D441*#REF!)*#REF!</f>
        <v>#REF!</v>
      </c>
      <c r="H441" s="296">
        <f t="shared" si="104"/>
        <v>0</v>
      </c>
      <c r="I441" s="147" t="e">
        <f t="shared" si="105"/>
        <v>#REF!</v>
      </c>
      <c r="J441" s="97">
        <v>0</v>
      </c>
      <c r="K441" s="295"/>
      <c r="L441" s="20">
        <v>464268</v>
      </c>
      <c r="M441" s="20">
        <v>9910.99</v>
      </c>
      <c r="N441" s="20">
        <v>496460</v>
      </c>
      <c r="O441" s="20">
        <f>VLOOKUP(A441,TB!A:F,3)</f>
        <v>387408.2</v>
      </c>
      <c r="P441" s="163">
        <f t="shared" ref="P441:P442" si="113">N441</f>
        <v>496460</v>
      </c>
      <c r="Q441" s="160">
        <v>511354</v>
      </c>
      <c r="R441" s="233">
        <f>VLOOKUP(A441,TB!A:F,6)</f>
        <v>511354</v>
      </c>
      <c r="S441" s="233">
        <f t="shared" si="107"/>
        <v>0</v>
      </c>
      <c r="T441" s="83"/>
    </row>
    <row r="442" spans="1:20" ht="15.75" customHeight="1" x14ac:dyDescent="0.25">
      <c r="A442" s="66" t="s">
        <v>692</v>
      </c>
      <c r="B442" s="66" t="s">
        <v>693</v>
      </c>
      <c r="C442" s="295"/>
      <c r="D442" s="160">
        <v>9514</v>
      </c>
      <c r="E442" s="160" t="e">
        <f>D442*#REF!</f>
        <v>#REF!</v>
      </c>
      <c r="F442" s="160" t="e">
        <f>D442*#REF!</f>
        <v>#REF!</v>
      </c>
      <c r="G442" s="160" t="e">
        <f>(D442*#REF!)*#REF!</f>
        <v>#REF!</v>
      </c>
      <c r="H442" s="296">
        <f t="shared" si="104"/>
        <v>0</v>
      </c>
      <c r="I442" s="147" t="e">
        <f t="shared" si="105"/>
        <v>#REF!</v>
      </c>
      <c r="J442" s="97">
        <v>0</v>
      </c>
      <c r="K442" s="295"/>
      <c r="L442" s="20">
        <v>8316</v>
      </c>
      <c r="M442" s="20">
        <v>17599.740000000002</v>
      </c>
      <c r="N442" s="20">
        <v>10900</v>
      </c>
      <c r="O442" s="20">
        <f>VLOOKUP(A442,TB!A:F,3)</f>
        <v>4018.73</v>
      </c>
      <c r="P442" s="163">
        <f t="shared" si="113"/>
        <v>10900</v>
      </c>
      <c r="Q442" s="160">
        <v>10000</v>
      </c>
      <c r="R442" s="233">
        <f>VLOOKUP(A442,TB!A:F,6)</f>
        <v>10000</v>
      </c>
      <c r="S442" s="233">
        <f t="shared" si="107"/>
        <v>0</v>
      </c>
      <c r="T442" s="83"/>
    </row>
    <row r="443" spans="1:20" ht="15.75" customHeight="1" x14ac:dyDescent="0.25">
      <c r="A443" s="66" t="s">
        <v>694</v>
      </c>
      <c r="B443" s="66" t="s">
        <v>502</v>
      </c>
      <c r="C443" s="295"/>
      <c r="D443" s="160">
        <v>59397</v>
      </c>
      <c r="E443" s="160" t="e">
        <f>D443*#REF!</f>
        <v>#REF!</v>
      </c>
      <c r="F443" s="160" t="e">
        <f>D443*#REF!</f>
        <v>#REF!</v>
      </c>
      <c r="G443" s="160" t="e">
        <f>(D443*#REF!)*#REF!</f>
        <v>#REF!</v>
      </c>
      <c r="H443" s="296">
        <f t="shared" si="104"/>
        <v>0</v>
      </c>
      <c r="I443" s="147" t="e">
        <f t="shared" si="105"/>
        <v>#REF!</v>
      </c>
      <c r="J443" s="97">
        <v>0</v>
      </c>
      <c r="K443" s="295"/>
      <c r="L443" s="20">
        <v>57980</v>
      </c>
      <c r="M443" s="20">
        <v>2507.64</v>
      </c>
      <c r="N443" s="20">
        <v>0</v>
      </c>
      <c r="O443" s="20">
        <f>VLOOKUP(A443,TB!A:F,3)</f>
        <v>642</v>
      </c>
      <c r="P443" s="160">
        <f t="shared" ref="P443:P444" si="114">O443/9*12</f>
        <v>856</v>
      </c>
      <c r="Q443" s="160">
        <v>5000</v>
      </c>
      <c r="R443" s="233">
        <f>VLOOKUP(A443,TB!A:F,6)</f>
        <v>5000</v>
      </c>
      <c r="S443" s="233">
        <f t="shared" si="107"/>
        <v>0</v>
      </c>
      <c r="T443" s="83"/>
    </row>
    <row r="444" spans="1:20" ht="15.75" customHeight="1" x14ac:dyDescent="0.25">
      <c r="A444" s="66" t="s">
        <v>695</v>
      </c>
      <c r="B444" s="66" t="s">
        <v>92</v>
      </c>
      <c r="C444" s="295"/>
      <c r="D444" s="160">
        <v>0</v>
      </c>
      <c r="E444" s="160" t="e">
        <f>D444*#REF!</f>
        <v>#REF!</v>
      </c>
      <c r="F444" s="160" t="e">
        <f>D444*#REF!</f>
        <v>#REF!</v>
      </c>
      <c r="G444" s="160" t="e">
        <f>(D444*#REF!)*#REF!</f>
        <v>#REF!</v>
      </c>
      <c r="H444" s="296">
        <f t="shared" si="104"/>
        <v>0</v>
      </c>
      <c r="I444" s="147" t="e">
        <f t="shared" si="105"/>
        <v>#REF!</v>
      </c>
      <c r="J444" s="97">
        <v>0</v>
      </c>
      <c r="K444" s="295"/>
      <c r="L444" s="20">
        <v>53326</v>
      </c>
      <c r="M444" s="20">
        <v>0</v>
      </c>
      <c r="N444" s="20">
        <v>0</v>
      </c>
      <c r="O444" s="20">
        <f>VLOOKUP(A444,TB!A:F,3)</f>
        <v>0</v>
      </c>
      <c r="P444" s="160">
        <f t="shared" si="114"/>
        <v>0</v>
      </c>
      <c r="Q444" s="160">
        <v>0</v>
      </c>
      <c r="R444" s="233">
        <f>VLOOKUP(A444,TB!A:F,6)</f>
        <v>0</v>
      </c>
      <c r="S444" s="233">
        <f t="shared" si="107"/>
        <v>0</v>
      </c>
      <c r="T444" s="83"/>
    </row>
    <row r="445" spans="1:20" ht="15.75" customHeight="1" x14ac:dyDescent="0.25">
      <c r="A445" s="74" t="s">
        <v>696</v>
      </c>
      <c r="B445" s="75"/>
      <c r="C445" s="299"/>
      <c r="D445" s="189">
        <f t="shared" ref="D445:G445" si="115">SUM(D419:D444)</f>
        <v>8116992</v>
      </c>
      <c r="E445" s="189" t="e">
        <f t="shared" si="115"/>
        <v>#REF!</v>
      </c>
      <c r="F445" s="189" t="e">
        <f t="shared" si="115"/>
        <v>#REF!</v>
      </c>
      <c r="G445" s="189" t="e">
        <f t="shared" si="115"/>
        <v>#REF!</v>
      </c>
      <c r="H445" s="300">
        <f t="shared" si="104"/>
        <v>0</v>
      </c>
      <c r="I445" s="189" t="e">
        <f t="shared" si="105"/>
        <v>#REF!</v>
      </c>
      <c r="J445" s="301">
        <f>SUM(J419:J444)</f>
        <v>0</v>
      </c>
      <c r="K445" s="299"/>
      <c r="L445" s="77">
        <f t="shared" ref="L445:S445" si="116">SUM(L419:L444)</f>
        <v>10312949</v>
      </c>
      <c r="M445" s="77">
        <f t="shared" si="116"/>
        <v>8703247.8000000007</v>
      </c>
      <c r="N445" s="77">
        <f t="shared" si="116"/>
        <v>11591948</v>
      </c>
      <c r="O445" s="77">
        <f t="shared" si="116"/>
        <v>8058953.6700000009</v>
      </c>
      <c r="P445" s="189">
        <f t="shared" si="116"/>
        <v>10561124.955</v>
      </c>
      <c r="Q445" s="189">
        <f t="shared" si="116"/>
        <v>12077218</v>
      </c>
      <c r="R445" s="77">
        <f t="shared" si="116"/>
        <v>12077218</v>
      </c>
      <c r="S445" s="77">
        <f t="shared" si="116"/>
        <v>0</v>
      </c>
      <c r="T445" s="83"/>
    </row>
    <row r="446" spans="1:20" ht="15.75" customHeight="1" x14ac:dyDescent="0.2">
      <c r="C446" s="287"/>
      <c r="K446" s="287"/>
      <c r="L446" s="54"/>
      <c r="M446" s="54"/>
      <c r="N446" s="54"/>
      <c r="O446" s="54"/>
      <c r="P446" s="54"/>
      <c r="Q446" s="54"/>
      <c r="R446" s="83"/>
      <c r="S446" s="83"/>
      <c r="T446" s="83"/>
    </row>
    <row r="447" spans="1:20" ht="15.75" customHeight="1" x14ac:dyDescent="0.25">
      <c r="A447" s="165" t="s">
        <v>697</v>
      </c>
      <c r="B447" s="165" t="s">
        <v>180</v>
      </c>
      <c r="C447" s="297"/>
      <c r="D447" s="298">
        <v>0</v>
      </c>
      <c r="E447" s="160" t="e">
        <f>D447*#REF!</f>
        <v>#REF!</v>
      </c>
      <c r="F447" s="160" t="e">
        <f>D447*#REF!</f>
        <v>#REF!</v>
      </c>
      <c r="G447" s="160" t="e">
        <f>(D447*#REF!)*#REF!</f>
        <v>#REF!</v>
      </c>
      <c r="H447" s="296">
        <f t="shared" ref="H447:H449" si="117">IFERROR(((Q447-G447)/G447),0)</f>
        <v>0</v>
      </c>
      <c r="I447" s="147" t="e">
        <f t="shared" ref="I447:I449" si="118">Q447-G447</f>
        <v>#REF!</v>
      </c>
      <c r="J447" s="97">
        <v>0</v>
      </c>
      <c r="K447" s="297"/>
      <c r="L447" s="20">
        <v>220405</v>
      </c>
      <c r="M447" s="20">
        <v>0</v>
      </c>
      <c r="N447" s="20">
        <v>0</v>
      </c>
      <c r="O447" s="20">
        <f>VLOOKUP(A447,TB!A:F,3)</f>
        <v>0</v>
      </c>
      <c r="P447" s="160">
        <f t="shared" ref="P447:P448" si="119">N447</f>
        <v>0</v>
      </c>
      <c r="Q447" s="160">
        <v>0</v>
      </c>
      <c r="R447" s="233">
        <f>VLOOKUP(A447,TB!A:F,6)</f>
        <v>0</v>
      </c>
      <c r="S447" s="233">
        <f t="shared" ref="S447:S448" si="120">Q447-R447</f>
        <v>0</v>
      </c>
      <c r="T447" s="83"/>
    </row>
    <row r="448" spans="1:20" ht="15.75" customHeight="1" x14ac:dyDescent="0.25">
      <c r="A448" s="66" t="s">
        <v>698</v>
      </c>
      <c r="B448" s="66" t="s">
        <v>99</v>
      </c>
      <c r="C448" s="295"/>
      <c r="D448" s="160">
        <v>55677</v>
      </c>
      <c r="E448" s="160" t="e">
        <f>D448*#REF!</f>
        <v>#REF!</v>
      </c>
      <c r="F448" s="160" t="e">
        <f>D448*#REF!</f>
        <v>#REF!</v>
      </c>
      <c r="G448" s="160" t="e">
        <f>(D448*#REF!)*#REF!</f>
        <v>#REF!</v>
      </c>
      <c r="H448" s="296">
        <f t="shared" si="117"/>
        <v>0</v>
      </c>
      <c r="I448" s="147" t="e">
        <f t="shared" si="118"/>
        <v>#REF!</v>
      </c>
      <c r="J448" s="97">
        <v>0</v>
      </c>
      <c r="K448" s="295"/>
      <c r="L448" s="20">
        <v>41819</v>
      </c>
      <c r="M448" s="20">
        <v>16668</v>
      </c>
      <c r="N448" s="20">
        <v>9700</v>
      </c>
      <c r="O448" s="20">
        <f>VLOOKUP(A448,TB!A:F,3)</f>
        <v>0</v>
      </c>
      <c r="P448" s="163">
        <f t="shared" si="119"/>
        <v>9700</v>
      </c>
      <c r="Q448" s="160">
        <v>0</v>
      </c>
      <c r="R448" s="233">
        <f>VLOOKUP(A448,TB!A:F,6)</f>
        <v>0</v>
      </c>
      <c r="S448" s="233">
        <f t="shared" si="120"/>
        <v>0</v>
      </c>
      <c r="T448" s="83"/>
    </row>
    <row r="449" spans="1:20" ht="15.75" customHeight="1" x14ac:dyDescent="0.25">
      <c r="A449" s="74" t="s">
        <v>696</v>
      </c>
      <c r="B449" s="75"/>
      <c r="C449" s="299"/>
      <c r="D449" s="189">
        <f t="shared" ref="D449:G449" si="121">SUM(D447:D448)</f>
        <v>55677</v>
      </c>
      <c r="E449" s="189" t="e">
        <f t="shared" si="121"/>
        <v>#REF!</v>
      </c>
      <c r="F449" s="189" t="e">
        <f t="shared" si="121"/>
        <v>#REF!</v>
      </c>
      <c r="G449" s="189" t="e">
        <f t="shared" si="121"/>
        <v>#REF!</v>
      </c>
      <c r="H449" s="300">
        <f t="shared" si="117"/>
        <v>0</v>
      </c>
      <c r="I449" s="189" t="e">
        <f t="shared" si="118"/>
        <v>#REF!</v>
      </c>
      <c r="J449" s="301">
        <f>SUM(J447:J448)</f>
        <v>0</v>
      </c>
      <c r="K449" s="299"/>
      <c r="L449" s="77">
        <f t="shared" ref="L449:S449" si="122">SUM(L447:L448)</f>
        <v>262224</v>
      </c>
      <c r="M449" s="77">
        <f t="shared" si="122"/>
        <v>16668</v>
      </c>
      <c r="N449" s="77">
        <f t="shared" si="122"/>
        <v>9700</v>
      </c>
      <c r="O449" s="77">
        <f t="shared" si="122"/>
        <v>0</v>
      </c>
      <c r="P449" s="189">
        <f t="shared" si="122"/>
        <v>9700</v>
      </c>
      <c r="Q449" s="189">
        <f t="shared" si="122"/>
        <v>0</v>
      </c>
      <c r="R449" s="77">
        <f t="shared" si="122"/>
        <v>0</v>
      </c>
      <c r="S449" s="77">
        <f t="shared" si="122"/>
        <v>0</v>
      </c>
      <c r="T449" s="83"/>
    </row>
    <row r="450" spans="1:20" ht="15.75" customHeight="1" x14ac:dyDescent="0.2">
      <c r="C450" s="287"/>
      <c r="K450" s="287"/>
      <c r="L450" s="54"/>
      <c r="M450" s="54"/>
      <c r="N450" s="54"/>
      <c r="O450" s="54"/>
      <c r="P450" s="54"/>
      <c r="Q450" s="54"/>
      <c r="R450" s="83"/>
      <c r="S450" s="83"/>
      <c r="T450" s="83"/>
    </row>
    <row r="451" spans="1:20" ht="15.75" customHeight="1" x14ac:dyDescent="0.25">
      <c r="A451" s="74" t="s">
        <v>699</v>
      </c>
      <c r="B451" s="305"/>
      <c r="C451" s="306"/>
      <c r="D451" s="189">
        <f t="shared" ref="D451:G451" si="123">D445+D449</f>
        <v>8172669</v>
      </c>
      <c r="E451" s="189" t="e">
        <f t="shared" si="123"/>
        <v>#REF!</v>
      </c>
      <c r="F451" s="189" t="e">
        <f t="shared" si="123"/>
        <v>#REF!</v>
      </c>
      <c r="G451" s="189" t="e">
        <f t="shared" si="123"/>
        <v>#REF!</v>
      </c>
      <c r="H451" s="300">
        <f>IFERROR(((Q451-G451)/G451),0)</f>
        <v>0</v>
      </c>
      <c r="I451" s="189" t="e">
        <f>Q451-G451</f>
        <v>#REF!</v>
      </c>
      <c r="J451" s="301">
        <v>0</v>
      </c>
      <c r="K451" s="306"/>
      <c r="L451" s="77">
        <f t="shared" ref="L451:S451" si="124">L445+L449</f>
        <v>10575173</v>
      </c>
      <c r="M451" s="77">
        <f t="shared" si="124"/>
        <v>8719915.8000000007</v>
      </c>
      <c r="N451" s="77">
        <f t="shared" si="124"/>
        <v>11601648</v>
      </c>
      <c r="O451" s="77">
        <f t="shared" si="124"/>
        <v>8058953.6700000009</v>
      </c>
      <c r="P451" s="189">
        <f t="shared" si="124"/>
        <v>10570824.955</v>
      </c>
      <c r="Q451" s="189">
        <f t="shared" si="124"/>
        <v>12077218</v>
      </c>
      <c r="R451" s="77">
        <f t="shared" si="124"/>
        <v>12077218</v>
      </c>
      <c r="S451" s="77">
        <f t="shared" si="124"/>
        <v>0</v>
      </c>
      <c r="T451" s="83"/>
    </row>
    <row r="452" spans="1:20" ht="15.75" customHeight="1" x14ac:dyDescent="0.2">
      <c r="C452" s="287"/>
      <c r="K452" s="287"/>
      <c r="L452" s="54"/>
      <c r="M452" s="54"/>
      <c r="N452" s="54"/>
      <c r="O452" s="54"/>
      <c r="P452" s="54"/>
      <c r="Q452" s="54"/>
      <c r="R452" s="83"/>
      <c r="S452" s="83"/>
      <c r="T452" s="83"/>
    </row>
    <row r="453" spans="1:20" ht="15.75" customHeight="1" x14ac:dyDescent="0.2">
      <c r="A453" s="69" t="s">
        <v>184</v>
      </c>
      <c r="C453" s="287"/>
      <c r="K453" s="287"/>
      <c r="L453" s="54"/>
      <c r="M453" s="54"/>
      <c r="N453" s="54"/>
      <c r="O453" s="54"/>
      <c r="P453" s="54"/>
      <c r="Q453" s="54"/>
      <c r="R453" s="83"/>
      <c r="S453" s="83"/>
      <c r="T453" s="83"/>
    </row>
    <row r="454" spans="1:20" ht="15.75" customHeight="1" x14ac:dyDescent="0.25">
      <c r="A454" s="51" t="s">
        <v>700</v>
      </c>
      <c r="B454" s="51" t="s">
        <v>701</v>
      </c>
      <c r="C454" s="307"/>
      <c r="D454" s="147">
        <v>0</v>
      </c>
      <c r="E454" s="160" t="e">
        <f>D454*#REF!</f>
        <v>#REF!</v>
      </c>
      <c r="F454" s="160" t="e">
        <f>D454*#REF!</f>
        <v>#REF!</v>
      </c>
      <c r="G454" s="160" t="e">
        <f>(D454*#REF!)*#REF!</f>
        <v>#REF!</v>
      </c>
      <c r="H454" s="296">
        <f t="shared" ref="H454:H469" si="125">IFERROR(((Q454-G454)/G454),0)</f>
        <v>0</v>
      </c>
      <c r="I454" s="147" t="e">
        <f t="shared" ref="I454:I469" si="126">Q454-G454</f>
        <v>#REF!</v>
      </c>
      <c r="J454" s="97">
        <v>0</v>
      </c>
      <c r="K454" s="307"/>
      <c r="L454" s="54">
        <v>-211570</v>
      </c>
      <c r="M454" s="54">
        <v>-49305</v>
      </c>
      <c r="N454" s="54">
        <v>-200000</v>
      </c>
      <c r="O454" s="20">
        <f>VLOOKUP(A454,TB!A:F,3)</f>
        <v>49305</v>
      </c>
      <c r="P454" s="308">
        <f t="shared" ref="P454:P468" si="127">N454</f>
        <v>-200000</v>
      </c>
      <c r="Q454" s="147">
        <v>-45000</v>
      </c>
      <c r="R454" s="233">
        <f>VLOOKUP(A454,TB!A:F,6)</f>
        <v>-45000</v>
      </c>
      <c r="S454" s="233">
        <f t="shared" ref="S454:S468" si="128">Q454-R454</f>
        <v>0</v>
      </c>
      <c r="T454" s="83"/>
    </row>
    <row r="455" spans="1:20" ht="15.75" customHeight="1" x14ac:dyDescent="0.25">
      <c r="A455" s="51" t="s">
        <v>702</v>
      </c>
      <c r="B455" s="51" t="s">
        <v>703</v>
      </c>
      <c r="C455" s="307"/>
      <c r="D455" s="147">
        <v>-252821</v>
      </c>
      <c r="E455" s="160" t="e">
        <f>D455*#REF!</f>
        <v>#REF!</v>
      </c>
      <c r="F455" s="160" t="e">
        <f>D455*#REF!</f>
        <v>#REF!</v>
      </c>
      <c r="G455" s="160" t="e">
        <f>(D455*#REF!)*#REF!</f>
        <v>#REF!</v>
      </c>
      <c r="H455" s="296">
        <f t="shared" si="125"/>
        <v>0</v>
      </c>
      <c r="I455" s="147" t="e">
        <f t="shared" si="126"/>
        <v>#REF!</v>
      </c>
      <c r="J455" s="97">
        <v>0</v>
      </c>
      <c r="K455" s="307"/>
      <c r="L455" s="54">
        <v>-322088</v>
      </c>
      <c r="M455" s="54">
        <v>-336076.26</v>
      </c>
      <c r="N455" s="54">
        <v>-428400</v>
      </c>
      <c r="O455" s="20">
        <f>VLOOKUP(A455,TB!A:F,3)</f>
        <v>-157367.07999999999</v>
      </c>
      <c r="P455" s="308">
        <f t="shared" si="127"/>
        <v>-428400</v>
      </c>
      <c r="Q455" s="147">
        <v>-277600</v>
      </c>
      <c r="R455" s="233">
        <f>VLOOKUP(A455,TB!A:F,6)</f>
        <v>-277600</v>
      </c>
      <c r="S455" s="233">
        <f t="shared" si="128"/>
        <v>0</v>
      </c>
      <c r="T455" s="83"/>
    </row>
    <row r="456" spans="1:20" ht="15.75" customHeight="1" x14ac:dyDescent="0.25">
      <c r="A456" s="51" t="s">
        <v>704</v>
      </c>
      <c r="B456" s="51" t="s">
        <v>705</v>
      </c>
      <c r="C456" s="307"/>
      <c r="D456" s="147">
        <v>-281334</v>
      </c>
      <c r="E456" s="160" t="e">
        <f>D456*#REF!</f>
        <v>#REF!</v>
      </c>
      <c r="F456" s="160" t="e">
        <f>D456*#REF!</f>
        <v>#REF!</v>
      </c>
      <c r="G456" s="160" t="e">
        <f>(D456*#REF!)*#REF!</f>
        <v>#REF!</v>
      </c>
      <c r="H456" s="296">
        <f t="shared" si="125"/>
        <v>0</v>
      </c>
      <c r="I456" s="147" t="e">
        <f t="shared" si="126"/>
        <v>#REF!</v>
      </c>
      <c r="J456" s="97">
        <v>0</v>
      </c>
      <c r="K456" s="307"/>
      <c r="L456" s="54">
        <v>0</v>
      </c>
      <c r="M456" s="54">
        <v>0</v>
      </c>
      <c r="N456" s="54">
        <v>-5000</v>
      </c>
      <c r="O456" s="20">
        <f>VLOOKUP(A456,TB!A:F,3)</f>
        <v>0</v>
      </c>
      <c r="P456" s="308">
        <f t="shared" si="127"/>
        <v>-5000</v>
      </c>
      <c r="Q456" s="147">
        <v>-2000</v>
      </c>
      <c r="R456" s="233">
        <f>VLOOKUP(A456,TB!A:F,6)</f>
        <v>-2000</v>
      </c>
      <c r="S456" s="233">
        <f t="shared" si="128"/>
        <v>0</v>
      </c>
      <c r="T456" s="83"/>
    </row>
    <row r="457" spans="1:20" ht="15.75" customHeight="1" x14ac:dyDescent="0.25">
      <c r="A457" s="51" t="s">
        <v>706</v>
      </c>
      <c r="B457" s="51" t="s">
        <v>707</v>
      </c>
      <c r="C457" s="307"/>
      <c r="D457" s="147">
        <v>0</v>
      </c>
      <c r="E457" s="160" t="e">
        <f>D457*#REF!</f>
        <v>#REF!</v>
      </c>
      <c r="F457" s="160" t="e">
        <f>D457*#REF!</f>
        <v>#REF!</v>
      </c>
      <c r="G457" s="160" t="e">
        <f>(D457*#REF!)*#REF!</f>
        <v>#REF!</v>
      </c>
      <c r="H457" s="296">
        <f t="shared" si="125"/>
        <v>0</v>
      </c>
      <c r="I457" s="147" t="e">
        <f t="shared" si="126"/>
        <v>#REF!</v>
      </c>
      <c r="J457" s="97">
        <v>0</v>
      </c>
      <c r="K457" s="307"/>
      <c r="L457" s="54">
        <v>-18145</v>
      </c>
      <c r="M457" s="54">
        <v>-18547.09</v>
      </c>
      <c r="N457" s="54">
        <v>-10000</v>
      </c>
      <c r="O457" s="20">
        <f>VLOOKUP(A457,TB!A:F,3)</f>
        <v>-8621.76</v>
      </c>
      <c r="P457" s="308">
        <f t="shared" si="127"/>
        <v>-10000</v>
      </c>
      <c r="Q457" s="147">
        <v>-10000</v>
      </c>
      <c r="R457" s="233">
        <f>VLOOKUP(A457,TB!A:F,6)</f>
        <v>-10000</v>
      </c>
      <c r="S457" s="233">
        <f t="shared" si="128"/>
        <v>0</v>
      </c>
      <c r="T457" s="83"/>
    </row>
    <row r="458" spans="1:20" ht="15.75" customHeight="1" x14ac:dyDescent="0.25">
      <c r="A458" s="51" t="s">
        <v>708</v>
      </c>
      <c r="B458" s="51" t="s">
        <v>709</v>
      </c>
      <c r="C458" s="307"/>
      <c r="D458" s="147">
        <v>-97547</v>
      </c>
      <c r="E458" s="160" t="e">
        <f>D458*#REF!</f>
        <v>#REF!</v>
      </c>
      <c r="F458" s="160" t="e">
        <f>D458*#REF!</f>
        <v>#REF!</v>
      </c>
      <c r="G458" s="160" t="e">
        <f>(D458*#REF!)*#REF!</f>
        <v>#REF!</v>
      </c>
      <c r="H458" s="296">
        <f t="shared" si="125"/>
        <v>0</v>
      </c>
      <c r="I458" s="147" t="e">
        <f t="shared" si="126"/>
        <v>#REF!</v>
      </c>
      <c r="J458" s="97">
        <v>0</v>
      </c>
      <c r="K458" s="307"/>
      <c r="L458" s="54">
        <v>-179585</v>
      </c>
      <c r="M458" s="54">
        <v>-160723.06</v>
      </c>
      <c r="N458" s="54">
        <v>-100000</v>
      </c>
      <c r="O458" s="20">
        <f>VLOOKUP(A458,TB!A:F,3)</f>
        <v>-82613.86</v>
      </c>
      <c r="P458" s="308">
        <f t="shared" si="127"/>
        <v>-100000</v>
      </c>
      <c r="Q458" s="147">
        <v>-120000</v>
      </c>
      <c r="R458" s="233">
        <f>VLOOKUP(A458,TB!A:F,6)</f>
        <v>-120000</v>
      </c>
      <c r="S458" s="233">
        <f t="shared" si="128"/>
        <v>0</v>
      </c>
      <c r="T458" s="83"/>
    </row>
    <row r="459" spans="1:20" ht="15.75" customHeight="1" x14ac:dyDescent="0.25">
      <c r="A459" s="51" t="s">
        <v>710</v>
      </c>
      <c r="B459" s="51" t="s">
        <v>711</v>
      </c>
      <c r="C459" s="307"/>
      <c r="D459" s="147">
        <v>-35071</v>
      </c>
      <c r="E459" s="160" t="e">
        <f>D459*#REF!</f>
        <v>#REF!</v>
      </c>
      <c r="F459" s="160" t="e">
        <f>D459*#REF!</f>
        <v>#REF!</v>
      </c>
      <c r="G459" s="160" t="e">
        <f>(D459*#REF!)*#REF!</f>
        <v>#REF!</v>
      </c>
      <c r="H459" s="296">
        <f t="shared" si="125"/>
        <v>0</v>
      </c>
      <c r="I459" s="147" t="e">
        <f t="shared" si="126"/>
        <v>#REF!</v>
      </c>
      <c r="J459" s="97">
        <v>0</v>
      </c>
      <c r="K459" s="307"/>
      <c r="L459" s="54">
        <v>11980</v>
      </c>
      <c r="M459" s="54">
        <v>-6967.24</v>
      </c>
      <c r="N459" s="54">
        <v>-27000</v>
      </c>
      <c r="O459" s="20">
        <f>VLOOKUP(A459,TB!A:F,3)</f>
        <v>-1956.65</v>
      </c>
      <c r="P459" s="308">
        <f t="shared" si="127"/>
        <v>-27000</v>
      </c>
      <c r="Q459" s="147">
        <v>-24100</v>
      </c>
      <c r="R459" s="233">
        <f>VLOOKUP(A459,TB!A:F,6)</f>
        <v>-24100</v>
      </c>
      <c r="S459" s="233">
        <f t="shared" si="128"/>
        <v>0</v>
      </c>
      <c r="T459" s="83"/>
    </row>
    <row r="460" spans="1:20" ht="15.75" customHeight="1" x14ac:dyDescent="0.25">
      <c r="A460" s="51" t="s">
        <v>712</v>
      </c>
      <c r="B460" s="51" t="s">
        <v>713</v>
      </c>
      <c r="C460" s="307"/>
      <c r="D460" s="147">
        <v>-3578</v>
      </c>
      <c r="E460" s="160" t="e">
        <f>D460*#REF!</f>
        <v>#REF!</v>
      </c>
      <c r="F460" s="160" t="e">
        <f>D460*#REF!</f>
        <v>#REF!</v>
      </c>
      <c r="G460" s="160" t="e">
        <f>(D460*#REF!)*#REF!</f>
        <v>#REF!</v>
      </c>
      <c r="H460" s="296">
        <f t="shared" si="125"/>
        <v>0</v>
      </c>
      <c r="I460" s="147" t="e">
        <f t="shared" si="126"/>
        <v>#REF!</v>
      </c>
      <c r="J460" s="97">
        <v>0</v>
      </c>
      <c r="K460" s="307"/>
      <c r="L460" s="54">
        <v>-10198</v>
      </c>
      <c r="M460" s="54">
        <v>-16009.86</v>
      </c>
      <c r="N460" s="54">
        <v>-22000</v>
      </c>
      <c r="O460" s="20">
        <f>VLOOKUP(A460,TB!A:F,3)</f>
        <v>-4895.46</v>
      </c>
      <c r="P460" s="308">
        <f t="shared" si="127"/>
        <v>-22000</v>
      </c>
      <c r="Q460" s="147">
        <v>-27000</v>
      </c>
      <c r="R460" s="233">
        <f>VLOOKUP(A460,TB!A:F,6)</f>
        <v>-27000</v>
      </c>
      <c r="S460" s="233">
        <f t="shared" si="128"/>
        <v>0</v>
      </c>
      <c r="T460" s="83"/>
    </row>
    <row r="461" spans="1:20" ht="15.75" customHeight="1" x14ac:dyDescent="0.25">
      <c r="A461" s="51" t="s">
        <v>714</v>
      </c>
      <c r="B461" s="51" t="s">
        <v>715</v>
      </c>
      <c r="C461" s="307"/>
      <c r="D461" s="147">
        <v>-4748</v>
      </c>
      <c r="E461" s="160" t="e">
        <f>D461*#REF!</f>
        <v>#REF!</v>
      </c>
      <c r="F461" s="160" t="e">
        <f>D461*#REF!</f>
        <v>#REF!</v>
      </c>
      <c r="G461" s="160" t="e">
        <f>(D461*#REF!)*#REF!</f>
        <v>#REF!</v>
      </c>
      <c r="H461" s="296">
        <f t="shared" si="125"/>
        <v>0</v>
      </c>
      <c r="I461" s="147" t="e">
        <f t="shared" si="126"/>
        <v>#REF!</v>
      </c>
      <c r="J461" s="97">
        <v>0</v>
      </c>
      <c r="K461" s="307"/>
      <c r="L461" s="54">
        <v>-24183</v>
      </c>
      <c r="M461" s="54">
        <v>-263127.88</v>
      </c>
      <c r="N461" s="54">
        <v>-120000</v>
      </c>
      <c r="O461" s="20">
        <f>VLOOKUP(A461,TB!A:F,3)</f>
        <v>-201814.19</v>
      </c>
      <c r="P461" s="308">
        <f t="shared" si="127"/>
        <v>-120000</v>
      </c>
      <c r="Q461" s="147">
        <v>-230000</v>
      </c>
      <c r="R461" s="233">
        <f>VLOOKUP(A461,TB!A:F,6)</f>
        <v>-230000</v>
      </c>
      <c r="S461" s="233">
        <f t="shared" si="128"/>
        <v>0</v>
      </c>
      <c r="T461" s="83"/>
    </row>
    <row r="462" spans="1:20" ht="15.75" customHeight="1" x14ac:dyDescent="0.25">
      <c r="A462" s="51" t="s">
        <v>716</v>
      </c>
      <c r="B462" s="51" t="s">
        <v>717</v>
      </c>
      <c r="C462" s="307"/>
      <c r="D462" s="147">
        <v>-199316</v>
      </c>
      <c r="E462" s="160" t="e">
        <f>D462*#REF!</f>
        <v>#REF!</v>
      </c>
      <c r="F462" s="160" t="e">
        <f>D462*#REF!</f>
        <v>#REF!</v>
      </c>
      <c r="G462" s="160" t="e">
        <f>(D462*#REF!)*#REF!</f>
        <v>#REF!</v>
      </c>
      <c r="H462" s="296">
        <f t="shared" si="125"/>
        <v>0</v>
      </c>
      <c r="I462" s="147" t="e">
        <f t="shared" si="126"/>
        <v>#REF!</v>
      </c>
      <c r="J462" s="97">
        <v>0</v>
      </c>
      <c r="K462" s="307"/>
      <c r="L462" s="54">
        <v>-300139</v>
      </c>
      <c r="M462" s="54">
        <v>-294389.12</v>
      </c>
      <c r="N462" s="54">
        <v>-230000</v>
      </c>
      <c r="O462" s="20">
        <f>VLOOKUP(A462,TB!A:F,3)</f>
        <v>0</v>
      </c>
      <c r="P462" s="308">
        <f t="shared" si="127"/>
        <v>-230000</v>
      </c>
      <c r="Q462" s="147">
        <v>-260000</v>
      </c>
      <c r="R462" s="233">
        <f>VLOOKUP(A462,TB!A:F,6)</f>
        <v>-260000</v>
      </c>
      <c r="S462" s="233">
        <f t="shared" si="128"/>
        <v>0</v>
      </c>
      <c r="T462" s="83"/>
    </row>
    <row r="463" spans="1:20" ht="15.75" customHeight="1" x14ac:dyDescent="0.25">
      <c r="A463" s="51" t="s">
        <v>718</v>
      </c>
      <c r="B463" s="51" t="s">
        <v>719</v>
      </c>
      <c r="C463" s="307"/>
      <c r="D463" s="147">
        <v>-1531362</v>
      </c>
      <c r="E463" s="160" t="e">
        <f>D463*#REF!</f>
        <v>#REF!</v>
      </c>
      <c r="F463" s="160" t="e">
        <f>D463*#REF!</f>
        <v>#REF!</v>
      </c>
      <c r="G463" s="160" t="e">
        <f>(D463*#REF!)*#REF!</f>
        <v>#REF!</v>
      </c>
      <c r="H463" s="296">
        <f t="shared" si="125"/>
        <v>0</v>
      </c>
      <c r="I463" s="147" t="e">
        <f t="shared" si="126"/>
        <v>#REF!</v>
      </c>
      <c r="J463" s="97">
        <v>0</v>
      </c>
      <c r="K463" s="307"/>
      <c r="L463" s="54">
        <v>-2431364</v>
      </c>
      <c r="M463" s="54">
        <v>-2422470.5699999998</v>
      </c>
      <c r="N463" s="54">
        <v>-2855400</v>
      </c>
      <c r="O463" s="20">
        <f>VLOOKUP(A463,TB!A:F,3)</f>
        <v>-1490254.36</v>
      </c>
      <c r="P463" s="308">
        <f t="shared" si="127"/>
        <v>-2855400</v>
      </c>
      <c r="Q463" s="147">
        <v>-2702700</v>
      </c>
      <c r="R463" s="233">
        <f>VLOOKUP(A463,TB!A:F,6)</f>
        <v>-2702700</v>
      </c>
      <c r="S463" s="233">
        <f t="shared" si="128"/>
        <v>0</v>
      </c>
      <c r="T463" s="83"/>
    </row>
    <row r="464" spans="1:20" ht="15.75" customHeight="1" x14ac:dyDescent="0.25">
      <c r="A464" s="51" t="s">
        <v>720</v>
      </c>
      <c r="B464" s="51" t="s">
        <v>721</v>
      </c>
      <c r="C464" s="307"/>
      <c r="D464" s="147">
        <v>-17607</v>
      </c>
      <c r="E464" s="160" t="e">
        <f>D464*#REF!</f>
        <v>#REF!</v>
      </c>
      <c r="F464" s="160" t="e">
        <f>D464*#REF!</f>
        <v>#REF!</v>
      </c>
      <c r="G464" s="160" t="e">
        <f>(D464*#REF!)*#REF!</f>
        <v>#REF!</v>
      </c>
      <c r="H464" s="296">
        <f t="shared" si="125"/>
        <v>0</v>
      </c>
      <c r="I464" s="147" t="e">
        <f t="shared" si="126"/>
        <v>#REF!</v>
      </c>
      <c r="J464" s="97">
        <v>0</v>
      </c>
      <c r="K464" s="307"/>
      <c r="L464" s="54">
        <v>-12638</v>
      </c>
      <c r="M464" s="54">
        <v>-32203.93</v>
      </c>
      <c r="N464" s="54">
        <v>-5000</v>
      </c>
      <c r="O464" s="20">
        <f>VLOOKUP(A464,TB!A:F,3)</f>
        <v>-6211.35</v>
      </c>
      <c r="P464" s="308">
        <f t="shared" si="127"/>
        <v>-5000</v>
      </c>
      <c r="Q464" s="147">
        <v>-15000</v>
      </c>
      <c r="R464" s="233">
        <f>VLOOKUP(A464,TB!A:F,6)</f>
        <v>-15000</v>
      </c>
      <c r="S464" s="233">
        <f t="shared" si="128"/>
        <v>0</v>
      </c>
      <c r="T464" s="83"/>
    </row>
    <row r="465" spans="1:30" ht="15.75" customHeight="1" x14ac:dyDescent="0.25">
      <c r="A465" s="51" t="s">
        <v>722</v>
      </c>
      <c r="B465" s="51" t="s">
        <v>723</v>
      </c>
      <c r="C465" s="307"/>
      <c r="D465" s="147">
        <v>-6115</v>
      </c>
      <c r="E465" s="160" t="e">
        <f>D465*#REF!</f>
        <v>#REF!</v>
      </c>
      <c r="F465" s="160" t="e">
        <f>D465*#REF!</f>
        <v>#REF!</v>
      </c>
      <c r="G465" s="160" t="e">
        <f>(D465*#REF!)*#REF!</f>
        <v>#REF!</v>
      </c>
      <c r="H465" s="296">
        <f t="shared" si="125"/>
        <v>0</v>
      </c>
      <c r="I465" s="147" t="e">
        <f t="shared" si="126"/>
        <v>#REF!</v>
      </c>
      <c r="J465" s="97">
        <v>0</v>
      </c>
      <c r="K465" s="307"/>
      <c r="L465" s="54">
        <v>-1973</v>
      </c>
      <c r="M465" s="54">
        <v>-1826.79</v>
      </c>
      <c r="N465" s="54">
        <v>-2500</v>
      </c>
      <c r="O465" s="20">
        <f>VLOOKUP(A465,TB!A:F,3)</f>
        <v>-1674.4</v>
      </c>
      <c r="P465" s="308">
        <f t="shared" si="127"/>
        <v>-2500</v>
      </c>
      <c r="Q465" s="147">
        <v>-2000</v>
      </c>
      <c r="R465" s="233">
        <f>VLOOKUP(A465,TB!A:F,6)</f>
        <v>-2000</v>
      </c>
      <c r="S465" s="233">
        <f t="shared" si="128"/>
        <v>0</v>
      </c>
      <c r="T465" s="83"/>
    </row>
    <row r="466" spans="1:30" ht="15.75" customHeight="1" x14ac:dyDescent="0.25">
      <c r="A466" s="51" t="s">
        <v>724</v>
      </c>
      <c r="B466" s="51" t="s">
        <v>725</v>
      </c>
      <c r="C466" s="307"/>
      <c r="D466" s="147">
        <v>-19251</v>
      </c>
      <c r="E466" s="160" t="e">
        <f>D466*#REF!</f>
        <v>#REF!</v>
      </c>
      <c r="F466" s="160" t="e">
        <f>D466*#REF!</f>
        <v>#REF!</v>
      </c>
      <c r="G466" s="160" t="e">
        <f>(D466*#REF!)*#REF!</f>
        <v>#REF!</v>
      </c>
      <c r="H466" s="296">
        <f t="shared" si="125"/>
        <v>0</v>
      </c>
      <c r="I466" s="147" t="e">
        <f t="shared" si="126"/>
        <v>#REF!</v>
      </c>
      <c r="J466" s="97">
        <v>0</v>
      </c>
      <c r="K466" s="307"/>
      <c r="L466" s="54">
        <v>-33018</v>
      </c>
      <c r="M466" s="54">
        <v>-35620.06</v>
      </c>
      <c r="N466" s="54">
        <v>-33000</v>
      </c>
      <c r="O466" s="20">
        <f>VLOOKUP(A466,TB!A:F,3)</f>
        <v>-27309.42</v>
      </c>
      <c r="P466" s="308">
        <f t="shared" si="127"/>
        <v>-33000</v>
      </c>
      <c r="Q466" s="147">
        <v>-34800</v>
      </c>
      <c r="R466" s="233">
        <f>VLOOKUP(A466,TB!A:F,6)</f>
        <v>-34800</v>
      </c>
      <c r="S466" s="233">
        <f t="shared" si="128"/>
        <v>0</v>
      </c>
      <c r="T466" s="83"/>
    </row>
    <row r="467" spans="1:30" ht="15.75" customHeight="1" x14ac:dyDescent="0.25">
      <c r="A467" s="51" t="s">
        <v>726</v>
      </c>
      <c r="B467" s="51" t="s">
        <v>727</v>
      </c>
      <c r="C467" s="307"/>
      <c r="D467" s="147">
        <v>-37574</v>
      </c>
      <c r="E467" s="160" t="e">
        <f>D467*#REF!</f>
        <v>#REF!</v>
      </c>
      <c r="F467" s="160" t="e">
        <f>D467*#REF!</f>
        <v>#REF!</v>
      </c>
      <c r="G467" s="160" t="e">
        <f>(D467*#REF!)*#REF!</f>
        <v>#REF!</v>
      </c>
      <c r="H467" s="296">
        <f t="shared" si="125"/>
        <v>0</v>
      </c>
      <c r="I467" s="147" t="e">
        <f t="shared" si="126"/>
        <v>#REF!</v>
      </c>
      <c r="J467" s="97">
        <v>0</v>
      </c>
      <c r="K467" s="307"/>
      <c r="L467" s="54">
        <v>-955477</v>
      </c>
      <c r="M467" s="54">
        <v>-1312198.67</v>
      </c>
      <c r="N467" s="54">
        <v>-1587750</v>
      </c>
      <c r="O467" s="20">
        <f>VLOOKUP(A467,TB!A:F,3)</f>
        <v>-843430.16</v>
      </c>
      <c r="P467" s="308">
        <f t="shared" si="127"/>
        <v>-1587750</v>
      </c>
      <c r="Q467" s="147">
        <v>-1500000</v>
      </c>
      <c r="R467" s="233">
        <f>VLOOKUP(A467,TB!A:F,6)</f>
        <v>-1500000</v>
      </c>
      <c r="S467" s="233">
        <f t="shared" si="128"/>
        <v>0</v>
      </c>
      <c r="T467" s="83"/>
    </row>
    <row r="468" spans="1:30" ht="15.75" customHeight="1" x14ac:dyDescent="0.25">
      <c r="A468" s="51" t="s">
        <v>728</v>
      </c>
      <c r="B468" s="51" t="s">
        <v>729</v>
      </c>
      <c r="C468" s="307"/>
      <c r="D468" s="147">
        <v>-790130</v>
      </c>
      <c r="E468" s="160" t="e">
        <f>D468*#REF!</f>
        <v>#REF!</v>
      </c>
      <c r="F468" s="160" t="e">
        <f>D468*#REF!</f>
        <v>#REF!</v>
      </c>
      <c r="G468" s="160" t="e">
        <f>(D468*#REF!)*#REF!</f>
        <v>#REF!</v>
      </c>
      <c r="H468" s="296">
        <f t="shared" si="125"/>
        <v>0</v>
      </c>
      <c r="I468" s="147" t="e">
        <f t="shared" si="126"/>
        <v>#REF!</v>
      </c>
      <c r="J468" s="97">
        <v>0</v>
      </c>
      <c r="K468" s="307"/>
      <c r="L468" s="54">
        <v>0</v>
      </c>
      <c r="M468" s="54">
        <v>0</v>
      </c>
      <c r="N468" s="54">
        <v>-10000</v>
      </c>
      <c r="O468" s="20">
        <f>VLOOKUP(A468,TB!A:F,3)</f>
        <v>0</v>
      </c>
      <c r="P468" s="308">
        <f t="shared" si="127"/>
        <v>-10000</v>
      </c>
      <c r="Q468" s="147">
        <v>-476325</v>
      </c>
      <c r="R468" s="233">
        <f>VLOOKUP(A468,TB!A:F,6)</f>
        <v>-476325</v>
      </c>
      <c r="S468" s="233">
        <f t="shared" si="128"/>
        <v>0</v>
      </c>
      <c r="T468" s="83"/>
    </row>
    <row r="469" spans="1:30" ht="15.75" customHeight="1" x14ac:dyDescent="0.2">
      <c r="A469" s="239" t="s">
        <v>189</v>
      </c>
      <c r="B469" s="75"/>
      <c r="C469" s="299"/>
      <c r="D469" s="189">
        <f t="shared" ref="D469:G469" si="129">SUM(D454:D468)</f>
        <v>-3276454</v>
      </c>
      <c r="E469" s="189" t="e">
        <f t="shared" si="129"/>
        <v>#REF!</v>
      </c>
      <c r="F469" s="189" t="e">
        <f t="shared" si="129"/>
        <v>#REF!</v>
      </c>
      <c r="G469" s="189" t="e">
        <f t="shared" si="129"/>
        <v>#REF!</v>
      </c>
      <c r="H469" s="300">
        <f t="shared" si="125"/>
        <v>0</v>
      </c>
      <c r="I469" s="189" t="e">
        <f t="shared" si="126"/>
        <v>#REF!</v>
      </c>
      <c r="J469" s="189">
        <v>0</v>
      </c>
      <c r="K469" s="299"/>
      <c r="L469" s="77">
        <f t="shared" ref="L469:S469" si="130">SUM(L454:L468)</f>
        <v>-4488398</v>
      </c>
      <c r="M469" s="77">
        <f t="shared" si="130"/>
        <v>-4949465.53</v>
      </c>
      <c r="N469" s="77">
        <f t="shared" si="130"/>
        <v>-5636050</v>
      </c>
      <c r="O469" s="77">
        <f t="shared" si="130"/>
        <v>-2776843.69</v>
      </c>
      <c r="P469" s="189">
        <f t="shared" si="130"/>
        <v>-5636050</v>
      </c>
      <c r="Q469" s="189">
        <f t="shared" si="130"/>
        <v>-5726525</v>
      </c>
      <c r="R469" s="77">
        <f t="shared" si="130"/>
        <v>-5726525</v>
      </c>
      <c r="S469" s="77">
        <f t="shared" si="130"/>
        <v>0</v>
      </c>
      <c r="T469" s="83"/>
    </row>
    <row r="470" spans="1:30" ht="15.75" customHeight="1" x14ac:dyDescent="0.2">
      <c r="C470" s="287"/>
      <c r="K470" s="287"/>
      <c r="L470" s="54"/>
      <c r="M470" s="54"/>
      <c r="N470" s="54"/>
      <c r="O470" s="54"/>
      <c r="P470" s="54"/>
      <c r="Q470" s="54"/>
      <c r="R470" s="83"/>
      <c r="S470" s="83"/>
      <c r="T470" s="83"/>
    </row>
    <row r="471" spans="1:30" ht="15.75" customHeight="1" x14ac:dyDescent="0.2">
      <c r="A471" s="69" t="s">
        <v>190</v>
      </c>
      <c r="B471" s="51"/>
      <c r="C471" s="309"/>
      <c r="D471" s="193">
        <f t="shared" ref="D471:G471" si="131">D451+D469</f>
        <v>4896215</v>
      </c>
      <c r="E471" s="193" t="e">
        <f t="shared" si="131"/>
        <v>#REF!</v>
      </c>
      <c r="F471" s="193" t="e">
        <f t="shared" si="131"/>
        <v>#REF!</v>
      </c>
      <c r="G471" s="193" t="e">
        <f t="shared" si="131"/>
        <v>#REF!</v>
      </c>
      <c r="H471" s="310">
        <f>IFERROR(((Q471-G471)/G471),0)</f>
        <v>0</v>
      </c>
      <c r="I471" s="193" t="e">
        <f>Q471-G471</f>
        <v>#REF!</v>
      </c>
      <c r="J471" s="193">
        <f>J469+J464</f>
        <v>0</v>
      </c>
      <c r="K471" s="309"/>
      <c r="L471" s="245">
        <f t="shared" ref="L471:S471" si="132">L451+L469</f>
        <v>6086775</v>
      </c>
      <c r="M471" s="245">
        <f t="shared" si="132"/>
        <v>3770450.2700000005</v>
      </c>
      <c r="N471" s="245">
        <f t="shared" si="132"/>
        <v>5965598</v>
      </c>
      <c r="O471" s="245">
        <f t="shared" si="132"/>
        <v>5282109.9800000004</v>
      </c>
      <c r="P471" s="193">
        <f t="shared" si="132"/>
        <v>4934774.9550000001</v>
      </c>
      <c r="Q471" s="193">
        <f t="shared" si="132"/>
        <v>6350693</v>
      </c>
      <c r="R471" s="245">
        <f t="shared" si="132"/>
        <v>6350693</v>
      </c>
      <c r="S471" s="245">
        <f t="shared" si="132"/>
        <v>0</v>
      </c>
      <c r="T471" s="83"/>
      <c r="W471" s="56"/>
      <c r="X471" s="56"/>
      <c r="Y471" s="56"/>
      <c r="Z471" s="56"/>
      <c r="AA471" s="56"/>
      <c r="AB471" s="56"/>
      <c r="AC471" s="56"/>
      <c r="AD471" s="56"/>
    </row>
    <row r="472" spans="1:30" ht="15.75" customHeight="1" x14ac:dyDescent="0.2">
      <c r="C472" s="287"/>
      <c r="K472" s="287"/>
      <c r="R472" s="83"/>
      <c r="S472" s="83"/>
      <c r="T472" s="83"/>
    </row>
    <row r="473" spans="1:30" ht="15.75" customHeight="1" x14ac:dyDescent="0.2">
      <c r="C473" s="287"/>
      <c r="K473" s="287"/>
    </row>
    <row r="474" spans="1:30" ht="15.75" customHeight="1" x14ac:dyDescent="0.2">
      <c r="C474" s="288"/>
      <c r="K474" s="288"/>
      <c r="L474" s="199" t="e">
        <f t="shared" ref="L474:R474" si="133">#REF!</f>
        <v>#REF!</v>
      </c>
      <c r="M474" s="199" t="e">
        <f t="shared" si="133"/>
        <v>#REF!</v>
      </c>
      <c r="N474" s="199" t="e">
        <f t="shared" si="133"/>
        <v>#REF!</v>
      </c>
      <c r="O474" s="199" t="e">
        <f t="shared" si="133"/>
        <v>#REF!</v>
      </c>
      <c r="P474" s="199" t="e">
        <f t="shared" si="133"/>
        <v>#REF!</v>
      </c>
      <c r="Q474" s="199" t="e">
        <f t="shared" si="133"/>
        <v>#REF!</v>
      </c>
      <c r="R474" s="173" t="e">
        <f t="shared" si="133"/>
        <v>#REF!</v>
      </c>
    </row>
    <row r="475" spans="1:30" ht="15.75" customHeight="1" x14ac:dyDescent="0.2">
      <c r="C475" s="289"/>
      <c r="K475" s="289"/>
      <c r="L475" s="290">
        <f t="shared" ref="L475:R475" si="134">L471</f>
        <v>6086775</v>
      </c>
      <c r="M475" s="290">
        <f t="shared" si="134"/>
        <v>3770450.2700000005</v>
      </c>
      <c r="N475" s="290">
        <f t="shared" si="134"/>
        <v>5965598</v>
      </c>
      <c r="O475" s="290">
        <f t="shared" si="134"/>
        <v>5282109.9800000004</v>
      </c>
      <c r="P475" s="290">
        <f t="shared" si="134"/>
        <v>4934774.9550000001</v>
      </c>
      <c r="Q475" s="290">
        <f t="shared" si="134"/>
        <v>6350693</v>
      </c>
      <c r="R475" s="291">
        <f t="shared" si="134"/>
        <v>6350693</v>
      </c>
    </row>
    <row r="476" spans="1:30" ht="15.75" customHeight="1" x14ac:dyDescent="0.2">
      <c r="C476" s="287"/>
      <c r="K476" s="287"/>
    </row>
    <row r="477" spans="1:30" ht="15.75" customHeight="1" x14ac:dyDescent="0.2">
      <c r="C477" s="287"/>
      <c r="K477" s="287"/>
    </row>
    <row r="478" spans="1:30" ht="15.75" customHeight="1" x14ac:dyDescent="0.2">
      <c r="C478" s="287"/>
      <c r="K478" s="287"/>
    </row>
    <row r="479" spans="1:30" ht="15.75" customHeight="1" x14ac:dyDescent="0.2">
      <c r="C479" s="287"/>
      <c r="K479" s="287"/>
    </row>
    <row r="480" spans="1:30" ht="15.75" customHeight="1" x14ac:dyDescent="0.2">
      <c r="C480" s="287"/>
      <c r="K480" s="287"/>
    </row>
    <row r="481" spans="3:11" ht="15.75" customHeight="1" x14ac:dyDescent="0.2">
      <c r="C481" s="287"/>
      <c r="K481" s="287"/>
    </row>
    <row r="482" spans="3:11" ht="15.75" customHeight="1" x14ac:dyDescent="0.2">
      <c r="C482" s="287"/>
      <c r="K482" s="287"/>
    </row>
    <row r="483" spans="3:11" ht="15.75" customHeight="1" x14ac:dyDescent="0.2">
      <c r="C483" s="287"/>
      <c r="K483" s="287"/>
    </row>
    <row r="484" spans="3:11" ht="15.75" customHeight="1" x14ac:dyDescent="0.2">
      <c r="C484" s="287"/>
      <c r="K484" s="287"/>
    </row>
    <row r="485" spans="3:11" ht="15.75" customHeight="1" x14ac:dyDescent="0.2">
      <c r="C485" s="287"/>
      <c r="K485" s="287"/>
    </row>
    <row r="486" spans="3:11" ht="15.75" customHeight="1" x14ac:dyDescent="0.2">
      <c r="C486" s="287"/>
      <c r="K486" s="287"/>
    </row>
    <row r="487" spans="3:11" ht="15.75" customHeight="1" x14ac:dyDescent="0.2">
      <c r="C487" s="287"/>
      <c r="K487" s="287"/>
    </row>
    <row r="488" spans="3:11" ht="15.75" customHeight="1" x14ac:dyDescent="0.2">
      <c r="C488" s="287"/>
      <c r="K488" s="287"/>
    </row>
    <row r="489" spans="3:11" ht="15.75" customHeight="1" x14ac:dyDescent="0.2">
      <c r="C489" s="287"/>
      <c r="K489" s="287"/>
    </row>
    <row r="490" spans="3:11" ht="15.75" customHeight="1" x14ac:dyDescent="0.2">
      <c r="C490" s="287"/>
      <c r="K490" s="287"/>
    </row>
    <row r="491" spans="3:11" ht="15.75" customHeight="1" x14ac:dyDescent="0.2">
      <c r="C491" s="287"/>
      <c r="K491" s="287"/>
    </row>
    <row r="492" spans="3:11" ht="15.75" customHeight="1" x14ac:dyDescent="0.2">
      <c r="C492" s="287"/>
      <c r="K492" s="287"/>
    </row>
    <row r="493" spans="3:11" ht="15.75" customHeight="1" x14ac:dyDescent="0.2">
      <c r="C493" s="287"/>
      <c r="K493" s="287"/>
    </row>
    <row r="494" spans="3:11" ht="15.75" customHeight="1" x14ac:dyDescent="0.2">
      <c r="C494" s="287"/>
      <c r="K494" s="287"/>
    </row>
    <row r="495" spans="3:11" ht="15.75" customHeight="1" x14ac:dyDescent="0.2">
      <c r="C495" s="287"/>
      <c r="K495" s="287"/>
    </row>
    <row r="496" spans="3:11" ht="15.75" customHeight="1" x14ac:dyDescent="0.2">
      <c r="C496" s="287"/>
      <c r="K496" s="287"/>
    </row>
    <row r="497" spans="3:11" ht="15.75" customHeight="1" x14ac:dyDescent="0.2">
      <c r="C497" s="287"/>
      <c r="K497" s="287"/>
    </row>
    <row r="498" spans="3:11" ht="15.75" customHeight="1" x14ac:dyDescent="0.2">
      <c r="C498" s="287"/>
      <c r="K498" s="287"/>
    </row>
    <row r="499" spans="3:11" ht="15.75" customHeight="1" x14ac:dyDescent="0.2">
      <c r="C499" s="287"/>
      <c r="K499" s="287"/>
    </row>
    <row r="500" spans="3:11" ht="15.75" customHeight="1" x14ac:dyDescent="0.2">
      <c r="C500" s="287"/>
      <c r="K500" s="287"/>
    </row>
    <row r="501" spans="3:11" ht="15.75" customHeight="1" x14ac:dyDescent="0.2">
      <c r="C501" s="287"/>
      <c r="K501" s="287"/>
    </row>
    <row r="502" spans="3:11" ht="15.75" customHeight="1" x14ac:dyDescent="0.2">
      <c r="C502" s="287"/>
      <c r="K502" s="287"/>
    </row>
    <row r="503" spans="3:11" ht="15.75" customHeight="1" x14ac:dyDescent="0.2">
      <c r="C503" s="287"/>
      <c r="K503" s="287"/>
    </row>
    <row r="504" spans="3:11" ht="15.75" customHeight="1" x14ac:dyDescent="0.2">
      <c r="C504" s="287"/>
      <c r="K504" s="287"/>
    </row>
    <row r="505" spans="3:11" ht="15.75" customHeight="1" x14ac:dyDescent="0.2">
      <c r="C505" s="287"/>
      <c r="K505" s="287"/>
    </row>
    <row r="506" spans="3:11" ht="15.75" customHeight="1" x14ac:dyDescent="0.2">
      <c r="C506" s="287"/>
      <c r="K506" s="287"/>
    </row>
    <row r="507" spans="3:11" ht="15.75" customHeight="1" x14ac:dyDescent="0.2">
      <c r="C507" s="287"/>
      <c r="K507" s="287"/>
    </row>
    <row r="508" spans="3:11" ht="15.75" customHeight="1" x14ac:dyDescent="0.2">
      <c r="C508" s="287"/>
      <c r="K508" s="287"/>
    </row>
    <row r="509" spans="3:11" ht="15.75" customHeight="1" x14ac:dyDescent="0.2">
      <c r="C509" s="287"/>
      <c r="K509" s="287"/>
    </row>
    <row r="510" spans="3:11" ht="15.75" customHeight="1" x14ac:dyDescent="0.2">
      <c r="C510" s="287"/>
      <c r="K510" s="287"/>
    </row>
    <row r="511" spans="3:11" ht="15.75" customHeight="1" x14ac:dyDescent="0.2">
      <c r="C511" s="287"/>
      <c r="K511" s="287"/>
    </row>
    <row r="512" spans="3:11" ht="15.75" customHeight="1" x14ac:dyDescent="0.2">
      <c r="C512" s="287"/>
      <c r="K512" s="287"/>
    </row>
    <row r="513" spans="1:19" ht="15.75" customHeight="1" x14ac:dyDescent="0.2">
      <c r="C513" s="287"/>
      <c r="K513" s="287"/>
    </row>
    <row r="514" spans="1:19" ht="15.75" customHeight="1" x14ac:dyDescent="0.2">
      <c r="C514" s="287"/>
      <c r="K514" s="287"/>
    </row>
    <row r="515" spans="1:19" ht="15.75" customHeight="1" x14ac:dyDescent="0.2">
      <c r="C515" s="287"/>
      <c r="K515" s="287"/>
    </row>
    <row r="516" spans="1:19" ht="15.75" customHeight="1" x14ac:dyDescent="0.2">
      <c r="C516" s="287"/>
      <c r="K516" s="287"/>
    </row>
    <row r="517" spans="1:19" ht="15.75" customHeight="1" x14ac:dyDescent="0.2">
      <c r="C517" s="287"/>
      <c r="K517" s="287"/>
    </row>
    <row r="518" spans="1:19" ht="15.75" customHeight="1" x14ac:dyDescent="0.2">
      <c r="C518" s="287"/>
      <c r="K518" s="287"/>
    </row>
    <row r="519" spans="1:19" ht="15.75" customHeight="1" x14ac:dyDescent="0.2">
      <c r="C519" s="287"/>
      <c r="K519" s="287"/>
    </row>
    <row r="520" spans="1:19" ht="15.75" customHeight="1" x14ac:dyDescent="0.2">
      <c r="C520" s="287"/>
      <c r="K520" s="287"/>
    </row>
    <row r="521" spans="1:19" ht="15.75" customHeight="1" x14ac:dyDescent="0.2">
      <c r="C521" s="287"/>
      <c r="K521" s="287"/>
    </row>
    <row r="522" spans="1:19" ht="15.75" customHeight="1" x14ac:dyDescent="0.2">
      <c r="C522" s="287"/>
      <c r="K522" s="287"/>
    </row>
    <row r="523" spans="1:19" ht="15.75" customHeight="1" x14ac:dyDescent="0.2">
      <c r="C523" s="287"/>
      <c r="K523" s="287"/>
    </row>
    <row r="524" spans="1:19" ht="15.75" customHeight="1" x14ac:dyDescent="0.2">
      <c r="C524" s="287"/>
      <c r="K524" s="287"/>
    </row>
    <row r="525" spans="1:19" ht="15.75" customHeight="1" x14ac:dyDescent="0.2">
      <c r="C525" s="287"/>
      <c r="K525" s="287"/>
    </row>
    <row r="526" spans="1:19" ht="15.75" customHeight="1" x14ac:dyDescent="0.2">
      <c r="A526" s="3" t="s">
        <v>50</v>
      </c>
      <c r="B526" s="3" t="s">
        <v>51</v>
      </c>
      <c r="C526" s="292"/>
      <c r="D526" s="99" t="s">
        <v>52</v>
      </c>
      <c r="E526" s="100" t="s">
        <v>53</v>
      </c>
      <c r="F526" s="100" t="s">
        <v>54</v>
      </c>
      <c r="G526" s="100" t="s">
        <v>55</v>
      </c>
      <c r="H526" s="24" t="s">
        <v>56</v>
      </c>
      <c r="I526" s="24" t="s">
        <v>57</v>
      </c>
      <c r="J526" s="101" t="s">
        <v>58</v>
      </c>
      <c r="K526" s="292"/>
      <c r="L526" s="3" t="s">
        <v>59</v>
      </c>
      <c r="M526" s="3" t="s">
        <v>60</v>
      </c>
      <c r="N526" s="3" t="s">
        <v>61</v>
      </c>
      <c r="O526" s="3" t="s">
        <v>62</v>
      </c>
      <c r="P526" s="293" t="s">
        <v>541</v>
      </c>
      <c r="Q526" s="293" t="s">
        <v>64</v>
      </c>
      <c r="R526" s="293" t="s">
        <v>65</v>
      </c>
      <c r="S526" s="293" t="s">
        <v>586</v>
      </c>
    </row>
    <row r="527" spans="1:19" ht="15.75" customHeight="1" x14ac:dyDescent="0.25">
      <c r="A527" s="565" t="s">
        <v>730</v>
      </c>
      <c r="B527" s="566"/>
      <c r="C527" s="311"/>
      <c r="D527" s="66"/>
      <c r="E527" s="65"/>
      <c r="F527" s="65"/>
      <c r="G527" s="275"/>
      <c r="H527" s="234"/>
      <c r="K527" s="311"/>
      <c r="L527" s="65"/>
      <c r="M527" s="165"/>
      <c r="N527" s="65"/>
      <c r="O527" s="165"/>
      <c r="P527" s="157"/>
      <c r="Q527" s="157"/>
      <c r="R527" s="275"/>
      <c r="S527" s="275"/>
    </row>
    <row r="528" spans="1:19" ht="15.75" customHeight="1" x14ac:dyDescent="0.25">
      <c r="A528" s="66" t="s">
        <v>731</v>
      </c>
      <c r="B528" s="66" t="s">
        <v>115</v>
      </c>
      <c r="C528" s="295"/>
      <c r="D528" s="160">
        <v>17188</v>
      </c>
      <c r="E528" s="160" t="e">
        <f>D528*#REF!</f>
        <v>#REF!</v>
      </c>
      <c r="F528" s="160" t="e">
        <f>D528*#REF!</f>
        <v>#REF!</v>
      </c>
      <c r="G528" s="160" t="e">
        <f>(D528*#REF!)*#REF!</f>
        <v>#REF!</v>
      </c>
      <c r="H528" s="296">
        <f t="shared" ref="H528:H532" si="135">IFERROR(((Q528-G528)/G528),0)</f>
        <v>0</v>
      </c>
      <c r="I528" s="147" t="e">
        <f t="shared" ref="I528:I532" si="136">Q528-G528</f>
        <v>#REF!</v>
      </c>
      <c r="J528" s="97">
        <v>0</v>
      </c>
      <c r="K528" s="295"/>
      <c r="L528" s="20">
        <v>29621</v>
      </c>
      <c r="M528" s="20">
        <v>30691.33</v>
      </c>
      <c r="N528" s="20">
        <v>30000</v>
      </c>
      <c r="O528" s="20">
        <f>VLOOKUP(A528,TB!A:F,3)</f>
        <v>19221.04</v>
      </c>
      <c r="P528" s="163">
        <f t="shared" ref="P528:P531" si="137">N528</f>
        <v>30000</v>
      </c>
      <c r="Q528" s="160">
        <v>43000</v>
      </c>
      <c r="R528" s="233">
        <f>VLOOKUP(A528,TB!A:F,6)</f>
        <v>43000</v>
      </c>
      <c r="S528" s="233">
        <f t="shared" ref="S528:S531" si="138">Q528-R528</f>
        <v>0</v>
      </c>
    </row>
    <row r="529" spans="1:30" ht="15.75" customHeight="1" x14ac:dyDescent="0.25">
      <c r="A529" s="66" t="s">
        <v>732</v>
      </c>
      <c r="B529" s="66" t="s">
        <v>84</v>
      </c>
      <c r="C529" s="295"/>
      <c r="D529" s="160">
        <v>478</v>
      </c>
      <c r="E529" s="160" t="e">
        <f>D529*#REF!</f>
        <v>#REF!</v>
      </c>
      <c r="F529" s="160" t="e">
        <f>D529*#REF!</f>
        <v>#REF!</v>
      </c>
      <c r="G529" s="160" t="e">
        <f>(D529*#REF!)*#REF!</f>
        <v>#REF!</v>
      </c>
      <c r="H529" s="296">
        <f t="shared" si="135"/>
        <v>0</v>
      </c>
      <c r="I529" s="147" t="e">
        <f t="shared" si="136"/>
        <v>#REF!</v>
      </c>
      <c r="J529" s="97">
        <v>0</v>
      </c>
      <c r="K529" s="295"/>
      <c r="L529" s="20">
        <v>2550</v>
      </c>
      <c r="M529" s="20">
        <v>114875.74</v>
      </c>
      <c r="N529" s="20">
        <v>153120</v>
      </c>
      <c r="O529" s="20">
        <f>VLOOKUP(A529,TB!A:F,3)</f>
        <v>78090.03</v>
      </c>
      <c r="P529" s="163">
        <f t="shared" si="137"/>
        <v>153120</v>
      </c>
      <c r="Q529" s="160">
        <v>153120</v>
      </c>
      <c r="R529" s="233">
        <f>VLOOKUP(A529,TB!A:F,6)</f>
        <v>153120</v>
      </c>
      <c r="S529" s="233">
        <f t="shared" si="138"/>
        <v>0</v>
      </c>
    </row>
    <row r="530" spans="1:30" ht="15.75" customHeight="1" x14ac:dyDescent="0.25">
      <c r="A530" s="66" t="s">
        <v>733</v>
      </c>
      <c r="B530" s="66" t="s">
        <v>88</v>
      </c>
      <c r="C530" s="295"/>
      <c r="D530" s="160">
        <v>400</v>
      </c>
      <c r="E530" s="160" t="e">
        <f>D530*#REF!</f>
        <v>#REF!</v>
      </c>
      <c r="F530" s="160" t="e">
        <f>D530*#REF!</f>
        <v>#REF!</v>
      </c>
      <c r="G530" s="160" t="e">
        <f>(D530*#REF!)*#REF!</f>
        <v>#REF!</v>
      </c>
      <c r="H530" s="296">
        <f t="shared" si="135"/>
        <v>0</v>
      </c>
      <c r="I530" s="147" t="e">
        <f t="shared" si="136"/>
        <v>#REF!</v>
      </c>
      <c r="J530" s="97">
        <v>0</v>
      </c>
      <c r="K530" s="295"/>
      <c r="L530" s="20">
        <v>7495</v>
      </c>
      <c r="M530" s="20">
        <v>8428.66</v>
      </c>
      <c r="N530" s="20">
        <v>37500</v>
      </c>
      <c r="O530" s="20">
        <f>VLOOKUP(A530,TB!A:F,3)</f>
        <v>5346.5</v>
      </c>
      <c r="P530" s="163">
        <f t="shared" si="137"/>
        <v>37500</v>
      </c>
      <c r="Q530" s="160">
        <v>24300</v>
      </c>
      <c r="R530" s="233">
        <f>VLOOKUP(A530,TB!A:F,6)</f>
        <v>24300</v>
      </c>
      <c r="S530" s="233">
        <f t="shared" si="138"/>
        <v>0</v>
      </c>
    </row>
    <row r="531" spans="1:30" ht="15.75" customHeight="1" x14ac:dyDescent="0.25">
      <c r="A531" s="66" t="s">
        <v>734</v>
      </c>
      <c r="B531" s="66" t="s">
        <v>90</v>
      </c>
      <c r="C531" s="295"/>
      <c r="D531" s="160">
        <v>3932</v>
      </c>
      <c r="E531" s="160" t="e">
        <f>D531*#REF!</f>
        <v>#REF!</v>
      </c>
      <c r="F531" s="160" t="e">
        <f>D531*#REF!</f>
        <v>#REF!</v>
      </c>
      <c r="G531" s="160" t="e">
        <f>(D531*#REF!)*#REF!</f>
        <v>#REF!</v>
      </c>
      <c r="H531" s="296">
        <f t="shared" si="135"/>
        <v>0</v>
      </c>
      <c r="I531" s="147" t="e">
        <f t="shared" si="136"/>
        <v>#REF!</v>
      </c>
      <c r="J531" s="97">
        <v>0</v>
      </c>
      <c r="K531" s="295"/>
      <c r="L531" s="20">
        <v>6013</v>
      </c>
      <c r="M531" s="20">
        <v>5483.81</v>
      </c>
      <c r="N531" s="20">
        <v>8300</v>
      </c>
      <c r="O531" s="20">
        <f>VLOOKUP(A531,TB!A:F,3)</f>
        <v>642.79999999999995</v>
      </c>
      <c r="P531" s="163">
        <f t="shared" si="137"/>
        <v>8300</v>
      </c>
      <c r="Q531" s="160">
        <v>6500</v>
      </c>
      <c r="R531" s="233">
        <f>VLOOKUP(A531,TB!A:F,6)</f>
        <v>6500</v>
      </c>
      <c r="S531" s="233">
        <f t="shared" si="138"/>
        <v>0</v>
      </c>
    </row>
    <row r="532" spans="1:30" ht="15.75" customHeight="1" x14ac:dyDescent="0.25">
      <c r="A532" s="74" t="s">
        <v>735</v>
      </c>
      <c r="B532" s="75"/>
      <c r="C532" s="299"/>
      <c r="D532" s="189">
        <f t="shared" ref="D532:G532" si="139">SUM(D528:D531)</f>
        <v>21998</v>
      </c>
      <c r="E532" s="189" t="e">
        <f t="shared" si="139"/>
        <v>#REF!</v>
      </c>
      <c r="F532" s="189" t="e">
        <f t="shared" si="139"/>
        <v>#REF!</v>
      </c>
      <c r="G532" s="189" t="e">
        <f t="shared" si="139"/>
        <v>#REF!</v>
      </c>
      <c r="H532" s="300">
        <f t="shared" si="135"/>
        <v>0</v>
      </c>
      <c r="I532" s="189" t="e">
        <f t="shared" si="136"/>
        <v>#REF!</v>
      </c>
      <c r="J532" s="301">
        <f>SUM(J528:J531)</f>
        <v>0</v>
      </c>
      <c r="K532" s="299"/>
      <c r="L532" s="77">
        <f t="shared" ref="L532:S532" si="140">SUM(L528:L531)</f>
        <v>45679</v>
      </c>
      <c r="M532" s="77">
        <f t="shared" si="140"/>
        <v>159479.54</v>
      </c>
      <c r="N532" s="77">
        <f t="shared" si="140"/>
        <v>228920</v>
      </c>
      <c r="O532" s="77">
        <f t="shared" si="140"/>
        <v>103300.37000000001</v>
      </c>
      <c r="P532" s="189">
        <f t="shared" si="140"/>
        <v>228920</v>
      </c>
      <c r="Q532" s="189">
        <f t="shared" si="140"/>
        <v>226920</v>
      </c>
      <c r="R532" s="77">
        <f t="shared" si="140"/>
        <v>226920</v>
      </c>
      <c r="S532" s="77">
        <f t="shared" si="140"/>
        <v>0</v>
      </c>
    </row>
    <row r="533" spans="1:30" ht="15.75" customHeight="1" x14ac:dyDescent="0.25">
      <c r="C533" s="287"/>
      <c r="K533" s="287"/>
      <c r="L533" s="54"/>
      <c r="M533" s="54"/>
      <c r="N533" s="54"/>
      <c r="O533" s="20"/>
      <c r="P533" s="54"/>
      <c r="Q533" s="54"/>
      <c r="R533" s="83"/>
      <c r="S533" s="83"/>
    </row>
    <row r="534" spans="1:30" ht="15.75" customHeight="1" x14ac:dyDescent="0.2">
      <c r="A534" s="69" t="s">
        <v>184</v>
      </c>
      <c r="C534" s="287"/>
      <c r="K534" s="287"/>
      <c r="L534" s="54"/>
      <c r="M534" s="54"/>
      <c r="N534" s="54"/>
      <c r="O534" s="54"/>
      <c r="P534" s="54"/>
      <c r="Q534" s="54"/>
      <c r="R534" s="83"/>
      <c r="S534" s="83"/>
    </row>
    <row r="535" spans="1:30" ht="15.75" customHeight="1" x14ac:dyDescent="0.25">
      <c r="C535" s="307"/>
      <c r="D535" s="147"/>
      <c r="E535" s="160" t="e">
        <f>D535*#REF!</f>
        <v>#REF!</v>
      </c>
      <c r="F535" s="160" t="e">
        <f>D535*#REF!</f>
        <v>#REF!</v>
      </c>
      <c r="G535" s="160" t="e">
        <f>(D535*#REF!)*#REF!</f>
        <v>#REF!</v>
      </c>
      <c r="H535" s="296">
        <f t="shared" ref="H535:H536" si="141">IFERROR(((Q535-G535)/G535),0)</f>
        <v>0</v>
      </c>
      <c r="I535" s="147" t="e">
        <f t="shared" ref="I535:I536" si="142">Q535-G535</f>
        <v>#REF!</v>
      </c>
      <c r="J535" s="97">
        <v>0</v>
      </c>
      <c r="K535" s="307"/>
      <c r="L535" s="54"/>
      <c r="M535" s="54"/>
      <c r="N535" s="54"/>
      <c r="O535" s="54"/>
      <c r="P535" s="54"/>
      <c r="Q535" s="54"/>
      <c r="R535" s="81"/>
      <c r="S535" s="81"/>
    </row>
    <row r="536" spans="1:30" ht="15.75" customHeight="1" x14ac:dyDescent="0.2">
      <c r="A536" s="239" t="s">
        <v>189</v>
      </c>
      <c r="B536" s="75"/>
      <c r="C536" s="299"/>
      <c r="D536" s="189">
        <f t="shared" ref="D536:G536" si="143">SUM(D535)</f>
        <v>0</v>
      </c>
      <c r="E536" s="189" t="e">
        <f t="shared" si="143"/>
        <v>#REF!</v>
      </c>
      <c r="F536" s="189" t="e">
        <f t="shared" si="143"/>
        <v>#REF!</v>
      </c>
      <c r="G536" s="189" t="e">
        <f t="shared" si="143"/>
        <v>#REF!</v>
      </c>
      <c r="H536" s="300">
        <f t="shared" si="141"/>
        <v>0</v>
      </c>
      <c r="I536" s="189" t="e">
        <f t="shared" si="142"/>
        <v>#REF!</v>
      </c>
      <c r="J536" s="189">
        <v>0</v>
      </c>
      <c r="K536" s="299"/>
      <c r="L536" s="77">
        <f t="shared" ref="L536:S536" si="144">SUM(L535)</f>
        <v>0</v>
      </c>
      <c r="M536" s="77">
        <f t="shared" si="144"/>
        <v>0</v>
      </c>
      <c r="N536" s="77">
        <f t="shared" si="144"/>
        <v>0</v>
      </c>
      <c r="O536" s="77">
        <f t="shared" si="144"/>
        <v>0</v>
      </c>
      <c r="P536" s="189">
        <f t="shared" si="144"/>
        <v>0</v>
      </c>
      <c r="Q536" s="189">
        <f t="shared" si="144"/>
        <v>0</v>
      </c>
      <c r="R536" s="77">
        <f t="shared" si="144"/>
        <v>0</v>
      </c>
      <c r="S536" s="77">
        <f t="shared" si="144"/>
        <v>0</v>
      </c>
    </row>
    <row r="537" spans="1:30" ht="15.75" customHeight="1" x14ac:dyDescent="0.2">
      <c r="C537" s="287"/>
      <c r="K537" s="287"/>
      <c r="L537" s="54"/>
      <c r="M537" s="54"/>
      <c r="N537" s="54"/>
      <c r="O537" s="54"/>
      <c r="P537" s="54"/>
      <c r="Q537" s="54"/>
      <c r="R537" s="83"/>
      <c r="S537" s="83"/>
    </row>
    <row r="538" spans="1:30" ht="15.75" customHeight="1" x14ac:dyDescent="0.2">
      <c r="A538" s="69" t="s">
        <v>190</v>
      </c>
      <c r="B538" s="51"/>
      <c r="C538" s="309"/>
      <c r="D538" s="193">
        <f t="shared" ref="D538:G538" si="145">D532+D536</f>
        <v>21998</v>
      </c>
      <c r="E538" s="193" t="e">
        <f t="shared" si="145"/>
        <v>#REF!</v>
      </c>
      <c r="F538" s="193" t="e">
        <f t="shared" si="145"/>
        <v>#REF!</v>
      </c>
      <c r="G538" s="193" t="e">
        <f t="shared" si="145"/>
        <v>#REF!</v>
      </c>
      <c r="H538" s="310">
        <f>IFERROR(((Q538-G538)/G538),0)</f>
        <v>0</v>
      </c>
      <c r="I538" s="193" t="e">
        <f>Q538-G538</f>
        <v>#REF!</v>
      </c>
      <c r="J538" s="193">
        <f>J536+J532</f>
        <v>0</v>
      </c>
      <c r="K538" s="309"/>
      <c r="L538" s="245">
        <f t="shared" ref="L538:S538" si="146">L532+L536</f>
        <v>45679</v>
      </c>
      <c r="M538" s="245">
        <f t="shared" si="146"/>
        <v>159479.54</v>
      </c>
      <c r="N538" s="245">
        <f t="shared" si="146"/>
        <v>228920</v>
      </c>
      <c r="O538" s="245">
        <f t="shared" si="146"/>
        <v>103300.37000000001</v>
      </c>
      <c r="P538" s="193">
        <f t="shared" si="146"/>
        <v>228920</v>
      </c>
      <c r="Q538" s="193">
        <f t="shared" si="146"/>
        <v>226920</v>
      </c>
      <c r="R538" s="245">
        <f t="shared" si="146"/>
        <v>226920</v>
      </c>
      <c r="S538" s="245">
        <f t="shared" si="146"/>
        <v>0</v>
      </c>
      <c r="W538" s="56"/>
      <c r="X538" s="56"/>
      <c r="Y538" s="56"/>
      <c r="Z538" s="56"/>
      <c r="AA538" s="56"/>
      <c r="AB538" s="56"/>
      <c r="AC538" s="56"/>
      <c r="AD538" s="56"/>
    </row>
    <row r="539" spans="1:30" ht="15.75" customHeight="1" x14ac:dyDescent="0.2">
      <c r="C539" s="287"/>
      <c r="K539" s="287"/>
    </row>
    <row r="540" spans="1:30" ht="15.75" customHeight="1" x14ac:dyDescent="0.2">
      <c r="C540" s="287"/>
      <c r="K540" s="287"/>
    </row>
    <row r="541" spans="1:30" ht="15.75" customHeight="1" x14ac:dyDescent="0.2">
      <c r="C541" s="288"/>
      <c r="K541" s="288"/>
      <c r="L541" s="269" t="s">
        <v>60</v>
      </c>
      <c r="M541" s="114" t="s">
        <v>61</v>
      </c>
      <c r="N541" s="269" t="s">
        <v>62</v>
      </c>
      <c r="O541" s="269" t="s">
        <v>541</v>
      </c>
      <c r="P541" s="269" t="s">
        <v>64</v>
      </c>
      <c r="Q541" s="269" t="s">
        <v>65</v>
      </c>
      <c r="R541" s="114" t="s">
        <v>586</v>
      </c>
    </row>
    <row r="542" spans="1:30" ht="15.75" customHeight="1" x14ac:dyDescent="0.2">
      <c r="C542" s="289"/>
      <c r="K542" s="289"/>
      <c r="L542" s="63">
        <f t="shared" ref="L542:R542" si="147">L538</f>
        <v>45679</v>
      </c>
      <c r="M542" s="63">
        <f t="shared" si="147"/>
        <v>159479.54</v>
      </c>
      <c r="N542" s="63">
        <f t="shared" si="147"/>
        <v>228920</v>
      </c>
      <c r="O542" s="63">
        <f t="shared" si="147"/>
        <v>103300.37000000001</v>
      </c>
      <c r="P542" s="63">
        <f t="shared" si="147"/>
        <v>228920</v>
      </c>
      <c r="Q542" s="63">
        <f t="shared" si="147"/>
        <v>226920</v>
      </c>
      <c r="R542" s="63">
        <f t="shared" si="147"/>
        <v>226920</v>
      </c>
    </row>
    <row r="543" spans="1:30" ht="15.75" customHeight="1" x14ac:dyDescent="0.2">
      <c r="C543" s="287"/>
      <c r="K543" s="287"/>
    </row>
    <row r="544" spans="1:30" ht="15.75" customHeight="1" x14ac:dyDescent="0.2">
      <c r="C544" s="287"/>
      <c r="K544" s="287"/>
    </row>
    <row r="545" spans="3:11" ht="15.75" customHeight="1" x14ac:dyDescent="0.2">
      <c r="C545" s="287"/>
      <c r="K545" s="287"/>
    </row>
    <row r="546" spans="3:11" ht="15.75" customHeight="1" x14ac:dyDescent="0.2">
      <c r="C546" s="287"/>
      <c r="K546" s="287"/>
    </row>
    <row r="547" spans="3:11" ht="15.75" customHeight="1" x14ac:dyDescent="0.2">
      <c r="C547" s="287"/>
      <c r="K547" s="287"/>
    </row>
    <row r="548" spans="3:11" ht="15.75" customHeight="1" x14ac:dyDescent="0.2">
      <c r="C548" s="287"/>
      <c r="K548" s="287"/>
    </row>
    <row r="549" spans="3:11" ht="15.75" customHeight="1" x14ac:dyDescent="0.2">
      <c r="C549" s="287"/>
      <c r="K549" s="287"/>
    </row>
    <row r="550" spans="3:11" ht="15.75" customHeight="1" x14ac:dyDescent="0.2">
      <c r="C550" s="287"/>
      <c r="K550" s="287"/>
    </row>
    <row r="551" spans="3:11" ht="15.75" customHeight="1" x14ac:dyDescent="0.2">
      <c r="C551" s="287"/>
      <c r="K551" s="287"/>
    </row>
    <row r="552" spans="3:11" ht="15.75" customHeight="1" x14ac:dyDescent="0.2">
      <c r="C552" s="287"/>
      <c r="K552" s="287"/>
    </row>
    <row r="553" spans="3:11" ht="15.75" customHeight="1" x14ac:dyDescent="0.2">
      <c r="C553" s="287"/>
      <c r="K553" s="287"/>
    </row>
    <row r="554" spans="3:11" ht="15.75" customHeight="1" x14ac:dyDescent="0.2">
      <c r="C554" s="287"/>
      <c r="K554" s="287"/>
    </row>
    <row r="555" spans="3:11" ht="15.75" customHeight="1" x14ac:dyDescent="0.2">
      <c r="C555" s="287"/>
      <c r="K555" s="287"/>
    </row>
    <row r="556" spans="3:11" ht="15.75" customHeight="1" x14ac:dyDescent="0.2">
      <c r="C556" s="287"/>
      <c r="K556" s="287"/>
    </row>
    <row r="557" spans="3:11" ht="15.75" customHeight="1" x14ac:dyDescent="0.2">
      <c r="C557" s="287"/>
      <c r="K557" s="287"/>
    </row>
    <row r="558" spans="3:11" ht="15.75" customHeight="1" x14ac:dyDescent="0.2">
      <c r="C558" s="287"/>
      <c r="K558" s="287"/>
    </row>
    <row r="559" spans="3:11" ht="15.75" customHeight="1" x14ac:dyDescent="0.2">
      <c r="C559" s="287"/>
      <c r="K559" s="287"/>
    </row>
    <row r="560" spans="3:11" ht="15.75" customHeight="1" x14ac:dyDescent="0.2">
      <c r="C560" s="287"/>
      <c r="K560" s="287"/>
    </row>
    <row r="561" spans="3:11" ht="15.75" customHeight="1" x14ac:dyDescent="0.2">
      <c r="C561" s="287"/>
      <c r="K561" s="287"/>
    </row>
    <row r="562" spans="3:11" ht="15.75" customHeight="1" x14ac:dyDescent="0.2">
      <c r="C562" s="287"/>
      <c r="K562" s="287"/>
    </row>
    <row r="563" spans="3:11" ht="15.75" customHeight="1" x14ac:dyDescent="0.2">
      <c r="C563" s="287"/>
      <c r="K563" s="287"/>
    </row>
    <row r="564" spans="3:11" ht="15.75" customHeight="1" x14ac:dyDescent="0.2">
      <c r="C564" s="287"/>
      <c r="K564" s="287"/>
    </row>
    <row r="565" spans="3:11" ht="15.75" customHeight="1" x14ac:dyDescent="0.2">
      <c r="C565" s="287"/>
      <c r="K565" s="287"/>
    </row>
    <row r="566" spans="3:11" ht="15.75" customHeight="1" x14ac:dyDescent="0.2">
      <c r="C566" s="287"/>
      <c r="K566" s="287"/>
    </row>
    <row r="567" spans="3:11" ht="15.75" customHeight="1" x14ac:dyDescent="0.2">
      <c r="C567" s="287"/>
      <c r="K567" s="287"/>
    </row>
    <row r="568" spans="3:11" ht="15.75" customHeight="1" x14ac:dyDescent="0.2">
      <c r="C568" s="287"/>
      <c r="K568" s="287"/>
    </row>
    <row r="569" spans="3:11" ht="15.75" customHeight="1" x14ac:dyDescent="0.2">
      <c r="C569" s="287"/>
      <c r="K569" s="287"/>
    </row>
    <row r="570" spans="3:11" ht="15.75" customHeight="1" x14ac:dyDescent="0.2">
      <c r="C570" s="287"/>
      <c r="K570" s="287"/>
    </row>
    <row r="571" spans="3:11" ht="1.5" customHeight="1" x14ac:dyDescent="0.2">
      <c r="C571" s="287"/>
      <c r="K571" s="287"/>
    </row>
    <row r="572" spans="3:11" ht="15.75" customHeight="1" x14ac:dyDescent="0.2">
      <c r="C572" s="287"/>
      <c r="K572" s="287"/>
    </row>
    <row r="573" spans="3:11" ht="15.75" customHeight="1" x14ac:dyDescent="0.2">
      <c r="C573" s="287"/>
      <c r="K573" s="287"/>
    </row>
    <row r="574" spans="3:11" ht="15.75" customHeight="1" x14ac:dyDescent="0.2">
      <c r="C574" s="287"/>
      <c r="K574" s="287"/>
    </row>
    <row r="575" spans="3:11" ht="15.75" customHeight="1" x14ac:dyDescent="0.2">
      <c r="C575" s="287"/>
      <c r="K575" s="287"/>
    </row>
    <row r="576" spans="3:11" ht="15.75" customHeight="1" x14ac:dyDescent="0.2">
      <c r="C576" s="287"/>
      <c r="K576" s="287"/>
    </row>
    <row r="577" spans="3:11" ht="15.75" customHeight="1" x14ac:dyDescent="0.2">
      <c r="C577" s="287"/>
      <c r="K577" s="287"/>
    </row>
    <row r="578" spans="3:11" ht="15.75" customHeight="1" x14ac:dyDescent="0.2">
      <c r="C578" s="287"/>
      <c r="K578" s="287"/>
    </row>
    <row r="579" spans="3:11" ht="15.75" customHeight="1" x14ac:dyDescent="0.2">
      <c r="C579" s="287"/>
      <c r="K579" s="287"/>
    </row>
    <row r="580" spans="3:11" ht="15.75" customHeight="1" x14ac:dyDescent="0.2">
      <c r="C580" s="287"/>
      <c r="K580" s="287"/>
    </row>
    <row r="581" spans="3:11" ht="15.75" customHeight="1" x14ac:dyDescent="0.2">
      <c r="C581" s="287"/>
      <c r="K581" s="287"/>
    </row>
    <row r="582" spans="3:11" ht="15.75" customHeight="1" x14ac:dyDescent="0.2">
      <c r="C582" s="287"/>
      <c r="K582" s="287"/>
    </row>
    <row r="583" spans="3:11" ht="15.75" customHeight="1" x14ac:dyDescent="0.2">
      <c r="C583" s="287"/>
      <c r="K583" s="287"/>
    </row>
    <row r="584" spans="3:11" ht="15.75" customHeight="1" x14ac:dyDescent="0.2">
      <c r="C584" s="287"/>
      <c r="K584" s="287"/>
    </row>
    <row r="585" spans="3:11" ht="15.75" customHeight="1" x14ac:dyDescent="0.2">
      <c r="C585" s="287"/>
      <c r="K585" s="287"/>
    </row>
    <row r="586" spans="3:11" ht="15.75" customHeight="1" x14ac:dyDescent="0.2">
      <c r="C586" s="287"/>
      <c r="K586" s="287"/>
    </row>
    <row r="587" spans="3:11" ht="15.75" customHeight="1" x14ac:dyDescent="0.2">
      <c r="C587" s="287"/>
      <c r="K587" s="287"/>
    </row>
    <row r="588" spans="3:11" ht="15.75" customHeight="1" x14ac:dyDescent="0.2">
      <c r="C588" s="287"/>
      <c r="K588" s="287"/>
    </row>
    <row r="589" spans="3:11" ht="15.75" customHeight="1" x14ac:dyDescent="0.2">
      <c r="C589" s="287"/>
      <c r="K589" s="287"/>
    </row>
    <row r="590" spans="3:11" ht="15.75" customHeight="1" x14ac:dyDescent="0.2">
      <c r="C590" s="287"/>
      <c r="K590" s="287"/>
    </row>
    <row r="591" spans="3:11" ht="15.75" customHeight="1" x14ac:dyDescent="0.2">
      <c r="C591" s="287"/>
      <c r="K591" s="287"/>
    </row>
    <row r="592" spans="3:11" ht="15.75" customHeight="1" x14ac:dyDescent="0.2">
      <c r="C592" s="287"/>
      <c r="K592" s="287"/>
    </row>
    <row r="593" spans="1:19" ht="15.75" customHeight="1" x14ac:dyDescent="0.2">
      <c r="C593" s="287"/>
      <c r="K593" s="287"/>
    </row>
    <row r="594" spans="1:19" ht="15.75" customHeight="1" x14ac:dyDescent="0.2">
      <c r="A594" s="3" t="s">
        <v>50</v>
      </c>
      <c r="B594" s="3" t="s">
        <v>51</v>
      </c>
      <c r="C594" s="292"/>
      <c r="D594" s="99" t="s">
        <v>52</v>
      </c>
      <c r="E594" s="100" t="s">
        <v>53</v>
      </c>
      <c r="F594" s="100" t="s">
        <v>54</v>
      </c>
      <c r="G594" s="100" t="s">
        <v>55</v>
      </c>
      <c r="H594" s="24" t="s">
        <v>56</v>
      </c>
      <c r="I594" s="24" t="s">
        <v>57</v>
      </c>
      <c r="J594" s="101" t="s">
        <v>58</v>
      </c>
      <c r="K594" s="292"/>
      <c r="L594" s="3" t="s">
        <v>59</v>
      </c>
      <c r="M594" s="3" t="s">
        <v>60</v>
      </c>
      <c r="N594" s="3" t="s">
        <v>61</v>
      </c>
      <c r="O594" s="3" t="s">
        <v>62</v>
      </c>
      <c r="P594" s="293" t="s">
        <v>541</v>
      </c>
      <c r="Q594" s="293" t="s">
        <v>64</v>
      </c>
      <c r="R594" s="293" t="s">
        <v>65</v>
      </c>
      <c r="S594" s="293" t="s">
        <v>586</v>
      </c>
    </row>
    <row r="595" spans="1:19" ht="15.75" customHeight="1" x14ac:dyDescent="0.25">
      <c r="A595" s="565" t="s">
        <v>736</v>
      </c>
      <c r="B595" s="566"/>
      <c r="C595" s="566"/>
      <c r="D595" s="566"/>
      <c r="E595" s="65"/>
      <c r="F595" s="65"/>
      <c r="G595" s="275"/>
      <c r="H595" s="234"/>
      <c r="L595" s="65"/>
      <c r="M595" s="165"/>
      <c r="N595" s="65"/>
      <c r="O595" s="165"/>
      <c r="P595" s="157"/>
      <c r="Q595" s="157"/>
      <c r="R595" s="275"/>
      <c r="S595" s="275"/>
    </row>
    <row r="596" spans="1:19" ht="15.75" customHeight="1" x14ac:dyDescent="0.25">
      <c r="A596" s="66" t="s">
        <v>737</v>
      </c>
      <c r="B596" s="66" t="s">
        <v>68</v>
      </c>
      <c r="C596" s="295"/>
      <c r="D596" s="160">
        <v>104878</v>
      </c>
      <c r="E596" s="160" t="e">
        <f>D596*#REF!</f>
        <v>#REF!</v>
      </c>
      <c r="F596" s="160" t="e">
        <f>D596*#REF!</f>
        <v>#REF!</v>
      </c>
      <c r="G596" s="160" t="e">
        <f>(D596*#REF!)*#REF!</f>
        <v>#REF!</v>
      </c>
      <c r="H596" s="296">
        <f t="shared" ref="H596:H607" si="148">IFERROR(((Q596-G596)/G596),0)</f>
        <v>0</v>
      </c>
      <c r="I596" s="147" t="e">
        <f t="shared" ref="I596:I607" si="149">Q596-G596</f>
        <v>#REF!</v>
      </c>
      <c r="J596" s="97">
        <v>0</v>
      </c>
      <c r="K596" s="295"/>
      <c r="L596" s="20">
        <v>134117</v>
      </c>
      <c r="M596" s="20">
        <v>122614.05</v>
      </c>
      <c r="N596" s="20">
        <v>290931</v>
      </c>
      <c r="O596" s="20">
        <f>VLOOKUP(A596,TB!A:F,3)</f>
        <v>192571.31</v>
      </c>
      <c r="P596" s="160">
        <f t="shared" ref="P596:P599" si="150">O596/20*26</f>
        <v>250342.70300000001</v>
      </c>
      <c r="Q596" s="160">
        <v>313000</v>
      </c>
      <c r="R596" s="233">
        <f>VLOOKUP(A596,TB!A:F,6)</f>
        <v>313000</v>
      </c>
      <c r="S596" s="233">
        <f t="shared" ref="S596:S606" si="151">Q596-R596</f>
        <v>0</v>
      </c>
    </row>
    <row r="597" spans="1:19" ht="15.75" customHeight="1" x14ac:dyDescent="0.25">
      <c r="A597" s="66" t="s">
        <v>738</v>
      </c>
      <c r="B597" s="66" t="s">
        <v>70</v>
      </c>
      <c r="C597" s="295"/>
      <c r="D597" s="160">
        <v>1517</v>
      </c>
      <c r="E597" s="160" t="e">
        <f>D597*#REF!</f>
        <v>#REF!</v>
      </c>
      <c r="F597" s="160" t="e">
        <f>D597*#REF!</f>
        <v>#REF!</v>
      </c>
      <c r="G597" s="160" t="e">
        <f>(D597*#REF!)*#REF!</f>
        <v>#REF!</v>
      </c>
      <c r="H597" s="296">
        <f t="shared" si="148"/>
        <v>0</v>
      </c>
      <c r="I597" s="147" t="e">
        <f t="shared" si="149"/>
        <v>#REF!</v>
      </c>
      <c r="J597" s="97">
        <v>0</v>
      </c>
      <c r="K597" s="295"/>
      <c r="L597" s="20">
        <v>4044</v>
      </c>
      <c r="M597" s="20">
        <v>6586.39</v>
      </c>
      <c r="N597" s="20">
        <v>6500</v>
      </c>
      <c r="O597" s="20">
        <f>VLOOKUP(A597,TB!A:F,3)</f>
        <v>7421.51</v>
      </c>
      <c r="P597" s="160">
        <f t="shared" si="150"/>
        <v>9647.9630000000016</v>
      </c>
      <c r="Q597" s="160">
        <v>8800</v>
      </c>
      <c r="R597" s="233">
        <f>VLOOKUP(A597,TB!A:F,6)</f>
        <v>8800</v>
      </c>
      <c r="S597" s="233">
        <f t="shared" si="151"/>
        <v>0</v>
      </c>
    </row>
    <row r="598" spans="1:19" ht="15.75" customHeight="1" x14ac:dyDescent="0.25">
      <c r="A598" s="66" t="s">
        <v>739</v>
      </c>
      <c r="B598" s="66" t="s">
        <v>72</v>
      </c>
      <c r="C598" s="295"/>
      <c r="D598" s="160">
        <v>37761</v>
      </c>
      <c r="E598" s="160" t="e">
        <f>D598*#REF!</f>
        <v>#REF!</v>
      </c>
      <c r="F598" s="160" t="e">
        <f>D598*#REF!</f>
        <v>#REF!</v>
      </c>
      <c r="G598" s="160" t="e">
        <f>(D598*#REF!)*#REF!</f>
        <v>#REF!</v>
      </c>
      <c r="H598" s="296">
        <f t="shared" si="148"/>
        <v>0</v>
      </c>
      <c r="I598" s="147" t="e">
        <f t="shared" si="149"/>
        <v>#REF!</v>
      </c>
      <c r="J598" s="97">
        <v>0</v>
      </c>
      <c r="K598" s="295"/>
      <c r="L598" s="20">
        <v>51348</v>
      </c>
      <c r="M598" s="20">
        <v>60632.49</v>
      </c>
      <c r="N598" s="20">
        <v>166400</v>
      </c>
      <c r="O598" s="20">
        <f>VLOOKUP(A598,TB!A:F,3)</f>
        <v>95391.6</v>
      </c>
      <c r="P598" s="160">
        <f t="shared" si="150"/>
        <v>124009.08</v>
      </c>
      <c r="Q598" s="160">
        <v>157800</v>
      </c>
      <c r="R598" s="233">
        <f>VLOOKUP(A598,TB!A:F,6)</f>
        <v>157800</v>
      </c>
      <c r="S598" s="233">
        <f t="shared" si="151"/>
        <v>0</v>
      </c>
    </row>
    <row r="599" spans="1:19" ht="15.75" customHeight="1" x14ac:dyDescent="0.25">
      <c r="A599" s="66" t="s">
        <v>740</v>
      </c>
      <c r="B599" s="66" t="s">
        <v>451</v>
      </c>
      <c r="C599" s="295"/>
      <c r="D599" s="160">
        <v>480</v>
      </c>
      <c r="E599" s="160" t="e">
        <f>D599*#REF!</f>
        <v>#REF!</v>
      </c>
      <c r="F599" s="160" t="e">
        <f>D599*#REF!</f>
        <v>#REF!</v>
      </c>
      <c r="G599" s="160" t="e">
        <f>(D599*#REF!)*#REF!</f>
        <v>#REF!</v>
      </c>
      <c r="H599" s="296">
        <f t="shared" si="148"/>
        <v>0</v>
      </c>
      <c r="I599" s="147" t="e">
        <f t="shared" si="149"/>
        <v>#REF!</v>
      </c>
      <c r="J599" s="97">
        <v>0</v>
      </c>
      <c r="K599" s="295"/>
      <c r="L599" s="20">
        <v>983</v>
      </c>
      <c r="M599" s="20">
        <v>1172.67</v>
      </c>
      <c r="N599" s="20">
        <v>2800</v>
      </c>
      <c r="O599" s="20">
        <f>VLOOKUP(A599,TB!A:F,3)</f>
        <v>278.91000000000003</v>
      </c>
      <c r="P599" s="160">
        <f t="shared" si="150"/>
        <v>362.58300000000003</v>
      </c>
      <c r="Q599" s="160">
        <v>2800</v>
      </c>
      <c r="R599" s="233">
        <f>VLOOKUP(A599,TB!A:F,6)</f>
        <v>2800</v>
      </c>
      <c r="S599" s="233">
        <f t="shared" si="151"/>
        <v>0</v>
      </c>
    </row>
    <row r="600" spans="1:19" ht="15.75" customHeight="1" x14ac:dyDescent="0.25">
      <c r="A600" s="66" t="s">
        <v>741</v>
      </c>
      <c r="B600" s="66" t="s">
        <v>742</v>
      </c>
      <c r="C600" s="295"/>
      <c r="D600" s="160">
        <v>9550</v>
      </c>
      <c r="E600" s="160" t="e">
        <f>D600*#REF!</f>
        <v>#REF!</v>
      </c>
      <c r="F600" s="160" t="e">
        <f>D600*#REF!</f>
        <v>#REF!</v>
      </c>
      <c r="G600" s="160" t="e">
        <f>(D600*#REF!)*#REF!</f>
        <v>#REF!</v>
      </c>
      <c r="H600" s="296">
        <f t="shared" si="148"/>
        <v>0</v>
      </c>
      <c r="I600" s="147" t="e">
        <f t="shared" si="149"/>
        <v>#REF!</v>
      </c>
      <c r="J600" s="97">
        <v>0</v>
      </c>
      <c r="K600" s="295"/>
      <c r="L600" s="20">
        <v>7283</v>
      </c>
      <c r="M600" s="20">
        <v>3461.73</v>
      </c>
      <c r="N600" s="20">
        <v>19000</v>
      </c>
      <c r="O600" s="20">
        <f>VLOOKUP(A600,TB!A:F,3)</f>
        <v>1144.4100000000001</v>
      </c>
      <c r="P600" s="163">
        <f>N600</f>
        <v>19000</v>
      </c>
      <c r="Q600" s="160">
        <v>7500</v>
      </c>
      <c r="R600" s="233">
        <f>VLOOKUP(A600,TB!A:F,6)</f>
        <v>7500</v>
      </c>
      <c r="S600" s="233">
        <f t="shared" si="151"/>
        <v>0</v>
      </c>
    </row>
    <row r="601" spans="1:19" ht="15.75" customHeight="1" x14ac:dyDescent="0.25">
      <c r="A601" s="66" t="s">
        <v>743</v>
      </c>
      <c r="B601" s="66" t="s">
        <v>76</v>
      </c>
      <c r="C601" s="295"/>
      <c r="D601" s="160">
        <v>0</v>
      </c>
      <c r="E601" s="160" t="e">
        <f>D601*#REF!</f>
        <v>#REF!</v>
      </c>
      <c r="F601" s="160" t="e">
        <f>D601*#REF!</f>
        <v>#REF!</v>
      </c>
      <c r="G601" s="160" t="e">
        <f>(D601*#REF!)*#REF!</f>
        <v>#REF!</v>
      </c>
      <c r="H601" s="296">
        <f t="shared" si="148"/>
        <v>0</v>
      </c>
      <c r="I601" s="147" t="e">
        <f t="shared" si="149"/>
        <v>#REF!</v>
      </c>
      <c r="J601" s="97">
        <v>0</v>
      </c>
      <c r="K601" s="295"/>
      <c r="L601" s="20">
        <v>0</v>
      </c>
      <c r="M601" s="20">
        <v>1122</v>
      </c>
      <c r="N601" s="20">
        <v>1500</v>
      </c>
      <c r="O601" s="20">
        <f>VLOOKUP(A601,TB!A:F,3)</f>
        <v>1557.2</v>
      </c>
      <c r="P601" s="160">
        <f>O601/9*12</f>
        <v>2076.2666666666669</v>
      </c>
      <c r="Q601" s="160">
        <v>2000</v>
      </c>
      <c r="R601" s="233">
        <f>VLOOKUP(A601,TB!A:F,6)</f>
        <v>2000</v>
      </c>
      <c r="S601" s="233">
        <f t="shared" si="151"/>
        <v>0</v>
      </c>
    </row>
    <row r="602" spans="1:19" ht="15.75" customHeight="1" x14ac:dyDescent="0.25">
      <c r="A602" s="66" t="s">
        <v>744</v>
      </c>
      <c r="B602" s="66" t="s">
        <v>115</v>
      </c>
      <c r="C602" s="295"/>
      <c r="D602" s="160">
        <v>46</v>
      </c>
      <c r="E602" s="160" t="e">
        <f>D602*#REF!</f>
        <v>#REF!</v>
      </c>
      <c r="F602" s="160" t="e">
        <f>D602*#REF!</f>
        <v>#REF!</v>
      </c>
      <c r="G602" s="160" t="e">
        <f>(D602*#REF!)*#REF!</f>
        <v>#REF!</v>
      </c>
      <c r="H602" s="296">
        <f t="shared" si="148"/>
        <v>0</v>
      </c>
      <c r="I602" s="147" t="e">
        <f t="shared" si="149"/>
        <v>#REF!</v>
      </c>
      <c r="J602" s="97">
        <v>0</v>
      </c>
      <c r="K602" s="295"/>
      <c r="L602" s="20">
        <v>0</v>
      </c>
      <c r="M602" s="20">
        <v>831.97</v>
      </c>
      <c r="N602" s="20">
        <v>2500</v>
      </c>
      <c r="O602" s="20">
        <f>VLOOKUP(A602,TB!A:F,3)</f>
        <v>931.1</v>
      </c>
      <c r="P602" s="163">
        <f>N602</f>
        <v>2500</v>
      </c>
      <c r="Q602" s="160">
        <v>9000</v>
      </c>
      <c r="R602" s="233">
        <f>VLOOKUP(A602,TB!A:F,6)</f>
        <v>9000</v>
      </c>
      <c r="S602" s="233">
        <f t="shared" si="151"/>
        <v>0</v>
      </c>
    </row>
    <row r="603" spans="1:19" ht="15.75" customHeight="1" x14ac:dyDescent="0.25">
      <c r="A603" s="66" t="s">
        <v>745</v>
      </c>
      <c r="B603" s="66" t="s">
        <v>210</v>
      </c>
      <c r="C603" s="295"/>
      <c r="D603" s="160">
        <v>8742</v>
      </c>
      <c r="E603" s="160" t="e">
        <f>D603*#REF!</f>
        <v>#REF!</v>
      </c>
      <c r="F603" s="160" t="e">
        <f>D603*#REF!</f>
        <v>#REF!</v>
      </c>
      <c r="G603" s="160" t="e">
        <f>(D603*#REF!)*#REF!</f>
        <v>#REF!</v>
      </c>
      <c r="H603" s="296">
        <f t="shared" si="148"/>
        <v>0</v>
      </c>
      <c r="I603" s="147" t="e">
        <f t="shared" si="149"/>
        <v>#REF!</v>
      </c>
      <c r="J603" s="97">
        <v>0</v>
      </c>
      <c r="K603" s="295"/>
      <c r="L603" s="20">
        <v>13646</v>
      </c>
      <c r="M603" s="20">
        <v>0</v>
      </c>
      <c r="N603" s="20">
        <v>0</v>
      </c>
      <c r="O603" s="20">
        <f>VLOOKUP(A603,TB!A:F,3)</f>
        <v>0</v>
      </c>
      <c r="P603" s="160">
        <f>O603/9*12</f>
        <v>0</v>
      </c>
      <c r="Q603" s="160">
        <v>0</v>
      </c>
      <c r="R603" s="233">
        <f>VLOOKUP(A603,TB!A:F,6)</f>
        <v>0</v>
      </c>
      <c r="S603" s="233">
        <f t="shared" si="151"/>
        <v>0</v>
      </c>
    </row>
    <row r="604" spans="1:19" ht="15.75" customHeight="1" x14ac:dyDescent="0.25">
      <c r="A604" s="66" t="s">
        <v>746</v>
      </c>
      <c r="B604" s="66" t="s">
        <v>90</v>
      </c>
      <c r="C604" s="295"/>
      <c r="D604" s="160">
        <v>0</v>
      </c>
      <c r="E604" s="160" t="e">
        <f>D604*#REF!</f>
        <v>#REF!</v>
      </c>
      <c r="F604" s="160" t="e">
        <f>D604*#REF!</f>
        <v>#REF!</v>
      </c>
      <c r="G604" s="160" t="e">
        <f>(D604*#REF!)*#REF!</f>
        <v>#REF!</v>
      </c>
      <c r="H604" s="296">
        <f t="shared" si="148"/>
        <v>0</v>
      </c>
      <c r="I604" s="147" t="e">
        <f t="shared" si="149"/>
        <v>#REF!</v>
      </c>
      <c r="J604" s="97">
        <v>0</v>
      </c>
      <c r="K604" s="295"/>
      <c r="L604" s="20">
        <v>0</v>
      </c>
      <c r="M604" s="20">
        <v>2337</v>
      </c>
      <c r="N604" s="20">
        <v>2500</v>
      </c>
      <c r="O604" s="20">
        <f>VLOOKUP(A604,TB!A:F,3)</f>
        <v>310</v>
      </c>
      <c r="P604" s="163">
        <f>N604</f>
        <v>2500</v>
      </c>
      <c r="Q604" s="160">
        <v>2500</v>
      </c>
      <c r="R604" s="233">
        <f>VLOOKUP(A604,TB!A:F,6)</f>
        <v>2500</v>
      </c>
      <c r="S604" s="233">
        <f t="shared" si="151"/>
        <v>0</v>
      </c>
    </row>
    <row r="605" spans="1:19" ht="15.75" customHeight="1" x14ac:dyDescent="0.25">
      <c r="A605" s="66" t="s">
        <v>747</v>
      </c>
      <c r="B605" s="66" t="s">
        <v>502</v>
      </c>
      <c r="C605" s="295"/>
      <c r="D605" s="160">
        <v>1202</v>
      </c>
      <c r="E605" s="160" t="e">
        <f>D605*#REF!</f>
        <v>#REF!</v>
      </c>
      <c r="F605" s="160" t="e">
        <f>D605*#REF!</f>
        <v>#REF!</v>
      </c>
      <c r="G605" s="160" t="e">
        <f>(D605*#REF!)*#REF!</f>
        <v>#REF!</v>
      </c>
      <c r="H605" s="296">
        <f t="shared" si="148"/>
        <v>0</v>
      </c>
      <c r="I605" s="147" t="e">
        <f t="shared" si="149"/>
        <v>#REF!</v>
      </c>
      <c r="J605" s="97">
        <v>0</v>
      </c>
      <c r="K605" s="295"/>
      <c r="L605" s="20">
        <v>1568</v>
      </c>
      <c r="M605" s="20">
        <v>154.22</v>
      </c>
      <c r="N605" s="20">
        <v>0</v>
      </c>
      <c r="O605" s="20">
        <f>VLOOKUP(A605,TB!A:F,3)</f>
        <v>0</v>
      </c>
      <c r="P605" s="160">
        <f t="shared" ref="P605:P606" si="152">O605/9*12</f>
        <v>0</v>
      </c>
      <c r="Q605" s="160">
        <v>0</v>
      </c>
      <c r="R605" s="233">
        <f>VLOOKUP(A605,TB!A:F,6)</f>
        <v>0</v>
      </c>
      <c r="S605" s="233">
        <f t="shared" si="151"/>
        <v>0</v>
      </c>
    </row>
    <row r="606" spans="1:19" ht="15.75" customHeight="1" x14ac:dyDescent="0.25">
      <c r="A606" s="66" t="s">
        <v>748</v>
      </c>
      <c r="B606" s="66" t="s">
        <v>92</v>
      </c>
      <c r="C606" s="295"/>
      <c r="D606" s="160">
        <v>0</v>
      </c>
      <c r="E606" s="160" t="e">
        <f>D606*#REF!</f>
        <v>#REF!</v>
      </c>
      <c r="F606" s="160" t="e">
        <f>D606*#REF!</f>
        <v>#REF!</v>
      </c>
      <c r="G606" s="160" t="e">
        <f>(D606*#REF!)*#REF!</f>
        <v>#REF!</v>
      </c>
      <c r="H606" s="296">
        <f t="shared" si="148"/>
        <v>0</v>
      </c>
      <c r="I606" s="147" t="e">
        <f t="shared" si="149"/>
        <v>#REF!</v>
      </c>
      <c r="J606" s="97">
        <v>0</v>
      </c>
      <c r="K606" s="295"/>
      <c r="L606" s="20">
        <v>1089</v>
      </c>
      <c r="M606" s="20">
        <v>0</v>
      </c>
      <c r="N606" s="20">
        <v>0</v>
      </c>
      <c r="O606" s="20">
        <f>VLOOKUP(A606,TB!A:F,3)</f>
        <v>0</v>
      </c>
      <c r="P606" s="160">
        <f t="shared" si="152"/>
        <v>0</v>
      </c>
      <c r="Q606" s="160">
        <v>0</v>
      </c>
      <c r="R606" s="233">
        <f>VLOOKUP(A606,TB!A:F,6)</f>
        <v>0</v>
      </c>
      <c r="S606" s="233">
        <f t="shared" si="151"/>
        <v>0</v>
      </c>
    </row>
    <row r="607" spans="1:19" ht="15.75" customHeight="1" x14ac:dyDescent="0.25">
      <c r="A607" s="74" t="s">
        <v>749</v>
      </c>
      <c r="B607" s="75"/>
      <c r="C607" s="299"/>
      <c r="D607" s="189">
        <f t="shared" ref="D607:G607" si="153">SUM(D596:D606)</f>
        <v>164176</v>
      </c>
      <c r="E607" s="189" t="e">
        <f t="shared" si="153"/>
        <v>#REF!</v>
      </c>
      <c r="F607" s="189" t="e">
        <f t="shared" si="153"/>
        <v>#REF!</v>
      </c>
      <c r="G607" s="189" t="e">
        <f t="shared" si="153"/>
        <v>#REF!</v>
      </c>
      <c r="H607" s="300">
        <f t="shared" si="148"/>
        <v>0</v>
      </c>
      <c r="I607" s="189" t="e">
        <f t="shared" si="149"/>
        <v>#REF!</v>
      </c>
      <c r="J607" s="301">
        <v>0</v>
      </c>
      <c r="K607" s="299"/>
      <c r="L607" s="77">
        <f t="shared" ref="L607:S607" si="154">SUM(L596:L606)</f>
        <v>214078</v>
      </c>
      <c r="M607" s="77">
        <f t="shared" si="154"/>
        <v>198912.52000000002</v>
      </c>
      <c r="N607" s="77">
        <f t="shared" si="154"/>
        <v>492131</v>
      </c>
      <c r="O607" s="77">
        <f t="shared" si="154"/>
        <v>299606.03999999998</v>
      </c>
      <c r="P607" s="189">
        <f t="shared" si="154"/>
        <v>410438.59566666663</v>
      </c>
      <c r="Q607" s="189">
        <f t="shared" si="154"/>
        <v>503400</v>
      </c>
      <c r="R607" s="77">
        <f t="shared" si="154"/>
        <v>503400</v>
      </c>
      <c r="S607" s="77">
        <f t="shared" si="154"/>
        <v>0</v>
      </c>
    </row>
    <row r="608" spans="1:19" ht="15.75" customHeight="1" x14ac:dyDescent="0.2">
      <c r="C608" s="287"/>
      <c r="K608" s="287"/>
      <c r="L608" s="54"/>
      <c r="M608" s="54"/>
      <c r="N608" s="54"/>
      <c r="O608" s="54"/>
      <c r="P608" s="54"/>
      <c r="Q608" s="54"/>
      <c r="R608" s="81"/>
      <c r="S608" s="81"/>
    </row>
    <row r="609" spans="1:30" ht="15.75" customHeight="1" x14ac:dyDescent="0.2">
      <c r="A609" s="69" t="s">
        <v>184</v>
      </c>
      <c r="C609" s="287"/>
      <c r="K609" s="287"/>
      <c r="L609" s="54"/>
      <c r="M609" s="54"/>
      <c r="N609" s="54"/>
      <c r="O609" s="54"/>
      <c r="P609" s="54"/>
      <c r="Q609" s="54"/>
      <c r="R609" s="81"/>
      <c r="S609" s="81"/>
    </row>
    <row r="610" spans="1:30" ht="15.75" customHeight="1" x14ac:dyDescent="0.25">
      <c r="A610" s="51" t="s">
        <v>750</v>
      </c>
      <c r="B610" s="51" t="s">
        <v>751</v>
      </c>
      <c r="C610" s="307"/>
      <c r="D610" s="147">
        <v>-79616</v>
      </c>
      <c r="E610" s="160" t="e">
        <f>D610*#REF!</f>
        <v>#REF!</v>
      </c>
      <c r="F610" s="160" t="e">
        <f>D610*#REF!</f>
        <v>#REF!</v>
      </c>
      <c r="G610" s="160" t="e">
        <f>(D610*#REF!)*#REF!</f>
        <v>#REF!</v>
      </c>
      <c r="H610" s="296">
        <f t="shared" ref="H610:H611" si="155">IFERROR(((Q610-G610)/G610),0)</f>
        <v>0</v>
      </c>
      <c r="I610" s="147" t="e">
        <f t="shared" ref="I610:I611" si="156">Q610-G610</f>
        <v>#REF!</v>
      </c>
      <c r="J610" s="97">
        <v>0</v>
      </c>
      <c r="K610" s="307"/>
      <c r="L610" s="54">
        <v>-79616</v>
      </c>
      <c r="M610" s="54">
        <v>-83037.02</v>
      </c>
      <c r="N610" s="54">
        <v>-96000</v>
      </c>
      <c r="O610" s="20">
        <f>VLOOKUP(A610,TB!A:F,3)</f>
        <v>-89879.01</v>
      </c>
      <c r="P610" s="308">
        <f>N610</f>
        <v>-96000</v>
      </c>
      <c r="Q610" s="54">
        <v>-84000</v>
      </c>
      <c r="R610" s="233">
        <f>VLOOKUP(A610,TB!A:F,6)</f>
        <v>-84000</v>
      </c>
      <c r="S610" s="233">
        <f>Q610-R610</f>
        <v>0</v>
      </c>
    </row>
    <row r="611" spans="1:30" ht="15.75" customHeight="1" x14ac:dyDescent="0.2">
      <c r="A611" s="239" t="s">
        <v>189</v>
      </c>
      <c r="B611" s="75"/>
      <c r="C611" s="299"/>
      <c r="D611" s="189">
        <f t="shared" ref="D611:G611" si="157">SUM(D610)</f>
        <v>-79616</v>
      </c>
      <c r="E611" s="189" t="e">
        <f t="shared" si="157"/>
        <v>#REF!</v>
      </c>
      <c r="F611" s="189" t="e">
        <f t="shared" si="157"/>
        <v>#REF!</v>
      </c>
      <c r="G611" s="189" t="e">
        <f t="shared" si="157"/>
        <v>#REF!</v>
      </c>
      <c r="H611" s="300">
        <f t="shared" si="155"/>
        <v>0</v>
      </c>
      <c r="I611" s="189" t="e">
        <f t="shared" si="156"/>
        <v>#REF!</v>
      </c>
      <c r="J611" s="189">
        <f>SUM(J610)</f>
        <v>0</v>
      </c>
      <c r="K611" s="299"/>
      <c r="L611" s="77">
        <f t="shared" ref="L611:S611" si="158">SUM(L610)</f>
        <v>-79616</v>
      </c>
      <c r="M611" s="77">
        <f t="shared" si="158"/>
        <v>-83037.02</v>
      </c>
      <c r="N611" s="77">
        <f t="shared" si="158"/>
        <v>-96000</v>
      </c>
      <c r="O611" s="77">
        <f t="shared" si="158"/>
        <v>-89879.01</v>
      </c>
      <c r="P611" s="189">
        <f t="shared" si="158"/>
        <v>-96000</v>
      </c>
      <c r="Q611" s="189">
        <f t="shared" si="158"/>
        <v>-84000</v>
      </c>
      <c r="R611" s="77">
        <f t="shared" si="158"/>
        <v>-84000</v>
      </c>
      <c r="S611" s="77">
        <f t="shared" si="158"/>
        <v>0</v>
      </c>
    </row>
    <row r="612" spans="1:30" ht="15.75" customHeight="1" x14ac:dyDescent="0.2">
      <c r="C612" s="287"/>
      <c r="K612" s="287"/>
      <c r="L612" s="54"/>
      <c r="M612" s="54"/>
      <c r="N612" s="54"/>
      <c r="O612" s="54"/>
      <c r="P612" s="54"/>
      <c r="Q612" s="54"/>
      <c r="R612" s="81"/>
      <c r="S612" s="81"/>
    </row>
    <row r="613" spans="1:30" ht="15.75" customHeight="1" x14ac:dyDescent="0.2">
      <c r="A613" s="69" t="s">
        <v>190</v>
      </c>
      <c r="B613" s="51"/>
      <c r="C613" s="309"/>
      <c r="D613" s="193">
        <f t="shared" ref="D613:G613" si="159">D607+D611</f>
        <v>84560</v>
      </c>
      <c r="E613" s="193" t="e">
        <f t="shared" si="159"/>
        <v>#REF!</v>
      </c>
      <c r="F613" s="193" t="e">
        <f t="shared" si="159"/>
        <v>#REF!</v>
      </c>
      <c r="G613" s="193" t="e">
        <f t="shared" si="159"/>
        <v>#REF!</v>
      </c>
      <c r="H613" s="310">
        <f>IFERROR(((Q613-G613)/G613),0)</f>
        <v>0</v>
      </c>
      <c r="I613" s="193" t="e">
        <f>Q613-G613</f>
        <v>#REF!</v>
      </c>
      <c r="J613" s="193">
        <f>J607+J611</f>
        <v>0</v>
      </c>
      <c r="K613" s="309"/>
      <c r="L613" s="245">
        <f t="shared" ref="L613:S613" si="160">L607+L611</f>
        <v>134462</v>
      </c>
      <c r="M613" s="245">
        <f t="shared" si="160"/>
        <v>115875.50000000001</v>
      </c>
      <c r="N613" s="245">
        <f t="shared" si="160"/>
        <v>396131</v>
      </c>
      <c r="O613" s="245">
        <f t="shared" si="160"/>
        <v>209727.02999999997</v>
      </c>
      <c r="P613" s="193">
        <f t="shared" si="160"/>
        <v>314438.59566666663</v>
      </c>
      <c r="Q613" s="193">
        <f t="shared" si="160"/>
        <v>419400</v>
      </c>
      <c r="R613" s="245">
        <f t="shared" si="160"/>
        <v>419400</v>
      </c>
      <c r="S613" s="245">
        <f t="shared" si="160"/>
        <v>0</v>
      </c>
      <c r="W613" s="56"/>
      <c r="X613" s="56"/>
      <c r="Y613" s="56"/>
      <c r="Z613" s="56"/>
      <c r="AA613" s="56"/>
      <c r="AB613" s="56"/>
      <c r="AC613" s="56"/>
      <c r="AD613" s="56"/>
    </row>
    <row r="614" spans="1:30" ht="15.75" customHeight="1" x14ac:dyDescent="0.2">
      <c r="C614" s="287"/>
      <c r="K614" s="287"/>
    </row>
    <row r="615" spans="1:30" ht="15.75" customHeight="1" x14ac:dyDescent="0.2">
      <c r="C615" s="288"/>
      <c r="K615" s="288"/>
      <c r="L615" s="173" t="e">
        <f t="shared" ref="L615:R615" si="161">#REF!</f>
        <v>#REF!</v>
      </c>
      <c r="M615" s="173" t="e">
        <f t="shared" si="161"/>
        <v>#REF!</v>
      </c>
      <c r="N615" s="173" t="e">
        <f t="shared" si="161"/>
        <v>#REF!</v>
      </c>
      <c r="O615" s="173" t="e">
        <f t="shared" si="161"/>
        <v>#REF!</v>
      </c>
      <c r="P615" s="173" t="e">
        <f t="shared" si="161"/>
        <v>#REF!</v>
      </c>
      <c r="Q615" s="173" t="e">
        <f t="shared" si="161"/>
        <v>#REF!</v>
      </c>
      <c r="R615" s="173" t="e">
        <f t="shared" si="161"/>
        <v>#REF!</v>
      </c>
    </row>
    <row r="616" spans="1:30" ht="15.75" customHeight="1" x14ac:dyDescent="0.2">
      <c r="C616" s="289"/>
      <c r="K616" s="289"/>
      <c r="L616" s="63">
        <f t="shared" ref="L616:R616" si="162">L613</f>
        <v>134462</v>
      </c>
      <c r="M616" s="63">
        <f t="shared" si="162"/>
        <v>115875.50000000001</v>
      </c>
      <c r="N616" s="63">
        <f t="shared" si="162"/>
        <v>396131</v>
      </c>
      <c r="O616" s="63">
        <f t="shared" si="162"/>
        <v>209727.02999999997</v>
      </c>
      <c r="P616" s="63">
        <f t="shared" si="162"/>
        <v>314438.59566666663</v>
      </c>
      <c r="Q616" s="63">
        <f t="shared" si="162"/>
        <v>419400</v>
      </c>
      <c r="R616" s="63">
        <f t="shared" si="162"/>
        <v>419400</v>
      </c>
    </row>
    <row r="617" spans="1:30" ht="15.75" customHeight="1" x14ac:dyDescent="0.2">
      <c r="C617" s="287"/>
      <c r="K617" s="287"/>
    </row>
    <row r="618" spans="1:30" ht="15.75" customHeight="1" x14ac:dyDescent="0.2">
      <c r="C618" s="287"/>
      <c r="K618" s="287"/>
    </row>
    <row r="619" spans="1:30" ht="15.75" customHeight="1" x14ac:dyDescent="0.2">
      <c r="C619" s="287"/>
      <c r="K619" s="287"/>
    </row>
    <row r="620" spans="1:30" ht="15.75" customHeight="1" x14ac:dyDescent="0.2">
      <c r="C620" s="287"/>
      <c r="K620" s="287"/>
    </row>
    <row r="621" spans="1:30" ht="15.75" customHeight="1" x14ac:dyDescent="0.2">
      <c r="C621" s="287"/>
      <c r="K621" s="287"/>
    </row>
    <row r="622" spans="1:30" ht="15.75" customHeight="1" x14ac:dyDescent="0.2">
      <c r="C622" s="287"/>
      <c r="K622" s="287"/>
    </row>
    <row r="623" spans="1:30" ht="15.75" customHeight="1" x14ac:dyDescent="0.2">
      <c r="C623" s="287"/>
      <c r="K623" s="287"/>
    </row>
    <row r="624" spans="1:30" ht="15.75" customHeight="1" x14ac:dyDescent="0.2">
      <c r="C624" s="287"/>
      <c r="K624" s="287"/>
    </row>
    <row r="625" spans="3:11" ht="15.75" customHeight="1" x14ac:dyDescent="0.2">
      <c r="C625" s="287"/>
      <c r="K625" s="287"/>
    </row>
    <row r="626" spans="3:11" ht="15.75" customHeight="1" x14ac:dyDescent="0.2">
      <c r="C626" s="287"/>
      <c r="K626" s="287"/>
    </row>
    <row r="627" spans="3:11" ht="15.75" customHeight="1" x14ac:dyDescent="0.2">
      <c r="C627" s="287"/>
      <c r="K627" s="287"/>
    </row>
    <row r="628" spans="3:11" ht="15.75" customHeight="1" x14ac:dyDescent="0.2">
      <c r="C628" s="287"/>
      <c r="K628" s="287"/>
    </row>
    <row r="629" spans="3:11" ht="15.75" customHeight="1" x14ac:dyDescent="0.2">
      <c r="C629" s="287"/>
      <c r="K629" s="287"/>
    </row>
    <row r="630" spans="3:11" ht="15.75" customHeight="1" x14ac:dyDescent="0.2">
      <c r="C630" s="287"/>
      <c r="K630" s="287"/>
    </row>
    <row r="631" spans="3:11" ht="15.75" customHeight="1" x14ac:dyDescent="0.2">
      <c r="C631" s="287"/>
      <c r="K631" s="287"/>
    </row>
    <row r="632" spans="3:11" ht="15.75" customHeight="1" x14ac:dyDescent="0.2">
      <c r="C632" s="287"/>
      <c r="K632" s="287"/>
    </row>
    <row r="633" spans="3:11" ht="15.75" customHeight="1" x14ac:dyDescent="0.2">
      <c r="C633" s="287"/>
      <c r="K633" s="287"/>
    </row>
    <row r="634" spans="3:11" ht="15.75" customHeight="1" x14ac:dyDescent="0.2">
      <c r="C634" s="287"/>
      <c r="K634" s="287"/>
    </row>
    <row r="635" spans="3:11" ht="15.75" customHeight="1" x14ac:dyDescent="0.2">
      <c r="C635" s="287"/>
      <c r="K635" s="287"/>
    </row>
    <row r="636" spans="3:11" ht="15.75" customHeight="1" x14ac:dyDescent="0.2">
      <c r="C636" s="287"/>
      <c r="K636" s="287"/>
    </row>
    <row r="637" spans="3:11" ht="15.75" customHeight="1" x14ac:dyDescent="0.2">
      <c r="C637" s="287"/>
      <c r="K637" s="287"/>
    </row>
    <row r="638" spans="3:11" ht="15.75" customHeight="1" x14ac:dyDescent="0.2">
      <c r="C638" s="287"/>
      <c r="K638" s="287"/>
    </row>
    <row r="639" spans="3:11" ht="15.75" customHeight="1" x14ac:dyDescent="0.2">
      <c r="C639" s="287"/>
      <c r="K639" s="287"/>
    </row>
    <row r="640" spans="3:11" ht="15.75" customHeight="1" x14ac:dyDescent="0.2">
      <c r="C640" s="287"/>
      <c r="K640" s="287"/>
    </row>
    <row r="641" spans="3:11" ht="15.75" customHeight="1" x14ac:dyDescent="0.2">
      <c r="C641" s="287"/>
      <c r="K641" s="287"/>
    </row>
    <row r="642" spans="3:11" ht="15.75" customHeight="1" x14ac:dyDescent="0.2">
      <c r="C642" s="287"/>
      <c r="K642" s="287"/>
    </row>
    <row r="643" spans="3:11" ht="15.75" customHeight="1" x14ac:dyDescent="0.2">
      <c r="C643" s="287"/>
      <c r="K643" s="287"/>
    </row>
    <row r="644" spans="3:11" ht="15.75" customHeight="1" x14ac:dyDescent="0.2">
      <c r="C644" s="287"/>
      <c r="K644" s="287"/>
    </row>
    <row r="645" spans="3:11" ht="15.75" customHeight="1" x14ac:dyDescent="0.2">
      <c r="C645" s="287"/>
      <c r="K645" s="287"/>
    </row>
    <row r="646" spans="3:11" ht="15.75" customHeight="1" x14ac:dyDescent="0.2">
      <c r="C646" s="287"/>
      <c r="K646" s="287"/>
    </row>
    <row r="647" spans="3:11" ht="15.75" customHeight="1" x14ac:dyDescent="0.2">
      <c r="C647" s="287"/>
      <c r="K647" s="287"/>
    </row>
    <row r="648" spans="3:11" ht="15.75" customHeight="1" x14ac:dyDescent="0.2">
      <c r="C648" s="287"/>
      <c r="K648" s="287"/>
    </row>
    <row r="649" spans="3:11" ht="15.75" customHeight="1" x14ac:dyDescent="0.2">
      <c r="C649" s="287"/>
      <c r="K649" s="287"/>
    </row>
    <row r="650" spans="3:11" ht="15.75" customHeight="1" x14ac:dyDescent="0.2">
      <c r="C650" s="287"/>
      <c r="K650" s="287"/>
    </row>
    <row r="651" spans="3:11" ht="15.75" customHeight="1" x14ac:dyDescent="0.2">
      <c r="C651" s="287"/>
      <c r="K651" s="287"/>
    </row>
    <row r="652" spans="3:11" ht="15.75" customHeight="1" x14ac:dyDescent="0.2">
      <c r="C652" s="287"/>
      <c r="K652" s="287"/>
    </row>
    <row r="653" spans="3:11" ht="15.75" customHeight="1" x14ac:dyDescent="0.2">
      <c r="C653" s="287"/>
      <c r="K653" s="287"/>
    </row>
    <row r="654" spans="3:11" ht="15.75" customHeight="1" x14ac:dyDescent="0.2">
      <c r="C654" s="287"/>
      <c r="K654" s="287"/>
    </row>
    <row r="655" spans="3:11" ht="15.75" customHeight="1" x14ac:dyDescent="0.2">
      <c r="C655" s="287"/>
      <c r="K655" s="287"/>
    </row>
    <row r="656" spans="3:11" ht="15.75" customHeight="1" x14ac:dyDescent="0.2">
      <c r="C656" s="287"/>
      <c r="K656" s="287"/>
    </row>
    <row r="657" spans="1:19" ht="15.75" customHeight="1" x14ac:dyDescent="0.2">
      <c r="C657" s="287"/>
      <c r="K657" s="287"/>
    </row>
    <row r="658" spans="1:19" ht="15.75" customHeight="1" x14ac:dyDescent="0.2">
      <c r="C658" s="287"/>
      <c r="K658" s="287"/>
    </row>
    <row r="659" spans="1:19" ht="15.75" customHeight="1" x14ac:dyDescent="0.2">
      <c r="C659" s="287"/>
      <c r="K659" s="287"/>
    </row>
    <row r="660" spans="1:19" ht="15.75" customHeight="1" x14ac:dyDescent="0.2">
      <c r="C660" s="287"/>
      <c r="K660" s="287"/>
    </row>
    <row r="661" spans="1:19" ht="15.75" customHeight="1" x14ac:dyDescent="0.2">
      <c r="C661" s="287"/>
      <c r="K661" s="287"/>
    </row>
    <row r="662" spans="1:19" ht="15.75" customHeight="1" x14ac:dyDescent="0.2">
      <c r="C662" s="287"/>
      <c r="K662" s="287"/>
    </row>
    <row r="663" spans="1:19" ht="15.75" customHeight="1" x14ac:dyDescent="0.2">
      <c r="C663" s="287"/>
      <c r="K663" s="287"/>
    </row>
    <row r="664" spans="1:19" ht="15.75" customHeight="1" x14ac:dyDescent="0.2">
      <c r="C664" s="287"/>
      <c r="K664" s="287"/>
    </row>
    <row r="665" spans="1:19" ht="15.75" customHeight="1" x14ac:dyDescent="0.2">
      <c r="C665" s="287"/>
      <c r="K665" s="287"/>
    </row>
    <row r="666" spans="1:19" ht="15.75" customHeight="1" x14ac:dyDescent="0.2">
      <c r="A666" s="3" t="s">
        <v>50</v>
      </c>
      <c r="B666" s="3" t="s">
        <v>51</v>
      </c>
      <c r="C666" s="292"/>
      <c r="D666" s="99" t="s">
        <v>52</v>
      </c>
      <c r="E666" s="100" t="s">
        <v>53</v>
      </c>
      <c r="F666" s="100" t="s">
        <v>54</v>
      </c>
      <c r="G666" s="100" t="s">
        <v>55</v>
      </c>
      <c r="H666" s="24" t="s">
        <v>56</v>
      </c>
      <c r="I666" s="24" t="s">
        <v>57</v>
      </c>
      <c r="J666" s="101" t="s">
        <v>58</v>
      </c>
      <c r="K666" s="292"/>
      <c r="L666" s="3" t="s">
        <v>59</v>
      </c>
      <c r="M666" s="3" t="s">
        <v>60</v>
      </c>
      <c r="N666" s="3" t="s">
        <v>61</v>
      </c>
      <c r="O666" s="3" t="s">
        <v>62</v>
      </c>
      <c r="P666" s="293" t="s">
        <v>541</v>
      </c>
      <c r="Q666" s="293" t="s">
        <v>64</v>
      </c>
      <c r="R666" s="293" t="s">
        <v>65</v>
      </c>
      <c r="S666" s="293" t="s">
        <v>586</v>
      </c>
    </row>
    <row r="667" spans="1:19" ht="15.75" customHeight="1" x14ac:dyDescent="0.25">
      <c r="A667" s="565" t="s">
        <v>752</v>
      </c>
      <c r="B667" s="566"/>
      <c r="C667" s="311"/>
      <c r="D667" s="66"/>
      <c r="E667" s="65"/>
      <c r="F667" s="65"/>
      <c r="G667" s="275"/>
      <c r="H667" s="234"/>
      <c r="K667" s="311"/>
      <c r="L667" s="65"/>
      <c r="M667" s="165"/>
      <c r="N667" s="65"/>
      <c r="O667" s="165"/>
      <c r="P667" s="157"/>
      <c r="Q667" s="157"/>
      <c r="R667" s="275"/>
      <c r="S667" s="275"/>
    </row>
    <row r="668" spans="1:19" ht="15.75" customHeight="1" x14ac:dyDescent="0.25">
      <c r="A668" s="66" t="s">
        <v>753</v>
      </c>
      <c r="B668" s="66" t="s">
        <v>68</v>
      </c>
      <c r="C668" s="295"/>
      <c r="D668" s="160">
        <v>0</v>
      </c>
      <c r="E668" s="160" t="e">
        <f>D668*#REF!</f>
        <v>#REF!</v>
      </c>
      <c r="F668" s="160" t="e">
        <f>D668*#REF!</f>
        <v>#REF!</v>
      </c>
      <c r="G668" s="160" t="e">
        <f>(D668*#REF!)*#REF!</f>
        <v>#REF!</v>
      </c>
      <c r="H668" s="296">
        <f t="shared" ref="H668:H686" si="163">IFERROR(((Q668-G668)/G668),0)</f>
        <v>0</v>
      </c>
      <c r="I668" s="147" t="e">
        <f t="shared" ref="I668:I686" si="164">Q668-G668</f>
        <v>#REF!</v>
      </c>
      <c r="J668" s="97">
        <v>0</v>
      </c>
      <c r="K668" s="295"/>
      <c r="L668" s="20">
        <v>131453</v>
      </c>
      <c r="M668" s="20">
        <v>159816.60999999999</v>
      </c>
      <c r="N668" s="20">
        <v>204830</v>
      </c>
      <c r="O668" s="20">
        <f>VLOOKUP(A668,TB!A:F,3)</f>
        <v>145154.47</v>
      </c>
      <c r="P668" s="160">
        <f t="shared" ref="P668:P672" si="165">O668/20*26</f>
        <v>188700.81099999999</v>
      </c>
      <c r="Q668" s="160">
        <v>219200</v>
      </c>
      <c r="R668" s="233">
        <f>VLOOKUP(A668,TB!A:F,6)</f>
        <v>219200</v>
      </c>
      <c r="S668" s="233">
        <f t="shared" ref="S668:S685" si="166">Q668-R668</f>
        <v>0</v>
      </c>
    </row>
    <row r="669" spans="1:19" ht="15.75" customHeight="1" x14ac:dyDescent="0.25">
      <c r="A669" s="66" t="s">
        <v>754</v>
      </c>
      <c r="B669" s="66" t="s">
        <v>70</v>
      </c>
      <c r="C669" s="295"/>
      <c r="D669" s="160">
        <v>0</v>
      </c>
      <c r="E669" s="160" t="e">
        <f>D669*#REF!</f>
        <v>#REF!</v>
      </c>
      <c r="F669" s="160" t="e">
        <f>D669*#REF!</f>
        <v>#REF!</v>
      </c>
      <c r="G669" s="160" t="e">
        <f>(D669*#REF!)*#REF!</f>
        <v>#REF!</v>
      </c>
      <c r="H669" s="296">
        <f t="shared" si="163"/>
        <v>0</v>
      </c>
      <c r="I669" s="147" t="e">
        <f t="shared" si="164"/>
        <v>#REF!</v>
      </c>
      <c r="J669" s="97">
        <v>0</v>
      </c>
      <c r="K669" s="295"/>
      <c r="L669" s="20">
        <v>1473</v>
      </c>
      <c r="M669" s="20">
        <v>4448.6099999999997</v>
      </c>
      <c r="N669" s="20">
        <v>6500</v>
      </c>
      <c r="O669" s="20">
        <f>VLOOKUP(A669,TB!A:F,3)</f>
        <v>3562.59</v>
      </c>
      <c r="P669" s="160">
        <f t="shared" si="165"/>
        <v>4631.3670000000002</v>
      </c>
      <c r="Q669" s="160">
        <v>6500</v>
      </c>
      <c r="R669" s="233">
        <f>VLOOKUP(A669,TB!A:F,6)</f>
        <v>6500</v>
      </c>
      <c r="S669" s="233">
        <f t="shared" si="166"/>
        <v>0</v>
      </c>
    </row>
    <row r="670" spans="1:19" ht="15.75" customHeight="1" x14ac:dyDescent="0.25">
      <c r="A670" s="66" t="s">
        <v>755</v>
      </c>
      <c r="B670" s="66" t="s">
        <v>132</v>
      </c>
      <c r="C670" s="295"/>
      <c r="D670" s="160">
        <v>0</v>
      </c>
      <c r="E670" s="160" t="e">
        <f>D670*#REF!</f>
        <v>#REF!</v>
      </c>
      <c r="F670" s="160" t="e">
        <f>D670*#REF!</f>
        <v>#REF!</v>
      </c>
      <c r="G670" s="160" t="e">
        <f>(D670*#REF!)*#REF!</f>
        <v>#REF!</v>
      </c>
      <c r="H670" s="296">
        <f t="shared" si="163"/>
        <v>0</v>
      </c>
      <c r="I670" s="147" t="e">
        <f t="shared" si="164"/>
        <v>#REF!</v>
      </c>
      <c r="J670" s="97">
        <v>0</v>
      </c>
      <c r="K670" s="295"/>
      <c r="L670" s="20">
        <v>78724</v>
      </c>
      <c r="M670" s="20">
        <v>71576.3</v>
      </c>
      <c r="N670" s="20">
        <v>64498</v>
      </c>
      <c r="O670" s="20">
        <f>VLOOKUP(A670,TB!A:F,3)</f>
        <v>49197.13</v>
      </c>
      <c r="P670" s="160">
        <f t="shared" si="165"/>
        <v>63956.269</v>
      </c>
      <c r="Q670" s="160">
        <v>86000</v>
      </c>
      <c r="R670" s="233">
        <f>VLOOKUP(A670,TB!A:F,6)</f>
        <v>86000</v>
      </c>
      <c r="S670" s="233">
        <f t="shared" si="166"/>
        <v>0</v>
      </c>
    </row>
    <row r="671" spans="1:19" ht="15.75" customHeight="1" x14ac:dyDescent="0.25">
      <c r="A671" s="66" t="s">
        <v>756</v>
      </c>
      <c r="B671" s="66" t="s">
        <v>108</v>
      </c>
      <c r="C671" s="295"/>
      <c r="D671" s="160">
        <v>0</v>
      </c>
      <c r="E671" s="160" t="e">
        <f>D671*#REF!</f>
        <v>#REF!</v>
      </c>
      <c r="F671" s="160" t="e">
        <f>D671*#REF!</f>
        <v>#REF!</v>
      </c>
      <c r="G671" s="160" t="e">
        <f>(D671*#REF!)*#REF!</f>
        <v>#REF!</v>
      </c>
      <c r="H671" s="296">
        <f t="shared" si="163"/>
        <v>0</v>
      </c>
      <c r="I671" s="147" t="e">
        <f t="shared" si="164"/>
        <v>#REF!</v>
      </c>
      <c r="J671" s="97">
        <v>0</v>
      </c>
      <c r="K671" s="295"/>
      <c r="L671" s="20">
        <v>0</v>
      </c>
      <c r="M671" s="20">
        <v>0</v>
      </c>
      <c r="N671" s="20">
        <v>0</v>
      </c>
      <c r="O671" s="20">
        <f>VLOOKUP(A671,TB!A:F,3)</f>
        <v>49197.13</v>
      </c>
      <c r="P671" s="160">
        <f t="shared" si="165"/>
        <v>63956.269</v>
      </c>
      <c r="Q671" s="160">
        <v>0</v>
      </c>
      <c r="R671" s="233">
        <v>0</v>
      </c>
      <c r="S671" s="233">
        <f t="shared" si="166"/>
        <v>0</v>
      </c>
    </row>
    <row r="672" spans="1:19" ht="15.75" customHeight="1" x14ac:dyDescent="0.25">
      <c r="A672" s="66" t="s">
        <v>757</v>
      </c>
      <c r="B672" s="66" t="s">
        <v>72</v>
      </c>
      <c r="C672" s="295"/>
      <c r="D672" s="160">
        <v>0</v>
      </c>
      <c r="E672" s="160" t="e">
        <f>D672*#REF!</f>
        <v>#REF!</v>
      </c>
      <c r="F672" s="160" t="e">
        <f>D672*#REF!</f>
        <v>#REF!</v>
      </c>
      <c r="G672" s="160" t="e">
        <f>(D672*#REF!)*#REF!</f>
        <v>#REF!</v>
      </c>
      <c r="H672" s="296">
        <f t="shared" si="163"/>
        <v>0</v>
      </c>
      <c r="I672" s="147" t="e">
        <f t="shared" si="164"/>
        <v>#REF!</v>
      </c>
      <c r="J672" s="97">
        <v>0</v>
      </c>
      <c r="K672" s="295"/>
      <c r="L672" s="20">
        <v>71360</v>
      </c>
      <c r="M672" s="20">
        <v>79982.98</v>
      </c>
      <c r="N672" s="20">
        <v>99908</v>
      </c>
      <c r="O672" s="20">
        <f>VLOOKUP(A672,TB!A:F,3)</f>
        <v>70541.740000000005</v>
      </c>
      <c r="P672" s="160">
        <f t="shared" si="165"/>
        <v>91704.262000000017</v>
      </c>
      <c r="Q672" s="160">
        <v>109600</v>
      </c>
      <c r="R672" s="233">
        <f>VLOOKUP(A672,TB!A:F,6)</f>
        <v>109600</v>
      </c>
      <c r="S672" s="233">
        <f t="shared" si="166"/>
        <v>0</v>
      </c>
    </row>
    <row r="673" spans="1:19" ht="15.75" customHeight="1" x14ac:dyDescent="0.25">
      <c r="A673" s="66" t="s">
        <v>758</v>
      </c>
      <c r="B673" s="66" t="s">
        <v>74</v>
      </c>
      <c r="C673" s="295"/>
      <c r="D673" s="160">
        <v>0</v>
      </c>
      <c r="E673" s="160" t="e">
        <f>D673*#REF!</f>
        <v>#REF!</v>
      </c>
      <c r="F673" s="160" t="e">
        <f>D673*#REF!</f>
        <v>#REF!</v>
      </c>
      <c r="G673" s="160" t="e">
        <f>(D673*#REF!)*#REF!</f>
        <v>#REF!</v>
      </c>
      <c r="H673" s="296">
        <f t="shared" si="163"/>
        <v>0</v>
      </c>
      <c r="I673" s="147" t="e">
        <f t="shared" si="164"/>
        <v>#REF!</v>
      </c>
      <c r="J673" s="97">
        <v>0</v>
      </c>
      <c r="K673" s="295"/>
      <c r="L673" s="20">
        <v>147</v>
      </c>
      <c r="M673" s="20">
        <v>0</v>
      </c>
      <c r="N673" s="20">
        <v>500</v>
      </c>
      <c r="O673" s="20">
        <f>VLOOKUP(A673,TB!A:F,3)</f>
        <v>0</v>
      </c>
      <c r="P673" s="163">
        <f t="shared" ref="P673:P677" si="167">N673</f>
        <v>500</v>
      </c>
      <c r="Q673" s="160">
        <v>500</v>
      </c>
      <c r="R673" s="233">
        <f>VLOOKUP(A673,TB!A:F,6)</f>
        <v>500</v>
      </c>
      <c r="S673" s="233">
        <f t="shared" si="166"/>
        <v>0</v>
      </c>
    </row>
    <row r="674" spans="1:19" ht="15.75" customHeight="1" x14ac:dyDescent="0.25">
      <c r="A674" s="66" t="s">
        <v>759</v>
      </c>
      <c r="B674" s="66" t="s">
        <v>76</v>
      </c>
      <c r="C674" s="295"/>
      <c r="D674" s="160">
        <v>0</v>
      </c>
      <c r="E674" s="160" t="e">
        <f>D674*#REF!</f>
        <v>#REF!</v>
      </c>
      <c r="F674" s="160" t="e">
        <f>D674*#REF!</f>
        <v>#REF!</v>
      </c>
      <c r="G674" s="160" t="e">
        <f>(D674*#REF!)*#REF!</f>
        <v>#REF!</v>
      </c>
      <c r="H674" s="296">
        <f t="shared" si="163"/>
        <v>0</v>
      </c>
      <c r="I674" s="147" t="e">
        <f t="shared" si="164"/>
        <v>#REF!</v>
      </c>
      <c r="J674" s="97">
        <v>0</v>
      </c>
      <c r="K674" s="295"/>
      <c r="L674" s="20">
        <v>0</v>
      </c>
      <c r="M674" s="20">
        <v>0</v>
      </c>
      <c r="N674" s="20">
        <v>1000</v>
      </c>
      <c r="O674" s="20">
        <f>VLOOKUP(A674,TB!A:F,3)</f>
        <v>0</v>
      </c>
      <c r="P674" s="163">
        <f t="shared" si="167"/>
        <v>1000</v>
      </c>
      <c r="Q674" s="160">
        <v>500</v>
      </c>
      <c r="R674" s="233">
        <f>VLOOKUP(A674,TB!A:F,6)</f>
        <v>500</v>
      </c>
      <c r="S674" s="233">
        <f t="shared" si="166"/>
        <v>0</v>
      </c>
    </row>
    <row r="675" spans="1:19" ht="15.75" customHeight="1" x14ac:dyDescent="0.25">
      <c r="A675" s="66" t="s">
        <v>760</v>
      </c>
      <c r="B675" s="66" t="s">
        <v>80</v>
      </c>
      <c r="C675" s="295"/>
      <c r="D675" s="160">
        <v>0</v>
      </c>
      <c r="E675" s="160" t="e">
        <f>D675*#REF!</f>
        <v>#REF!</v>
      </c>
      <c r="F675" s="160" t="e">
        <f>D675*#REF!</f>
        <v>#REF!</v>
      </c>
      <c r="G675" s="160" t="e">
        <f>(D675*#REF!)*#REF!</f>
        <v>#REF!</v>
      </c>
      <c r="H675" s="296">
        <f t="shared" si="163"/>
        <v>0</v>
      </c>
      <c r="I675" s="147" t="e">
        <f t="shared" si="164"/>
        <v>#REF!</v>
      </c>
      <c r="J675" s="97">
        <v>0</v>
      </c>
      <c r="K675" s="295"/>
      <c r="L675" s="20">
        <v>5600</v>
      </c>
      <c r="M675" s="20">
        <v>1585.54</v>
      </c>
      <c r="N675" s="20">
        <v>3000</v>
      </c>
      <c r="O675" s="20">
        <f>VLOOKUP(A675,TB!A:F,3)</f>
        <v>2074.5</v>
      </c>
      <c r="P675" s="163">
        <f t="shared" si="167"/>
        <v>3000</v>
      </c>
      <c r="Q675" s="160">
        <v>3010</v>
      </c>
      <c r="R675" s="233">
        <f>VLOOKUP(A675,TB!A:F,6)</f>
        <v>3010</v>
      </c>
      <c r="S675" s="233">
        <f t="shared" si="166"/>
        <v>0</v>
      </c>
    </row>
    <row r="676" spans="1:19" ht="15.75" customHeight="1" x14ac:dyDescent="0.25">
      <c r="A676" s="66" t="s">
        <v>761</v>
      </c>
      <c r="B676" s="66" t="s">
        <v>82</v>
      </c>
      <c r="C676" s="295"/>
      <c r="D676" s="160">
        <v>0</v>
      </c>
      <c r="E676" s="160" t="e">
        <f>D676*#REF!</f>
        <v>#REF!</v>
      </c>
      <c r="F676" s="160" t="e">
        <f>D676*#REF!</f>
        <v>#REF!</v>
      </c>
      <c r="G676" s="160" t="e">
        <f>(D676*#REF!)*#REF!</f>
        <v>#REF!</v>
      </c>
      <c r="H676" s="296">
        <f t="shared" si="163"/>
        <v>0</v>
      </c>
      <c r="I676" s="147" t="e">
        <f t="shared" si="164"/>
        <v>#REF!</v>
      </c>
      <c r="J676" s="97">
        <v>0</v>
      </c>
      <c r="K676" s="295"/>
      <c r="L676" s="20">
        <v>21054</v>
      </c>
      <c r="M676" s="20">
        <v>65665.67</v>
      </c>
      <c r="N676" s="20">
        <v>64000</v>
      </c>
      <c r="O676" s="20">
        <f>VLOOKUP(A676,TB!A:F,3)</f>
        <v>25390.87</v>
      </c>
      <c r="P676" s="163">
        <f t="shared" si="167"/>
        <v>64000</v>
      </c>
      <c r="Q676" s="160">
        <v>30000</v>
      </c>
      <c r="R676" s="233">
        <f>VLOOKUP(A676,TB!A:F,6)</f>
        <v>30000</v>
      </c>
      <c r="S676" s="233">
        <f t="shared" si="166"/>
        <v>0</v>
      </c>
    </row>
    <row r="677" spans="1:19" ht="15.75" customHeight="1" x14ac:dyDescent="0.25">
      <c r="A677" s="66" t="s">
        <v>762</v>
      </c>
      <c r="B677" s="66" t="s">
        <v>115</v>
      </c>
      <c r="C677" s="295"/>
      <c r="D677" s="160">
        <v>0</v>
      </c>
      <c r="E677" s="160" t="e">
        <f>D677*#REF!</f>
        <v>#REF!</v>
      </c>
      <c r="F677" s="160" t="e">
        <f>D677*#REF!</f>
        <v>#REF!</v>
      </c>
      <c r="G677" s="160" t="e">
        <f>(D677*#REF!)*#REF!</f>
        <v>#REF!</v>
      </c>
      <c r="H677" s="296">
        <f t="shared" si="163"/>
        <v>0</v>
      </c>
      <c r="I677" s="147" t="e">
        <f t="shared" si="164"/>
        <v>#REF!</v>
      </c>
      <c r="J677" s="97">
        <v>0</v>
      </c>
      <c r="K677" s="295"/>
      <c r="L677" s="20">
        <v>16320</v>
      </c>
      <c r="M677" s="20">
        <v>8172.88</v>
      </c>
      <c r="N677" s="20">
        <v>35225</v>
      </c>
      <c r="O677" s="20">
        <f>VLOOKUP(A677,TB!A:F,3)</f>
        <v>16637.16</v>
      </c>
      <c r="P677" s="160">
        <f t="shared" si="167"/>
        <v>35225</v>
      </c>
      <c r="Q677" s="160">
        <v>15389</v>
      </c>
      <c r="R677" s="233">
        <f>VLOOKUP(A677,TB!A:F,6)</f>
        <v>15388.51</v>
      </c>
      <c r="S677" s="233">
        <f t="shared" si="166"/>
        <v>0.48999999999978172</v>
      </c>
    </row>
    <row r="678" spans="1:19" ht="15.75" customHeight="1" x14ac:dyDescent="0.25">
      <c r="A678" s="66" t="s">
        <v>763</v>
      </c>
      <c r="B678" s="66" t="s">
        <v>84</v>
      </c>
      <c r="C678" s="295"/>
      <c r="D678" s="160">
        <v>0</v>
      </c>
      <c r="E678" s="160" t="e">
        <f>D678*#REF!</f>
        <v>#REF!</v>
      </c>
      <c r="F678" s="160" t="e">
        <f>D678*#REF!</f>
        <v>#REF!</v>
      </c>
      <c r="G678" s="160" t="e">
        <f>(D678*#REF!)*#REF!</f>
        <v>#REF!</v>
      </c>
      <c r="H678" s="296">
        <f t="shared" si="163"/>
        <v>0</v>
      </c>
      <c r="I678" s="147" t="e">
        <f t="shared" si="164"/>
        <v>#REF!</v>
      </c>
      <c r="J678" s="97">
        <v>0</v>
      </c>
      <c r="K678" s="295"/>
      <c r="L678" s="20">
        <v>182</v>
      </c>
      <c r="M678" s="20">
        <v>0</v>
      </c>
      <c r="N678" s="20">
        <v>0</v>
      </c>
      <c r="O678" s="20">
        <f>VLOOKUP(A678,TB!A:F,3)</f>
        <v>0</v>
      </c>
      <c r="P678" s="160">
        <f t="shared" ref="P678:P679" si="168">O678/9*12</f>
        <v>0</v>
      </c>
      <c r="Q678" s="160">
        <v>0</v>
      </c>
      <c r="R678" s="233">
        <f>VLOOKUP(A678,TB!A:F,6)</f>
        <v>0</v>
      </c>
      <c r="S678" s="233">
        <f t="shared" si="166"/>
        <v>0</v>
      </c>
    </row>
    <row r="679" spans="1:19" ht="15.75" customHeight="1" x14ac:dyDescent="0.25">
      <c r="A679" s="66" t="s">
        <v>764</v>
      </c>
      <c r="B679" s="66" t="s">
        <v>210</v>
      </c>
      <c r="C679" s="295"/>
      <c r="D679" s="160">
        <v>0</v>
      </c>
      <c r="E679" s="160" t="e">
        <f>D679*#REF!</f>
        <v>#REF!</v>
      </c>
      <c r="F679" s="160" t="e">
        <f>D679*#REF!</f>
        <v>#REF!</v>
      </c>
      <c r="G679" s="160" t="e">
        <f>(D679*#REF!)*#REF!</f>
        <v>#REF!</v>
      </c>
      <c r="H679" s="296">
        <f t="shared" si="163"/>
        <v>0</v>
      </c>
      <c r="I679" s="147" t="e">
        <f t="shared" si="164"/>
        <v>#REF!</v>
      </c>
      <c r="J679" s="97">
        <v>0</v>
      </c>
      <c r="K679" s="295"/>
      <c r="L679" s="20">
        <v>848</v>
      </c>
      <c r="M679" s="20">
        <v>0</v>
      </c>
      <c r="N679" s="20">
        <v>0</v>
      </c>
      <c r="O679" s="20">
        <f>VLOOKUP(A679,TB!A:F,3)</f>
        <v>0</v>
      </c>
      <c r="P679" s="160">
        <f t="shared" si="168"/>
        <v>0</v>
      </c>
      <c r="Q679" s="160">
        <v>0</v>
      </c>
      <c r="R679" s="233">
        <f>VLOOKUP(A679,TB!A:F,6)</f>
        <v>0</v>
      </c>
      <c r="S679" s="233">
        <f t="shared" si="166"/>
        <v>0</v>
      </c>
    </row>
    <row r="680" spans="1:19" ht="15.75" customHeight="1" x14ac:dyDescent="0.25">
      <c r="A680" s="66" t="s">
        <v>765</v>
      </c>
      <c r="B680" s="66" t="s">
        <v>86</v>
      </c>
      <c r="C680" s="295"/>
      <c r="D680" s="160">
        <v>0</v>
      </c>
      <c r="E680" s="160" t="e">
        <f>D680*#REF!</f>
        <v>#REF!</v>
      </c>
      <c r="F680" s="160" t="e">
        <f>D680*#REF!</f>
        <v>#REF!</v>
      </c>
      <c r="G680" s="160" t="e">
        <f>(D680*#REF!)*#REF!</f>
        <v>#REF!</v>
      </c>
      <c r="H680" s="296">
        <f t="shared" si="163"/>
        <v>0</v>
      </c>
      <c r="I680" s="147" t="e">
        <f t="shared" si="164"/>
        <v>#REF!</v>
      </c>
      <c r="J680" s="97">
        <v>0</v>
      </c>
      <c r="K680" s="295"/>
      <c r="L680" s="20">
        <v>0</v>
      </c>
      <c r="M680" s="20">
        <v>0</v>
      </c>
      <c r="N680" s="20">
        <v>80000</v>
      </c>
      <c r="O680" s="20">
        <f>VLOOKUP(A680,TB!A:F,3)</f>
        <v>29194</v>
      </c>
      <c r="P680" s="163">
        <f t="shared" ref="P680:P684" si="169">N680</f>
        <v>80000</v>
      </c>
      <c r="Q680" s="160">
        <v>45040</v>
      </c>
      <c r="R680" s="233">
        <f>VLOOKUP(A680,TB!A:F,6)</f>
        <v>45040</v>
      </c>
      <c r="S680" s="233">
        <f t="shared" si="166"/>
        <v>0</v>
      </c>
    </row>
    <row r="681" spans="1:19" ht="15.75" customHeight="1" x14ac:dyDescent="0.25">
      <c r="A681" s="66" t="s">
        <v>766</v>
      </c>
      <c r="B681" s="66" t="s">
        <v>88</v>
      </c>
      <c r="C681" s="295"/>
      <c r="D681" s="160">
        <v>0</v>
      </c>
      <c r="E681" s="160" t="e">
        <f>D681*#REF!</f>
        <v>#REF!</v>
      </c>
      <c r="F681" s="160" t="e">
        <f>D681*#REF!</f>
        <v>#REF!</v>
      </c>
      <c r="G681" s="160" t="e">
        <f>(D681*#REF!)*#REF!</f>
        <v>#REF!</v>
      </c>
      <c r="H681" s="296">
        <f t="shared" si="163"/>
        <v>0</v>
      </c>
      <c r="I681" s="147" t="e">
        <f t="shared" si="164"/>
        <v>#REF!</v>
      </c>
      <c r="J681" s="97">
        <v>0</v>
      </c>
      <c r="K681" s="295"/>
      <c r="L681" s="20">
        <v>0</v>
      </c>
      <c r="M681" s="20">
        <v>524</v>
      </c>
      <c r="N681" s="20">
        <v>2000</v>
      </c>
      <c r="O681" s="20">
        <f>VLOOKUP(A681,TB!A:F,3)</f>
        <v>402</v>
      </c>
      <c r="P681" s="163">
        <f t="shared" si="169"/>
        <v>2000</v>
      </c>
      <c r="Q681" s="160">
        <v>1000</v>
      </c>
      <c r="R681" s="233">
        <f>VLOOKUP(A681,TB!A:F,6)</f>
        <v>1000</v>
      </c>
      <c r="S681" s="233">
        <f t="shared" si="166"/>
        <v>0</v>
      </c>
    </row>
    <row r="682" spans="1:19" ht="15.75" customHeight="1" x14ac:dyDescent="0.25">
      <c r="A682" s="66" t="s">
        <v>767</v>
      </c>
      <c r="B682" s="66" t="s">
        <v>90</v>
      </c>
      <c r="C682" s="295"/>
      <c r="D682" s="160">
        <v>0</v>
      </c>
      <c r="E682" s="160" t="e">
        <f>D682*#REF!</f>
        <v>#REF!</v>
      </c>
      <c r="F682" s="160" t="e">
        <f>D682*#REF!</f>
        <v>#REF!</v>
      </c>
      <c r="G682" s="160" t="e">
        <f>(D682*#REF!)*#REF!</f>
        <v>#REF!</v>
      </c>
      <c r="H682" s="296">
        <f t="shared" si="163"/>
        <v>0</v>
      </c>
      <c r="I682" s="147" t="e">
        <f t="shared" si="164"/>
        <v>#REF!</v>
      </c>
      <c r="J682" s="97">
        <v>0</v>
      </c>
      <c r="K682" s="295"/>
      <c r="L682" s="20">
        <v>0</v>
      </c>
      <c r="M682" s="20">
        <v>99.84</v>
      </c>
      <c r="N682" s="20">
        <v>3000</v>
      </c>
      <c r="O682" s="20">
        <f>VLOOKUP(A682,TB!A:F,3)</f>
        <v>0</v>
      </c>
      <c r="P682" s="163">
        <f t="shared" si="169"/>
        <v>3000</v>
      </c>
      <c r="Q682" s="160">
        <v>3000</v>
      </c>
      <c r="R682" s="233">
        <f>VLOOKUP(A682,TB!A:F,6)</f>
        <v>3000</v>
      </c>
      <c r="S682" s="233">
        <f t="shared" si="166"/>
        <v>0</v>
      </c>
    </row>
    <row r="683" spans="1:19" ht="15.75" customHeight="1" x14ac:dyDescent="0.25">
      <c r="A683" s="66" t="s">
        <v>768</v>
      </c>
      <c r="B683" s="66" t="s">
        <v>252</v>
      </c>
      <c r="C683" s="295"/>
      <c r="D683" s="160">
        <v>0</v>
      </c>
      <c r="E683" s="160" t="e">
        <f>D683*#REF!</f>
        <v>#REF!</v>
      </c>
      <c r="F683" s="160" t="e">
        <f>D683*#REF!</f>
        <v>#REF!</v>
      </c>
      <c r="G683" s="160" t="e">
        <f>(D683*#REF!)*#REF!</f>
        <v>#REF!</v>
      </c>
      <c r="H683" s="296">
        <f t="shared" si="163"/>
        <v>0</v>
      </c>
      <c r="I683" s="147" t="e">
        <f t="shared" si="164"/>
        <v>#REF!</v>
      </c>
      <c r="J683" s="97">
        <v>0</v>
      </c>
      <c r="K683" s="295"/>
      <c r="L683" s="20">
        <v>22206</v>
      </c>
      <c r="M683" s="20">
        <v>20420.349999999999</v>
      </c>
      <c r="N683" s="20">
        <v>25000</v>
      </c>
      <c r="O683" s="20">
        <f>VLOOKUP(A683,TB!A:F,3)</f>
        <v>19418.7</v>
      </c>
      <c r="P683" s="163">
        <f t="shared" si="169"/>
        <v>25000</v>
      </c>
      <c r="Q683" s="160">
        <v>34900</v>
      </c>
      <c r="R683" s="233">
        <f>VLOOKUP(A683,TB!A:F,6)</f>
        <v>34900</v>
      </c>
      <c r="S683" s="233">
        <f t="shared" si="166"/>
        <v>0</v>
      </c>
    </row>
    <row r="684" spans="1:19" ht="15.75" customHeight="1" x14ac:dyDescent="0.25">
      <c r="A684" s="66" t="s">
        <v>769</v>
      </c>
      <c r="B684" s="66" t="s">
        <v>502</v>
      </c>
      <c r="C684" s="295"/>
      <c r="D684" s="160">
        <v>0</v>
      </c>
      <c r="E684" s="160" t="e">
        <f>D684*#REF!</f>
        <v>#REF!</v>
      </c>
      <c r="F684" s="160" t="e">
        <f>D684*#REF!</f>
        <v>#REF!</v>
      </c>
      <c r="G684" s="160" t="e">
        <f>(D684*#REF!)*#REF!</f>
        <v>#REF!</v>
      </c>
      <c r="H684" s="296">
        <f t="shared" si="163"/>
        <v>0</v>
      </c>
      <c r="I684" s="147" t="e">
        <f t="shared" si="164"/>
        <v>#REF!</v>
      </c>
      <c r="J684" s="97">
        <v>0</v>
      </c>
      <c r="K684" s="295"/>
      <c r="L684" s="20">
        <v>1132</v>
      </c>
      <c r="M684" s="20">
        <v>2029.31</v>
      </c>
      <c r="N684" s="20">
        <v>6000</v>
      </c>
      <c r="O684" s="20">
        <f>VLOOKUP(A684,TB!A:F,3)</f>
        <v>2312.7600000000002</v>
      </c>
      <c r="P684" s="163">
        <f t="shared" si="169"/>
        <v>6000</v>
      </c>
      <c r="Q684" s="160">
        <v>5400</v>
      </c>
      <c r="R684" s="233">
        <f>VLOOKUP(A684,TB!A:F,6)</f>
        <v>5400</v>
      </c>
      <c r="S684" s="233">
        <f t="shared" si="166"/>
        <v>0</v>
      </c>
    </row>
    <row r="685" spans="1:19" ht="15.75" customHeight="1" x14ac:dyDescent="0.25">
      <c r="A685" s="66" t="s">
        <v>770</v>
      </c>
      <c r="B685" s="66" t="s">
        <v>92</v>
      </c>
      <c r="C685" s="295"/>
      <c r="D685" s="160">
        <v>0</v>
      </c>
      <c r="E685" s="160" t="e">
        <f>D685*#REF!</f>
        <v>#REF!</v>
      </c>
      <c r="F685" s="160" t="e">
        <f>D685*#REF!</f>
        <v>#REF!</v>
      </c>
      <c r="G685" s="160" t="e">
        <f>(D685*#REF!)*#REF!</f>
        <v>#REF!</v>
      </c>
      <c r="H685" s="296">
        <f t="shared" si="163"/>
        <v>0</v>
      </c>
      <c r="I685" s="147" t="e">
        <f t="shared" si="164"/>
        <v>#REF!</v>
      </c>
      <c r="J685" s="97">
        <v>0</v>
      </c>
      <c r="K685" s="295"/>
      <c r="L685" s="20">
        <v>4327</v>
      </c>
      <c r="M685" s="20">
        <v>0</v>
      </c>
      <c r="N685" s="20">
        <v>0</v>
      </c>
      <c r="O685" s="20">
        <f>VLOOKUP(A685,TB!A:F,3)</f>
        <v>0</v>
      </c>
      <c r="P685" s="160">
        <f>O685/9*12</f>
        <v>0</v>
      </c>
      <c r="Q685" s="160">
        <v>0</v>
      </c>
      <c r="R685" s="233">
        <f>VLOOKUP(A685,TB!A:F,6)</f>
        <v>0</v>
      </c>
      <c r="S685" s="233">
        <f t="shared" si="166"/>
        <v>0</v>
      </c>
    </row>
    <row r="686" spans="1:19" ht="15.75" customHeight="1" x14ac:dyDescent="0.25">
      <c r="A686" s="74" t="s">
        <v>771</v>
      </c>
      <c r="B686" s="75"/>
      <c r="C686" s="299"/>
      <c r="D686" s="189">
        <f t="shared" ref="D686:G686" si="170">SUM(D668:D685)</f>
        <v>0</v>
      </c>
      <c r="E686" s="189" t="e">
        <f t="shared" si="170"/>
        <v>#REF!</v>
      </c>
      <c r="F686" s="189" t="e">
        <f t="shared" si="170"/>
        <v>#REF!</v>
      </c>
      <c r="G686" s="189" t="e">
        <f t="shared" si="170"/>
        <v>#REF!</v>
      </c>
      <c r="H686" s="300">
        <f t="shared" si="163"/>
        <v>0</v>
      </c>
      <c r="I686" s="189" t="e">
        <f t="shared" si="164"/>
        <v>#REF!</v>
      </c>
      <c r="J686" s="301">
        <f>SUM(J668:J685)</f>
        <v>0</v>
      </c>
      <c r="K686" s="299"/>
      <c r="L686" s="77">
        <f t="shared" ref="L686:S686" si="171">SUM(L668:L685)</f>
        <v>354826</v>
      </c>
      <c r="M686" s="77">
        <f t="shared" si="171"/>
        <v>414322.08999999991</v>
      </c>
      <c r="N686" s="77">
        <f t="shared" si="171"/>
        <v>595461</v>
      </c>
      <c r="O686" s="77">
        <f t="shared" si="171"/>
        <v>413083.05</v>
      </c>
      <c r="P686" s="189">
        <f t="shared" si="171"/>
        <v>632673.978</v>
      </c>
      <c r="Q686" s="189">
        <f t="shared" si="171"/>
        <v>560039</v>
      </c>
      <c r="R686" s="77">
        <f t="shared" si="171"/>
        <v>560038.51</v>
      </c>
      <c r="S686" s="77">
        <f t="shared" si="171"/>
        <v>0.48999999999978172</v>
      </c>
    </row>
    <row r="687" spans="1:19" ht="15.75" customHeight="1" x14ac:dyDescent="0.2">
      <c r="C687" s="287"/>
      <c r="K687" s="287"/>
      <c r="L687" s="54"/>
      <c r="M687" s="54"/>
      <c r="N687" s="54"/>
      <c r="O687" s="54"/>
      <c r="P687" s="54"/>
      <c r="Q687" s="54"/>
      <c r="R687" s="81"/>
      <c r="S687" s="81"/>
    </row>
    <row r="688" spans="1:19" ht="15.75" customHeight="1" x14ac:dyDescent="0.25">
      <c r="A688" s="66" t="s">
        <v>772</v>
      </c>
      <c r="B688" s="66" t="s">
        <v>99</v>
      </c>
      <c r="C688" s="295"/>
      <c r="D688" s="160">
        <v>0</v>
      </c>
      <c r="E688" s="160" t="e">
        <f>D688*#REF!</f>
        <v>#REF!</v>
      </c>
      <c r="F688" s="160" t="e">
        <f>D688*#REF!</f>
        <v>#REF!</v>
      </c>
      <c r="G688" s="160" t="e">
        <f>(D688*#REF!)*#REF!</f>
        <v>#REF!</v>
      </c>
      <c r="H688" s="296">
        <f t="shared" ref="H688:H689" si="172">IFERROR(((Q688-G688)/G688),0)</f>
        <v>0</v>
      </c>
      <c r="I688" s="147" t="e">
        <f t="shared" ref="I688:I689" si="173">Q688-G688</f>
        <v>#REF!</v>
      </c>
      <c r="J688" s="97">
        <v>0</v>
      </c>
      <c r="K688" s="295"/>
      <c r="L688" s="20">
        <v>0</v>
      </c>
      <c r="M688" s="20">
        <v>13843</v>
      </c>
      <c r="N688" s="20">
        <v>0</v>
      </c>
      <c r="O688" s="20">
        <f>VLOOKUP(A688,TB!A:F,3)</f>
        <v>0</v>
      </c>
      <c r="P688" s="160">
        <f>O688</f>
        <v>0</v>
      </c>
      <c r="Q688" s="160">
        <v>0</v>
      </c>
      <c r="R688" s="233">
        <f>VLOOKUP(A688,TB!A:F,6)</f>
        <v>0</v>
      </c>
      <c r="S688" s="233">
        <f>Q688-R688</f>
        <v>0</v>
      </c>
    </row>
    <row r="689" spans="1:30" ht="15.75" customHeight="1" x14ac:dyDescent="0.25">
      <c r="A689" s="74" t="s">
        <v>771</v>
      </c>
      <c r="B689" s="75"/>
      <c r="C689" s="299"/>
      <c r="D689" s="189">
        <f t="shared" ref="D689:G689" si="174">SUM(D688)</f>
        <v>0</v>
      </c>
      <c r="E689" s="189" t="e">
        <f t="shared" si="174"/>
        <v>#REF!</v>
      </c>
      <c r="F689" s="189" t="e">
        <f t="shared" si="174"/>
        <v>#REF!</v>
      </c>
      <c r="G689" s="189" t="e">
        <f t="shared" si="174"/>
        <v>#REF!</v>
      </c>
      <c r="H689" s="300">
        <f t="shared" si="172"/>
        <v>0</v>
      </c>
      <c r="I689" s="189" t="e">
        <f t="shared" si="173"/>
        <v>#REF!</v>
      </c>
      <c r="J689" s="301">
        <v>0</v>
      </c>
      <c r="K689" s="299"/>
      <c r="L689" s="77">
        <f t="shared" ref="L689:S689" si="175">SUM(L688)</f>
        <v>0</v>
      </c>
      <c r="M689" s="77">
        <f t="shared" si="175"/>
        <v>13843</v>
      </c>
      <c r="N689" s="77">
        <f t="shared" si="175"/>
        <v>0</v>
      </c>
      <c r="O689" s="77">
        <f t="shared" si="175"/>
        <v>0</v>
      </c>
      <c r="P689" s="189">
        <f t="shared" si="175"/>
        <v>0</v>
      </c>
      <c r="Q689" s="189">
        <f t="shared" si="175"/>
        <v>0</v>
      </c>
      <c r="R689" s="77">
        <f t="shared" si="175"/>
        <v>0</v>
      </c>
      <c r="S689" s="77">
        <f t="shared" si="175"/>
        <v>0</v>
      </c>
    </row>
    <row r="690" spans="1:30" ht="15.75" customHeight="1" x14ac:dyDescent="0.2">
      <c r="C690" s="287"/>
      <c r="K690" s="287"/>
      <c r="R690" s="83"/>
      <c r="S690" s="83"/>
    </row>
    <row r="691" spans="1:30" ht="15.75" customHeight="1" x14ac:dyDescent="0.25">
      <c r="A691" s="74" t="s">
        <v>773</v>
      </c>
      <c r="B691" s="305"/>
      <c r="C691" s="306"/>
      <c r="D691" s="189">
        <f t="shared" ref="D691:G691" si="176">D686+D689</f>
        <v>0</v>
      </c>
      <c r="E691" s="189" t="e">
        <f t="shared" si="176"/>
        <v>#REF!</v>
      </c>
      <c r="F691" s="189" t="e">
        <f t="shared" si="176"/>
        <v>#REF!</v>
      </c>
      <c r="G691" s="189" t="e">
        <f t="shared" si="176"/>
        <v>#REF!</v>
      </c>
      <c r="H691" s="300">
        <f>IFERROR(((Q691-G691)/G691),0)</f>
        <v>0</v>
      </c>
      <c r="I691" s="189" t="e">
        <f>Q691-G691</f>
        <v>#REF!</v>
      </c>
      <c r="J691" s="301">
        <v>0</v>
      </c>
      <c r="K691" s="306"/>
      <c r="L691" s="77">
        <f t="shared" ref="L691:S691" si="177">L686+L689</f>
        <v>354826</v>
      </c>
      <c r="M691" s="77">
        <f t="shared" si="177"/>
        <v>428165.08999999991</v>
      </c>
      <c r="N691" s="77">
        <f t="shared" si="177"/>
        <v>595461</v>
      </c>
      <c r="O691" s="77">
        <f t="shared" si="177"/>
        <v>413083.05</v>
      </c>
      <c r="P691" s="189">
        <f t="shared" si="177"/>
        <v>632673.978</v>
      </c>
      <c r="Q691" s="189">
        <f t="shared" si="177"/>
        <v>560039</v>
      </c>
      <c r="R691" s="77">
        <f t="shared" si="177"/>
        <v>560038.51</v>
      </c>
      <c r="S691" s="77">
        <f t="shared" si="177"/>
        <v>0.48999999999978172</v>
      </c>
    </row>
    <row r="692" spans="1:30" ht="15.75" customHeight="1" x14ac:dyDescent="0.2">
      <c r="C692" s="287"/>
      <c r="K692" s="287"/>
      <c r="R692" s="83"/>
      <c r="S692" s="83"/>
    </row>
    <row r="693" spans="1:30" ht="15.75" customHeight="1" x14ac:dyDescent="0.2">
      <c r="A693" s="69" t="s">
        <v>184</v>
      </c>
      <c r="C693" s="287"/>
      <c r="K693" s="287"/>
      <c r="R693" s="83"/>
      <c r="S693" s="83"/>
    </row>
    <row r="694" spans="1:30" ht="15.75" customHeight="1" x14ac:dyDescent="0.25">
      <c r="A694" s="51" t="s">
        <v>774</v>
      </c>
      <c r="B694" s="51" t="s">
        <v>775</v>
      </c>
      <c r="C694" s="307"/>
      <c r="D694" s="147">
        <v>0</v>
      </c>
      <c r="E694" s="160" t="e">
        <f>D694*#REF!</f>
        <v>#REF!</v>
      </c>
      <c r="F694" s="160" t="e">
        <f>D694*#REF!</f>
        <v>#REF!</v>
      </c>
      <c r="G694" s="160" t="e">
        <f>(D694*#REF!)*#REF!</f>
        <v>#REF!</v>
      </c>
      <c r="H694" s="296">
        <f t="shared" ref="H694:H695" si="178">IFERROR(((Q694-G694)/G694),0)</f>
        <v>0</v>
      </c>
      <c r="I694" s="147" t="e">
        <f t="shared" ref="I694:I695" si="179">Q694-G694</f>
        <v>#REF!</v>
      </c>
      <c r="J694" s="97">
        <v>0</v>
      </c>
      <c r="K694" s="307"/>
      <c r="L694" s="54">
        <v>-34570</v>
      </c>
      <c r="M694" s="54">
        <v>-63463.63</v>
      </c>
      <c r="N694" s="54">
        <v>-91000</v>
      </c>
      <c r="O694" s="20">
        <f>VLOOKUP(A694,TB!A:F,3)</f>
        <v>-45306.36</v>
      </c>
      <c r="P694" s="308">
        <f>N694</f>
        <v>-91000</v>
      </c>
      <c r="Q694" s="54">
        <v>-90000</v>
      </c>
      <c r="R694" s="233">
        <f>VLOOKUP(A694,TB!A:F,6)</f>
        <v>-90000</v>
      </c>
      <c r="S694" s="233">
        <f>Q694-R694</f>
        <v>0</v>
      </c>
    </row>
    <row r="695" spans="1:30" ht="15.75" customHeight="1" x14ac:dyDescent="0.2">
      <c r="A695" s="239" t="s">
        <v>189</v>
      </c>
      <c r="B695" s="75"/>
      <c r="C695" s="299"/>
      <c r="D695" s="189">
        <f t="shared" ref="D695:G695" si="180">SUM(D694)</f>
        <v>0</v>
      </c>
      <c r="E695" s="189" t="e">
        <f t="shared" si="180"/>
        <v>#REF!</v>
      </c>
      <c r="F695" s="189" t="e">
        <f t="shared" si="180"/>
        <v>#REF!</v>
      </c>
      <c r="G695" s="189" t="e">
        <f t="shared" si="180"/>
        <v>#REF!</v>
      </c>
      <c r="H695" s="300">
        <f t="shared" si="178"/>
        <v>0</v>
      </c>
      <c r="I695" s="189" t="e">
        <f t="shared" si="179"/>
        <v>#REF!</v>
      </c>
      <c r="J695" s="189">
        <f>SUM(J694)</f>
        <v>0</v>
      </c>
      <c r="K695" s="299"/>
      <c r="L695" s="77">
        <f t="shared" ref="L695:S695" si="181">SUM(L694)</f>
        <v>-34570</v>
      </c>
      <c r="M695" s="77">
        <f t="shared" si="181"/>
        <v>-63463.63</v>
      </c>
      <c r="N695" s="77">
        <f t="shared" si="181"/>
        <v>-91000</v>
      </c>
      <c r="O695" s="77">
        <f t="shared" si="181"/>
        <v>-45306.36</v>
      </c>
      <c r="P695" s="189">
        <f t="shared" si="181"/>
        <v>-91000</v>
      </c>
      <c r="Q695" s="189">
        <f t="shared" si="181"/>
        <v>-90000</v>
      </c>
      <c r="R695" s="77">
        <f t="shared" si="181"/>
        <v>-90000</v>
      </c>
      <c r="S695" s="77">
        <f t="shared" si="181"/>
        <v>0</v>
      </c>
    </row>
    <row r="696" spans="1:30" ht="15.75" customHeight="1" x14ac:dyDescent="0.2">
      <c r="C696" s="287"/>
      <c r="K696" s="287"/>
      <c r="R696" s="83"/>
      <c r="S696" s="83"/>
    </row>
    <row r="697" spans="1:30" ht="15.75" customHeight="1" x14ac:dyDescent="0.2">
      <c r="A697" s="69" t="s">
        <v>190</v>
      </c>
      <c r="B697" s="51"/>
      <c r="C697" s="309"/>
      <c r="D697" s="193">
        <f t="shared" ref="D697:G697" si="182">D691+D695</f>
        <v>0</v>
      </c>
      <c r="E697" s="193" t="e">
        <f t="shared" si="182"/>
        <v>#REF!</v>
      </c>
      <c r="F697" s="193" t="e">
        <f t="shared" si="182"/>
        <v>#REF!</v>
      </c>
      <c r="G697" s="193" t="e">
        <f t="shared" si="182"/>
        <v>#REF!</v>
      </c>
      <c r="H697" s="310">
        <f>IFERROR(((Q697-G697)/G697),0)</f>
        <v>0</v>
      </c>
      <c r="I697" s="193" t="e">
        <f>Q697-G697</f>
        <v>#REF!</v>
      </c>
      <c r="J697" s="193">
        <f>J695+J689+J686</f>
        <v>0</v>
      </c>
      <c r="K697" s="309"/>
      <c r="L697" s="245">
        <f t="shared" ref="L697:S697" si="183">L691+L695</f>
        <v>320256</v>
      </c>
      <c r="M697" s="245">
        <f t="shared" si="183"/>
        <v>364701.4599999999</v>
      </c>
      <c r="N697" s="245">
        <f t="shared" si="183"/>
        <v>504461</v>
      </c>
      <c r="O697" s="245">
        <f t="shared" si="183"/>
        <v>367776.69</v>
      </c>
      <c r="P697" s="193">
        <f t="shared" si="183"/>
        <v>541673.978</v>
      </c>
      <c r="Q697" s="193">
        <f t="shared" si="183"/>
        <v>470039</v>
      </c>
      <c r="R697" s="245">
        <f t="shared" si="183"/>
        <v>470038.51</v>
      </c>
      <c r="S697" s="245">
        <f t="shared" si="183"/>
        <v>0.48999999999978172</v>
      </c>
      <c r="W697" s="56"/>
      <c r="X697" s="56"/>
      <c r="Y697" s="56"/>
      <c r="Z697" s="56"/>
      <c r="AA697" s="56"/>
      <c r="AB697" s="56"/>
      <c r="AC697" s="56"/>
      <c r="AD697" s="56"/>
    </row>
    <row r="698" spans="1:30" ht="15.75" customHeight="1" x14ac:dyDescent="0.2">
      <c r="C698" s="287"/>
      <c r="K698" s="287"/>
      <c r="R698" s="83"/>
      <c r="S698" s="83"/>
    </row>
    <row r="699" spans="1:30" ht="15.75" customHeight="1" x14ac:dyDescent="0.2">
      <c r="C699" s="287"/>
      <c r="K699" s="287"/>
    </row>
    <row r="700" spans="1:30" ht="15.75" customHeight="1" x14ac:dyDescent="0.2">
      <c r="C700" s="288"/>
      <c r="K700" s="288"/>
      <c r="L700" s="199" t="e">
        <f t="shared" ref="L700:R700" si="184">#REF!</f>
        <v>#REF!</v>
      </c>
      <c r="M700" s="199" t="e">
        <f t="shared" si="184"/>
        <v>#REF!</v>
      </c>
      <c r="N700" s="199" t="e">
        <f t="shared" si="184"/>
        <v>#REF!</v>
      </c>
      <c r="O700" s="199" t="e">
        <f t="shared" si="184"/>
        <v>#REF!</v>
      </c>
      <c r="P700" s="199" t="e">
        <f t="shared" si="184"/>
        <v>#REF!</v>
      </c>
      <c r="Q700" s="199" t="e">
        <f t="shared" si="184"/>
        <v>#REF!</v>
      </c>
      <c r="R700" s="173" t="e">
        <f t="shared" si="184"/>
        <v>#REF!</v>
      </c>
    </row>
    <row r="701" spans="1:30" ht="15.75" customHeight="1" x14ac:dyDescent="0.2">
      <c r="C701" s="289"/>
      <c r="K701" s="289"/>
      <c r="L701" s="290">
        <f t="shared" ref="L701:R701" si="185">L697</f>
        <v>320256</v>
      </c>
      <c r="M701" s="290">
        <f t="shared" si="185"/>
        <v>364701.4599999999</v>
      </c>
      <c r="N701" s="290">
        <f t="shared" si="185"/>
        <v>504461</v>
      </c>
      <c r="O701" s="290">
        <f t="shared" si="185"/>
        <v>367776.69</v>
      </c>
      <c r="P701" s="290">
        <f t="shared" si="185"/>
        <v>541673.978</v>
      </c>
      <c r="Q701" s="290">
        <f t="shared" si="185"/>
        <v>470039</v>
      </c>
      <c r="R701" s="291">
        <f t="shared" si="185"/>
        <v>470038.51</v>
      </c>
    </row>
    <row r="702" spans="1:30" ht="15.75" customHeight="1" x14ac:dyDescent="0.2">
      <c r="C702" s="287"/>
      <c r="K702" s="287"/>
    </row>
    <row r="703" spans="1:30" ht="15.75" customHeight="1" x14ac:dyDescent="0.2">
      <c r="C703" s="287"/>
      <c r="K703" s="287"/>
    </row>
    <row r="704" spans="1:30" ht="15.75" customHeight="1" x14ac:dyDescent="0.2">
      <c r="C704" s="287"/>
      <c r="K704" s="287"/>
    </row>
    <row r="705" spans="3:11" ht="15.75" customHeight="1" x14ac:dyDescent="0.2">
      <c r="C705" s="287"/>
      <c r="K705" s="287"/>
    </row>
    <row r="706" spans="3:11" ht="15.75" customHeight="1" x14ac:dyDescent="0.2">
      <c r="C706" s="287"/>
      <c r="K706" s="287"/>
    </row>
    <row r="707" spans="3:11" ht="15.75" customHeight="1" x14ac:dyDescent="0.2">
      <c r="C707" s="287"/>
      <c r="K707" s="287"/>
    </row>
    <row r="708" spans="3:11" ht="15.75" customHeight="1" x14ac:dyDescent="0.2">
      <c r="C708" s="287"/>
      <c r="K708" s="287"/>
    </row>
    <row r="709" spans="3:11" ht="15.75" customHeight="1" x14ac:dyDescent="0.2">
      <c r="C709" s="287"/>
      <c r="K709" s="287"/>
    </row>
    <row r="710" spans="3:11" ht="15.75" customHeight="1" x14ac:dyDescent="0.2">
      <c r="C710" s="287"/>
      <c r="K710" s="287"/>
    </row>
    <row r="711" spans="3:11" ht="15.75" customHeight="1" x14ac:dyDescent="0.2">
      <c r="C711" s="287"/>
      <c r="K711" s="287"/>
    </row>
    <row r="712" spans="3:11" ht="15.75" customHeight="1" x14ac:dyDescent="0.2">
      <c r="C712" s="287"/>
      <c r="K712" s="287"/>
    </row>
    <row r="713" spans="3:11" ht="15.75" customHeight="1" x14ac:dyDescent="0.2">
      <c r="C713" s="287"/>
      <c r="K713" s="287"/>
    </row>
    <row r="714" spans="3:11" ht="15.75" customHeight="1" x14ac:dyDescent="0.2">
      <c r="C714" s="287"/>
      <c r="K714" s="287"/>
    </row>
    <row r="715" spans="3:11" ht="15.75" customHeight="1" x14ac:dyDescent="0.2">
      <c r="C715" s="287"/>
      <c r="K715" s="287"/>
    </row>
    <row r="716" spans="3:11" ht="15.75" customHeight="1" x14ac:dyDescent="0.2">
      <c r="C716" s="287"/>
      <c r="K716" s="287"/>
    </row>
    <row r="717" spans="3:11" ht="15.75" customHeight="1" x14ac:dyDescent="0.2">
      <c r="C717" s="287"/>
      <c r="K717" s="287"/>
    </row>
    <row r="718" spans="3:11" ht="15.75" customHeight="1" x14ac:dyDescent="0.2">
      <c r="C718" s="287"/>
      <c r="K718" s="287"/>
    </row>
    <row r="719" spans="3:11" ht="15.75" customHeight="1" x14ac:dyDescent="0.2">
      <c r="C719" s="287"/>
      <c r="K719" s="287"/>
    </row>
    <row r="720" spans="3:11" ht="15.75" customHeight="1" x14ac:dyDescent="0.2">
      <c r="C720" s="287"/>
      <c r="K720" s="287"/>
    </row>
    <row r="721" spans="3:11" ht="15.75" customHeight="1" x14ac:dyDescent="0.2">
      <c r="C721" s="287"/>
      <c r="K721" s="287"/>
    </row>
    <row r="722" spans="3:11" ht="15.75" customHeight="1" x14ac:dyDescent="0.2">
      <c r="C722" s="287"/>
      <c r="K722" s="287"/>
    </row>
    <row r="723" spans="3:11" ht="15.75" customHeight="1" x14ac:dyDescent="0.2">
      <c r="C723" s="287"/>
      <c r="K723" s="287"/>
    </row>
    <row r="724" spans="3:11" ht="15.75" customHeight="1" x14ac:dyDescent="0.2">
      <c r="C724" s="287"/>
      <c r="K724" s="287"/>
    </row>
    <row r="725" spans="3:11" ht="15.75" customHeight="1" x14ac:dyDescent="0.2">
      <c r="C725" s="287"/>
      <c r="K725" s="287"/>
    </row>
    <row r="726" spans="3:11" ht="15.75" customHeight="1" x14ac:dyDescent="0.2">
      <c r="C726" s="287"/>
      <c r="K726" s="287"/>
    </row>
    <row r="727" spans="3:11" ht="15.75" customHeight="1" x14ac:dyDescent="0.2">
      <c r="C727" s="287"/>
      <c r="K727" s="287"/>
    </row>
    <row r="728" spans="3:11" ht="15.75" customHeight="1" x14ac:dyDescent="0.2">
      <c r="C728" s="287"/>
      <c r="K728" s="287"/>
    </row>
    <row r="729" spans="3:11" ht="15.75" customHeight="1" x14ac:dyDescent="0.2">
      <c r="C729" s="287"/>
      <c r="K729" s="287"/>
    </row>
    <row r="730" spans="3:11" ht="15.75" customHeight="1" x14ac:dyDescent="0.2">
      <c r="C730" s="287"/>
      <c r="K730" s="287"/>
    </row>
    <row r="731" spans="3:11" ht="15.75" customHeight="1" x14ac:dyDescent="0.2">
      <c r="C731" s="287"/>
      <c r="K731" s="287"/>
    </row>
    <row r="732" spans="3:11" ht="15.75" customHeight="1" x14ac:dyDescent="0.2">
      <c r="C732" s="287"/>
      <c r="K732" s="287"/>
    </row>
    <row r="733" spans="3:11" ht="15.75" customHeight="1" x14ac:dyDescent="0.2">
      <c r="C733" s="287"/>
      <c r="K733" s="287"/>
    </row>
    <row r="734" spans="3:11" ht="15.75" customHeight="1" x14ac:dyDescent="0.2">
      <c r="C734" s="287"/>
      <c r="K734" s="287"/>
    </row>
    <row r="735" spans="3:11" ht="15.75" customHeight="1" x14ac:dyDescent="0.2">
      <c r="C735" s="287"/>
      <c r="K735" s="287"/>
    </row>
    <row r="736" spans="3:11" ht="15.75" customHeight="1" x14ac:dyDescent="0.2">
      <c r="C736" s="287"/>
      <c r="K736" s="287"/>
    </row>
    <row r="737" spans="3:11" ht="15.75" customHeight="1" x14ac:dyDescent="0.2">
      <c r="C737" s="287"/>
      <c r="K737" s="287"/>
    </row>
    <row r="738" spans="3:11" ht="15.75" customHeight="1" x14ac:dyDescent="0.2">
      <c r="C738" s="287"/>
      <c r="K738" s="287"/>
    </row>
    <row r="739" spans="3:11" ht="15.75" customHeight="1" x14ac:dyDescent="0.2">
      <c r="C739" s="287"/>
      <c r="K739" s="287"/>
    </row>
    <row r="740" spans="3:11" ht="15.75" customHeight="1" x14ac:dyDescent="0.2">
      <c r="C740" s="287"/>
      <c r="K740" s="287"/>
    </row>
    <row r="741" spans="3:11" ht="15.75" customHeight="1" x14ac:dyDescent="0.2">
      <c r="C741" s="287"/>
      <c r="K741" s="287"/>
    </row>
    <row r="742" spans="3:11" ht="15.75" customHeight="1" x14ac:dyDescent="0.2">
      <c r="C742" s="287"/>
      <c r="K742" s="287"/>
    </row>
    <row r="743" spans="3:11" ht="15.75" customHeight="1" x14ac:dyDescent="0.2">
      <c r="C743" s="287"/>
      <c r="K743" s="287"/>
    </row>
    <row r="744" spans="3:11" ht="15.75" customHeight="1" x14ac:dyDescent="0.2">
      <c r="C744" s="287"/>
      <c r="K744" s="287"/>
    </row>
    <row r="745" spans="3:11" ht="15.75" customHeight="1" x14ac:dyDescent="0.2">
      <c r="C745" s="287"/>
      <c r="K745" s="287"/>
    </row>
    <row r="746" spans="3:11" ht="15.75" customHeight="1" x14ac:dyDescent="0.2">
      <c r="C746" s="287"/>
      <c r="K746" s="287"/>
    </row>
    <row r="747" spans="3:11" ht="15.75" customHeight="1" x14ac:dyDescent="0.2">
      <c r="C747" s="287"/>
      <c r="K747" s="287"/>
    </row>
    <row r="748" spans="3:11" ht="15.75" customHeight="1" x14ac:dyDescent="0.2">
      <c r="C748" s="287"/>
      <c r="K748" s="287"/>
    </row>
    <row r="749" spans="3:11" ht="15.75" customHeight="1" x14ac:dyDescent="0.2">
      <c r="C749" s="287"/>
      <c r="K749" s="287"/>
    </row>
    <row r="750" spans="3:11" ht="15.75" customHeight="1" x14ac:dyDescent="0.2">
      <c r="C750" s="287"/>
      <c r="K750" s="287"/>
    </row>
    <row r="751" spans="3:11" ht="15.75" customHeight="1" x14ac:dyDescent="0.2">
      <c r="C751" s="287"/>
      <c r="K751" s="287"/>
    </row>
    <row r="752" spans="3:11" ht="15.75" customHeight="1" x14ac:dyDescent="0.2">
      <c r="C752" s="287"/>
      <c r="K752" s="287"/>
    </row>
    <row r="753" spans="1:19" ht="15.75" customHeight="1" x14ac:dyDescent="0.2">
      <c r="C753" s="287"/>
      <c r="K753" s="287"/>
    </row>
    <row r="754" spans="1:19" ht="15.75" customHeight="1" x14ac:dyDescent="0.2">
      <c r="A754" s="3" t="s">
        <v>50</v>
      </c>
      <c r="B754" s="3" t="s">
        <v>51</v>
      </c>
      <c r="C754" s="292"/>
      <c r="D754" s="99" t="s">
        <v>52</v>
      </c>
      <c r="E754" s="100" t="s">
        <v>53</v>
      </c>
      <c r="F754" s="100" t="s">
        <v>54</v>
      </c>
      <c r="G754" s="100" t="s">
        <v>55</v>
      </c>
      <c r="H754" s="24" t="s">
        <v>56</v>
      </c>
      <c r="I754" s="24" t="s">
        <v>57</v>
      </c>
      <c r="J754" s="101" t="s">
        <v>58</v>
      </c>
      <c r="K754" s="292"/>
      <c r="L754" s="3" t="s">
        <v>59</v>
      </c>
      <c r="M754" s="3" t="s">
        <v>60</v>
      </c>
      <c r="N754" s="3" t="s">
        <v>61</v>
      </c>
      <c r="O754" s="3" t="s">
        <v>62</v>
      </c>
      <c r="P754" s="293" t="s">
        <v>541</v>
      </c>
      <c r="Q754" s="293" t="s">
        <v>64</v>
      </c>
      <c r="R754" s="293" t="s">
        <v>65</v>
      </c>
      <c r="S754" s="293" t="s">
        <v>586</v>
      </c>
    </row>
    <row r="755" spans="1:19" ht="15.75" customHeight="1" x14ac:dyDescent="0.25">
      <c r="A755" s="565" t="s">
        <v>776</v>
      </c>
      <c r="B755" s="566"/>
      <c r="C755" s="566"/>
      <c r="D755" s="566"/>
      <c r="E755" s="566"/>
      <c r="F755" s="65"/>
      <c r="G755" s="275"/>
      <c r="H755" s="234"/>
      <c r="L755" s="65"/>
      <c r="M755" s="165"/>
      <c r="N755" s="65"/>
      <c r="O755" s="165"/>
      <c r="P755" s="157"/>
      <c r="Q755" s="157"/>
      <c r="R755" s="275"/>
      <c r="S755" s="275"/>
    </row>
    <row r="756" spans="1:19" ht="15.75" customHeight="1" x14ac:dyDescent="0.25">
      <c r="A756" s="66" t="s">
        <v>777</v>
      </c>
      <c r="B756" s="66" t="s">
        <v>68</v>
      </c>
      <c r="C756" s="295"/>
      <c r="D756" s="160">
        <v>61497</v>
      </c>
      <c r="E756" s="160" t="e">
        <f>D756*#REF!</f>
        <v>#REF!</v>
      </c>
      <c r="F756" s="160" t="e">
        <f>D756*#REF!</f>
        <v>#REF!</v>
      </c>
      <c r="G756" s="160" t="e">
        <f>(D756*#REF!)*#REF!</f>
        <v>#REF!</v>
      </c>
      <c r="H756" s="296">
        <f t="shared" ref="H756:H775" si="186">IFERROR(((Q756-G756)/G756),0)</f>
        <v>0</v>
      </c>
      <c r="I756" s="147" t="e">
        <f t="shared" ref="I756:I775" si="187">Q756-G756</f>
        <v>#REF!</v>
      </c>
      <c r="J756" s="97">
        <v>0</v>
      </c>
      <c r="K756" s="295"/>
      <c r="L756" s="20">
        <v>72451</v>
      </c>
      <c r="M756" s="20">
        <v>73886.2</v>
      </c>
      <c r="N756" s="20">
        <v>78302</v>
      </c>
      <c r="O756" s="20">
        <f>VLOOKUP(A756,TB!A:F,3)</f>
        <v>59240.800000000003</v>
      </c>
      <c r="P756" s="160">
        <f t="shared" ref="P756:P759" si="188">O756/20*26</f>
        <v>77013.039999999994</v>
      </c>
      <c r="Q756" s="160">
        <v>85200</v>
      </c>
      <c r="R756" s="233">
        <f>VLOOKUP(A756,TB!A:F,6)</f>
        <v>85200</v>
      </c>
      <c r="S756" s="233">
        <f t="shared" ref="S756:S774" si="189">Q756-R756</f>
        <v>0</v>
      </c>
    </row>
    <row r="757" spans="1:19" ht="15.75" customHeight="1" x14ac:dyDescent="0.25">
      <c r="A757" s="66" t="s">
        <v>778</v>
      </c>
      <c r="B757" s="66" t="s">
        <v>70</v>
      </c>
      <c r="C757" s="295"/>
      <c r="D757" s="160">
        <v>0</v>
      </c>
      <c r="E757" s="160" t="e">
        <f>D757*#REF!</f>
        <v>#REF!</v>
      </c>
      <c r="F757" s="160" t="e">
        <f>D757*#REF!</f>
        <v>#REF!</v>
      </c>
      <c r="G757" s="160" t="e">
        <f>(D757*#REF!)*#REF!</f>
        <v>#REF!</v>
      </c>
      <c r="H757" s="296">
        <f t="shared" si="186"/>
        <v>0</v>
      </c>
      <c r="I757" s="147" t="e">
        <f t="shared" si="187"/>
        <v>#REF!</v>
      </c>
      <c r="J757" s="97">
        <v>0</v>
      </c>
      <c r="K757" s="295"/>
      <c r="L757" s="20">
        <v>0</v>
      </c>
      <c r="M757" s="20">
        <v>0</v>
      </c>
      <c r="N757" s="20">
        <v>4000</v>
      </c>
      <c r="O757" s="20">
        <f>VLOOKUP(A757,TB!A:F,3)</f>
        <v>0</v>
      </c>
      <c r="P757" s="160">
        <f t="shared" si="188"/>
        <v>0</v>
      </c>
      <c r="Q757" s="160">
        <v>4000</v>
      </c>
      <c r="R757" s="233">
        <f>VLOOKUP(A757,TB!A:F,6)</f>
        <v>4000</v>
      </c>
      <c r="S757" s="233">
        <f t="shared" si="189"/>
        <v>0</v>
      </c>
    </row>
    <row r="758" spans="1:19" ht="15.75" customHeight="1" x14ac:dyDescent="0.25">
      <c r="A758" s="66" t="s">
        <v>779</v>
      </c>
      <c r="B758" s="66" t="s">
        <v>132</v>
      </c>
      <c r="C758" s="295"/>
      <c r="D758" s="160">
        <v>0</v>
      </c>
      <c r="E758" s="160" t="e">
        <f>D758*#REF!</f>
        <v>#REF!</v>
      </c>
      <c r="F758" s="160" t="e">
        <f>D758*#REF!</f>
        <v>#REF!</v>
      </c>
      <c r="G758" s="160" t="e">
        <f>(D758*#REF!)*#REF!</f>
        <v>#REF!</v>
      </c>
      <c r="H758" s="296">
        <f t="shared" si="186"/>
        <v>0</v>
      </c>
      <c r="I758" s="147" t="e">
        <f t="shared" si="187"/>
        <v>#REF!</v>
      </c>
      <c r="J758" s="97">
        <v>0</v>
      </c>
      <c r="K758" s="295"/>
      <c r="L758" s="20">
        <v>0</v>
      </c>
      <c r="M758" s="20">
        <v>18381.5</v>
      </c>
      <c r="N758" s="20">
        <v>24371</v>
      </c>
      <c r="O758" s="20">
        <f>VLOOKUP(A758,TB!A:F,3)</f>
        <v>1430</v>
      </c>
      <c r="P758" s="160">
        <f t="shared" si="188"/>
        <v>1859</v>
      </c>
      <c r="Q758" s="160">
        <v>26000</v>
      </c>
      <c r="R758" s="233">
        <f>VLOOKUP(A758,TB!A:F,6)</f>
        <v>26000</v>
      </c>
      <c r="S758" s="233">
        <f t="shared" si="189"/>
        <v>0</v>
      </c>
    </row>
    <row r="759" spans="1:19" ht="15.75" customHeight="1" x14ac:dyDescent="0.25">
      <c r="A759" s="66" t="s">
        <v>780</v>
      </c>
      <c r="B759" s="66" t="s">
        <v>72</v>
      </c>
      <c r="C759" s="295"/>
      <c r="D759" s="160">
        <v>33572</v>
      </c>
      <c r="E759" s="160" t="e">
        <f>D759*#REF!</f>
        <v>#REF!</v>
      </c>
      <c r="F759" s="160" t="e">
        <f>D759*#REF!</f>
        <v>#REF!</v>
      </c>
      <c r="G759" s="160" t="e">
        <f>(D759*#REF!)*#REF!</f>
        <v>#REF!</v>
      </c>
      <c r="H759" s="296">
        <f t="shared" si="186"/>
        <v>0</v>
      </c>
      <c r="I759" s="147" t="e">
        <f t="shared" si="187"/>
        <v>#REF!</v>
      </c>
      <c r="J759" s="97">
        <v>0</v>
      </c>
      <c r="K759" s="295"/>
      <c r="L759" s="20">
        <v>39206</v>
      </c>
      <c r="M759" s="20">
        <v>46854.55</v>
      </c>
      <c r="N759" s="20">
        <v>55321</v>
      </c>
      <c r="O759" s="20">
        <f>VLOOKUP(A759,TB!A:F,3)</f>
        <v>33161.879999999997</v>
      </c>
      <c r="P759" s="160">
        <f t="shared" si="188"/>
        <v>43110.443999999996</v>
      </c>
      <c r="Q759" s="160">
        <v>50300</v>
      </c>
      <c r="R759" s="233">
        <f>VLOOKUP(A759,TB!A:F,6)</f>
        <v>50300</v>
      </c>
      <c r="S759" s="233">
        <f t="shared" si="189"/>
        <v>0</v>
      </c>
    </row>
    <row r="760" spans="1:19" ht="15.75" customHeight="1" x14ac:dyDescent="0.25">
      <c r="A760" s="66" t="s">
        <v>781</v>
      </c>
      <c r="B760" s="66" t="s">
        <v>74</v>
      </c>
      <c r="C760" s="295"/>
      <c r="D760" s="160">
        <v>789</v>
      </c>
      <c r="E760" s="160" t="e">
        <f>D760*#REF!</f>
        <v>#REF!</v>
      </c>
      <c r="F760" s="160" t="e">
        <f>D760*#REF!</f>
        <v>#REF!</v>
      </c>
      <c r="G760" s="160" t="e">
        <f>(D760*#REF!)*#REF!</f>
        <v>#REF!</v>
      </c>
      <c r="H760" s="296">
        <f t="shared" si="186"/>
        <v>0</v>
      </c>
      <c r="I760" s="147" t="e">
        <f t="shared" si="187"/>
        <v>#REF!</v>
      </c>
      <c r="J760" s="97">
        <v>0</v>
      </c>
      <c r="K760" s="295"/>
      <c r="L760" s="20">
        <v>279</v>
      </c>
      <c r="M760" s="20">
        <v>439</v>
      </c>
      <c r="N760" s="20">
        <v>2500</v>
      </c>
      <c r="O760" s="20">
        <f>VLOOKUP(A760,TB!A:F,3)</f>
        <v>80</v>
      </c>
      <c r="P760" s="163">
        <f t="shared" ref="P760:P761" si="190">N760</f>
        <v>2500</v>
      </c>
      <c r="Q760" s="160">
        <v>1000</v>
      </c>
      <c r="R760" s="233">
        <f>VLOOKUP(A760,TB!A:F,6)</f>
        <v>1000</v>
      </c>
      <c r="S760" s="233">
        <f t="shared" si="189"/>
        <v>0</v>
      </c>
    </row>
    <row r="761" spans="1:19" ht="15.75" customHeight="1" x14ac:dyDescent="0.25">
      <c r="A761" s="66" t="s">
        <v>782</v>
      </c>
      <c r="B761" s="66" t="s">
        <v>76</v>
      </c>
      <c r="C761" s="295"/>
      <c r="D761" s="160">
        <v>113</v>
      </c>
      <c r="E761" s="160" t="e">
        <f>D761*#REF!</f>
        <v>#REF!</v>
      </c>
      <c r="F761" s="160" t="e">
        <f>D761*#REF!</f>
        <v>#REF!</v>
      </c>
      <c r="G761" s="160" t="e">
        <f>(D761*#REF!)*#REF!</f>
        <v>#REF!</v>
      </c>
      <c r="H761" s="296">
        <f t="shared" si="186"/>
        <v>0</v>
      </c>
      <c r="I761" s="147" t="e">
        <f t="shared" si="187"/>
        <v>#REF!</v>
      </c>
      <c r="J761" s="97">
        <v>0</v>
      </c>
      <c r="K761" s="295"/>
      <c r="L761" s="20">
        <v>0</v>
      </c>
      <c r="M761" s="20">
        <v>1177</v>
      </c>
      <c r="N761" s="20">
        <v>3500</v>
      </c>
      <c r="O761" s="20">
        <f>VLOOKUP(A761,TB!A:F,3)</f>
        <v>143.81</v>
      </c>
      <c r="P761" s="163">
        <f t="shared" si="190"/>
        <v>3500</v>
      </c>
      <c r="Q761" s="160">
        <v>3500</v>
      </c>
      <c r="R761" s="233">
        <f>VLOOKUP(A761,TB!A:F,6)</f>
        <v>3500</v>
      </c>
      <c r="S761" s="233">
        <f t="shared" si="189"/>
        <v>0</v>
      </c>
    </row>
    <row r="762" spans="1:19" ht="15.75" customHeight="1" x14ac:dyDescent="0.25">
      <c r="A762" s="66" t="s">
        <v>783</v>
      </c>
      <c r="B762" s="66" t="s">
        <v>80</v>
      </c>
      <c r="C762" s="295"/>
      <c r="D762" s="160">
        <v>465</v>
      </c>
      <c r="E762" s="160" t="e">
        <f>D762*#REF!</f>
        <v>#REF!</v>
      </c>
      <c r="F762" s="160" t="e">
        <f>D762*#REF!</f>
        <v>#REF!</v>
      </c>
      <c r="G762" s="160" t="e">
        <f>(D762*#REF!)*#REF!</f>
        <v>#REF!</v>
      </c>
      <c r="H762" s="296">
        <f t="shared" si="186"/>
        <v>0</v>
      </c>
      <c r="I762" s="147" t="e">
        <f t="shared" si="187"/>
        <v>#REF!</v>
      </c>
      <c r="J762" s="97">
        <v>0</v>
      </c>
      <c r="K762" s="295"/>
      <c r="L762" s="20">
        <v>0</v>
      </c>
      <c r="M762" s="20">
        <v>566.62</v>
      </c>
      <c r="N762" s="20">
        <v>1000</v>
      </c>
      <c r="O762" s="20">
        <f>VLOOKUP(A762,TB!A:F,3)</f>
        <v>1146.07</v>
      </c>
      <c r="P762" s="163">
        <f>O762/9*12</f>
        <v>1528.0933333333332</v>
      </c>
      <c r="Q762" s="160">
        <v>1500</v>
      </c>
      <c r="R762" s="233">
        <f>VLOOKUP(A762,TB!A:F,6)</f>
        <v>1500</v>
      </c>
      <c r="S762" s="233">
        <f t="shared" si="189"/>
        <v>0</v>
      </c>
    </row>
    <row r="763" spans="1:19" ht="15.75" customHeight="1" x14ac:dyDescent="0.25">
      <c r="A763" s="66" t="s">
        <v>784</v>
      </c>
      <c r="B763" s="66" t="s">
        <v>82</v>
      </c>
      <c r="C763" s="295"/>
      <c r="D763" s="160">
        <v>2844</v>
      </c>
      <c r="E763" s="160" t="e">
        <f>D763*#REF!</f>
        <v>#REF!</v>
      </c>
      <c r="F763" s="160" t="e">
        <f>D763*#REF!</f>
        <v>#REF!</v>
      </c>
      <c r="G763" s="160" t="e">
        <f>(D763*#REF!)*#REF!</f>
        <v>#REF!</v>
      </c>
      <c r="H763" s="296">
        <f t="shared" si="186"/>
        <v>0</v>
      </c>
      <c r="I763" s="147" t="e">
        <f t="shared" si="187"/>
        <v>#REF!</v>
      </c>
      <c r="J763" s="97">
        <v>0</v>
      </c>
      <c r="K763" s="295"/>
      <c r="L763" s="20">
        <v>3392</v>
      </c>
      <c r="M763" s="20">
        <v>1304.6300000000001</v>
      </c>
      <c r="N763" s="20">
        <v>3500</v>
      </c>
      <c r="O763" s="20">
        <f>VLOOKUP(A763,TB!A:F,3)</f>
        <v>1332.57</v>
      </c>
      <c r="P763" s="163">
        <f t="shared" ref="P763:P764" si="191">N763</f>
        <v>3500</v>
      </c>
      <c r="Q763" s="160">
        <v>3500</v>
      </c>
      <c r="R763" s="233">
        <f>VLOOKUP(A763,TB!A:F,6)</f>
        <v>3500</v>
      </c>
      <c r="S763" s="233">
        <f t="shared" si="189"/>
        <v>0</v>
      </c>
    </row>
    <row r="764" spans="1:19" ht="15.75" customHeight="1" x14ac:dyDescent="0.25">
      <c r="A764" s="66" t="s">
        <v>785</v>
      </c>
      <c r="B764" s="66" t="s">
        <v>115</v>
      </c>
      <c r="C764" s="295"/>
      <c r="D764" s="160">
        <v>4763</v>
      </c>
      <c r="E764" s="160" t="e">
        <f>D764*#REF!</f>
        <v>#REF!</v>
      </c>
      <c r="F764" s="160" t="e">
        <f>D764*#REF!</f>
        <v>#REF!</v>
      </c>
      <c r="G764" s="160" t="e">
        <f>(D764*#REF!)*#REF!</f>
        <v>#REF!</v>
      </c>
      <c r="H764" s="296">
        <f t="shared" si="186"/>
        <v>0</v>
      </c>
      <c r="I764" s="147" t="e">
        <f t="shared" si="187"/>
        <v>#REF!</v>
      </c>
      <c r="J764" s="97">
        <v>0</v>
      </c>
      <c r="K764" s="295"/>
      <c r="L764" s="20">
        <v>7121</v>
      </c>
      <c r="M764" s="20">
        <v>1621.04</v>
      </c>
      <c r="N764" s="20">
        <v>29000</v>
      </c>
      <c r="O764" s="20">
        <f>VLOOKUP(A764,TB!A:F,3)</f>
        <v>2144.17</v>
      </c>
      <c r="P764" s="163">
        <f t="shared" si="191"/>
        <v>29000</v>
      </c>
      <c r="Q764" s="160">
        <v>29000</v>
      </c>
      <c r="R764" s="233">
        <f>VLOOKUP(A764,TB!A:F,6)</f>
        <v>29000</v>
      </c>
      <c r="S764" s="233">
        <f t="shared" si="189"/>
        <v>0</v>
      </c>
    </row>
    <row r="765" spans="1:19" ht="15.75" customHeight="1" x14ac:dyDescent="0.25">
      <c r="A765" s="66" t="s">
        <v>786</v>
      </c>
      <c r="B765" s="66" t="s">
        <v>787</v>
      </c>
      <c r="C765" s="295"/>
      <c r="D765" s="160">
        <v>0</v>
      </c>
      <c r="E765" s="160" t="e">
        <f>D765*#REF!</f>
        <v>#REF!</v>
      </c>
      <c r="F765" s="160" t="e">
        <f>D765*#REF!</f>
        <v>#REF!</v>
      </c>
      <c r="G765" s="160" t="e">
        <f>(D765*#REF!)*#REF!</f>
        <v>#REF!</v>
      </c>
      <c r="H765" s="296">
        <f t="shared" si="186"/>
        <v>0</v>
      </c>
      <c r="I765" s="147" t="e">
        <f t="shared" si="187"/>
        <v>#REF!</v>
      </c>
      <c r="J765" s="97">
        <v>0</v>
      </c>
      <c r="K765" s="295"/>
      <c r="L765" s="20">
        <v>0</v>
      </c>
      <c r="M765" s="20">
        <v>0</v>
      </c>
      <c r="N765" s="20">
        <v>0</v>
      </c>
      <c r="O765" s="20">
        <f>VLOOKUP(A765,TB!A:F,3)</f>
        <v>2144.17</v>
      </c>
      <c r="P765" s="160">
        <f>O765/9*12</f>
        <v>2858.8933333333334</v>
      </c>
      <c r="Q765" s="160">
        <v>0</v>
      </c>
      <c r="R765" s="233">
        <v>0</v>
      </c>
      <c r="S765" s="233">
        <f t="shared" si="189"/>
        <v>0</v>
      </c>
    </row>
    <row r="766" spans="1:19" ht="15.75" customHeight="1" x14ac:dyDescent="0.25">
      <c r="A766" s="66" t="s">
        <v>788</v>
      </c>
      <c r="B766" s="66" t="s">
        <v>84</v>
      </c>
      <c r="C766" s="295"/>
      <c r="D766" s="160">
        <v>1105</v>
      </c>
      <c r="E766" s="160" t="e">
        <f>D766*#REF!</f>
        <v>#REF!</v>
      </c>
      <c r="F766" s="160" t="e">
        <f>D766*#REF!</f>
        <v>#REF!</v>
      </c>
      <c r="G766" s="160" t="e">
        <f>(D766*#REF!)*#REF!</f>
        <v>#REF!</v>
      </c>
      <c r="H766" s="296">
        <f t="shared" si="186"/>
        <v>0</v>
      </c>
      <c r="I766" s="147" t="e">
        <f t="shared" si="187"/>
        <v>#REF!</v>
      </c>
      <c r="J766" s="97">
        <v>0</v>
      </c>
      <c r="K766" s="295"/>
      <c r="L766" s="20">
        <v>11244</v>
      </c>
      <c r="M766" s="20">
        <v>9050.2900000000009</v>
      </c>
      <c r="N766" s="20">
        <v>12000</v>
      </c>
      <c r="O766" s="20">
        <f>VLOOKUP(A766,TB!A:F,3)</f>
        <v>9329.19</v>
      </c>
      <c r="P766" s="163">
        <f>N766</f>
        <v>12000</v>
      </c>
      <c r="Q766" s="160">
        <v>13000</v>
      </c>
      <c r="R766" s="233">
        <f>VLOOKUP(A766,TB!A:F,6)</f>
        <v>13000</v>
      </c>
      <c r="S766" s="233">
        <f t="shared" si="189"/>
        <v>0</v>
      </c>
    </row>
    <row r="767" spans="1:19" ht="15.75" customHeight="1" x14ac:dyDescent="0.25">
      <c r="A767" s="66" t="s">
        <v>789</v>
      </c>
      <c r="B767" s="66" t="s">
        <v>210</v>
      </c>
      <c r="C767" s="295"/>
      <c r="D767" s="160">
        <v>9253</v>
      </c>
      <c r="E767" s="160" t="e">
        <f>D767*#REF!</f>
        <v>#REF!</v>
      </c>
      <c r="F767" s="160" t="e">
        <f>D767*#REF!</f>
        <v>#REF!</v>
      </c>
      <c r="G767" s="160" t="e">
        <f>(D767*#REF!)*#REF!</f>
        <v>#REF!</v>
      </c>
      <c r="H767" s="296">
        <f t="shared" si="186"/>
        <v>0</v>
      </c>
      <c r="I767" s="147" t="e">
        <f t="shared" si="187"/>
        <v>#REF!</v>
      </c>
      <c r="J767" s="97">
        <v>0</v>
      </c>
      <c r="K767" s="295"/>
      <c r="L767" s="20">
        <v>10417</v>
      </c>
      <c r="M767" s="20">
        <v>971.55</v>
      </c>
      <c r="N767" s="20">
        <v>0</v>
      </c>
      <c r="O767" s="20">
        <f>VLOOKUP(A767,TB!A:F,3)</f>
        <v>0</v>
      </c>
      <c r="P767" s="160">
        <f>O767/9*12</f>
        <v>0</v>
      </c>
      <c r="Q767" s="160">
        <v>0</v>
      </c>
      <c r="R767" s="233">
        <f>VLOOKUP(A767,TB!A:F,6)</f>
        <v>0</v>
      </c>
      <c r="S767" s="233">
        <f t="shared" si="189"/>
        <v>0</v>
      </c>
    </row>
    <row r="768" spans="1:19" ht="15.75" customHeight="1" x14ac:dyDescent="0.25">
      <c r="A768" s="66" t="s">
        <v>790</v>
      </c>
      <c r="B768" s="66" t="s">
        <v>88</v>
      </c>
      <c r="C768" s="295"/>
      <c r="D768" s="160">
        <v>0</v>
      </c>
      <c r="E768" s="160" t="e">
        <f>D768*#REF!</f>
        <v>#REF!</v>
      </c>
      <c r="F768" s="160" t="e">
        <f>D768*#REF!</f>
        <v>#REF!</v>
      </c>
      <c r="G768" s="160" t="e">
        <f>(D768*#REF!)*#REF!</f>
        <v>#REF!</v>
      </c>
      <c r="H768" s="296">
        <f t="shared" si="186"/>
        <v>0</v>
      </c>
      <c r="I768" s="147" t="e">
        <f t="shared" si="187"/>
        <v>#REF!</v>
      </c>
      <c r="J768" s="97">
        <v>0</v>
      </c>
      <c r="K768" s="295"/>
      <c r="L768" s="20">
        <v>0</v>
      </c>
      <c r="M768" s="20">
        <v>0</v>
      </c>
      <c r="N768" s="20">
        <v>1500</v>
      </c>
      <c r="O768" s="20">
        <f>VLOOKUP(A768,TB!A:F,3)</f>
        <v>0</v>
      </c>
      <c r="P768" s="163">
        <f>N768</f>
        <v>1500</v>
      </c>
      <c r="Q768" s="160">
        <v>2500</v>
      </c>
      <c r="R768" s="233">
        <f>VLOOKUP(A768,TB!A:F,6)</f>
        <v>2500</v>
      </c>
      <c r="S768" s="233">
        <f t="shared" si="189"/>
        <v>0</v>
      </c>
    </row>
    <row r="769" spans="1:19" ht="15.75" customHeight="1" x14ac:dyDescent="0.25">
      <c r="A769" s="66" t="s">
        <v>791</v>
      </c>
      <c r="B769" s="66" t="s">
        <v>90</v>
      </c>
      <c r="C769" s="295"/>
      <c r="D769" s="160">
        <v>1516</v>
      </c>
      <c r="E769" s="160" t="e">
        <f>D769*#REF!</f>
        <v>#REF!</v>
      </c>
      <c r="F769" s="160" t="e">
        <f>D769*#REF!</f>
        <v>#REF!</v>
      </c>
      <c r="G769" s="160" t="e">
        <f>(D769*#REF!)*#REF!</f>
        <v>#REF!</v>
      </c>
      <c r="H769" s="296">
        <f t="shared" si="186"/>
        <v>0</v>
      </c>
      <c r="I769" s="147" t="e">
        <f t="shared" si="187"/>
        <v>#REF!</v>
      </c>
      <c r="J769" s="97">
        <v>0</v>
      </c>
      <c r="K769" s="295"/>
      <c r="L769" s="20">
        <v>264</v>
      </c>
      <c r="M769" s="20">
        <v>1044.95</v>
      </c>
      <c r="N769" s="20">
        <v>2800</v>
      </c>
      <c r="O769" s="20">
        <f>VLOOKUP(A769,TB!A:F,3)</f>
        <v>3116.11</v>
      </c>
      <c r="P769" s="160">
        <f>O769/9*12</f>
        <v>4154.8133333333335</v>
      </c>
      <c r="Q769" s="160">
        <v>2800</v>
      </c>
      <c r="R769" s="233">
        <f>VLOOKUP(A769,TB!A:F,6)</f>
        <v>2800</v>
      </c>
      <c r="S769" s="233">
        <f t="shared" si="189"/>
        <v>0</v>
      </c>
    </row>
    <row r="770" spans="1:19" ht="15.75" customHeight="1" x14ac:dyDescent="0.25">
      <c r="A770" s="66" t="s">
        <v>792</v>
      </c>
      <c r="B770" s="66" t="s">
        <v>252</v>
      </c>
      <c r="C770" s="295"/>
      <c r="D770" s="160">
        <v>951</v>
      </c>
      <c r="E770" s="160" t="e">
        <f>D770*#REF!</f>
        <v>#REF!</v>
      </c>
      <c r="F770" s="160" t="e">
        <f>D770*#REF!</f>
        <v>#REF!</v>
      </c>
      <c r="G770" s="160" t="e">
        <f>(D770*#REF!)*#REF!</f>
        <v>#REF!</v>
      </c>
      <c r="H770" s="296">
        <f t="shared" si="186"/>
        <v>0</v>
      </c>
      <c r="I770" s="147" t="e">
        <f t="shared" si="187"/>
        <v>#REF!</v>
      </c>
      <c r="J770" s="97">
        <v>0</v>
      </c>
      <c r="K770" s="295"/>
      <c r="L770" s="20">
        <v>0</v>
      </c>
      <c r="M770" s="20">
        <v>945.56</v>
      </c>
      <c r="N770" s="20">
        <v>1000</v>
      </c>
      <c r="O770" s="20">
        <f>VLOOKUP(A770,TB!A:F,3)</f>
        <v>69</v>
      </c>
      <c r="P770" s="163">
        <f>N770</f>
        <v>1000</v>
      </c>
      <c r="Q770" s="160">
        <v>1000</v>
      </c>
      <c r="R770" s="233">
        <f>VLOOKUP(A770,TB!A:F,6)</f>
        <v>1000</v>
      </c>
      <c r="S770" s="233">
        <f t="shared" si="189"/>
        <v>0</v>
      </c>
    </row>
    <row r="771" spans="1:19" ht="15.75" customHeight="1" x14ac:dyDescent="0.25">
      <c r="A771" s="66" t="s">
        <v>793</v>
      </c>
      <c r="B771" s="66" t="s">
        <v>466</v>
      </c>
      <c r="C771" s="295"/>
      <c r="D771" s="160">
        <v>0</v>
      </c>
      <c r="E771" s="160" t="e">
        <f>D771*#REF!</f>
        <v>#REF!</v>
      </c>
      <c r="F771" s="160" t="e">
        <f>D771*#REF!</f>
        <v>#REF!</v>
      </c>
      <c r="G771" s="160" t="e">
        <f>(D771*#REF!)*#REF!</f>
        <v>#REF!</v>
      </c>
      <c r="H771" s="296">
        <f t="shared" si="186"/>
        <v>0</v>
      </c>
      <c r="I771" s="147" t="e">
        <f t="shared" si="187"/>
        <v>#REF!</v>
      </c>
      <c r="J771" s="97">
        <v>0</v>
      </c>
      <c r="K771" s="295"/>
      <c r="L771" s="20">
        <v>152800</v>
      </c>
      <c r="M771" s="20">
        <v>0</v>
      </c>
      <c r="N771" s="20">
        <v>0</v>
      </c>
      <c r="O771" s="20">
        <f>VLOOKUP(A771,TB!A:F,3)</f>
        <v>0</v>
      </c>
      <c r="P771" s="160">
        <f>O771/9*12</f>
        <v>0</v>
      </c>
      <c r="Q771" s="160">
        <v>0</v>
      </c>
      <c r="R771" s="233">
        <f>VLOOKUP(A771,TB!A:F,6)</f>
        <v>0</v>
      </c>
      <c r="S771" s="233">
        <f t="shared" si="189"/>
        <v>0</v>
      </c>
    </row>
    <row r="772" spans="1:19" ht="15.75" customHeight="1" x14ac:dyDescent="0.25">
      <c r="A772" s="66" t="s">
        <v>794</v>
      </c>
      <c r="B772" s="66" t="s">
        <v>502</v>
      </c>
      <c r="C772" s="295"/>
      <c r="D772" s="160">
        <v>0</v>
      </c>
      <c r="E772" s="160" t="e">
        <f>D772*#REF!</f>
        <v>#REF!</v>
      </c>
      <c r="F772" s="160" t="e">
        <f>D772*#REF!</f>
        <v>#REF!</v>
      </c>
      <c r="G772" s="160" t="e">
        <f>(D772*#REF!)*#REF!</f>
        <v>#REF!</v>
      </c>
      <c r="H772" s="296">
        <f t="shared" si="186"/>
        <v>0</v>
      </c>
      <c r="I772" s="147" t="e">
        <f t="shared" si="187"/>
        <v>#REF!</v>
      </c>
      <c r="J772" s="97">
        <v>0</v>
      </c>
      <c r="K772" s="295"/>
      <c r="L772" s="20">
        <v>694</v>
      </c>
      <c r="M772" s="20">
        <v>35.39</v>
      </c>
      <c r="N772" s="20">
        <v>1000</v>
      </c>
      <c r="O772" s="20">
        <f>VLOOKUP(A772,TB!A:F,3)</f>
        <v>232.96</v>
      </c>
      <c r="P772" s="163">
        <f t="shared" ref="P772:P774" si="192">N772</f>
        <v>1000</v>
      </c>
      <c r="Q772" s="160">
        <v>1000</v>
      </c>
      <c r="R772" s="233">
        <f>VLOOKUP(A772,TB!A:F,6)</f>
        <v>1000</v>
      </c>
      <c r="S772" s="233">
        <f t="shared" si="189"/>
        <v>0</v>
      </c>
    </row>
    <row r="773" spans="1:19" ht="15.75" customHeight="1" x14ac:dyDescent="0.25">
      <c r="A773" s="66" t="s">
        <v>795</v>
      </c>
      <c r="B773" s="66" t="s">
        <v>92</v>
      </c>
      <c r="C773" s="295"/>
      <c r="D773" s="160">
        <v>0</v>
      </c>
      <c r="E773" s="160" t="e">
        <f>D773*#REF!</f>
        <v>#REF!</v>
      </c>
      <c r="F773" s="160" t="e">
        <f>D773*#REF!</f>
        <v>#REF!</v>
      </c>
      <c r="G773" s="160" t="e">
        <f>(D773*#REF!)*#REF!</f>
        <v>#REF!</v>
      </c>
      <c r="H773" s="296">
        <f t="shared" si="186"/>
        <v>0</v>
      </c>
      <c r="I773" s="147" t="e">
        <f t="shared" si="187"/>
        <v>#REF!</v>
      </c>
      <c r="J773" s="97">
        <v>0</v>
      </c>
      <c r="K773" s="295"/>
      <c r="L773" s="20">
        <v>682</v>
      </c>
      <c r="M773" s="20">
        <v>0</v>
      </c>
      <c r="N773" s="20">
        <v>700</v>
      </c>
      <c r="O773" s="20">
        <f>VLOOKUP(A773,TB!A:F,3)</f>
        <v>0</v>
      </c>
      <c r="P773" s="163">
        <f t="shared" si="192"/>
        <v>700</v>
      </c>
      <c r="Q773" s="160">
        <v>1000</v>
      </c>
      <c r="R773" s="233">
        <f>VLOOKUP(A773,TB!A:F,6)</f>
        <v>1000</v>
      </c>
      <c r="S773" s="233">
        <f t="shared" si="189"/>
        <v>0</v>
      </c>
    </row>
    <row r="774" spans="1:19" ht="15.75" customHeight="1" x14ac:dyDescent="0.25">
      <c r="A774" s="66" t="s">
        <v>796</v>
      </c>
      <c r="B774" s="66" t="s">
        <v>797</v>
      </c>
      <c r="C774" s="295"/>
      <c r="D774" s="160">
        <v>4998</v>
      </c>
      <c r="E774" s="160" t="e">
        <f>D774*#REF!</f>
        <v>#REF!</v>
      </c>
      <c r="F774" s="160" t="e">
        <f>D774*#REF!</f>
        <v>#REF!</v>
      </c>
      <c r="G774" s="160" t="e">
        <f>(D774*#REF!)*#REF!</f>
        <v>#REF!</v>
      </c>
      <c r="H774" s="296">
        <f t="shared" si="186"/>
        <v>0</v>
      </c>
      <c r="I774" s="147" t="e">
        <f t="shared" si="187"/>
        <v>#REF!</v>
      </c>
      <c r="J774" s="97">
        <v>0</v>
      </c>
      <c r="K774" s="295"/>
      <c r="L774" s="20">
        <v>3448</v>
      </c>
      <c r="M774" s="20">
        <v>4249.41</v>
      </c>
      <c r="N774" s="20">
        <v>8000</v>
      </c>
      <c r="O774" s="20">
        <f>VLOOKUP(A774,TB!A:F,3)</f>
        <v>4490.03</v>
      </c>
      <c r="P774" s="163">
        <f t="shared" si="192"/>
        <v>8000</v>
      </c>
      <c r="Q774" s="160">
        <v>8000</v>
      </c>
      <c r="R774" s="233">
        <f>VLOOKUP(A774,TB!A:F,6)</f>
        <v>8000</v>
      </c>
      <c r="S774" s="233">
        <f t="shared" si="189"/>
        <v>0</v>
      </c>
    </row>
    <row r="775" spans="1:19" ht="15.75" customHeight="1" x14ac:dyDescent="0.25">
      <c r="A775" s="74" t="s">
        <v>798</v>
      </c>
      <c r="B775" s="75"/>
      <c r="C775" s="299"/>
      <c r="D775" s="189">
        <f t="shared" ref="D775:G775" si="193">SUM(D756:D774)</f>
        <v>121866</v>
      </c>
      <c r="E775" s="189" t="e">
        <f t="shared" si="193"/>
        <v>#REF!</v>
      </c>
      <c r="F775" s="189" t="e">
        <f t="shared" si="193"/>
        <v>#REF!</v>
      </c>
      <c r="G775" s="189" t="e">
        <f t="shared" si="193"/>
        <v>#REF!</v>
      </c>
      <c r="H775" s="300">
        <f t="shared" si="186"/>
        <v>0</v>
      </c>
      <c r="I775" s="189" t="e">
        <f t="shared" si="187"/>
        <v>#REF!</v>
      </c>
      <c r="J775" s="301">
        <f>SUM(J756:J774)</f>
        <v>0</v>
      </c>
      <c r="K775" s="299"/>
      <c r="L775" s="77">
        <f t="shared" ref="L775:S775" si="194">SUM(L756:L774)</f>
        <v>301998</v>
      </c>
      <c r="M775" s="77">
        <f t="shared" si="194"/>
        <v>160527.69000000003</v>
      </c>
      <c r="N775" s="77">
        <f t="shared" si="194"/>
        <v>228494</v>
      </c>
      <c r="O775" s="77">
        <f t="shared" si="194"/>
        <v>118060.76000000001</v>
      </c>
      <c r="P775" s="189">
        <f t="shared" si="194"/>
        <v>193224.28399999999</v>
      </c>
      <c r="Q775" s="189">
        <f t="shared" si="194"/>
        <v>233300</v>
      </c>
      <c r="R775" s="77">
        <f t="shared" si="194"/>
        <v>233300</v>
      </c>
      <c r="S775" s="77">
        <f t="shared" si="194"/>
        <v>0</v>
      </c>
    </row>
    <row r="776" spans="1:19" ht="15.75" customHeight="1" x14ac:dyDescent="0.2">
      <c r="C776" s="287"/>
      <c r="K776" s="287"/>
      <c r="L776" s="54"/>
      <c r="M776" s="54"/>
      <c r="N776" s="54"/>
      <c r="O776" s="54"/>
      <c r="P776" s="54"/>
      <c r="Q776" s="54"/>
      <c r="R776" s="83"/>
      <c r="S776" s="83"/>
    </row>
    <row r="777" spans="1:19" ht="15.75" customHeight="1" x14ac:dyDescent="0.2">
      <c r="A777" s="69" t="s">
        <v>184</v>
      </c>
      <c r="C777" s="287"/>
      <c r="K777" s="287"/>
      <c r="L777" s="54"/>
      <c r="M777" s="54"/>
      <c r="N777" s="54"/>
      <c r="O777" s="54"/>
      <c r="P777" s="54"/>
      <c r="Q777" s="54"/>
      <c r="R777" s="83"/>
      <c r="S777" s="83"/>
    </row>
    <row r="778" spans="1:19" ht="15.75" customHeight="1" x14ac:dyDescent="0.25">
      <c r="A778" s="51" t="s">
        <v>799</v>
      </c>
      <c r="B778" s="51" t="s">
        <v>800</v>
      </c>
      <c r="C778" s="307"/>
      <c r="D778" s="147">
        <v>-23243</v>
      </c>
      <c r="E778" s="160" t="e">
        <f>D778*#REF!</f>
        <v>#REF!</v>
      </c>
      <c r="F778" s="160" t="e">
        <f>D778*#REF!</f>
        <v>#REF!</v>
      </c>
      <c r="G778" s="160" t="e">
        <f>(D778*#REF!)*#REF!</f>
        <v>#REF!</v>
      </c>
      <c r="H778" s="296">
        <f t="shared" ref="H778:H779" si="195">IFERROR(((Q778-G778)/G778),0)</f>
        <v>0</v>
      </c>
      <c r="I778" s="147" t="e">
        <f t="shared" ref="I778:I779" si="196">Q778-G778</f>
        <v>#REF!</v>
      </c>
      <c r="J778" s="97">
        <v>0</v>
      </c>
      <c r="K778" s="307"/>
      <c r="L778" s="54">
        <v>0</v>
      </c>
      <c r="M778" s="54">
        <v>0</v>
      </c>
      <c r="N778" s="54">
        <v>0</v>
      </c>
      <c r="O778" s="20">
        <v>0</v>
      </c>
      <c r="P778" s="54"/>
      <c r="Q778" s="54">
        <v>0</v>
      </c>
      <c r="R778" s="81">
        <v>0</v>
      </c>
      <c r="S778" s="233">
        <f>Q778-R778</f>
        <v>0</v>
      </c>
    </row>
    <row r="779" spans="1:19" ht="15.75" customHeight="1" x14ac:dyDescent="0.2">
      <c r="A779" s="239" t="s">
        <v>189</v>
      </c>
      <c r="B779" s="75"/>
      <c r="C779" s="299"/>
      <c r="D779" s="189">
        <f t="shared" ref="D779:G779" si="197">SUM(D778)</f>
        <v>-23243</v>
      </c>
      <c r="E779" s="189" t="e">
        <f t="shared" si="197"/>
        <v>#REF!</v>
      </c>
      <c r="F779" s="189" t="e">
        <f t="shared" si="197"/>
        <v>#REF!</v>
      </c>
      <c r="G779" s="189" t="e">
        <f t="shared" si="197"/>
        <v>#REF!</v>
      </c>
      <c r="H779" s="300">
        <f t="shared" si="195"/>
        <v>0</v>
      </c>
      <c r="I779" s="189" t="e">
        <f t="shared" si="196"/>
        <v>#REF!</v>
      </c>
      <c r="J779" s="189">
        <f>SUM(J778)</f>
        <v>0</v>
      </c>
      <c r="K779" s="299"/>
      <c r="L779" s="77">
        <f t="shared" ref="L779:S779" si="198">SUM(L778)</f>
        <v>0</v>
      </c>
      <c r="M779" s="77">
        <f t="shared" si="198"/>
        <v>0</v>
      </c>
      <c r="N779" s="77">
        <f t="shared" si="198"/>
        <v>0</v>
      </c>
      <c r="O779" s="77">
        <f t="shared" si="198"/>
        <v>0</v>
      </c>
      <c r="P779" s="189">
        <f t="shared" si="198"/>
        <v>0</v>
      </c>
      <c r="Q779" s="189">
        <f t="shared" si="198"/>
        <v>0</v>
      </c>
      <c r="R779" s="77">
        <f t="shared" si="198"/>
        <v>0</v>
      </c>
      <c r="S779" s="77">
        <f t="shared" si="198"/>
        <v>0</v>
      </c>
    </row>
    <row r="780" spans="1:19" ht="15.75" customHeight="1" x14ac:dyDescent="0.2">
      <c r="C780" s="287"/>
      <c r="K780" s="287"/>
      <c r="L780" s="54"/>
      <c r="M780" s="54"/>
      <c r="N780" s="54"/>
      <c r="O780" s="54"/>
      <c r="P780" s="54"/>
      <c r="Q780" s="54"/>
      <c r="R780" s="83"/>
      <c r="S780" s="83"/>
    </row>
    <row r="781" spans="1:19" ht="15.75" customHeight="1" x14ac:dyDescent="0.2">
      <c r="A781" s="69" t="s">
        <v>190</v>
      </c>
      <c r="B781" s="51"/>
      <c r="C781" s="309"/>
      <c r="D781" s="193">
        <f t="shared" ref="D781:G781" si="199">D775+D779</f>
        <v>98623</v>
      </c>
      <c r="E781" s="193" t="e">
        <f t="shared" si="199"/>
        <v>#REF!</v>
      </c>
      <c r="F781" s="193" t="e">
        <f t="shared" si="199"/>
        <v>#REF!</v>
      </c>
      <c r="G781" s="193" t="e">
        <f t="shared" si="199"/>
        <v>#REF!</v>
      </c>
      <c r="H781" s="310">
        <f>IFERROR(((Q781-G781)/G781),0)</f>
        <v>0</v>
      </c>
      <c r="I781" s="193" t="e">
        <f>Q781-G781</f>
        <v>#REF!</v>
      </c>
      <c r="J781" s="193">
        <f>J779+J775+J772</f>
        <v>0</v>
      </c>
      <c r="K781" s="309"/>
      <c r="L781" s="245">
        <f t="shared" ref="L781:S781" si="200">L775+L779</f>
        <v>301998</v>
      </c>
      <c r="M781" s="245">
        <f t="shared" si="200"/>
        <v>160527.69000000003</v>
      </c>
      <c r="N781" s="245">
        <f t="shared" si="200"/>
        <v>228494</v>
      </c>
      <c r="O781" s="245">
        <f t="shared" si="200"/>
        <v>118060.76000000001</v>
      </c>
      <c r="P781" s="193">
        <f t="shared" si="200"/>
        <v>193224.28399999999</v>
      </c>
      <c r="Q781" s="193">
        <f t="shared" si="200"/>
        <v>233300</v>
      </c>
      <c r="R781" s="245">
        <f t="shared" si="200"/>
        <v>233300</v>
      </c>
      <c r="S781" s="245">
        <f t="shared" si="200"/>
        <v>0</v>
      </c>
    </row>
    <row r="782" spans="1:19" ht="15.75" customHeight="1" x14ac:dyDescent="0.2">
      <c r="C782" s="287"/>
      <c r="K782" s="287"/>
      <c r="L782" s="62"/>
      <c r="M782" s="62"/>
      <c r="N782" s="62"/>
      <c r="O782" s="62"/>
      <c r="P782" s="62"/>
      <c r="Q782" s="62"/>
      <c r="R782" s="62"/>
    </row>
    <row r="783" spans="1:19" ht="15.75" customHeight="1" x14ac:dyDescent="0.2">
      <c r="C783" s="288"/>
      <c r="K783" s="288"/>
      <c r="L783" s="199" t="e">
        <f t="shared" ref="L783:R783" si="201">#REF!</f>
        <v>#REF!</v>
      </c>
      <c r="M783" s="199" t="e">
        <f t="shared" si="201"/>
        <v>#REF!</v>
      </c>
      <c r="N783" s="199" t="e">
        <f t="shared" si="201"/>
        <v>#REF!</v>
      </c>
      <c r="O783" s="199" t="e">
        <f t="shared" si="201"/>
        <v>#REF!</v>
      </c>
      <c r="P783" s="199" t="e">
        <f t="shared" si="201"/>
        <v>#REF!</v>
      </c>
      <c r="Q783" s="199" t="e">
        <f t="shared" si="201"/>
        <v>#REF!</v>
      </c>
      <c r="R783" s="173" t="e">
        <f t="shared" si="201"/>
        <v>#REF!</v>
      </c>
    </row>
    <row r="784" spans="1:19" ht="15.75" customHeight="1" x14ac:dyDescent="0.2">
      <c r="C784" s="289"/>
      <c r="K784" s="289"/>
      <c r="L784" s="290">
        <f t="shared" ref="L784:R784" si="202">L781</f>
        <v>301998</v>
      </c>
      <c r="M784" s="290">
        <f t="shared" si="202"/>
        <v>160527.69000000003</v>
      </c>
      <c r="N784" s="290">
        <f t="shared" si="202"/>
        <v>228494</v>
      </c>
      <c r="O784" s="290">
        <f t="shared" si="202"/>
        <v>118060.76000000001</v>
      </c>
      <c r="P784" s="290">
        <f t="shared" si="202"/>
        <v>193224.28399999999</v>
      </c>
      <c r="Q784" s="290">
        <f t="shared" si="202"/>
        <v>233300</v>
      </c>
      <c r="R784" s="291">
        <f t="shared" si="202"/>
        <v>233300</v>
      </c>
    </row>
    <row r="785" spans="3:11" ht="15.75" customHeight="1" x14ac:dyDescent="0.2">
      <c r="C785" s="287"/>
      <c r="K785" s="287"/>
    </row>
    <row r="786" spans="3:11" ht="15.75" customHeight="1" x14ac:dyDescent="0.2">
      <c r="C786" s="287"/>
      <c r="K786" s="287"/>
    </row>
    <row r="787" spans="3:11" ht="15.75" customHeight="1" x14ac:dyDescent="0.2">
      <c r="C787" s="287"/>
      <c r="K787" s="287"/>
    </row>
    <row r="788" spans="3:11" ht="15.75" customHeight="1" x14ac:dyDescent="0.2">
      <c r="C788" s="287"/>
      <c r="K788" s="287"/>
    </row>
    <row r="789" spans="3:11" ht="15.75" customHeight="1" x14ac:dyDescent="0.2">
      <c r="C789" s="287"/>
      <c r="K789" s="287"/>
    </row>
    <row r="790" spans="3:11" ht="15.75" customHeight="1" x14ac:dyDescent="0.2">
      <c r="C790" s="287"/>
      <c r="K790" s="287"/>
    </row>
    <row r="791" spans="3:11" ht="15.75" customHeight="1" x14ac:dyDescent="0.2">
      <c r="C791" s="287"/>
      <c r="K791" s="287"/>
    </row>
    <row r="792" spans="3:11" ht="15.75" customHeight="1" x14ac:dyDescent="0.2">
      <c r="C792" s="287"/>
      <c r="K792" s="287"/>
    </row>
    <row r="793" spans="3:11" ht="15.75" customHeight="1" x14ac:dyDescent="0.2">
      <c r="C793" s="287"/>
      <c r="K793" s="287"/>
    </row>
    <row r="794" spans="3:11" ht="15.75" customHeight="1" x14ac:dyDescent="0.2">
      <c r="C794" s="287"/>
      <c r="K794" s="287"/>
    </row>
    <row r="795" spans="3:11" ht="15.75" customHeight="1" x14ac:dyDescent="0.2">
      <c r="C795" s="287"/>
      <c r="K795" s="287"/>
    </row>
    <row r="796" spans="3:11" ht="15.75" customHeight="1" x14ac:dyDescent="0.2">
      <c r="C796" s="287"/>
      <c r="K796" s="287"/>
    </row>
    <row r="797" spans="3:11" ht="15.75" customHeight="1" x14ac:dyDescent="0.2">
      <c r="C797" s="287"/>
      <c r="K797" s="287"/>
    </row>
    <row r="798" spans="3:11" ht="15.75" customHeight="1" x14ac:dyDescent="0.2">
      <c r="C798" s="287"/>
      <c r="K798" s="287"/>
    </row>
    <row r="799" spans="3:11" ht="15.75" customHeight="1" x14ac:dyDescent="0.2">
      <c r="C799" s="287"/>
      <c r="K799" s="287"/>
    </row>
    <row r="800" spans="3:11" ht="15.75" customHeight="1" x14ac:dyDescent="0.2">
      <c r="C800" s="287"/>
      <c r="K800" s="287"/>
    </row>
    <row r="801" spans="3:11" ht="15.75" customHeight="1" x14ac:dyDescent="0.2">
      <c r="C801" s="287"/>
      <c r="K801" s="287"/>
    </row>
    <row r="802" spans="3:11" ht="15.75" customHeight="1" x14ac:dyDescent="0.2">
      <c r="C802" s="287"/>
      <c r="K802" s="287"/>
    </row>
    <row r="803" spans="3:11" ht="15.75" customHeight="1" x14ac:dyDescent="0.2">
      <c r="C803" s="287"/>
      <c r="K803" s="287"/>
    </row>
    <row r="804" spans="3:11" ht="15.75" customHeight="1" x14ac:dyDescent="0.2">
      <c r="C804" s="287"/>
      <c r="K804" s="287"/>
    </row>
    <row r="805" spans="3:11" ht="15.75" customHeight="1" x14ac:dyDescent="0.2">
      <c r="C805" s="287"/>
      <c r="K805" s="287"/>
    </row>
    <row r="806" spans="3:11" ht="15.75" customHeight="1" x14ac:dyDescent="0.2">
      <c r="C806" s="287"/>
      <c r="K806" s="287"/>
    </row>
    <row r="807" spans="3:11" ht="15.75" customHeight="1" x14ac:dyDescent="0.2">
      <c r="C807" s="287"/>
      <c r="K807" s="287"/>
    </row>
    <row r="808" spans="3:11" ht="15.75" customHeight="1" x14ac:dyDescent="0.2">
      <c r="C808" s="287"/>
      <c r="K808" s="287"/>
    </row>
    <row r="809" spans="3:11" ht="15.75" customHeight="1" x14ac:dyDescent="0.2">
      <c r="C809" s="287"/>
      <c r="K809" s="287"/>
    </row>
    <row r="810" spans="3:11" ht="15.75" customHeight="1" x14ac:dyDescent="0.2">
      <c r="C810" s="287"/>
      <c r="K810" s="287"/>
    </row>
    <row r="811" spans="3:11" ht="15.75" customHeight="1" x14ac:dyDescent="0.2">
      <c r="C811" s="287"/>
      <c r="K811" s="287"/>
    </row>
    <row r="812" spans="3:11" ht="15.75" customHeight="1" x14ac:dyDescent="0.2">
      <c r="C812" s="287"/>
      <c r="K812" s="287"/>
    </row>
    <row r="813" spans="3:11" ht="15.75" customHeight="1" x14ac:dyDescent="0.2">
      <c r="C813" s="287"/>
      <c r="K813" s="287"/>
    </row>
    <row r="814" spans="3:11" ht="15.75" customHeight="1" x14ac:dyDescent="0.2">
      <c r="C814" s="287"/>
      <c r="K814" s="287"/>
    </row>
    <row r="815" spans="3:11" ht="15.75" customHeight="1" x14ac:dyDescent="0.2">
      <c r="C815" s="287"/>
      <c r="K815" s="287"/>
    </row>
    <row r="816" spans="3:11" ht="15.75" customHeight="1" x14ac:dyDescent="0.2">
      <c r="C816" s="287"/>
      <c r="K816" s="287"/>
    </row>
    <row r="817" spans="3:11" ht="15.75" customHeight="1" x14ac:dyDescent="0.2">
      <c r="C817" s="287"/>
      <c r="K817" s="287"/>
    </row>
    <row r="818" spans="3:11" ht="15.75" customHeight="1" x14ac:dyDescent="0.2">
      <c r="C818" s="287"/>
      <c r="K818" s="287"/>
    </row>
    <row r="819" spans="3:11" ht="15.75" customHeight="1" x14ac:dyDescent="0.2">
      <c r="C819" s="287"/>
      <c r="K819" s="287"/>
    </row>
    <row r="820" spans="3:11" ht="15.75" customHeight="1" x14ac:dyDescent="0.2">
      <c r="C820" s="287"/>
      <c r="K820" s="287"/>
    </row>
    <row r="821" spans="3:11" ht="15.75" customHeight="1" x14ac:dyDescent="0.2">
      <c r="C821" s="287"/>
      <c r="K821" s="287"/>
    </row>
    <row r="822" spans="3:11" ht="15.75" customHeight="1" x14ac:dyDescent="0.2">
      <c r="C822" s="287"/>
      <c r="K822" s="287"/>
    </row>
    <row r="823" spans="3:11" ht="15.75" customHeight="1" x14ac:dyDescent="0.2">
      <c r="C823" s="287"/>
      <c r="K823" s="287"/>
    </row>
    <row r="824" spans="3:11" ht="15.75" customHeight="1" x14ac:dyDescent="0.2">
      <c r="C824" s="287"/>
      <c r="K824" s="287"/>
    </row>
    <row r="825" spans="3:11" ht="15.75" customHeight="1" x14ac:dyDescent="0.2">
      <c r="C825" s="287"/>
      <c r="K825" s="287"/>
    </row>
    <row r="826" spans="3:11" ht="15.75" customHeight="1" x14ac:dyDescent="0.2">
      <c r="C826" s="287"/>
      <c r="K826" s="287"/>
    </row>
    <row r="827" spans="3:11" ht="15.75" customHeight="1" x14ac:dyDescent="0.2">
      <c r="C827" s="287"/>
      <c r="K827" s="287"/>
    </row>
    <row r="828" spans="3:11" ht="15.75" customHeight="1" x14ac:dyDescent="0.2">
      <c r="C828" s="287"/>
      <c r="K828" s="287"/>
    </row>
    <row r="829" spans="3:11" ht="15.75" customHeight="1" x14ac:dyDescent="0.2">
      <c r="C829" s="287"/>
      <c r="K829" s="287"/>
    </row>
    <row r="830" spans="3:11" ht="15.75" customHeight="1" x14ac:dyDescent="0.2">
      <c r="C830" s="287"/>
      <c r="K830" s="287"/>
    </row>
    <row r="831" spans="3:11" ht="15.75" customHeight="1" x14ac:dyDescent="0.2">
      <c r="C831" s="287"/>
      <c r="K831" s="287"/>
    </row>
    <row r="832" spans="3:11" ht="15.75" customHeight="1" x14ac:dyDescent="0.2">
      <c r="C832" s="287"/>
      <c r="K832" s="287"/>
    </row>
    <row r="833" spans="3:11" ht="15.75" customHeight="1" x14ac:dyDescent="0.2">
      <c r="C833" s="287"/>
      <c r="K833" s="287"/>
    </row>
    <row r="834" spans="3:11" ht="15.75" customHeight="1" x14ac:dyDescent="0.2">
      <c r="C834" s="287"/>
      <c r="K834" s="287"/>
    </row>
    <row r="835" spans="3:11" ht="15.75" customHeight="1" x14ac:dyDescent="0.2">
      <c r="C835" s="287"/>
      <c r="K835" s="287"/>
    </row>
    <row r="836" spans="3:11" ht="15.75" customHeight="1" x14ac:dyDescent="0.2">
      <c r="C836" s="287"/>
      <c r="K836" s="287"/>
    </row>
    <row r="837" spans="3:11" ht="15.75" customHeight="1" x14ac:dyDescent="0.2">
      <c r="C837" s="287"/>
      <c r="K837" s="287"/>
    </row>
    <row r="838" spans="3:11" ht="15.75" customHeight="1" x14ac:dyDescent="0.2">
      <c r="C838" s="287"/>
      <c r="K838" s="287"/>
    </row>
    <row r="839" spans="3:11" ht="15.75" customHeight="1" x14ac:dyDescent="0.2">
      <c r="C839" s="287"/>
      <c r="K839" s="287"/>
    </row>
    <row r="840" spans="3:11" ht="15.75" customHeight="1" x14ac:dyDescent="0.2">
      <c r="C840" s="287"/>
      <c r="K840" s="287"/>
    </row>
    <row r="841" spans="3:11" ht="15.75" customHeight="1" x14ac:dyDescent="0.2">
      <c r="C841" s="287"/>
      <c r="K841" s="287"/>
    </row>
    <row r="842" spans="3:11" ht="15.75" customHeight="1" x14ac:dyDescent="0.2">
      <c r="C842" s="287"/>
      <c r="K842" s="287"/>
    </row>
    <row r="843" spans="3:11" ht="15.75" customHeight="1" x14ac:dyDescent="0.2">
      <c r="C843" s="287"/>
      <c r="K843" s="287"/>
    </row>
    <row r="844" spans="3:11" ht="15.75" customHeight="1" x14ac:dyDescent="0.2">
      <c r="C844" s="287"/>
      <c r="K844" s="287"/>
    </row>
    <row r="845" spans="3:11" ht="15.75" customHeight="1" x14ac:dyDescent="0.2">
      <c r="C845" s="287"/>
      <c r="K845" s="287"/>
    </row>
    <row r="846" spans="3:11" ht="15.75" customHeight="1" x14ac:dyDescent="0.2">
      <c r="C846" s="287"/>
      <c r="K846" s="287"/>
    </row>
    <row r="847" spans="3:11" ht="15.75" customHeight="1" x14ac:dyDescent="0.2">
      <c r="C847" s="287"/>
      <c r="K847" s="287"/>
    </row>
    <row r="848" spans="3:11" ht="15.75" customHeight="1" x14ac:dyDescent="0.2">
      <c r="C848" s="287"/>
      <c r="K848" s="287"/>
    </row>
    <row r="849" spans="3:11" ht="15.75" customHeight="1" x14ac:dyDescent="0.2">
      <c r="C849" s="287"/>
      <c r="K849" s="287"/>
    </row>
    <row r="850" spans="3:11" ht="15.75" customHeight="1" x14ac:dyDescent="0.2">
      <c r="C850" s="287"/>
      <c r="K850" s="287"/>
    </row>
    <row r="851" spans="3:11" ht="15.75" customHeight="1" x14ac:dyDescent="0.2">
      <c r="C851" s="287"/>
      <c r="K851" s="287"/>
    </row>
    <row r="852" spans="3:11" ht="15.75" customHeight="1" x14ac:dyDescent="0.2">
      <c r="C852" s="287"/>
      <c r="K852" s="287"/>
    </row>
    <row r="853" spans="3:11" ht="15.75" customHeight="1" x14ac:dyDescent="0.2">
      <c r="C853" s="287"/>
      <c r="K853" s="287"/>
    </row>
    <row r="854" spans="3:11" ht="15.75" customHeight="1" x14ac:dyDescent="0.2">
      <c r="C854" s="287"/>
      <c r="K854" s="287"/>
    </row>
    <row r="855" spans="3:11" ht="15.75" customHeight="1" x14ac:dyDescent="0.2">
      <c r="C855" s="287"/>
      <c r="K855" s="287"/>
    </row>
    <row r="856" spans="3:11" ht="15.75" customHeight="1" x14ac:dyDescent="0.2">
      <c r="C856" s="287"/>
      <c r="K856" s="287"/>
    </row>
    <row r="857" spans="3:11" ht="15.75" customHeight="1" x14ac:dyDescent="0.2">
      <c r="C857" s="287"/>
      <c r="K857" s="287"/>
    </row>
    <row r="858" spans="3:11" ht="15.75" customHeight="1" x14ac:dyDescent="0.2">
      <c r="C858" s="287"/>
      <c r="K858" s="287"/>
    </row>
    <row r="859" spans="3:11" ht="15.75" customHeight="1" x14ac:dyDescent="0.2">
      <c r="C859" s="287"/>
      <c r="K859" s="287"/>
    </row>
    <row r="860" spans="3:11" ht="15.75" customHeight="1" x14ac:dyDescent="0.2">
      <c r="C860" s="287"/>
      <c r="K860" s="287"/>
    </row>
    <row r="861" spans="3:11" ht="15.75" customHeight="1" x14ac:dyDescent="0.2">
      <c r="C861" s="287"/>
      <c r="K861" s="287"/>
    </row>
    <row r="862" spans="3:11" ht="15.75" customHeight="1" x14ac:dyDescent="0.2">
      <c r="C862" s="287"/>
      <c r="K862" s="287"/>
    </row>
    <row r="863" spans="3:11" ht="15.75" customHeight="1" x14ac:dyDescent="0.2">
      <c r="C863" s="287"/>
      <c r="K863" s="287"/>
    </row>
    <row r="864" spans="3:11" ht="15.75" customHeight="1" x14ac:dyDescent="0.2">
      <c r="C864" s="287"/>
      <c r="K864" s="287"/>
    </row>
    <row r="865" spans="3:11" ht="15.75" customHeight="1" x14ac:dyDescent="0.2">
      <c r="C865" s="287"/>
      <c r="K865" s="287"/>
    </row>
    <row r="866" spans="3:11" ht="15.75" customHeight="1" x14ac:dyDescent="0.2">
      <c r="C866" s="287"/>
      <c r="K866" s="287"/>
    </row>
    <row r="867" spans="3:11" ht="15.75" customHeight="1" x14ac:dyDescent="0.2">
      <c r="C867" s="287"/>
      <c r="K867" s="287"/>
    </row>
    <row r="868" spans="3:11" ht="15.75" customHeight="1" x14ac:dyDescent="0.2">
      <c r="C868" s="287"/>
      <c r="K868" s="287"/>
    </row>
    <row r="869" spans="3:11" ht="15.75" customHeight="1" x14ac:dyDescent="0.2">
      <c r="C869" s="287"/>
      <c r="K869" s="287"/>
    </row>
    <row r="870" spans="3:11" ht="15.75" customHeight="1" x14ac:dyDescent="0.2">
      <c r="C870" s="287"/>
      <c r="K870" s="287"/>
    </row>
    <row r="871" spans="3:11" ht="15.75" customHeight="1" x14ac:dyDescent="0.2">
      <c r="C871" s="287"/>
      <c r="K871" s="287"/>
    </row>
    <row r="872" spans="3:11" ht="15.75" customHeight="1" x14ac:dyDescent="0.2">
      <c r="C872" s="287"/>
      <c r="K872" s="287"/>
    </row>
    <row r="873" spans="3:11" ht="15.75" customHeight="1" x14ac:dyDescent="0.2">
      <c r="C873" s="287"/>
      <c r="K873" s="287"/>
    </row>
    <row r="874" spans="3:11" ht="15.75" customHeight="1" x14ac:dyDescent="0.2">
      <c r="C874" s="287"/>
      <c r="K874" s="287"/>
    </row>
    <row r="875" spans="3:11" ht="15.75" customHeight="1" x14ac:dyDescent="0.2">
      <c r="C875" s="287"/>
      <c r="K875" s="287"/>
    </row>
    <row r="876" spans="3:11" ht="15.75" customHeight="1" x14ac:dyDescent="0.2">
      <c r="C876" s="287"/>
      <c r="K876" s="287"/>
    </row>
    <row r="877" spans="3:11" ht="15.75" customHeight="1" x14ac:dyDescent="0.2">
      <c r="C877" s="287"/>
      <c r="K877" s="287"/>
    </row>
    <row r="878" spans="3:11" ht="15.75" customHeight="1" x14ac:dyDescent="0.2">
      <c r="C878" s="287"/>
      <c r="K878" s="287"/>
    </row>
    <row r="879" spans="3:11" ht="15.75" customHeight="1" x14ac:dyDescent="0.2">
      <c r="C879" s="287"/>
      <c r="K879" s="287"/>
    </row>
    <row r="880" spans="3:11" ht="15.75" customHeight="1" x14ac:dyDescent="0.2">
      <c r="C880" s="287"/>
      <c r="K880" s="287"/>
    </row>
    <row r="881" spans="3:11" ht="15.75" customHeight="1" x14ac:dyDescent="0.2">
      <c r="C881" s="287"/>
      <c r="K881" s="287"/>
    </row>
    <row r="882" spans="3:11" ht="15.75" customHeight="1" x14ac:dyDescent="0.2">
      <c r="C882" s="287"/>
      <c r="K882" s="287"/>
    </row>
    <row r="883" spans="3:11" ht="15.75" customHeight="1" x14ac:dyDescent="0.2">
      <c r="C883" s="287"/>
      <c r="K883" s="287"/>
    </row>
    <row r="884" spans="3:11" ht="15.75" customHeight="1" x14ac:dyDescent="0.2">
      <c r="C884" s="287"/>
      <c r="K884" s="287"/>
    </row>
    <row r="885" spans="3:11" ht="15.75" customHeight="1" x14ac:dyDescent="0.2">
      <c r="C885" s="287"/>
      <c r="K885" s="287"/>
    </row>
    <row r="886" spans="3:11" ht="15.75" customHeight="1" x14ac:dyDescent="0.2">
      <c r="C886" s="287"/>
      <c r="K886" s="287"/>
    </row>
    <row r="887" spans="3:11" ht="15.75" customHeight="1" x14ac:dyDescent="0.2">
      <c r="C887" s="287"/>
      <c r="K887" s="287"/>
    </row>
    <row r="888" spans="3:11" ht="15.75" customHeight="1" x14ac:dyDescent="0.2">
      <c r="C888" s="287"/>
      <c r="K888" s="287"/>
    </row>
    <row r="889" spans="3:11" ht="15.75" customHeight="1" x14ac:dyDescent="0.2">
      <c r="C889" s="287"/>
      <c r="K889" s="287"/>
    </row>
    <row r="890" spans="3:11" ht="15.75" customHeight="1" x14ac:dyDescent="0.2">
      <c r="C890" s="287"/>
      <c r="K890" s="287"/>
    </row>
    <row r="891" spans="3:11" ht="15.75" customHeight="1" x14ac:dyDescent="0.2">
      <c r="C891" s="287"/>
      <c r="K891" s="287"/>
    </row>
    <row r="892" spans="3:11" ht="15.75" customHeight="1" x14ac:dyDescent="0.2">
      <c r="C892" s="287"/>
      <c r="K892" s="287"/>
    </row>
    <row r="893" spans="3:11" ht="15.75" customHeight="1" x14ac:dyDescent="0.2">
      <c r="C893" s="287"/>
      <c r="K893" s="287"/>
    </row>
    <row r="894" spans="3:11" ht="15.75" customHeight="1" x14ac:dyDescent="0.2">
      <c r="C894" s="287"/>
      <c r="K894" s="287"/>
    </row>
    <row r="895" spans="3:11" ht="15.75" customHeight="1" x14ac:dyDescent="0.2">
      <c r="C895" s="287"/>
      <c r="K895" s="287"/>
    </row>
    <row r="896" spans="3:11" ht="15.75" customHeight="1" x14ac:dyDescent="0.2">
      <c r="C896" s="287"/>
      <c r="K896" s="287"/>
    </row>
    <row r="897" spans="3:11" ht="15.75" customHeight="1" x14ac:dyDescent="0.2">
      <c r="C897" s="287"/>
      <c r="K897" s="287"/>
    </row>
    <row r="898" spans="3:11" ht="15.75" customHeight="1" x14ac:dyDescent="0.2">
      <c r="C898" s="287"/>
      <c r="K898" s="287"/>
    </row>
    <row r="899" spans="3:11" ht="15.75" customHeight="1" x14ac:dyDescent="0.2">
      <c r="C899" s="287"/>
      <c r="K899" s="287"/>
    </row>
    <row r="900" spans="3:11" ht="15.75" customHeight="1" x14ac:dyDescent="0.2">
      <c r="C900" s="287"/>
      <c r="K900" s="287"/>
    </row>
    <row r="901" spans="3:11" ht="15.75" customHeight="1" x14ac:dyDescent="0.2">
      <c r="C901" s="287"/>
      <c r="K901" s="287"/>
    </row>
    <row r="902" spans="3:11" ht="15.75" customHeight="1" x14ac:dyDescent="0.2">
      <c r="C902" s="287"/>
      <c r="K902" s="287"/>
    </row>
    <row r="903" spans="3:11" ht="15.75" customHeight="1" x14ac:dyDescent="0.2">
      <c r="C903" s="287"/>
      <c r="K903" s="287"/>
    </row>
    <row r="904" spans="3:11" ht="15.75" customHeight="1" x14ac:dyDescent="0.2">
      <c r="C904" s="287"/>
      <c r="K904" s="287"/>
    </row>
    <row r="905" spans="3:11" ht="15.75" customHeight="1" x14ac:dyDescent="0.2">
      <c r="C905" s="287"/>
      <c r="K905" s="287"/>
    </row>
    <row r="906" spans="3:11" ht="15.75" customHeight="1" x14ac:dyDescent="0.2">
      <c r="C906" s="287"/>
      <c r="K906" s="287"/>
    </row>
    <row r="907" spans="3:11" ht="15.75" customHeight="1" x14ac:dyDescent="0.2">
      <c r="C907" s="287"/>
      <c r="K907" s="287"/>
    </row>
    <row r="908" spans="3:11" ht="15.75" customHeight="1" x14ac:dyDescent="0.2">
      <c r="C908" s="287"/>
      <c r="K908" s="287"/>
    </row>
    <row r="909" spans="3:11" ht="15.75" customHeight="1" x14ac:dyDescent="0.2">
      <c r="C909" s="287"/>
      <c r="K909" s="287"/>
    </row>
    <row r="910" spans="3:11" ht="15.75" customHeight="1" x14ac:dyDescent="0.2">
      <c r="C910" s="287"/>
      <c r="K910" s="287"/>
    </row>
    <row r="911" spans="3:11" ht="15.75" customHeight="1" x14ac:dyDescent="0.2">
      <c r="C911" s="287"/>
      <c r="K911" s="287"/>
    </row>
    <row r="912" spans="3:11" ht="15.75" customHeight="1" x14ac:dyDescent="0.2">
      <c r="C912" s="287"/>
      <c r="K912" s="287"/>
    </row>
    <row r="913" spans="3:11" ht="15.75" customHeight="1" x14ac:dyDescent="0.2">
      <c r="C913" s="287"/>
      <c r="K913" s="287"/>
    </row>
    <row r="914" spans="3:11" ht="15.75" customHeight="1" x14ac:dyDescent="0.2">
      <c r="C914" s="287"/>
      <c r="K914" s="287"/>
    </row>
    <row r="915" spans="3:11" ht="15.75" customHeight="1" x14ac:dyDescent="0.2">
      <c r="C915" s="287"/>
      <c r="K915" s="287"/>
    </row>
    <row r="916" spans="3:11" ht="15.75" customHeight="1" x14ac:dyDescent="0.2">
      <c r="C916" s="287"/>
      <c r="K916" s="287"/>
    </row>
    <row r="917" spans="3:11" ht="15.75" customHeight="1" x14ac:dyDescent="0.2">
      <c r="C917" s="287"/>
      <c r="K917" s="287"/>
    </row>
    <row r="918" spans="3:11" ht="15.75" customHeight="1" x14ac:dyDescent="0.2">
      <c r="C918" s="287"/>
      <c r="K918" s="287"/>
    </row>
    <row r="919" spans="3:11" ht="15.75" customHeight="1" x14ac:dyDescent="0.2">
      <c r="C919" s="287"/>
      <c r="K919" s="287"/>
    </row>
    <row r="920" spans="3:11" ht="15.75" customHeight="1" x14ac:dyDescent="0.2">
      <c r="C920" s="287"/>
      <c r="K920" s="287"/>
    </row>
    <row r="921" spans="3:11" ht="15.75" customHeight="1" x14ac:dyDescent="0.2">
      <c r="C921" s="287"/>
      <c r="K921" s="287"/>
    </row>
    <row r="922" spans="3:11" ht="15.75" customHeight="1" x14ac:dyDescent="0.2">
      <c r="C922" s="287"/>
      <c r="K922" s="287"/>
    </row>
    <row r="923" spans="3:11" ht="15.75" customHeight="1" x14ac:dyDescent="0.2">
      <c r="C923" s="287"/>
      <c r="K923" s="287"/>
    </row>
    <row r="924" spans="3:11" ht="15.75" customHeight="1" x14ac:dyDescent="0.2">
      <c r="C924" s="287"/>
      <c r="K924" s="287"/>
    </row>
    <row r="925" spans="3:11" ht="15.75" customHeight="1" x14ac:dyDescent="0.2">
      <c r="C925" s="287"/>
      <c r="K925" s="287"/>
    </row>
    <row r="926" spans="3:11" ht="15.75" customHeight="1" x14ac:dyDescent="0.2">
      <c r="C926" s="287"/>
      <c r="K926" s="287"/>
    </row>
    <row r="927" spans="3:11" ht="15.75" customHeight="1" x14ac:dyDescent="0.2">
      <c r="C927" s="287"/>
      <c r="K927" s="287"/>
    </row>
    <row r="928" spans="3:11" ht="15.75" customHeight="1" x14ac:dyDescent="0.2">
      <c r="C928" s="287"/>
      <c r="K928" s="287"/>
    </row>
    <row r="929" spans="3:11" ht="15.75" customHeight="1" x14ac:dyDescent="0.2">
      <c r="C929" s="287"/>
      <c r="K929" s="287"/>
    </row>
    <row r="930" spans="3:11" ht="15.75" customHeight="1" x14ac:dyDescent="0.2">
      <c r="C930" s="287"/>
      <c r="K930" s="287"/>
    </row>
    <row r="931" spans="3:11" ht="15.75" customHeight="1" x14ac:dyDescent="0.2">
      <c r="C931" s="287"/>
      <c r="K931" s="287"/>
    </row>
    <row r="932" spans="3:11" ht="15.75" customHeight="1" x14ac:dyDescent="0.2">
      <c r="C932" s="287"/>
      <c r="K932" s="287"/>
    </row>
    <row r="933" spans="3:11" ht="15.75" customHeight="1" x14ac:dyDescent="0.2">
      <c r="C933" s="287"/>
      <c r="K933" s="287"/>
    </row>
    <row r="934" spans="3:11" ht="15.75" customHeight="1" x14ac:dyDescent="0.2">
      <c r="C934" s="287"/>
      <c r="K934" s="287"/>
    </row>
    <row r="935" spans="3:11" ht="15.75" customHeight="1" x14ac:dyDescent="0.2">
      <c r="C935" s="287"/>
      <c r="K935" s="287"/>
    </row>
    <row r="936" spans="3:11" ht="15.75" customHeight="1" x14ac:dyDescent="0.2">
      <c r="C936" s="287"/>
      <c r="K936" s="287"/>
    </row>
    <row r="937" spans="3:11" ht="15.75" customHeight="1" x14ac:dyDescent="0.2">
      <c r="C937" s="287"/>
      <c r="K937" s="287"/>
    </row>
    <row r="938" spans="3:11" ht="15.75" customHeight="1" x14ac:dyDescent="0.2">
      <c r="C938" s="287"/>
      <c r="K938" s="287"/>
    </row>
    <row r="939" spans="3:11" ht="15.75" customHeight="1" x14ac:dyDescent="0.2">
      <c r="C939" s="287"/>
      <c r="K939" s="287"/>
    </row>
    <row r="940" spans="3:11" ht="15.75" customHeight="1" x14ac:dyDescent="0.2">
      <c r="C940" s="287"/>
      <c r="K940" s="287"/>
    </row>
    <row r="941" spans="3:11" ht="15.75" customHeight="1" x14ac:dyDescent="0.2">
      <c r="C941" s="287"/>
      <c r="K941" s="287"/>
    </row>
    <row r="942" spans="3:11" ht="15.75" customHeight="1" x14ac:dyDescent="0.2">
      <c r="C942" s="287"/>
      <c r="K942" s="287"/>
    </row>
    <row r="943" spans="3:11" ht="15.75" customHeight="1" x14ac:dyDescent="0.2">
      <c r="C943" s="287"/>
      <c r="K943" s="287"/>
    </row>
    <row r="944" spans="3:11" ht="15.75" customHeight="1" x14ac:dyDescent="0.2">
      <c r="C944" s="287"/>
      <c r="K944" s="287"/>
    </row>
    <row r="945" spans="3:11" ht="15.75" customHeight="1" x14ac:dyDescent="0.2">
      <c r="C945" s="287"/>
      <c r="K945" s="287"/>
    </row>
    <row r="946" spans="3:11" ht="15.75" customHeight="1" x14ac:dyDescent="0.2">
      <c r="C946" s="287"/>
      <c r="K946" s="287"/>
    </row>
    <row r="947" spans="3:11" ht="15.75" customHeight="1" x14ac:dyDescent="0.2">
      <c r="C947" s="287"/>
      <c r="K947" s="287"/>
    </row>
    <row r="948" spans="3:11" ht="15.75" customHeight="1" x14ac:dyDescent="0.2">
      <c r="C948" s="287"/>
      <c r="K948" s="287"/>
    </row>
    <row r="949" spans="3:11" ht="15.75" customHeight="1" x14ac:dyDescent="0.2">
      <c r="C949" s="287"/>
      <c r="K949" s="287"/>
    </row>
    <row r="950" spans="3:11" ht="15.75" customHeight="1" x14ac:dyDescent="0.2">
      <c r="C950" s="287"/>
      <c r="K950" s="287"/>
    </row>
    <row r="951" spans="3:11" ht="15.75" customHeight="1" x14ac:dyDescent="0.2">
      <c r="C951" s="287"/>
      <c r="K951" s="287"/>
    </row>
    <row r="952" spans="3:11" ht="15.75" customHeight="1" x14ac:dyDescent="0.2">
      <c r="C952" s="287"/>
      <c r="K952" s="287"/>
    </row>
    <row r="953" spans="3:11" ht="15.75" customHeight="1" x14ac:dyDescent="0.2">
      <c r="C953" s="287"/>
      <c r="K953" s="287"/>
    </row>
    <row r="954" spans="3:11" ht="15.75" customHeight="1" x14ac:dyDescent="0.2">
      <c r="C954" s="287"/>
      <c r="K954" s="287"/>
    </row>
    <row r="955" spans="3:11" ht="15.75" customHeight="1" x14ac:dyDescent="0.2">
      <c r="C955" s="287"/>
      <c r="K955" s="287"/>
    </row>
    <row r="956" spans="3:11" ht="15.75" customHeight="1" x14ac:dyDescent="0.2">
      <c r="C956" s="287"/>
      <c r="K956" s="287"/>
    </row>
    <row r="957" spans="3:11" ht="15.75" customHeight="1" x14ac:dyDescent="0.2">
      <c r="C957" s="287"/>
      <c r="K957" s="287"/>
    </row>
    <row r="958" spans="3:11" ht="15.75" customHeight="1" x14ac:dyDescent="0.2">
      <c r="C958" s="287"/>
      <c r="K958" s="287"/>
    </row>
    <row r="959" spans="3:11" ht="15.75" customHeight="1" x14ac:dyDescent="0.2">
      <c r="C959" s="287"/>
      <c r="K959" s="287"/>
    </row>
    <row r="960" spans="3:11" ht="15.75" customHeight="1" x14ac:dyDescent="0.2">
      <c r="C960" s="287"/>
      <c r="K960" s="287"/>
    </row>
    <row r="961" spans="3:11" ht="15.75" customHeight="1" x14ac:dyDescent="0.2">
      <c r="C961" s="287"/>
      <c r="K961" s="287"/>
    </row>
    <row r="962" spans="3:11" ht="15.75" customHeight="1" x14ac:dyDescent="0.2">
      <c r="C962" s="287"/>
      <c r="K962" s="287"/>
    </row>
    <row r="963" spans="3:11" ht="15.75" customHeight="1" x14ac:dyDescent="0.2">
      <c r="C963" s="287"/>
      <c r="K963" s="287"/>
    </row>
    <row r="964" spans="3:11" ht="15.75" customHeight="1" x14ac:dyDescent="0.2">
      <c r="C964" s="287"/>
      <c r="K964" s="287"/>
    </row>
    <row r="965" spans="3:11" ht="15.75" customHeight="1" x14ac:dyDescent="0.2">
      <c r="C965" s="287"/>
      <c r="K965" s="287"/>
    </row>
    <row r="966" spans="3:11" ht="15.75" customHeight="1" x14ac:dyDescent="0.2">
      <c r="C966" s="287"/>
      <c r="K966" s="287"/>
    </row>
    <row r="967" spans="3:11" ht="15.75" customHeight="1" x14ac:dyDescent="0.2">
      <c r="C967" s="287"/>
      <c r="K967" s="287"/>
    </row>
    <row r="968" spans="3:11" ht="15.75" customHeight="1" x14ac:dyDescent="0.2">
      <c r="C968" s="287"/>
      <c r="K968" s="287"/>
    </row>
    <row r="969" spans="3:11" ht="15.75" customHeight="1" x14ac:dyDescent="0.2">
      <c r="C969" s="287"/>
      <c r="K969" s="287"/>
    </row>
    <row r="970" spans="3:11" ht="15.75" customHeight="1" x14ac:dyDescent="0.2">
      <c r="C970" s="287"/>
      <c r="K970" s="287"/>
    </row>
    <row r="971" spans="3:11" ht="15.75" customHeight="1" x14ac:dyDescent="0.2">
      <c r="C971" s="287"/>
      <c r="K971" s="287"/>
    </row>
    <row r="972" spans="3:11" ht="15.75" customHeight="1" x14ac:dyDescent="0.2">
      <c r="C972" s="287"/>
      <c r="K972" s="287"/>
    </row>
    <row r="973" spans="3:11" ht="15.75" customHeight="1" x14ac:dyDescent="0.2">
      <c r="C973" s="287"/>
      <c r="K973" s="287"/>
    </row>
    <row r="974" spans="3:11" ht="15.75" customHeight="1" x14ac:dyDescent="0.2">
      <c r="C974" s="287"/>
      <c r="K974" s="287"/>
    </row>
    <row r="975" spans="3:11" ht="15.75" customHeight="1" x14ac:dyDescent="0.2">
      <c r="C975" s="287"/>
      <c r="K975" s="287"/>
    </row>
    <row r="976" spans="3:11" ht="15.75" customHeight="1" x14ac:dyDescent="0.2">
      <c r="C976" s="287"/>
      <c r="K976" s="287"/>
    </row>
    <row r="977" spans="3:11" ht="15.75" customHeight="1" x14ac:dyDescent="0.2">
      <c r="C977" s="287"/>
      <c r="K977" s="287"/>
    </row>
    <row r="978" spans="3:11" ht="15.75" customHeight="1" x14ac:dyDescent="0.2">
      <c r="C978" s="287"/>
      <c r="K978" s="287"/>
    </row>
    <row r="979" spans="3:11" ht="15.75" customHeight="1" x14ac:dyDescent="0.2">
      <c r="C979" s="287"/>
      <c r="K979" s="287"/>
    </row>
    <row r="980" spans="3:11" ht="15.75" customHeight="1" x14ac:dyDescent="0.2">
      <c r="C980" s="287"/>
      <c r="K980" s="287"/>
    </row>
    <row r="981" spans="3:11" ht="15.75" customHeight="1" x14ac:dyDescent="0.2">
      <c r="C981" s="287"/>
      <c r="K981" s="287"/>
    </row>
    <row r="982" spans="3:11" ht="15.75" customHeight="1" x14ac:dyDescent="0.2">
      <c r="C982" s="287"/>
      <c r="K982" s="287"/>
    </row>
    <row r="983" spans="3:11" ht="15.75" customHeight="1" x14ac:dyDescent="0.2">
      <c r="C983" s="287"/>
      <c r="K983" s="287"/>
    </row>
    <row r="984" spans="3:11" ht="15.75" customHeight="1" x14ac:dyDescent="0.2">
      <c r="C984" s="287"/>
      <c r="K984" s="287"/>
    </row>
  </sheetData>
  <mergeCells count="8">
    <mergeCell ref="A595:D595"/>
    <mergeCell ref="A667:B667"/>
    <mergeCell ref="A755:E755"/>
    <mergeCell ref="A166:D166"/>
    <mergeCell ref="A266:D266"/>
    <mergeCell ref="A349:B349"/>
    <mergeCell ref="A418:D418"/>
    <mergeCell ref="A527:B527"/>
  </mergeCells>
  <conditionalFormatting sqref="H3:H22 H25:H29 H92:H101 H104 H166:H190 H192:H196 H198 H201:H203 H266:H281 H283:H285 H287 H290:H292 H349:H356 H359 H419:H445 H447:H449 H451 H454:H468 H528:H532 H535 H596:H607 H610 H668:H686 H688:H689 H691 H694 H756:H775 H778">
    <cfRule type="cellIs" dxfId="20" priority="1" operator="lessThan">
      <formula>0</formula>
    </cfRule>
  </conditionalFormatting>
  <printOptions horizontalCentered="1" verticalCentered="1"/>
  <pageMargins left="0.25" right="0.25" top="0.75" bottom="0.75" header="0.3" footer="0.3"/>
  <pageSetup scale="87" fitToHeight="0" orientation="landscape" r:id="rId1"/>
  <headerFooter>
    <oddHeader>&amp;A</oddHeader>
    <oddFooter>Page &amp;P of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sqref="A1:B1"/>
    </sheetView>
  </sheetViews>
  <sheetFormatPr defaultColWidth="12.5703125" defaultRowHeight="15" customHeight="1" outlineLevelCol="1" x14ac:dyDescent="0.2"/>
  <cols>
    <col min="2" max="2" width="40" customWidth="1"/>
    <col min="3" max="3" width="3.42578125" hidden="1" customWidth="1" outlineLevel="1"/>
    <col min="4" max="10" width="0.140625" hidden="1" customWidth="1" outlineLevel="1"/>
    <col min="11" max="11" width="3.42578125" hidden="1" customWidth="1" outlineLevel="1"/>
    <col min="12" max="12" width="12.5703125" collapsed="1"/>
    <col min="13" max="13" width="14.85546875" customWidth="1"/>
    <col min="22" max="22" width="3.140625" customWidth="1"/>
  </cols>
  <sheetData>
    <row r="1" spans="1:29" ht="30.75" customHeight="1" x14ac:dyDescent="0.35">
      <c r="A1" s="567" t="s">
        <v>730</v>
      </c>
      <c r="B1" s="558"/>
      <c r="C1" s="324"/>
      <c r="D1" s="103"/>
      <c r="E1" s="265"/>
      <c r="F1" s="265"/>
      <c r="G1" s="315"/>
      <c r="H1" s="211"/>
      <c r="I1" s="5"/>
      <c r="J1" s="5"/>
      <c r="K1" s="324"/>
      <c r="L1" s="265"/>
      <c r="M1" s="314"/>
      <c r="N1" s="265"/>
      <c r="O1" s="314"/>
      <c r="P1" s="266"/>
      <c r="Q1" s="266"/>
      <c r="R1" s="315"/>
      <c r="S1" s="315"/>
    </row>
    <row r="2" spans="1:29" ht="48" customHeight="1" x14ac:dyDescent="0.2">
      <c r="A2" s="3" t="s">
        <v>50</v>
      </c>
      <c r="B2" s="3" t="s">
        <v>51</v>
      </c>
      <c r="C2" s="292"/>
      <c r="D2" s="99" t="s">
        <v>52</v>
      </c>
      <c r="E2" s="100" t="s">
        <v>53</v>
      </c>
      <c r="F2" s="100" t="s">
        <v>54</v>
      </c>
      <c r="G2" s="100" t="s">
        <v>55</v>
      </c>
      <c r="H2" s="24" t="s">
        <v>56</v>
      </c>
      <c r="I2" s="24" t="s">
        <v>57</v>
      </c>
      <c r="J2" s="101" t="s">
        <v>58</v>
      </c>
      <c r="K2" s="292"/>
      <c r="L2" s="3" t="s">
        <v>59</v>
      </c>
      <c r="M2" s="3" t="s">
        <v>60</v>
      </c>
      <c r="N2" s="3" t="s">
        <v>61</v>
      </c>
      <c r="O2" s="3" t="s">
        <v>62</v>
      </c>
      <c r="P2" s="293" t="s">
        <v>541</v>
      </c>
      <c r="Q2" s="293" t="s">
        <v>64</v>
      </c>
      <c r="R2" s="293" t="s">
        <v>65</v>
      </c>
      <c r="S2" s="293" t="s">
        <v>66</v>
      </c>
    </row>
    <row r="3" spans="1:29" ht="15.75" customHeight="1" x14ac:dyDescent="0.25">
      <c r="A3" s="103" t="s">
        <v>731</v>
      </c>
      <c r="B3" s="103" t="s">
        <v>115</v>
      </c>
      <c r="C3" s="280"/>
      <c r="D3" s="142">
        <v>17188</v>
      </c>
      <c r="E3" s="142" t="e">
        <f>D3*#REF!</f>
        <v>#REF!</v>
      </c>
      <c r="F3" s="142" t="e">
        <f>D3*#REF!</f>
        <v>#REF!</v>
      </c>
      <c r="G3" s="142" t="e">
        <f>(D3*#REF!)*#REF!</f>
        <v>#REF!</v>
      </c>
      <c r="H3" s="33">
        <f t="shared" ref="H3:H7" si="0">IFERROR(((Q3-G3)/G3),0)</f>
        <v>0</v>
      </c>
      <c r="I3" s="16" t="e">
        <f t="shared" ref="I3:I7" si="1">Q3-G3</f>
        <v>#REF!</v>
      </c>
      <c r="J3" s="18">
        <v>0</v>
      </c>
      <c r="K3" s="280"/>
      <c r="L3" s="216">
        <v>29621</v>
      </c>
      <c r="M3" s="216">
        <v>30691.33</v>
      </c>
      <c r="N3" s="216">
        <v>30000</v>
      </c>
      <c r="O3" s="216">
        <f>VLOOKUP(A3,TB!A:F,3)</f>
        <v>19221.04</v>
      </c>
      <c r="P3" s="272">
        <f t="shared" ref="P3:P6" si="2">N3</f>
        <v>30000</v>
      </c>
      <c r="Q3" s="142">
        <v>43000</v>
      </c>
      <c r="R3" s="281">
        <f>VLOOKUP(A3,TB!A:F,6)</f>
        <v>43000</v>
      </c>
      <c r="S3" s="281">
        <f t="shared" ref="S3:S6" si="3">Q3-R3</f>
        <v>0</v>
      </c>
    </row>
    <row r="4" spans="1:29" ht="15.75" customHeight="1" x14ac:dyDescent="0.25">
      <c r="A4" s="103" t="s">
        <v>732</v>
      </c>
      <c r="B4" s="103" t="s">
        <v>84</v>
      </c>
      <c r="C4" s="280"/>
      <c r="D4" s="142">
        <v>478</v>
      </c>
      <c r="E4" s="142" t="e">
        <f>D4*#REF!</f>
        <v>#REF!</v>
      </c>
      <c r="F4" s="142" t="e">
        <f>D4*#REF!</f>
        <v>#REF!</v>
      </c>
      <c r="G4" s="142" t="e">
        <f>(D4*#REF!)*#REF!</f>
        <v>#REF!</v>
      </c>
      <c r="H4" s="33">
        <f t="shared" si="0"/>
        <v>0</v>
      </c>
      <c r="I4" s="16" t="e">
        <f t="shared" si="1"/>
        <v>#REF!</v>
      </c>
      <c r="J4" s="18">
        <v>0</v>
      </c>
      <c r="K4" s="280"/>
      <c r="L4" s="216">
        <v>2550</v>
      </c>
      <c r="M4" s="216">
        <v>114875.74</v>
      </c>
      <c r="N4" s="216">
        <v>153120</v>
      </c>
      <c r="O4" s="216">
        <f>VLOOKUP(A4,TB!A:F,3)</f>
        <v>78090.03</v>
      </c>
      <c r="P4" s="272">
        <f t="shared" si="2"/>
        <v>153120</v>
      </c>
      <c r="Q4" s="142">
        <v>153120</v>
      </c>
      <c r="R4" s="281">
        <f>VLOOKUP(A4,TB!A:F,6)</f>
        <v>153120</v>
      </c>
      <c r="S4" s="281">
        <f t="shared" si="3"/>
        <v>0</v>
      </c>
    </row>
    <row r="5" spans="1:29" ht="15.75" customHeight="1" x14ac:dyDescent="0.25">
      <c r="A5" s="103" t="s">
        <v>733</v>
      </c>
      <c r="B5" s="103" t="s">
        <v>88</v>
      </c>
      <c r="C5" s="280"/>
      <c r="D5" s="142">
        <v>400</v>
      </c>
      <c r="E5" s="142" t="e">
        <f>D5*#REF!</f>
        <v>#REF!</v>
      </c>
      <c r="F5" s="142" t="e">
        <f>D5*#REF!</f>
        <v>#REF!</v>
      </c>
      <c r="G5" s="142" t="e">
        <f>(D5*#REF!)*#REF!</f>
        <v>#REF!</v>
      </c>
      <c r="H5" s="33">
        <f t="shared" si="0"/>
        <v>0</v>
      </c>
      <c r="I5" s="16" t="e">
        <f t="shared" si="1"/>
        <v>#REF!</v>
      </c>
      <c r="J5" s="18">
        <v>0</v>
      </c>
      <c r="K5" s="280"/>
      <c r="L5" s="216">
        <v>7495</v>
      </c>
      <c r="M5" s="216">
        <v>8428.66</v>
      </c>
      <c r="N5" s="216">
        <v>37500</v>
      </c>
      <c r="O5" s="216">
        <f>VLOOKUP(A5,TB!A:F,3)</f>
        <v>5346.5</v>
      </c>
      <c r="P5" s="272">
        <f t="shared" si="2"/>
        <v>37500</v>
      </c>
      <c r="Q5" s="142">
        <v>24300</v>
      </c>
      <c r="R5" s="281">
        <f>VLOOKUP(A5,TB!A:F,6)</f>
        <v>24300</v>
      </c>
      <c r="S5" s="281">
        <f t="shared" si="3"/>
        <v>0</v>
      </c>
    </row>
    <row r="6" spans="1:29" ht="15.75" customHeight="1" x14ac:dyDescent="0.25">
      <c r="A6" s="103" t="s">
        <v>734</v>
      </c>
      <c r="B6" s="103" t="s">
        <v>90</v>
      </c>
      <c r="C6" s="280"/>
      <c r="D6" s="142">
        <v>3932</v>
      </c>
      <c r="E6" s="142" t="e">
        <f>D6*#REF!</f>
        <v>#REF!</v>
      </c>
      <c r="F6" s="142" t="e">
        <f>D6*#REF!</f>
        <v>#REF!</v>
      </c>
      <c r="G6" s="142" t="e">
        <f>(D6*#REF!)*#REF!</f>
        <v>#REF!</v>
      </c>
      <c r="H6" s="33">
        <f t="shared" si="0"/>
        <v>0</v>
      </c>
      <c r="I6" s="16" t="e">
        <f t="shared" si="1"/>
        <v>#REF!</v>
      </c>
      <c r="J6" s="18">
        <v>0</v>
      </c>
      <c r="K6" s="280"/>
      <c r="L6" s="216">
        <v>6013</v>
      </c>
      <c r="M6" s="216">
        <v>5483.81</v>
      </c>
      <c r="N6" s="216">
        <v>8300</v>
      </c>
      <c r="O6" s="216">
        <f>VLOOKUP(A6,TB!A:F,3)</f>
        <v>642.79999999999995</v>
      </c>
      <c r="P6" s="272">
        <f t="shared" si="2"/>
        <v>8300</v>
      </c>
      <c r="Q6" s="142">
        <v>6500</v>
      </c>
      <c r="R6" s="281">
        <f>VLOOKUP(A6,TB!A:F,6)</f>
        <v>6500</v>
      </c>
      <c r="S6" s="281">
        <f t="shared" si="3"/>
        <v>0</v>
      </c>
    </row>
    <row r="7" spans="1:29" ht="15.75" customHeight="1" x14ac:dyDescent="0.25">
      <c r="A7" s="47" t="s">
        <v>735</v>
      </c>
      <c r="B7" s="48"/>
      <c r="C7" s="282"/>
      <c r="D7" s="50">
        <f t="shared" ref="D7:G7" si="4">SUM(D3:D6)</f>
        <v>21998</v>
      </c>
      <c r="E7" s="50" t="e">
        <f t="shared" si="4"/>
        <v>#REF!</v>
      </c>
      <c r="F7" s="50" t="e">
        <f t="shared" si="4"/>
        <v>#REF!</v>
      </c>
      <c r="G7" s="50" t="e">
        <f t="shared" si="4"/>
        <v>#REF!</v>
      </c>
      <c r="H7" s="42">
        <f t="shared" si="0"/>
        <v>0</v>
      </c>
      <c r="I7" s="50" t="e">
        <f t="shared" si="1"/>
        <v>#REF!</v>
      </c>
      <c r="J7" s="283">
        <f>SUM(J3:J6)</f>
        <v>0</v>
      </c>
      <c r="K7" s="282"/>
      <c r="L7" s="12">
        <f t="shared" ref="L7:S7" si="5">SUM(L3:L6)</f>
        <v>45679</v>
      </c>
      <c r="M7" s="12">
        <f t="shared" si="5"/>
        <v>159479.54</v>
      </c>
      <c r="N7" s="12">
        <f t="shared" si="5"/>
        <v>228920</v>
      </c>
      <c r="O7" s="12">
        <f t="shared" si="5"/>
        <v>103300.37000000001</v>
      </c>
      <c r="P7" s="50">
        <f t="shared" si="5"/>
        <v>228920</v>
      </c>
      <c r="Q7" s="50">
        <f t="shared" si="5"/>
        <v>226920</v>
      </c>
      <c r="R7" s="12">
        <f t="shared" si="5"/>
        <v>226920</v>
      </c>
      <c r="S7" s="12">
        <f t="shared" si="5"/>
        <v>0</v>
      </c>
    </row>
    <row r="8" spans="1:29" ht="15.75" customHeight="1" x14ac:dyDescent="0.25">
      <c r="A8" s="5"/>
      <c r="B8" s="5"/>
      <c r="C8" s="284"/>
      <c r="D8" s="5"/>
      <c r="E8" s="5"/>
      <c r="F8" s="5"/>
      <c r="G8" s="5"/>
      <c r="H8" s="5"/>
      <c r="I8" s="5"/>
      <c r="J8" s="5"/>
      <c r="K8" s="284"/>
      <c r="L8" s="7"/>
      <c r="M8" s="7"/>
      <c r="N8" s="7"/>
      <c r="O8" s="216"/>
      <c r="P8" s="7"/>
      <c r="Q8" s="7"/>
      <c r="R8" s="267"/>
      <c r="S8" s="267"/>
    </row>
    <row r="9" spans="1:29" ht="15.75" customHeight="1" x14ac:dyDescent="0.2">
      <c r="A9" s="11" t="s">
        <v>184</v>
      </c>
      <c r="B9" s="5"/>
      <c r="C9" s="284"/>
      <c r="D9" s="5"/>
      <c r="E9" s="5"/>
      <c r="F9" s="5"/>
      <c r="G9" s="5"/>
      <c r="H9" s="5"/>
      <c r="I9" s="5"/>
      <c r="J9" s="5"/>
      <c r="K9" s="284"/>
      <c r="L9" s="7"/>
      <c r="M9" s="7"/>
      <c r="N9" s="7"/>
      <c r="O9" s="7"/>
      <c r="P9" s="7"/>
      <c r="Q9" s="7"/>
      <c r="R9" s="267"/>
      <c r="S9" s="267"/>
    </row>
    <row r="10" spans="1:29" ht="15.75" customHeight="1" x14ac:dyDescent="0.25">
      <c r="A10" s="5"/>
      <c r="B10" s="5"/>
      <c r="C10" s="285"/>
      <c r="D10" s="16"/>
      <c r="E10" s="142" t="e">
        <f>D10*#REF!</f>
        <v>#REF!</v>
      </c>
      <c r="F10" s="142" t="e">
        <f>D10*#REF!</f>
        <v>#REF!</v>
      </c>
      <c r="G10" s="142" t="e">
        <f>(D10*#REF!)*#REF!</f>
        <v>#REF!</v>
      </c>
      <c r="H10" s="33">
        <f t="shared" ref="H10:H11" si="6">IFERROR(((Q10-G10)/G10),0)</f>
        <v>0</v>
      </c>
      <c r="I10" s="16" t="e">
        <f t="shared" ref="I10:I11" si="7">Q10-G10</f>
        <v>#REF!</v>
      </c>
      <c r="J10" s="18">
        <v>0</v>
      </c>
      <c r="K10" s="285"/>
      <c r="L10" s="7"/>
      <c r="M10" s="7"/>
      <c r="N10" s="7"/>
      <c r="O10" s="7"/>
      <c r="P10" s="7"/>
      <c r="Q10" s="7"/>
      <c r="R10" s="213"/>
      <c r="S10" s="213"/>
    </row>
    <row r="11" spans="1:29" ht="15.75" customHeight="1" x14ac:dyDescent="0.2">
      <c r="A11" s="11" t="s">
        <v>189</v>
      </c>
      <c r="B11" s="48"/>
      <c r="C11" s="282"/>
      <c r="D11" s="50">
        <f t="shared" ref="D11:G11" si="8">SUM(D10)</f>
        <v>0</v>
      </c>
      <c r="E11" s="50" t="e">
        <f t="shared" si="8"/>
        <v>#REF!</v>
      </c>
      <c r="F11" s="50" t="e">
        <f t="shared" si="8"/>
        <v>#REF!</v>
      </c>
      <c r="G11" s="50" t="e">
        <f t="shared" si="8"/>
        <v>#REF!</v>
      </c>
      <c r="H11" s="42">
        <f t="shared" si="6"/>
        <v>0</v>
      </c>
      <c r="I11" s="50" t="e">
        <f t="shared" si="7"/>
        <v>#REF!</v>
      </c>
      <c r="J11" s="50">
        <v>0</v>
      </c>
      <c r="K11" s="282"/>
      <c r="L11" s="12">
        <f t="shared" ref="L11:S11" si="9">SUM(L10)</f>
        <v>0</v>
      </c>
      <c r="M11" s="12">
        <f t="shared" si="9"/>
        <v>0</v>
      </c>
      <c r="N11" s="12">
        <f t="shared" si="9"/>
        <v>0</v>
      </c>
      <c r="O11" s="12">
        <f t="shared" si="9"/>
        <v>0</v>
      </c>
      <c r="P11" s="50">
        <f t="shared" si="9"/>
        <v>0</v>
      </c>
      <c r="Q11" s="50">
        <f t="shared" si="9"/>
        <v>0</v>
      </c>
      <c r="R11" s="12">
        <f t="shared" si="9"/>
        <v>0</v>
      </c>
      <c r="S11" s="12">
        <f t="shared" si="9"/>
        <v>0</v>
      </c>
    </row>
    <row r="12" spans="1:29" ht="15.75" customHeight="1" x14ac:dyDescent="0.2">
      <c r="A12" s="5"/>
      <c r="B12" s="5"/>
      <c r="C12" s="284"/>
      <c r="D12" s="5"/>
      <c r="E12" s="5"/>
      <c r="F12" s="5"/>
      <c r="G12" s="5"/>
      <c r="H12" s="5"/>
      <c r="I12" s="5"/>
      <c r="J12" s="5"/>
      <c r="K12" s="284"/>
      <c r="L12" s="7"/>
      <c r="M12" s="7"/>
      <c r="N12" s="7"/>
      <c r="O12" s="7"/>
      <c r="P12" s="7"/>
      <c r="Q12" s="7"/>
      <c r="R12" s="267"/>
      <c r="S12" s="267"/>
    </row>
    <row r="13" spans="1:29" ht="15.75" customHeight="1" x14ac:dyDescent="0.2">
      <c r="A13" s="11" t="s">
        <v>190</v>
      </c>
      <c r="B13" s="6"/>
      <c r="C13" s="286"/>
      <c r="D13" s="178">
        <f t="shared" ref="D13:G13" si="10">D7+D11</f>
        <v>21998</v>
      </c>
      <c r="E13" s="178" t="e">
        <f t="shared" si="10"/>
        <v>#REF!</v>
      </c>
      <c r="F13" s="178" t="e">
        <f t="shared" si="10"/>
        <v>#REF!</v>
      </c>
      <c r="G13" s="178" t="e">
        <f t="shared" si="10"/>
        <v>#REF!</v>
      </c>
      <c r="H13" s="273">
        <f>IFERROR(((Q13-G13)/G13),0)</f>
        <v>0</v>
      </c>
      <c r="I13" s="178" t="e">
        <f>Q13-G13</f>
        <v>#REF!</v>
      </c>
      <c r="J13" s="178">
        <f>J11+J7</f>
        <v>0</v>
      </c>
      <c r="K13" s="286"/>
      <c r="L13" s="227">
        <f t="shared" ref="L13:S13" si="11">L7+L11</f>
        <v>45679</v>
      </c>
      <c r="M13" s="227">
        <f t="shared" si="11"/>
        <v>159479.54</v>
      </c>
      <c r="N13" s="227">
        <f t="shared" si="11"/>
        <v>228920</v>
      </c>
      <c r="O13" s="227">
        <f t="shared" si="11"/>
        <v>103300.37000000001</v>
      </c>
      <c r="P13" s="178">
        <f t="shared" si="11"/>
        <v>228920</v>
      </c>
      <c r="Q13" s="178">
        <f t="shared" si="11"/>
        <v>226920</v>
      </c>
      <c r="R13" s="227">
        <f t="shared" si="11"/>
        <v>226920</v>
      </c>
      <c r="S13" s="227">
        <f t="shared" si="11"/>
        <v>0</v>
      </c>
      <c r="V13" s="56"/>
      <c r="W13" s="56"/>
      <c r="X13" s="56"/>
      <c r="Y13" s="56"/>
      <c r="Z13" s="56"/>
      <c r="AA13" s="56"/>
      <c r="AB13" s="56"/>
      <c r="AC13" s="56"/>
    </row>
    <row r="14" spans="1:29" ht="15.75" customHeight="1" x14ac:dyDescent="0.2">
      <c r="C14" s="287"/>
      <c r="K14" s="287"/>
    </row>
    <row r="15" spans="1:29" ht="15.75" customHeight="1" x14ac:dyDescent="0.2">
      <c r="C15" s="287"/>
      <c r="K15" s="287"/>
    </row>
    <row r="16" spans="1:29" ht="15.75" customHeight="1" x14ac:dyDescent="0.2">
      <c r="C16" s="288"/>
      <c r="K16" s="288"/>
      <c r="L16" s="269" t="s">
        <v>60</v>
      </c>
      <c r="M16" s="114" t="s">
        <v>61</v>
      </c>
      <c r="N16" s="269" t="s">
        <v>62</v>
      </c>
      <c r="O16" s="269" t="s">
        <v>541</v>
      </c>
      <c r="P16" s="269" t="s">
        <v>64</v>
      </c>
      <c r="Q16" s="269" t="s">
        <v>65</v>
      </c>
      <c r="R16" s="114" t="s">
        <v>586</v>
      </c>
    </row>
    <row r="17" spans="3:18" ht="15.75" customHeight="1" x14ac:dyDescent="0.2">
      <c r="C17" s="289"/>
      <c r="K17" s="289"/>
      <c r="L17" s="63">
        <f t="shared" ref="L17:R17" si="12">L13</f>
        <v>45679</v>
      </c>
      <c r="M17" s="63">
        <f t="shared" si="12"/>
        <v>159479.54</v>
      </c>
      <c r="N17" s="63">
        <f t="shared" si="12"/>
        <v>228920</v>
      </c>
      <c r="O17" s="63">
        <f t="shared" si="12"/>
        <v>103300.37000000001</v>
      </c>
      <c r="P17" s="63">
        <f t="shared" si="12"/>
        <v>228920</v>
      </c>
      <c r="Q17" s="63">
        <f t="shared" si="12"/>
        <v>226920</v>
      </c>
      <c r="R17" s="63">
        <f t="shared" si="12"/>
        <v>226920</v>
      </c>
    </row>
    <row r="18" spans="3:18" ht="15.75" customHeight="1" x14ac:dyDescent="0.2">
      <c r="C18" s="287"/>
      <c r="K18" s="287"/>
    </row>
    <row r="21" spans="3:18" ht="15.75" customHeight="1" x14ac:dyDescent="0.2"/>
    <row r="22" spans="3:18" ht="15.75" customHeight="1" x14ac:dyDescent="0.2"/>
    <row r="23" spans="3:18" ht="15.75" customHeight="1" x14ac:dyDescent="0.2"/>
    <row r="24" spans="3:18" ht="15.75" customHeight="1" x14ac:dyDescent="0.2"/>
    <row r="25" spans="3:18" ht="15.75" customHeight="1" x14ac:dyDescent="0.2"/>
    <row r="26" spans="3:18" ht="15.75" customHeight="1" x14ac:dyDescent="0.2"/>
    <row r="27" spans="3:18" ht="15.75" customHeight="1" x14ac:dyDescent="0.2"/>
    <row r="28" spans="3:18" ht="15.75" customHeight="1" x14ac:dyDescent="0.2"/>
    <row r="29" spans="3:18" ht="15.75" customHeight="1" x14ac:dyDescent="0.2"/>
    <row r="30" spans="3:18" ht="15.75" customHeight="1" x14ac:dyDescent="0.2"/>
    <row r="31" spans="3:18" ht="15.75" customHeight="1" x14ac:dyDescent="0.2"/>
    <row r="32" spans="3:18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">
    <mergeCell ref="A1:B1"/>
  </mergeCells>
  <conditionalFormatting sqref="H3:H7 H10">
    <cfRule type="cellIs" dxfId="19" priority="1" operator="lessThan">
      <formula>0</formula>
    </cfRule>
  </conditionalFormatting>
  <printOptions horizontalCentered="1" verticalCentered="1"/>
  <pageMargins left="0.25" right="0.25" top="0.75" bottom="0.75" header="0.3" footer="0.3"/>
  <pageSetup scale="87" fitToHeight="0" orientation="landscape" r:id="rId1"/>
  <headerFooter>
    <oddHeader>&amp;A</oddHeader>
    <oddFooter>Page &amp;P of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E295"/>
  <sheetViews>
    <sheetView workbookViewId="0"/>
  </sheetViews>
  <sheetFormatPr defaultColWidth="12.5703125" defaultRowHeight="15" customHeight="1" outlineLevelCol="1" x14ac:dyDescent="0.2"/>
  <cols>
    <col min="2" max="2" width="40" customWidth="1" collapsed="1"/>
    <col min="3" max="3" width="3.42578125" hidden="1" customWidth="1" outlineLevel="1"/>
    <col min="4" max="10" width="12.5703125" hidden="1" outlineLevel="1"/>
    <col min="11" max="11" width="3.42578125" hidden="1" customWidth="1" outlineLevel="1"/>
    <col min="13" max="13" width="14.85546875" customWidth="1"/>
    <col min="23" max="23" width="3.140625" customWidth="1"/>
  </cols>
  <sheetData>
    <row r="1" spans="1:31" ht="28.5" customHeight="1" x14ac:dyDescent="0.25">
      <c r="A1" s="1" t="s">
        <v>833</v>
      </c>
      <c r="B1" s="5"/>
      <c r="C1" s="15"/>
      <c r="D1" s="16"/>
      <c r="E1" s="16"/>
      <c r="F1" s="16"/>
      <c r="G1" s="16"/>
      <c r="H1" s="18"/>
      <c r="I1" s="16"/>
      <c r="J1" s="16"/>
      <c r="K1" s="15"/>
      <c r="L1" s="7"/>
      <c r="M1" s="7"/>
      <c r="N1" s="7"/>
      <c r="O1" s="7"/>
      <c r="P1" s="7"/>
      <c r="Q1" s="7"/>
      <c r="R1" s="7"/>
      <c r="S1" s="7"/>
      <c r="T1" s="206"/>
      <c r="W1" s="19"/>
      <c r="X1" s="20"/>
    </row>
    <row r="2" spans="1:31" ht="50.25" customHeight="1" x14ac:dyDescent="0.2">
      <c r="A2" s="3" t="s">
        <v>50</v>
      </c>
      <c r="B2" s="3" t="s">
        <v>51</v>
      </c>
      <c r="C2" s="21"/>
      <c r="D2" s="22" t="s">
        <v>52</v>
      </c>
      <c r="E2" s="23" t="s">
        <v>53</v>
      </c>
      <c r="F2" s="23" t="s">
        <v>54</v>
      </c>
      <c r="G2" s="23" t="s">
        <v>55</v>
      </c>
      <c r="H2" s="100" t="s">
        <v>56</v>
      </c>
      <c r="I2" s="23" t="s">
        <v>57</v>
      </c>
      <c r="J2" s="129" t="s">
        <v>58</v>
      </c>
      <c r="K2" s="130"/>
      <c r="L2" s="27" t="s">
        <v>59</v>
      </c>
      <c r="M2" s="27" t="s">
        <v>60</v>
      </c>
      <c r="N2" s="27" t="s">
        <v>61</v>
      </c>
      <c r="O2" s="27" t="s">
        <v>62</v>
      </c>
      <c r="P2" s="27" t="s">
        <v>63</v>
      </c>
      <c r="Q2" s="27" t="s">
        <v>64</v>
      </c>
      <c r="R2" s="27" t="s">
        <v>65</v>
      </c>
      <c r="S2" s="27" t="s">
        <v>66</v>
      </c>
      <c r="T2" s="207"/>
      <c r="U2" s="28"/>
      <c r="V2" s="19"/>
      <c r="X2" s="28"/>
      <c r="Y2" s="28"/>
      <c r="Z2" s="28"/>
      <c r="AA2" s="28"/>
      <c r="AB2" s="28"/>
      <c r="AC2" s="28"/>
      <c r="AD2" s="28"/>
      <c r="AE2" s="28"/>
    </row>
    <row r="3" spans="1:31" ht="15.75" customHeight="1" x14ac:dyDescent="0.25">
      <c r="A3" s="103" t="s">
        <v>834</v>
      </c>
      <c r="B3" s="103" t="s">
        <v>68</v>
      </c>
      <c r="C3" s="280"/>
      <c r="D3" s="142">
        <v>0</v>
      </c>
      <c r="E3" s="142" t="e">
        <f>D3*#REF!</f>
        <v>#REF!</v>
      </c>
      <c r="F3" s="142" t="e">
        <f>D3*#REF!</f>
        <v>#REF!</v>
      </c>
      <c r="G3" s="142" t="e">
        <f>(D3*#REF!)*#REF!</f>
        <v>#REF!</v>
      </c>
      <c r="H3" s="33">
        <f t="shared" ref="H3:H15" si="0">IFERROR(((Q3-G3)/G3),0)</f>
        <v>0</v>
      </c>
      <c r="I3" s="16" t="e">
        <f t="shared" ref="I3:I15" si="1">Q3-G3</f>
        <v>#REF!</v>
      </c>
      <c r="J3" s="142" t="e">
        <f>(G3*#REF!)*#REF!</f>
        <v>#REF!</v>
      </c>
      <c r="K3" s="280"/>
      <c r="L3" s="216">
        <v>0</v>
      </c>
      <c r="M3" s="216">
        <v>2485155.7999999998</v>
      </c>
      <c r="N3" s="216">
        <f>VLOOKUP(A3,TB!A:F,4)</f>
        <v>2485143</v>
      </c>
      <c r="O3" s="216">
        <f>VLOOKUP(A3,TB!A:F,3)</f>
        <v>1932868.22</v>
      </c>
      <c r="P3" s="142">
        <f t="shared" ref="P3:P6" si="2">O3/20*26</f>
        <v>2512728.6859999998</v>
      </c>
      <c r="Q3" s="142">
        <v>2860000</v>
      </c>
      <c r="R3" s="281">
        <f>VLOOKUP(A3,TB!A:F,6)</f>
        <v>2860000</v>
      </c>
      <c r="S3" s="281">
        <f t="shared" ref="S3:S14" si="3">R3-Q3</f>
        <v>0</v>
      </c>
    </row>
    <row r="4" spans="1:31" ht="15.75" customHeight="1" x14ac:dyDescent="0.25">
      <c r="A4" s="103" t="s">
        <v>835</v>
      </c>
      <c r="B4" s="103" t="s">
        <v>70</v>
      </c>
      <c r="C4" s="323"/>
      <c r="D4" s="320">
        <v>0</v>
      </c>
      <c r="E4" s="142" t="e">
        <f>D4*#REF!</f>
        <v>#REF!</v>
      </c>
      <c r="F4" s="142" t="e">
        <f>D4*#REF!</f>
        <v>#REF!</v>
      </c>
      <c r="G4" s="142" t="e">
        <f>(D4*#REF!)*#REF!</f>
        <v>#REF!</v>
      </c>
      <c r="H4" s="33">
        <f t="shared" si="0"/>
        <v>0</v>
      </c>
      <c r="I4" s="16" t="e">
        <f t="shared" si="1"/>
        <v>#REF!</v>
      </c>
      <c r="J4" s="142" t="e">
        <f>(G4*#REF!)*#REF!</f>
        <v>#REF!</v>
      </c>
      <c r="K4" s="323"/>
      <c r="L4" s="319">
        <v>0</v>
      </c>
      <c r="M4" s="216">
        <v>166769.85999999999</v>
      </c>
      <c r="N4" s="216">
        <f>VLOOKUP(A4,TB!A:F,4)</f>
        <v>145000</v>
      </c>
      <c r="O4" s="216">
        <f>VLOOKUP(A4,TB!A:F,3)</f>
        <v>159214.01</v>
      </c>
      <c r="P4" s="142">
        <f t="shared" si="2"/>
        <v>206978.21300000002</v>
      </c>
      <c r="Q4" s="142">
        <v>145000</v>
      </c>
      <c r="R4" s="281">
        <f>VLOOKUP(A4,TB!A:F,6)</f>
        <v>145000</v>
      </c>
      <c r="S4" s="281">
        <f t="shared" si="3"/>
        <v>0</v>
      </c>
    </row>
    <row r="5" spans="1:31" ht="15.75" customHeight="1" x14ac:dyDescent="0.25">
      <c r="A5" s="103" t="s">
        <v>836</v>
      </c>
      <c r="B5" s="103" t="s">
        <v>132</v>
      </c>
      <c r="C5" s="280"/>
      <c r="D5" s="142">
        <v>0</v>
      </c>
      <c r="E5" s="142" t="e">
        <f>D5*#REF!</f>
        <v>#REF!</v>
      </c>
      <c r="F5" s="142" t="e">
        <f>D5*#REF!</f>
        <v>#REF!</v>
      </c>
      <c r="G5" s="142" t="e">
        <f>(D5*#REF!)*#REF!</f>
        <v>#REF!</v>
      </c>
      <c r="H5" s="33">
        <f t="shared" si="0"/>
        <v>0</v>
      </c>
      <c r="I5" s="16" t="e">
        <f t="shared" si="1"/>
        <v>#REF!</v>
      </c>
      <c r="J5" s="142" t="e">
        <f>(G5*#REF!)*#REF!</f>
        <v>#REF!</v>
      </c>
      <c r="K5" s="280"/>
      <c r="L5" s="216">
        <v>0</v>
      </c>
      <c r="M5" s="216">
        <v>0</v>
      </c>
      <c r="N5" s="216">
        <f>VLOOKUP(A5,TB!A:F,4)</f>
        <v>0</v>
      </c>
      <c r="O5" s="216">
        <f>VLOOKUP(A5,TB!A:F,3)</f>
        <v>1567.98</v>
      </c>
      <c r="P5" s="142">
        <f t="shared" si="2"/>
        <v>2038.374</v>
      </c>
      <c r="Q5" s="142">
        <v>31700</v>
      </c>
      <c r="R5" s="281">
        <f>VLOOKUP(A5,TB!A:F,6)</f>
        <v>31700</v>
      </c>
      <c r="S5" s="281">
        <f t="shared" si="3"/>
        <v>0</v>
      </c>
    </row>
    <row r="6" spans="1:31" ht="15.75" customHeight="1" x14ac:dyDescent="0.25">
      <c r="A6" s="103" t="s">
        <v>837</v>
      </c>
      <c r="B6" s="103" t="s">
        <v>72</v>
      </c>
      <c r="C6" s="280"/>
      <c r="D6" s="142">
        <v>0</v>
      </c>
      <c r="E6" s="142" t="e">
        <f>D6*#REF!</f>
        <v>#REF!</v>
      </c>
      <c r="F6" s="142" t="e">
        <f>D6*#REF!</f>
        <v>#REF!</v>
      </c>
      <c r="G6" s="142" t="e">
        <f>(D6*#REF!)*#REF!</f>
        <v>#REF!</v>
      </c>
      <c r="H6" s="33">
        <f t="shared" si="0"/>
        <v>0</v>
      </c>
      <c r="I6" s="16" t="e">
        <f t="shared" si="1"/>
        <v>#REF!</v>
      </c>
      <c r="J6" s="142" t="e">
        <f>(G6*#REF!)*#REF!</f>
        <v>#REF!</v>
      </c>
      <c r="K6" s="280"/>
      <c r="L6" s="216">
        <v>0</v>
      </c>
      <c r="M6" s="216">
        <v>1554656.99</v>
      </c>
      <c r="N6" s="216">
        <f>VLOOKUP(A6,TB!A:F,4)</f>
        <v>1950604</v>
      </c>
      <c r="O6" s="216">
        <f>VLOOKUP(A6,TB!A:F,3)</f>
        <v>1254923.0900000001</v>
      </c>
      <c r="P6" s="142">
        <f t="shared" si="2"/>
        <v>1631400.017</v>
      </c>
      <c r="Q6" s="142">
        <v>1880000</v>
      </c>
      <c r="R6" s="281">
        <f>VLOOKUP(A6,TB!A:F,6)</f>
        <v>1880000</v>
      </c>
      <c r="S6" s="281">
        <f t="shared" si="3"/>
        <v>0</v>
      </c>
    </row>
    <row r="7" spans="1:31" ht="15.75" customHeight="1" x14ac:dyDescent="0.25">
      <c r="A7" s="103" t="s">
        <v>838</v>
      </c>
      <c r="B7" s="103" t="s">
        <v>451</v>
      </c>
      <c r="C7" s="280"/>
      <c r="D7" s="142">
        <v>0</v>
      </c>
      <c r="E7" s="142" t="e">
        <f>D7*#REF!</f>
        <v>#REF!</v>
      </c>
      <c r="F7" s="142" t="e">
        <f>D7*#REF!</f>
        <v>#REF!</v>
      </c>
      <c r="G7" s="142" t="e">
        <f>(D7*#REF!)*#REF!</f>
        <v>#REF!</v>
      </c>
      <c r="H7" s="33">
        <f t="shared" si="0"/>
        <v>0</v>
      </c>
      <c r="I7" s="16" t="e">
        <f t="shared" si="1"/>
        <v>#REF!</v>
      </c>
      <c r="J7" s="142" t="e">
        <f>(G7*#REF!)*#REF!</f>
        <v>#REF!</v>
      </c>
      <c r="K7" s="280"/>
      <c r="L7" s="216">
        <v>0</v>
      </c>
      <c r="M7" s="216">
        <v>19195.009999999998</v>
      </c>
      <c r="N7" s="216">
        <f>VLOOKUP(A7,TB!A:F,4)</f>
        <v>15900</v>
      </c>
      <c r="O7" s="216">
        <f>VLOOKUP(A7,TB!A:F,3)</f>
        <v>14457.6</v>
      </c>
      <c r="P7" s="142">
        <f>N7</f>
        <v>15900</v>
      </c>
      <c r="Q7" s="142">
        <v>15900</v>
      </c>
      <c r="R7" s="281">
        <f>VLOOKUP(A7,TB!A:F,6)</f>
        <v>15900</v>
      </c>
      <c r="S7" s="281">
        <f t="shared" si="3"/>
        <v>0</v>
      </c>
    </row>
    <row r="8" spans="1:31" ht="15.75" customHeight="1" x14ac:dyDescent="0.25">
      <c r="A8" s="103" t="s">
        <v>839</v>
      </c>
      <c r="B8" s="103" t="s">
        <v>74</v>
      </c>
      <c r="C8" s="323"/>
      <c r="D8" s="320">
        <v>0</v>
      </c>
      <c r="E8" s="142" t="e">
        <f>D8*#REF!</f>
        <v>#REF!</v>
      </c>
      <c r="F8" s="142" t="e">
        <f>D8*#REF!</f>
        <v>#REF!</v>
      </c>
      <c r="G8" s="142" t="e">
        <f>(D8*#REF!)*#REF!</f>
        <v>#REF!</v>
      </c>
      <c r="H8" s="33">
        <f t="shared" si="0"/>
        <v>0</v>
      </c>
      <c r="I8" s="16" t="e">
        <f t="shared" si="1"/>
        <v>#REF!</v>
      </c>
      <c r="J8" s="142" t="e">
        <f>(G8*#REF!)*#REF!</f>
        <v>#REF!</v>
      </c>
      <c r="K8" s="323"/>
      <c r="L8" s="216">
        <v>0</v>
      </c>
      <c r="M8" s="216">
        <v>942.98</v>
      </c>
      <c r="N8" s="216">
        <f>VLOOKUP(A8,TB!A:F,4)</f>
        <v>1500</v>
      </c>
      <c r="O8" s="216">
        <f>VLOOKUP(A8,TB!A:F,3)</f>
        <v>523.73</v>
      </c>
      <c r="P8" s="142">
        <f>O8/9*12</f>
        <v>698.30666666666673</v>
      </c>
      <c r="Q8" s="142">
        <v>1800</v>
      </c>
      <c r="R8" s="281">
        <f>VLOOKUP(A8,TB!A:F,6)</f>
        <v>1800</v>
      </c>
      <c r="S8" s="281">
        <f t="shared" si="3"/>
        <v>0</v>
      </c>
    </row>
    <row r="9" spans="1:31" ht="15.75" customHeight="1" x14ac:dyDescent="0.25">
      <c r="A9" s="103" t="s">
        <v>840</v>
      </c>
      <c r="B9" s="103" t="s">
        <v>76</v>
      </c>
      <c r="C9" s="280"/>
      <c r="D9" s="142">
        <v>0</v>
      </c>
      <c r="E9" s="142" t="e">
        <f>D9*#REF!</f>
        <v>#REF!</v>
      </c>
      <c r="F9" s="142" t="e">
        <f>D9*#REF!</f>
        <v>#REF!</v>
      </c>
      <c r="G9" s="142" t="e">
        <f>(D9*#REF!)*#REF!</f>
        <v>#REF!</v>
      </c>
      <c r="H9" s="33">
        <f t="shared" si="0"/>
        <v>0</v>
      </c>
      <c r="I9" s="16" t="e">
        <f t="shared" si="1"/>
        <v>#REF!</v>
      </c>
      <c r="J9" s="142" t="e">
        <f>(G9*#REF!)*#REF!</f>
        <v>#REF!</v>
      </c>
      <c r="K9" s="280"/>
      <c r="L9" s="216">
        <v>0</v>
      </c>
      <c r="M9" s="216">
        <v>37612.800000000003</v>
      </c>
      <c r="N9" s="216">
        <f>VLOOKUP(A9,TB!A:F,4)</f>
        <v>32000</v>
      </c>
      <c r="O9" s="216">
        <f>VLOOKUP(A9,TB!A:F,3)</f>
        <v>26577.68</v>
      </c>
      <c r="P9" s="272">
        <f>N9</f>
        <v>32000</v>
      </c>
      <c r="Q9" s="142">
        <v>20000</v>
      </c>
      <c r="R9" s="281">
        <f>VLOOKUP(A9,TB!A:F,6)</f>
        <v>20000</v>
      </c>
      <c r="S9" s="281">
        <f t="shared" si="3"/>
        <v>0</v>
      </c>
    </row>
    <row r="10" spans="1:31" ht="15.75" customHeight="1" x14ac:dyDescent="0.25">
      <c r="A10" s="103" t="s">
        <v>841</v>
      </c>
      <c r="B10" s="103" t="s">
        <v>80</v>
      </c>
      <c r="C10" s="280"/>
      <c r="D10" s="142">
        <v>0</v>
      </c>
      <c r="E10" s="142" t="e">
        <f>D10*#REF!</f>
        <v>#REF!</v>
      </c>
      <c r="F10" s="142" t="e">
        <f>D10*#REF!</f>
        <v>#REF!</v>
      </c>
      <c r="G10" s="142" t="e">
        <f>(D10*#REF!)*#REF!</f>
        <v>#REF!</v>
      </c>
      <c r="H10" s="33">
        <f t="shared" si="0"/>
        <v>0</v>
      </c>
      <c r="I10" s="16" t="e">
        <f t="shared" si="1"/>
        <v>#REF!</v>
      </c>
      <c r="J10" s="142" t="e">
        <f>(G10*#REF!)*#REF!</f>
        <v>#REF!</v>
      </c>
      <c r="K10" s="280"/>
      <c r="L10" s="216">
        <v>0</v>
      </c>
      <c r="M10" s="216">
        <v>0</v>
      </c>
      <c r="N10" s="216">
        <f>VLOOKUP(A10,TB!A:F,4)</f>
        <v>1500</v>
      </c>
      <c r="O10" s="216">
        <f>VLOOKUP(A10,TB!A:F,3)</f>
        <v>3205.53</v>
      </c>
      <c r="P10" s="272">
        <f>O10</f>
        <v>3205.53</v>
      </c>
      <c r="Q10" s="142">
        <v>2000</v>
      </c>
      <c r="R10" s="281">
        <f>VLOOKUP(A10,TB!A:F,6)</f>
        <v>2000</v>
      </c>
      <c r="S10" s="281">
        <f t="shared" si="3"/>
        <v>0</v>
      </c>
    </row>
    <row r="11" spans="1:31" ht="15.75" customHeight="1" x14ac:dyDescent="0.25">
      <c r="A11" s="103" t="s">
        <v>842</v>
      </c>
      <c r="B11" s="103" t="s">
        <v>115</v>
      </c>
      <c r="C11" s="280"/>
      <c r="D11" s="142">
        <v>0</v>
      </c>
      <c r="E11" s="142" t="e">
        <f>D11*#REF!</f>
        <v>#REF!</v>
      </c>
      <c r="F11" s="142" t="e">
        <f>D11*#REF!</f>
        <v>#REF!</v>
      </c>
      <c r="G11" s="142" t="e">
        <f>(D11*#REF!)*#REF!</f>
        <v>#REF!</v>
      </c>
      <c r="H11" s="33">
        <f t="shared" si="0"/>
        <v>0</v>
      </c>
      <c r="I11" s="16" t="e">
        <f t="shared" si="1"/>
        <v>#REF!</v>
      </c>
      <c r="J11" s="142" t="e">
        <f>(G11*#REF!)*#REF!</f>
        <v>#REF!</v>
      </c>
      <c r="K11" s="280"/>
      <c r="L11" s="216">
        <v>0</v>
      </c>
      <c r="M11" s="216">
        <v>38046.17</v>
      </c>
      <c r="N11" s="216">
        <f>VLOOKUP(A11,TB!A:F,4)</f>
        <v>57500</v>
      </c>
      <c r="O11" s="216">
        <f>VLOOKUP(A11,TB!A:F,3)</f>
        <v>38323.9</v>
      </c>
      <c r="P11" s="272">
        <f t="shared" ref="P11:P14" si="4">N11</f>
        <v>57500</v>
      </c>
      <c r="Q11" s="142">
        <v>29500</v>
      </c>
      <c r="R11" s="281">
        <f>VLOOKUP(A11,TB!A:F,6)</f>
        <v>29500</v>
      </c>
      <c r="S11" s="281">
        <f t="shared" si="3"/>
        <v>0</v>
      </c>
    </row>
    <row r="12" spans="1:31" ht="15.75" customHeight="1" x14ac:dyDescent="0.25">
      <c r="A12" s="103" t="s">
        <v>843</v>
      </c>
      <c r="B12" s="103" t="s">
        <v>90</v>
      </c>
      <c r="C12" s="323"/>
      <c r="D12" s="320">
        <v>0</v>
      </c>
      <c r="E12" s="142" t="e">
        <f>D12*#REF!</f>
        <v>#REF!</v>
      </c>
      <c r="F12" s="142" t="e">
        <f>D12*#REF!</f>
        <v>#REF!</v>
      </c>
      <c r="G12" s="142" t="e">
        <f>(D12*#REF!)*#REF!</f>
        <v>#REF!</v>
      </c>
      <c r="H12" s="33">
        <f t="shared" si="0"/>
        <v>0</v>
      </c>
      <c r="I12" s="16" t="e">
        <f t="shared" si="1"/>
        <v>#REF!</v>
      </c>
      <c r="J12" s="142" t="e">
        <f>(G12*#REF!)*#REF!</f>
        <v>#REF!</v>
      </c>
      <c r="K12" s="323"/>
      <c r="L12" s="319">
        <v>0</v>
      </c>
      <c r="M12" s="216">
        <v>40407.46</v>
      </c>
      <c r="N12" s="216">
        <f>VLOOKUP(A12,TB!A:F,4)</f>
        <v>35000</v>
      </c>
      <c r="O12" s="216">
        <f>VLOOKUP(A12,TB!A:F,3)</f>
        <v>26921.1</v>
      </c>
      <c r="P12" s="272">
        <f t="shared" si="4"/>
        <v>35000</v>
      </c>
      <c r="Q12" s="142">
        <v>25000</v>
      </c>
      <c r="R12" s="281">
        <f>VLOOKUP(A12,TB!A:F,6)</f>
        <v>25000</v>
      </c>
      <c r="S12" s="281">
        <f t="shared" si="3"/>
        <v>0</v>
      </c>
    </row>
    <row r="13" spans="1:31" ht="15.75" customHeight="1" x14ac:dyDescent="0.25">
      <c r="A13" s="103" t="s">
        <v>844</v>
      </c>
      <c r="B13" s="103" t="s">
        <v>252</v>
      </c>
      <c r="C13" s="323"/>
      <c r="D13" s="320">
        <v>0</v>
      </c>
      <c r="E13" s="142" t="e">
        <f>D13*#REF!</f>
        <v>#REF!</v>
      </c>
      <c r="F13" s="142" t="e">
        <f>D13*#REF!</f>
        <v>#REF!</v>
      </c>
      <c r="G13" s="142" t="e">
        <f>(D13*#REF!)*#REF!</f>
        <v>#REF!</v>
      </c>
      <c r="H13" s="33">
        <f t="shared" si="0"/>
        <v>0</v>
      </c>
      <c r="I13" s="16" t="e">
        <f t="shared" si="1"/>
        <v>#REF!</v>
      </c>
      <c r="J13" s="142" t="e">
        <f>(G13*#REF!)*#REF!</f>
        <v>#REF!</v>
      </c>
      <c r="K13" s="323"/>
      <c r="L13" s="216">
        <v>65</v>
      </c>
      <c r="M13" s="216">
        <v>60270.63</v>
      </c>
      <c r="N13" s="216">
        <f>VLOOKUP(A13,TB!A:F,4)</f>
        <v>62000</v>
      </c>
      <c r="O13" s="216">
        <f>VLOOKUP(A13,TB!A:F,3)</f>
        <v>39407</v>
      </c>
      <c r="P13" s="272">
        <f t="shared" si="4"/>
        <v>62000</v>
      </c>
      <c r="Q13" s="142">
        <v>35000</v>
      </c>
      <c r="R13" s="281">
        <f>VLOOKUP(A13,TB!A:F,6)</f>
        <v>35000</v>
      </c>
      <c r="S13" s="281">
        <f t="shared" si="3"/>
        <v>0</v>
      </c>
    </row>
    <row r="14" spans="1:31" ht="15.75" customHeight="1" x14ac:dyDescent="0.25">
      <c r="A14" s="103" t="s">
        <v>845</v>
      </c>
      <c r="B14" s="103" t="s">
        <v>468</v>
      </c>
      <c r="C14" s="280"/>
      <c r="D14" s="142">
        <v>0</v>
      </c>
      <c r="E14" s="142" t="e">
        <f>D14*#REF!</f>
        <v>#REF!</v>
      </c>
      <c r="F14" s="142" t="e">
        <f>D14*#REF!</f>
        <v>#REF!</v>
      </c>
      <c r="G14" s="142" t="e">
        <f>(D14*#REF!)*#REF!</f>
        <v>#REF!</v>
      </c>
      <c r="H14" s="33">
        <f t="shared" si="0"/>
        <v>0</v>
      </c>
      <c r="I14" s="16" t="e">
        <f t="shared" si="1"/>
        <v>#REF!</v>
      </c>
      <c r="J14" s="142" t="e">
        <f>(G14*#REF!)*#REF!</f>
        <v>#REF!</v>
      </c>
      <c r="K14" s="280"/>
      <c r="L14" s="216">
        <v>0</v>
      </c>
      <c r="M14" s="216">
        <v>0</v>
      </c>
      <c r="N14" s="216">
        <f>VLOOKUP(A14,TB!A:F,4)</f>
        <v>12000</v>
      </c>
      <c r="O14" s="216">
        <f>VLOOKUP(A14,TB!A:F,3)</f>
        <v>8463.9599999999991</v>
      </c>
      <c r="P14" s="272">
        <f t="shared" si="4"/>
        <v>12000</v>
      </c>
      <c r="Q14" s="142">
        <v>16500</v>
      </c>
      <c r="R14" s="281">
        <f>VLOOKUP(A14,TB!A:F,6)</f>
        <v>16500</v>
      </c>
      <c r="S14" s="281">
        <f t="shared" si="3"/>
        <v>0</v>
      </c>
    </row>
    <row r="15" spans="1:31" ht="15.75" customHeight="1" x14ac:dyDescent="0.25">
      <c r="A15" s="47" t="s">
        <v>846</v>
      </c>
      <c r="B15" s="48"/>
      <c r="C15" s="325"/>
      <c r="D15" s="50">
        <f t="shared" ref="D15:G15" si="5">SUM(D2:D14)</f>
        <v>0</v>
      </c>
      <c r="E15" s="50" t="e">
        <f t="shared" si="5"/>
        <v>#REF!</v>
      </c>
      <c r="F15" s="50" t="e">
        <f t="shared" si="5"/>
        <v>#REF!</v>
      </c>
      <c r="G15" s="50" t="e">
        <f t="shared" si="5"/>
        <v>#REF!</v>
      </c>
      <c r="H15" s="122">
        <f t="shared" si="0"/>
        <v>0</v>
      </c>
      <c r="I15" s="50" t="e">
        <f t="shared" si="1"/>
        <v>#REF!</v>
      </c>
      <c r="J15" s="50" t="e">
        <f>SUM(J2:J14)</f>
        <v>#REF!</v>
      </c>
      <c r="K15" s="325"/>
      <c r="L15" s="12">
        <f t="shared" ref="L15:O15" si="6">SUM(L2:L14)</f>
        <v>65</v>
      </c>
      <c r="M15" s="12">
        <f t="shared" si="6"/>
        <v>4403057.6999999993</v>
      </c>
      <c r="N15" s="12">
        <f t="shared" si="6"/>
        <v>4798147</v>
      </c>
      <c r="O15" s="12">
        <f t="shared" si="6"/>
        <v>3506453.8</v>
      </c>
      <c r="P15" s="50">
        <f>SUM(P3:P14)</f>
        <v>4571449.126666666</v>
      </c>
      <c r="Q15" s="50">
        <f>SUM(Q2:Q14)</f>
        <v>5062400</v>
      </c>
      <c r="R15" s="221">
        <f>SUM(R3:R14)</f>
        <v>5062400</v>
      </c>
      <c r="S15" s="124">
        <f>Q15-R15</f>
        <v>0</v>
      </c>
      <c r="W15" s="44"/>
      <c r="X15" s="44"/>
      <c r="Y15" s="44"/>
      <c r="Z15" s="44"/>
      <c r="AA15" s="44"/>
      <c r="AB15" s="44"/>
      <c r="AC15" s="44"/>
      <c r="AD15" s="44"/>
      <c r="AE15" s="44"/>
    </row>
    <row r="16" spans="1:31" ht="15.75" customHeight="1" x14ac:dyDescent="0.2">
      <c r="A16" s="5"/>
      <c r="B16" s="5"/>
      <c r="C16" s="284"/>
      <c r="D16" s="5"/>
      <c r="E16" s="5"/>
      <c r="F16" s="5"/>
      <c r="G16" s="5"/>
      <c r="H16" s="5"/>
      <c r="I16" s="5"/>
      <c r="J16" s="5"/>
      <c r="K16" s="284"/>
      <c r="L16" s="5"/>
      <c r="M16" s="5"/>
      <c r="N16" s="5"/>
      <c r="O16" s="5"/>
      <c r="P16" s="5"/>
      <c r="Q16" s="5"/>
      <c r="R16" s="267"/>
      <c r="S16" s="267"/>
    </row>
    <row r="17" spans="1:30" ht="15.75" customHeight="1" x14ac:dyDescent="0.2">
      <c r="A17" s="11" t="s">
        <v>184</v>
      </c>
      <c r="B17" s="5"/>
      <c r="C17" s="284"/>
      <c r="D17" s="5"/>
      <c r="E17" s="5"/>
      <c r="F17" s="5"/>
      <c r="G17" s="5"/>
      <c r="H17" s="5"/>
      <c r="I17" s="5"/>
      <c r="J17" s="5"/>
      <c r="K17" s="284"/>
      <c r="L17" s="5"/>
      <c r="M17" s="5"/>
      <c r="N17" s="5"/>
      <c r="O17" s="5"/>
      <c r="P17" s="5"/>
      <c r="Q17" s="5"/>
      <c r="R17" s="267"/>
      <c r="S17" s="267"/>
    </row>
    <row r="18" spans="1:30" ht="15.75" customHeight="1" x14ac:dyDescent="0.25">
      <c r="A18" s="6" t="s">
        <v>847</v>
      </c>
      <c r="B18" s="6" t="s">
        <v>848</v>
      </c>
      <c r="C18" s="285"/>
      <c r="D18" s="16">
        <v>0</v>
      </c>
      <c r="E18" s="142" t="e">
        <f>D18*#REF!</f>
        <v>#REF!</v>
      </c>
      <c r="F18" s="142" t="e">
        <f>D18*#REF!</f>
        <v>#REF!</v>
      </c>
      <c r="G18" s="142" t="e">
        <f>(D18*#REF!)*#REF!</f>
        <v>#REF!</v>
      </c>
      <c r="H18" s="33">
        <f t="shared" ref="H18:H22" si="7">IFERROR(((Q18-G18)/G18),0)</f>
        <v>0</v>
      </c>
      <c r="I18" s="16" t="e">
        <f t="shared" ref="I18:I22" si="8">Q18-G18</f>
        <v>#REF!</v>
      </c>
      <c r="J18" s="142" t="e">
        <f>(G18*#REF!)*#REF!</f>
        <v>#REF!</v>
      </c>
      <c r="K18" s="285"/>
      <c r="L18" s="7">
        <v>0</v>
      </c>
      <c r="M18" s="7">
        <v>-196879.45</v>
      </c>
      <c r="N18" s="7">
        <v>-140000</v>
      </c>
      <c r="O18" s="216">
        <f>VLOOKUP(A18,TB!A:F,3)</f>
        <v>0</v>
      </c>
      <c r="P18" s="322">
        <f>N18</f>
        <v>-140000</v>
      </c>
      <c r="Q18" s="16">
        <v>-179500</v>
      </c>
      <c r="R18" s="281">
        <f>VLOOKUP(A18,TB!A:F,6)</f>
        <v>-179500</v>
      </c>
      <c r="S18" s="213">
        <f t="shared" ref="S18:S21" si="9">Q18-R18</f>
        <v>0</v>
      </c>
    </row>
    <row r="19" spans="1:30" ht="15.75" customHeight="1" x14ac:dyDescent="0.25">
      <c r="A19" s="6" t="s">
        <v>849</v>
      </c>
      <c r="B19" s="6" t="s">
        <v>850</v>
      </c>
      <c r="C19" s="285"/>
      <c r="D19" s="16">
        <v>0</v>
      </c>
      <c r="E19" s="142" t="e">
        <f>D19*#REF!</f>
        <v>#REF!</v>
      </c>
      <c r="F19" s="142" t="e">
        <f>D19*#REF!</f>
        <v>#REF!</v>
      </c>
      <c r="G19" s="142" t="e">
        <f>(D19*#REF!)*#REF!</f>
        <v>#REF!</v>
      </c>
      <c r="H19" s="33">
        <f t="shared" si="7"/>
        <v>0</v>
      </c>
      <c r="I19" s="16" t="e">
        <f t="shared" si="8"/>
        <v>#REF!</v>
      </c>
      <c r="J19" s="142" t="e">
        <f>(G19*#REF!)*#REF!</f>
        <v>#REF!</v>
      </c>
      <c r="K19" s="285"/>
      <c r="L19" s="7">
        <v>0</v>
      </c>
      <c r="M19" s="7">
        <v>-895194</v>
      </c>
      <c r="N19" s="7">
        <v>-974600</v>
      </c>
      <c r="O19" s="216">
        <f>VLOOKUP(A19,TB!A:F,3)</f>
        <v>-890106.5</v>
      </c>
      <c r="P19" s="16">
        <f>O19</f>
        <v>-890106.5</v>
      </c>
      <c r="Q19" s="16">
        <v>-1180800</v>
      </c>
      <c r="R19" s="281">
        <f>VLOOKUP(A19,TB!A:F,6)</f>
        <v>-1180800</v>
      </c>
      <c r="S19" s="213">
        <f t="shared" si="9"/>
        <v>0</v>
      </c>
    </row>
    <row r="20" spans="1:30" ht="15.75" customHeight="1" x14ac:dyDescent="0.25">
      <c r="A20" s="6" t="s">
        <v>851</v>
      </c>
      <c r="B20" s="6" t="s">
        <v>852</v>
      </c>
      <c r="C20" s="285"/>
      <c r="D20" s="16">
        <v>0</v>
      </c>
      <c r="E20" s="142" t="e">
        <f>D20*#REF!</f>
        <v>#REF!</v>
      </c>
      <c r="F20" s="142" t="e">
        <f>D20*#REF!</f>
        <v>#REF!</v>
      </c>
      <c r="G20" s="142" t="e">
        <f>(D20*#REF!)*#REF!</f>
        <v>#REF!</v>
      </c>
      <c r="H20" s="33">
        <f t="shared" si="7"/>
        <v>0</v>
      </c>
      <c r="I20" s="16" t="e">
        <f t="shared" si="8"/>
        <v>#REF!</v>
      </c>
      <c r="J20" s="142" t="e">
        <f>(G20*#REF!)*#REF!</f>
        <v>#REF!</v>
      </c>
      <c r="K20" s="285"/>
      <c r="L20" s="7">
        <v>0</v>
      </c>
      <c r="M20" s="7">
        <v>-46908.75</v>
      </c>
      <c r="N20" s="7">
        <v>-50000</v>
      </c>
      <c r="O20" s="216">
        <f>VLOOKUP(A20,TB!A:F,3)</f>
        <v>-42889.75</v>
      </c>
      <c r="P20" s="322">
        <f>N20</f>
        <v>-50000</v>
      </c>
      <c r="Q20" s="16">
        <v>-50000</v>
      </c>
      <c r="R20" s="281">
        <f>VLOOKUP(A20,TB!A:F,6)</f>
        <v>-50000</v>
      </c>
      <c r="S20" s="213">
        <f t="shared" si="9"/>
        <v>0</v>
      </c>
    </row>
    <row r="21" spans="1:30" ht="15.75" customHeight="1" x14ac:dyDescent="0.25">
      <c r="A21" s="6" t="s">
        <v>511</v>
      </c>
      <c r="B21" s="6" t="s">
        <v>853</v>
      </c>
      <c r="C21" s="285"/>
      <c r="D21" s="16">
        <v>0</v>
      </c>
      <c r="E21" s="142" t="e">
        <f>D21*#REF!</f>
        <v>#REF!</v>
      </c>
      <c r="F21" s="142" t="e">
        <f>D21*#REF!</f>
        <v>#REF!</v>
      </c>
      <c r="G21" s="142" t="e">
        <f>(D21*#REF!)*#REF!</f>
        <v>#REF!</v>
      </c>
      <c r="H21" s="33">
        <f t="shared" si="7"/>
        <v>0</v>
      </c>
      <c r="I21" s="16" t="e">
        <f t="shared" si="8"/>
        <v>#REF!</v>
      </c>
      <c r="J21" s="142" t="e">
        <f>(G21*#REF!)*#REF!</f>
        <v>#REF!</v>
      </c>
      <c r="K21" s="285"/>
      <c r="L21" s="7">
        <v>0</v>
      </c>
      <c r="M21" s="7">
        <v>0</v>
      </c>
      <c r="N21" s="7">
        <v>-19200</v>
      </c>
      <c r="O21" s="216">
        <f>VLOOKUP(A21,TB!A:F,3)</f>
        <v>-126509.97</v>
      </c>
      <c r="P21" s="16">
        <f>O21</f>
        <v>-126509.97</v>
      </c>
      <c r="Q21" s="16">
        <v>-69000</v>
      </c>
      <c r="R21" s="281">
        <f>Q21</f>
        <v>-69000</v>
      </c>
      <c r="S21" s="213">
        <f t="shared" si="9"/>
        <v>0</v>
      </c>
    </row>
    <row r="22" spans="1:30" ht="15.75" customHeight="1" x14ac:dyDescent="0.2">
      <c r="A22" s="11" t="s">
        <v>189</v>
      </c>
      <c r="B22" s="48"/>
      <c r="C22" s="282"/>
      <c r="D22" s="50">
        <f t="shared" ref="D22:G22" si="10">SUM(D18:D21)</f>
        <v>0</v>
      </c>
      <c r="E22" s="50" t="e">
        <f t="shared" si="10"/>
        <v>#REF!</v>
      </c>
      <c r="F22" s="50" t="e">
        <f t="shared" si="10"/>
        <v>#REF!</v>
      </c>
      <c r="G22" s="50" t="e">
        <f t="shared" si="10"/>
        <v>#REF!</v>
      </c>
      <c r="H22" s="42">
        <f t="shared" si="7"/>
        <v>0</v>
      </c>
      <c r="I22" s="50" t="e">
        <f t="shared" si="8"/>
        <v>#REF!</v>
      </c>
      <c r="J22" s="50" t="e">
        <f>SUM(J18:J21)</f>
        <v>#REF!</v>
      </c>
      <c r="K22" s="282"/>
      <c r="L22" s="12">
        <f t="shared" ref="L22:S22" si="11">SUM(L18:L21)</f>
        <v>0</v>
      </c>
      <c r="M22" s="12">
        <f t="shared" si="11"/>
        <v>-1138982.2</v>
      </c>
      <c r="N22" s="12">
        <f t="shared" si="11"/>
        <v>-1183800</v>
      </c>
      <c r="O22" s="12">
        <f t="shared" si="11"/>
        <v>-1059506.22</v>
      </c>
      <c r="P22" s="50">
        <f t="shared" si="11"/>
        <v>-1206616.47</v>
      </c>
      <c r="Q22" s="50">
        <f t="shared" si="11"/>
        <v>-1479300</v>
      </c>
      <c r="R22" s="12">
        <f t="shared" si="11"/>
        <v>-1479300</v>
      </c>
      <c r="S22" s="12">
        <f t="shared" si="11"/>
        <v>0</v>
      </c>
    </row>
    <row r="23" spans="1:30" ht="15.75" customHeight="1" x14ac:dyDescent="0.2">
      <c r="A23" s="5"/>
      <c r="B23" s="5"/>
      <c r="C23" s="284"/>
      <c r="D23" s="5"/>
      <c r="E23" s="5"/>
      <c r="F23" s="5"/>
      <c r="G23" s="5"/>
      <c r="H23" s="5"/>
      <c r="I23" s="5"/>
      <c r="J23" s="5"/>
      <c r="K23" s="284"/>
      <c r="L23" s="5"/>
      <c r="M23" s="5"/>
      <c r="N23" s="5"/>
      <c r="O23" s="5"/>
      <c r="P23" s="5"/>
      <c r="Q23" s="5"/>
      <c r="R23" s="267"/>
      <c r="S23" s="267"/>
    </row>
    <row r="24" spans="1:30" ht="15.75" customHeight="1" x14ac:dyDescent="0.2">
      <c r="A24" s="11" t="s">
        <v>190</v>
      </c>
      <c r="B24" s="6"/>
      <c r="C24" s="286"/>
      <c r="D24" s="178">
        <f t="shared" ref="D24:G24" si="12">D15+D22</f>
        <v>0</v>
      </c>
      <c r="E24" s="178" t="e">
        <f t="shared" si="12"/>
        <v>#REF!</v>
      </c>
      <c r="F24" s="178" t="e">
        <f t="shared" si="12"/>
        <v>#REF!</v>
      </c>
      <c r="G24" s="178" t="e">
        <f t="shared" si="12"/>
        <v>#REF!</v>
      </c>
      <c r="H24" s="273">
        <f>IFERROR(((Q24-G24)/G24),0)</f>
        <v>0</v>
      </c>
      <c r="I24" s="178" t="e">
        <f>Q24-G24</f>
        <v>#REF!</v>
      </c>
      <c r="J24" s="178" t="e">
        <f>J22+J20</f>
        <v>#REF!</v>
      </c>
      <c r="K24" s="286"/>
      <c r="L24" s="227">
        <f t="shared" ref="L24:R24" si="13">L15+L22</f>
        <v>65</v>
      </c>
      <c r="M24" s="227">
        <f t="shared" si="13"/>
        <v>3264075.4999999991</v>
      </c>
      <c r="N24" s="227">
        <f t="shared" si="13"/>
        <v>3614347</v>
      </c>
      <c r="O24" s="227">
        <f t="shared" si="13"/>
        <v>2446947.58</v>
      </c>
      <c r="P24" s="178">
        <f t="shared" si="13"/>
        <v>3364832.6566666663</v>
      </c>
      <c r="Q24" s="178">
        <f t="shared" si="13"/>
        <v>3583100</v>
      </c>
      <c r="R24" s="227">
        <f t="shared" si="13"/>
        <v>3583100</v>
      </c>
      <c r="S24" s="227">
        <f>Q24-R24</f>
        <v>0</v>
      </c>
      <c r="W24" s="56"/>
      <c r="X24" s="56"/>
      <c r="Y24" s="56"/>
      <c r="Z24" s="56"/>
      <c r="AA24" s="56"/>
      <c r="AB24" s="56"/>
      <c r="AC24" s="56"/>
      <c r="AD24" s="56"/>
    </row>
    <row r="25" spans="1:30" ht="15.75" customHeight="1" x14ac:dyDescent="0.2">
      <c r="C25" s="287"/>
      <c r="K25" s="287"/>
    </row>
    <row r="26" spans="1:30" ht="15.75" customHeight="1" x14ac:dyDescent="0.2">
      <c r="C26" s="287"/>
      <c r="K26" s="287"/>
    </row>
    <row r="27" spans="1:30" ht="15.75" customHeight="1" x14ac:dyDescent="0.2">
      <c r="C27" s="288"/>
      <c r="K27" s="288"/>
      <c r="L27" s="61">
        <f t="shared" ref="L27:R27" si="14">L1</f>
        <v>0</v>
      </c>
      <c r="M27" s="173">
        <f t="shared" si="14"/>
        <v>0</v>
      </c>
      <c r="N27" s="173">
        <f t="shared" si="14"/>
        <v>0</v>
      </c>
      <c r="O27" s="173">
        <f t="shared" si="14"/>
        <v>0</v>
      </c>
      <c r="P27" s="173">
        <f t="shared" si="14"/>
        <v>0</v>
      </c>
      <c r="Q27" s="173">
        <f t="shared" si="14"/>
        <v>0</v>
      </c>
      <c r="R27" s="173">
        <f t="shared" si="14"/>
        <v>0</v>
      </c>
      <c r="S27" s="57"/>
    </row>
    <row r="28" spans="1:30" ht="15.75" customHeight="1" x14ac:dyDescent="0.2">
      <c r="C28" s="289"/>
      <c r="K28" s="289"/>
      <c r="L28" s="63">
        <f t="shared" ref="L28:R28" si="15">L24</f>
        <v>65</v>
      </c>
      <c r="M28" s="63">
        <f t="shared" si="15"/>
        <v>3264075.4999999991</v>
      </c>
      <c r="N28" s="63">
        <f t="shared" si="15"/>
        <v>3614347</v>
      </c>
      <c r="O28" s="63">
        <f t="shared" si="15"/>
        <v>2446947.58</v>
      </c>
      <c r="P28" s="63">
        <f t="shared" si="15"/>
        <v>3364832.6566666663</v>
      </c>
      <c r="Q28" s="63">
        <f t="shared" si="15"/>
        <v>3583100</v>
      </c>
      <c r="R28" s="63">
        <f t="shared" si="15"/>
        <v>3583100</v>
      </c>
    </row>
    <row r="29" spans="1:30" ht="15.75" customHeight="1" x14ac:dyDescent="0.2">
      <c r="C29" s="287"/>
      <c r="K29" s="287"/>
    </row>
    <row r="30" spans="1:30" ht="15.75" customHeight="1" x14ac:dyDescent="0.2">
      <c r="C30" s="287"/>
      <c r="K30" s="287"/>
    </row>
    <row r="31" spans="1:30" ht="15.75" customHeight="1" x14ac:dyDescent="0.2">
      <c r="C31" s="287"/>
      <c r="K31" s="287"/>
    </row>
    <row r="32" spans="1:30" ht="15.75" customHeight="1" x14ac:dyDescent="0.2">
      <c r="C32" s="287"/>
      <c r="K32" s="287"/>
    </row>
    <row r="33" spans="3:11" ht="15.75" customHeight="1" x14ac:dyDescent="0.2">
      <c r="C33" s="287"/>
      <c r="K33" s="287"/>
    </row>
    <row r="34" spans="3:11" ht="15.75" customHeight="1" x14ac:dyDescent="0.2">
      <c r="C34" s="287"/>
      <c r="K34" s="287"/>
    </row>
    <row r="35" spans="3:11" ht="15.75" customHeight="1" x14ac:dyDescent="0.2">
      <c r="C35" s="287"/>
      <c r="K35" s="287"/>
    </row>
    <row r="36" spans="3:11" ht="15.75" customHeight="1" x14ac:dyDescent="0.2">
      <c r="C36" s="287"/>
      <c r="K36" s="287"/>
    </row>
    <row r="37" spans="3:11" ht="15.75" customHeight="1" x14ac:dyDescent="0.2">
      <c r="C37" s="287"/>
      <c r="K37" s="287"/>
    </row>
    <row r="38" spans="3:11" ht="15.75" customHeight="1" x14ac:dyDescent="0.2">
      <c r="C38" s="287"/>
      <c r="K38" s="287"/>
    </row>
    <row r="39" spans="3:11" ht="15.75" customHeight="1" x14ac:dyDescent="0.2">
      <c r="C39" s="287"/>
      <c r="K39" s="287"/>
    </row>
    <row r="40" spans="3:11" ht="15.75" customHeight="1" x14ac:dyDescent="0.2">
      <c r="C40" s="287"/>
      <c r="K40" s="287"/>
    </row>
    <row r="41" spans="3:11" ht="15.75" customHeight="1" x14ac:dyDescent="0.2">
      <c r="C41" s="287"/>
      <c r="K41" s="287"/>
    </row>
    <row r="42" spans="3:11" ht="15.75" customHeight="1" x14ac:dyDescent="0.2">
      <c r="C42" s="287"/>
      <c r="K42" s="287"/>
    </row>
    <row r="43" spans="3:11" ht="15.75" customHeight="1" x14ac:dyDescent="0.2">
      <c r="C43" s="287"/>
      <c r="K43" s="287"/>
    </row>
    <row r="44" spans="3:11" ht="15.75" customHeight="1" x14ac:dyDescent="0.2">
      <c r="C44" s="287"/>
      <c r="K44" s="287"/>
    </row>
    <row r="45" spans="3:11" ht="15.75" customHeight="1" x14ac:dyDescent="0.2">
      <c r="C45" s="287"/>
      <c r="K45" s="287"/>
    </row>
    <row r="46" spans="3:11" ht="15.75" customHeight="1" x14ac:dyDescent="0.2">
      <c r="C46" s="287"/>
      <c r="K46" s="287"/>
    </row>
    <row r="47" spans="3:11" ht="15.75" customHeight="1" x14ac:dyDescent="0.2">
      <c r="C47" s="287"/>
      <c r="K47" s="287"/>
    </row>
    <row r="48" spans="3:11" ht="15.75" customHeight="1" x14ac:dyDescent="0.2">
      <c r="C48" s="287"/>
      <c r="K48" s="287"/>
    </row>
    <row r="49" spans="3:11" ht="15.75" customHeight="1" x14ac:dyDescent="0.2">
      <c r="C49" s="287"/>
      <c r="K49" s="287"/>
    </row>
    <row r="50" spans="3:11" ht="15.75" customHeight="1" x14ac:dyDescent="0.2">
      <c r="C50" s="287"/>
      <c r="K50" s="287"/>
    </row>
    <row r="51" spans="3:11" ht="15.75" customHeight="1" x14ac:dyDescent="0.2">
      <c r="C51" s="287"/>
      <c r="K51" s="287"/>
    </row>
    <row r="52" spans="3:11" ht="15.75" customHeight="1" x14ac:dyDescent="0.2">
      <c r="C52" s="287"/>
      <c r="K52" s="287"/>
    </row>
    <row r="53" spans="3:11" ht="15.75" customHeight="1" x14ac:dyDescent="0.2">
      <c r="C53" s="287"/>
      <c r="K53" s="287"/>
    </row>
    <row r="54" spans="3:11" ht="15.75" customHeight="1" x14ac:dyDescent="0.2">
      <c r="C54" s="287"/>
      <c r="K54" s="287"/>
    </row>
    <row r="55" spans="3:11" ht="15.75" customHeight="1" x14ac:dyDescent="0.2">
      <c r="C55" s="287"/>
      <c r="K55" s="287"/>
    </row>
    <row r="56" spans="3:11" ht="15.75" customHeight="1" x14ac:dyDescent="0.2">
      <c r="C56" s="287"/>
      <c r="K56" s="287"/>
    </row>
    <row r="57" spans="3:11" ht="15.75" customHeight="1" x14ac:dyDescent="0.2">
      <c r="C57" s="287"/>
      <c r="K57" s="287"/>
    </row>
    <row r="58" spans="3:11" ht="15.75" customHeight="1" x14ac:dyDescent="0.2">
      <c r="C58" s="287"/>
      <c r="K58" s="287"/>
    </row>
    <row r="59" spans="3:11" ht="15.75" customHeight="1" x14ac:dyDescent="0.2">
      <c r="C59" s="287"/>
      <c r="K59" s="287"/>
    </row>
    <row r="60" spans="3:11" ht="15.75" customHeight="1" x14ac:dyDescent="0.2">
      <c r="C60" s="287"/>
      <c r="K60" s="287"/>
    </row>
    <row r="61" spans="3:11" ht="15.75" customHeight="1" x14ac:dyDescent="0.2">
      <c r="C61" s="287"/>
      <c r="K61" s="287"/>
    </row>
    <row r="62" spans="3:11" ht="15.75" customHeight="1" x14ac:dyDescent="0.2">
      <c r="C62" s="287"/>
      <c r="K62" s="287"/>
    </row>
    <row r="63" spans="3:11" ht="15.75" customHeight="1" x14ac:dyDescent="0.2">
      <c r="C63" s="287"/>
      <c r="K63" s="287"/>
    </row>
    <row r="64" spans="3:11" ht="15.75" customHeight="1" x14ac:dyDescent="0.2">
      <c r="C64" s="287"/>
      <c r="K64" s="287"/>
    </row>
    <row r="65" spans="1:31" ht="28.5" customHeight="1" x14ac:dyDescent="0.25">
      <c r="A65" s="504" t="s">
        <v>2436</v>
      </c>
      <c r="B65" s="505"/>
      <c r="C65" s="506"/>
      <c r="D65" s="479"/>
      <c r="E65" s="479"/>
      <c r="F65" s="479"/>
      <c r="G65" s="479"/>
      <c r="H65" s="507"/>
      <c r="I65" s="479"/>
      <c r="J65" s="479"/>
      <c r="K65" s="506"/>
      <c r="L65" s="463"/>
      <c r="M65" s="463"/>
      <c r="N65" s="463"/>
      <c r="O65" s="463"/>
      <c r="P65" s="463"/>
      <c r="Q65" s="463"/>
      <c r="R65" s="463"/>
      <c r="S65" s="463"/>
      <c r="T65" s="206"/>
      <c r="W65" s="19"/>
      <c r="X65" s="20"/>
    </row>
    <row r="66" spans="1:31" ht="50.25" customHeight="1" x14ac:dyDescent="0.2">
      <c r="A66" s="508" t="s">
        <v>50</v>
      </c>
      <c r="B66" s="508" t="s">
        <v>51</v>
      </c>
      <c r="C66" s="509"/>
      <c r="D66" s="510" t="s">
        <v>52</v>
      </c>
      <c r="E66" s="473" t="s">
        <v>53</v>
      </c>
      <c r="F66" s="473" t="s">
        <v>54</v>
      </c>
      <c r="G66" s="473" t="s">
        <v>55</v>
      </c>
      <c r="H66" s="472" t="s">
        <v>56</v>
      </c>
      <c r="I66" s="473" t="s">
        <v>57</v>
      </c>
      <c r="J66" s="474" t="s">
        <v>58</v>
      </c>
      <c r="K66" s="511"/>
      <c r="L66" s="476" t="s">
        <v>59</v>
      </c>
      <c r="M66" s="476" t="s">
        <v>60</v>
      </c>
      <c r="N66" s="476" t="s">
        <v>61</v>
      </c>
      <c r="O66" s="476" t="s">
        <v>62</v>
      </c>
      <c r="P66" s="476" t="s">
        <v>63</v>
      </c>
      <c r="Q66" s="476" t="s">
        <v>64</v>
      </c>
      <c r="R66" s="476" t="s">
        <v>65</v>
      </c>
      <c r="S66" s="476" t="s">
        <v>66</v>
      </c>
      <c r="T66" s="207"/>
      <c r="U66" s="28"/>
      <c r="V66" s="19"/>
      <c r="X66" s="28"/>
      <c r="Y66" s="28"/>
      <c r="Z66" s="28"/>
      <c r="AA66" s="28"/>
      <c r="AB66" s="28"/>
      <c r="AC66" s="28"/>
      <c r="AD66" s="28"/>
      <c r="AE66" s="28"/>
    </row>
    <row r="67" spans="1:31" ht="15.75" customHeight="1" x14ac:dyDescent="0.25">
      <c r="A67" s="512" t="s">
        <v>777</v>
      </c>
      <c r="B67" s="512" t="s">
        <v>68</v>
      </c>
      <c r="C67" s="513"/>
      <c r="D67" s="514">
        <v>61497</v>
      </c>
      <c r="E67" s="514" t="e">
        <f>D67*#REF!</f>
        <v>#REF!</v>
      </c>
      <c r="F67" s="514" t="e">
        <f>D67*#REF!</f>
        <v>#REF!</v>
      </c>
      <c r="G67" s="514" t="e">
        <f>(D67*#REF!)*#REF!</f>
        <v>#REF!</v>
      </c>
      <c r="H67" s="515">
        <f t="shared" ref="H67:H86" si="16">IFERROR(((Q67-G67)/G67),0)</f>
        <v>0</v>
      </c>
      <c r="I67" s="479" t="e">
        <f t="shared" ref="I67:I86" si="17">Q67-G67</f>
        <v>#REF!</v>
      </c>
      <c r="J67" s="507">
        <v>0</v>
      </c>
      <c r="K67" s="513"/>
      <c r="L67" s="516">
        <v>72451</v>
      </c>
      <c r="M67" s="516">
        <v>73886.2</v>
      </c>
      <c r="N67" s="516">
        <v>78302</v>
      </c>
      <c r="O67" s="516">
        <f>VLOOKUP(A67,TB!A:F,3)</f>
        <v>59240.800000000003</v>
      </c>
      <c r="P67" s="514">
        <f t="shared" ref="P67:P70" si="18">O67/20*26</f>
        <v>77013.039999999994</v>
      </c>
      <c r="Q67" s="514">
        <v>85200</v>
      </c>
      <c r="R67" s="517">
        <f>VLOOKUP(A67,TB!A:F,6)</f>
        <v>85200</v>
      </c>
      <c r="S67" s="517">
        <f t="shared" ref="S67:S85" si="19">Q67-R67</f>
        <v>0</v>
      </c>
    </row>
    <row r="68" spans="1:31" ht="15.75" customHeight="1" x14ac:dyDescent="0.25">
      <c r="A68" s="512" t="s">
        <v>778</v>
      </c>
      <c r="B68" s="512" t="s">
        <v>70</v>
      </c>
      <c r="C68" s="513"/>
      <c r="D68" s="514">
        <v>0</v>
      </c>
      <c r="E68" s="514" t="e">
        <f>D68*#REF!</f>
        <v>#REF!</v>
      </c>
      <c r="F68" s="514" t="e">
        <f>D68*#REF!</f>
        <v>#REF!</v>
      </c>
      <c r="G68" s="514" t="e">
        <f>(D68*#REF!)*#REF!</f>
        <v>#REF!</v>
      </c>
      <c r="H68" s="515">
        <f t="shared" si="16"/>
        <v>0</v>
      </c>
      <c r="I68" s="479" t="e">
        <f t="shared" si="17"/>
        <v>#REF!</v>
      </c>
      <c r="J68" s="507">
        <v>0</v>
      </c>
      <c r="K68" s="513"/>
      <c r="L68" s="516">
        <v>0</v>
      </c>
      <c r="M68" s="516">
        <v>0</v>
      </c>
      <c r="N68" s="516">
        <v>4000</v>
      </c>
      <c r="O68" s="516">
        <f>VLOOKUP(A68,TB!A:F,3)</f>
        <v>0</v>
      </c>
      <c r="P68" s="514">
        <f t="shared" si="18"/>
        <v>0</v>
      </c>
      <c r="Q68" s="514">
        <v>4000</v>
      </c>
      <c r="R68" s="517">
        <f>VLOOKUP(A68,TB!A:F,6)</f>
        <v>4000</v>
      </c>
      <c r="S68" s="517">
        <f t="shared" si="19"/>
        <v>0</v>
      </c>
    </row>
    <row r="69" spans="1:31" ht="15.75" customHeight="1" x14ac:dyDescent="0.25">
      <c r="A69" s="512" t="s">
        <v>779</v>
      </c>
      <c r="B69" s="512" t="s">
        <v>132</v>
      </c>
      <c r="C69" s="513"/>
      <c r="D69" s="514">
        <v>0</v>
      </c>
      <c r="E69" s="514" t="e">
        <f>D69*#REF!</f>
        <v>#REF!</v>
      </c>
      <c r="F69" s="514" t="e">
        <f>D69*#REF!</f>
        <v>#REF!</v>
      </c>
      <c r="G69" s="514" t="e">
        <f>(D69*#REF!)*#REF!</f>
        <v>#REF!</v>
      </c>
      <c r="H69" s="515">
        <f t="shared" si="16"/>
        <v>0</v>
      </c>
      <c r="I69" s="479" t="e">
        <f t="shared" si="17"/>
        <v>#REF!</v>
      </c>
      <c r="J69" s="507">
        <v>0</v>
      </c>
      <c r="K69" s="513"/>
      <c r="L69" s="516">
        <v>0</v>
      </c>
      <c r="M69" s="516">
        <v>18381.5</v>
      </c>
      <c r="N69" s="516">
        <v>24371</v>
      </c>
      <c r="O69" s="516">
        <f>VLOOKUP(A69,TB!A:F,3)</f>
        <v>1430</v>
      </c>
      <c r="P69" s="514">
        <f t="shared" si="18"/>
        <v>1859</v>
      </c>
      <c r="Q69" s="514">
        <v>26000</v>
      </c>
      <c r="R69" s="517">
        <f>VLOOKUP(A69,TB!A:F,6)</f>
        <v>26000</v>
      </c>
      <c r="S69" s="517">
        <f t="shared" si="19"/>
        <v>0</v>
      </c>
    </row>
    <row r="70" spans="1:31" ht="15.75" customHeight="1" x14ac:dyDescent="0.25">
      <c r="A70" s="512" t="s">
        <v>780</v>
      </c>
      <c r="B70" s="512" t="s">
        <v>72</v>
      </c>
      <c r="C70" s="513"/>
      <c r="D70" s="514">
        <v>33572</v>
      </c>
      <c r="E70" s="514" t="e">
        <f>D70*#REF!</f>
        <v>#REF!</v>
      </c>
      <c r="F70" s="514" t="e">
        <f>D70*#REF!</f>
        <v>#REF!</v>
      </c>
      <c r="G70" s="514" t="e">
        <f>(D70*#REF!)*#REF!</f>
        <v>#REF!</v>
      </c>
      <c r="H70" s="515">
        <f t="shared" si="16"/>
        <v>0</v>
      </c>
      <c r="I70" s="479" t="e">
        <f t="shared" si="17"/>
        <v>#REF!</v>
      </c>
      <c r="J70" s="507">
        <v>0</v>
      </c>
      <c r="K70" s="513"/>
      <c r="L70" s="516">
        <v>39206</v>
      </c>
      <c r="M70" s="516">
        <v>46854.55</v>
      </c>
      <c r="N70" s="516">
        <v>55321</v>
      </c>
      <c r="O70" s="516">
        <f>VLOOKUP(A70,TB!A:F,3)</f>
        <v>33161.879999999997</v>
      </c>
      <c r="P70" s="514">
        <f t="shared" si="18"/>
        <v>43110.443999999996</v>
      </c>
      <c r="Q70" s="514">
        <v>50300</v>
      </c>
      <c r="R70" s="517">
        <f>VLOOKUP(A70,TB!A:F,6)</f>
        <v>50300</v>
      </c>
      <c r="S70" s="517">
        <f t="shared" si="19"/>
        <v>0</v>
      </c>
    </row>
    <row r="71" spans="1:31" ht="15.75" customHeight="1" x14ac:dyDescent="0.25">
      <c r="A71" s="512" t="s">
        <v>781</v>
      </c>
      <c r="B71" s="512" t="s">
        <v>74</v>
      </c>
      <c r="C71" s="513"/>
      <c r="D71" s="514">
        <v>789</v>
      </c>
      <c r="E71" s="514" t="e">
        <f>D71*#REF!</f>
        <v>#REF!</v>
      </c>
      <c r="F71" s="514" t="e">
        <f>D71*#REF!</f>
        <v>#REF!</v>
      </c>
      <c r="G71" s="514" t="e">
        <f>(D71*#REF!)*#REF!</f>
        <v>#REF!</v>
      </c>
      <c r="H71" s="515">
        <f t="shared" si="16"/>
        <v>0</v>
      </c>
      <c r="I71" s="479" t="e">
        <f t="shared" si="17"/>
        <v>#REF!</v>
      </c>
      <c r="J71" s="507">
        <v>0</v>
      </c>
      <c r="K71" s="513"/>
      <c r="L71" s="516">
        <v>279</v>
      </c>
      <c r="M71" s="516">
        <v>439</v>
      </c>
      <c r="N71" s="516">
        <v>2500</v>
      </c>
      <c r="O71" s="516">
        <f>VLOOKUP(A71,TB!A:F,3)</f>
        <v>80</v>
      </c>
      <c r="P71" s="518">
        <f t="shared" ref="P71:P72" si="20">N71</f>
        <v>2500</v>
      </c>
      <c r="Q71" s="514">
        <v>1000</v>
      </c>
      <c r="R71" s="517">
        <f>VLOOKUP(A71,TB!A:F,6)</f>
        <v>1000</v>
      </c>
      <c r="S71" s="517">
        <f t="shared" si="19"/>
        <v>0</v>
      </c>
    </row>
    <row r="72" spans="1:31" ht="15.75" customHeight="1" x14ac:dyDescent="0.25">
      <c r="A72" s="512" t="s">
        <v>782</v>
      </c>
      <c r="B72" s="512" t="s">
        <v>76</v>
      </c>
      <c r="C72" s="513"/>
      <c r="D72" s="514">
        <v>113</v>
      </c>
      <c r="E72" s="514" t="e">
        <f>D72*#REF!</f>
        <v>#REF!</v>
      </c>
      <c r="F72" s="514" t="e">
        <f>D72*#REF!</f>
        <v>#REF!</v>
      </c>
      <c r="G72" s="514" t="e">
        <f>(D72*#REF!)*#REF!</f>
        <v>#REF!</v>
      </c>
      <c r="H72" s="515">
        <f t="shared" si="16"/>
        <v>0</v>
      </c>
      <c r="I72" s="479" t="e">
        <f t="shared" si="17"/>
        <v>#REF!</v>
      </c>
      <c r="J72" s="507">
        <v>0</v>
      </c>
      <c r="K72" s="513"/>
      <c r="L72" s="516">
        <v>0</v>
      </c>
      <c r="M72" s="516">
        <v>1177</v>
      </c>
      <c r="N72" s="516">
        <v>3500</v>
      </c>
      <c r="O72" s="516">
        <f>VLOOKUP(A72,TB!A:F,3)</f>
        <v>143.81</v>
      </c>
      <c r="P72" s="518">
        <f t="shared" si="20"/>
        <v>3500</v>
      </c>
      <c r="Q72" s="514">
        <v>3500</v>
      </c>
      <c r="R72" s="517">
        <f>VLOOKUP(A72,TB!A:F,6)</f>
        <v>3500</v>
      </c>
      <c r="S72" s="517">
        <f t="shared" si="19"/>
        <v>0</v>
      </c>
    </row>
    <row r="73" spans="1:31" ht="15.75" customHeight="1" x14ac:dyDescent="0.25">
      <c r="A73" s="512" t="s">
        <v>783</v>
      </c>
      <c r="B73" s="512" t="s">
        <v>80</v>
      </c>
      <c r="C73" s="513"/>
      <c r="D73" s="514">
        <v>465</v>
      </c>
      <c r="E73" s="514" t="e">
        <f>D73*#REF!</f>
        <v>#REF!</v>
      </c>
      <c r="F73" s="514" t="e">
        <f>D73*#REF!</f>
        <v>#REF!</v>
      </c>
      <c r="G73" s="514" t="e">
        <f>(D73*#REF!)*#REF!</f>
        <v>#REF!</v>
      </c>
      <c r="H73" s="515">
        <f t="shared" si="16"/>
        <v>0</v>
      </c>
      <c r="I73" s="479" t="e">
        <f t="shared" si="17"/>
        <v>#REF!</v>
      </c>
      <c r="J73" s="507">
        <v>0</v>
      </c>
      <c r="K73" s="513"/>
      <c r="L73" s="516">
        <v>0</v>
      </c>
      <c r="M73" s="516">
        <v>566.62</v>
      </c>
      <c r="N73" s="516">
        <v>1000</v>
      </c>
      <c r="O73" s="516">
        <f>VLOOKUP(A73,TB!A:F,3)</f>
        <v>1146.07</v>
      </c>
      <c r="P73" s="518">
        <f>O73/9*12</f>
        <v>1528.0933333333332</v>
      </c>
      <c r="Q73" s="514">
        <v>1500</v>
      </c>
      <c r="R73" s="517">
        <f>VLOOKUP(A73,TB!A:F,6)</f>
        <v>1500</v>
      </c>
      <c r="S73" s="517">
        <f t="shared" si="19"/>
        <v>0</v>
      </c>
    </row>
    <row r="74" spans="1:31" ht="15.75" customHeight="1" x14ac:dyDescent="0.25">
      <c r="A74" s="512" t="s">
        <v>784</v>
      </c>
      <c r="B74" s="512" t="s">
        <v>82</v>
      </c>
      <c r="C74" s="513"/>
      <c r="D74" s="514">
        <v>2844</v>
      </c>
      <c r="E74" s="514" t="e">
        <f>D74*#REF!</f>
        <v>#REF!</v>
      </c>
      <c r="F74" s="514" t="e">
        <f>D74*#REF!</f>
        <v>#REF!</v>
      </c>
      <c r="G74" s="514" t="e">
        <f>(D74*#REF!)*#REF!</f>
        <v>#REF!</v>
      </c>
      <c r="H74" s="515">
        <f t="shared" si="16"/>
        <v>0</v>
      </c>
      <c r="I74" s="479" t="e">
        <f t="shared" si="17"/>
        <v>#REF!</v>
      </c>
      <c r="J74" s="507">
        <v>0</v>
      </c>
      <c r="K74" s="513"/>
      <c r="L74" s="516">
        <v>3392</v>
      </c>
      <c r="M74" s="516">
        <v>1304.6300000000001</v>
      </c>
      <c r="N74" s="516">
        <v>3500</v>
      </c>
      <c r="O74" s="516">
        <f>VLOOKUP(A74,TB!A:F,3)</f>
        <v>1332.57</v>
      </c>
      <c r="P74" s="518">
        <f t="shared" ref="P74:P75" si="21">N74</f>
        <v>3500</v>
      </c>
      <c r="Q74" s="514">
        <v>3500</v>
      </c>
      <c r="R74" s="517">
        <f>VLOOKUP(A74,TB!A:F,6)</f>
        <v>3500</v>
      </c>
      <c r="S74" s="517">
        <f t="shared" si="19"/>
        <v>0</v>
      </c>
    </row>
    <row r="75" spans="1:31" ht="15.75" customHeight="1" x14ac:dyDescent="0.25">
      <c r="A75" s="512" t="s">
        <v>785</v>
      </c>
      <c r="B75" s="512" t="s">
        <v>115</v>
      </c>
      <c r="C75" s="513"/>
      <c r="D75" s="514">
        <v>4763</v>
      </c>
      <c r="E75" s="514" t="e">
        <f>D75*#REF!</f>
        <v>#REF!</v>
      </c>
      <c r="F75" s="514" t="e">
        <f>D75*#REF!</f>
        <v>#REF!</v>
      </c>
      <c r="G75" s="514" t="e">
        <f>(D75*#REF!)*#REF!</f>
        <v>#REF!</v>
      </c>
      <c r="H75" s="515">
        <f t="shared" si="16"/>
        <v>0</v>
      </c>
      <c r="I75" s="479" t="e">
        <f t="shared" si="17"/>
        <v>#REF!</v>
      </c>
      <c r="J75" s="507">
        <v>0</v>
      </c>
      <c r="K75" s="513"/>
      <c r="L75" s="516">
        <v>7121</v>
      </c>
      <c r="M75" s="516">
        <v>1621.04</v>
      </c>
      <c r="N75" s="516">
        <v>29000</v>
      </c>
      <c r="O75" s="516">
        <f>VLOOKUP(A75,TB!A:F,3)</f>
        <v>2144.17</v>
      </c>
      <c r="P75" s="518">
        <f t="shared" si="21"/>
        <v>29000</v>
      </c>
      <c r="Q75" s="514">
        <v>29000</v>
      </c>
      <c r="R75" s="517">
        <f>VLOOKUP(A75,TB!A:F,6)</f>
        <v>29000</v>
      </c>
      <c r="S75" s="517">
        <f t="shared" si="19"/>
        <v>0</v>
      </c>
    </row>
    <row r="76" spans="1:31" ht="15.75" customHeight="1" x14ac:dyDescent="0.25">
      <c r="A76" s="512" t="s">
        <v>786</v>
      </c>
      <c r="B76" s="512" t="s">
        <v>787</v>
      </c>
      <c r="C76" s="513"/>
      <c r="D76" s="514">
        <v>0</v>
      </c>
      <c r="E76" s="514" t="e">
        <f>D76*#REF!</f>
        <v>#REF!</v>
      </c>
      <c r="F76" s="514" t="e">
        <f>D76*#REF!</f>
        <v>#REF!</v>
      </c>
      <c r="G76" s="514" t="e">
        <f>(D76*#REF!)*#REF!</f>
        <v>#REF!</v>
      </c>
      <c r="H76" s="515">
        <f t="shared" si="16"/>
        <v>0</v>
      </c>
      <c r="I76" s="479" t="e">
        <f t="shared" si="17"/>
        <v>#REF!</v>
      </c>
      <c r="J76" s="507">
        <v>0</v>
      </c>
      <c r="K76" s="513"/>
      <c r="L76" s="516">
        <v>0</v>
      </c>
      <c r="M76" s="516">
        <v>0</v>
      </c>
      <c r="N76" s="516">
        <v>0</v>
      </c>
      <c r="O76" s="516">
        <f>VLOOKUP(A76,TB!A:F,3)</f>
        <v>2144.17</v>
      </c>
      <c r="P76" s="514">
        <f>O76/9*12</f>
        <v>2858.8933333333334</v>
      </c>
      <c r="Q76" s="514">
        <v>0</v>
      </c>
      <c r="R76" s="517">
        <v>0</v>
      </c>
      <c r="S76" s="517">
        <f t="shared" si="19"/>
        <v>0</v>
      </c>
    </row>
    <row r="77" spans="1:31" ht="15.75" customHeight="1" x14ac:dyDescent="0.25">
      <c r="A77" s="512" t="s">
        <v>788</v>
      </c>
      <c r="B77" s="512" t="s">
        <v>84</v>
      </c>
      <c r="C77" s="513"/>
      <c r="D77" s="514">
        <v>1105</v>
      </c>
      <c r="E77" s="514" t="e">
        <f>D77*#REF!</f>
        <v>#REF!</v>
      </c>
      <c r="F77" s="514" t="e">
        <f>D77*#REF!</f>
        <v>#REF!</v>
      </c>
      <c r="G77" s="514" t="e">
        <f>(D77*#REF!)*#REF!</f>
        <v>#REF!</v>
      </c>
      <c r="H77" s="515">
        <f t="shared" si="16"/>
        <v>0</v>
      </c>
      <c r="I77" s="479" t="e">
        <f t="shared" si="17"/>
        <v>#REF!</v>
      </c>
      <c r="J77" s="507">
        <v>0</v>
      </c>
      <c r="K77" s="513"/>
      <c r="L77" s="516">
        <v>11244</v>
      </c>
      <c r="M77" s="516">
        <v>9050.2900000000009</v>
      </c>
      <c r="N77" s="516">
        <v>12000</v>
      </c>
      <c r="O77" s="516">
        <f>VLOOKUP(A77,TB!A:F,3)</f>
        <v>9329.19</v>
      </c>
      <c r="P77" s="518">
        <f>N77</f>
        <v>12000</v>
      </c>
      <c r="Q77" s="514">
        <v>13000</v>
      </c>
      <c r="R77" s="517">
        <f>VLOOKUP(A77,TB!A:F,6)</f>
        <v>13000</v>
      </c>
      <c r="S77" s="517">
        <f t="shared" si="19"/>
        <v>0</v>
      </c>
    </row>
    <row r="78" spans="1:31" ht="15.75" customHeight="1" x14ac:dyDescent="0.25">
      <c r="A78" s="512" t="s">
        <v>789</v>
      </c>
      <c r="B78" s="512" t="s">
        <v>210</v>
      </c>
      <c r="C78" s="513"/>
      <c r="D78" s="514">
        <v>9253</v>
      </c>
      <c r="E78" s="514" t="e">
        <f>D78*#REF!</f>
        <v>#REF!</v>
      </c>
      <c r="F78" s="514" t="e">
        <f>D78*#REF!</f>
        <v>#REF!</v>
      </c>
      <c r="G78" s="514" t="e">
        <f>(D78*#REF!)*#REF!</f>
        <v>#REF!</v>
      </c>
      <c r="H78" s="515">
        <f t="shared" si="16"/>
        <v>0</v>
      </c>
      <c r="I78" s="479" t="e">
        <f t="shared" si="17"/>
        <v>#REF!</v>
      </c>
      <c r="J78" s="507">
        <v>0</v>
      </c>
      <c r="K78" s="513"/>
      <c r="L78" s="516">
        <v>10417</v>
      </c>
      <c r="M78" s="516">
        <v>971.55</v>
      </c>
      <c r="N78" s="516">
        <v>0</v>
      </c>
      <c r="O78" s="516">
        <f>VLOOKUP(A78,TB!A:F,3)</f>
        <v>0</v>
      </c>
      <c r="P78" s="514">
        <f>O78/9*12</f>
        <v>0</v>
      </c>
      <c r="Q78" s="514">
        <v>0</v>
      </c>
      <c r="R78" s="517">
        <f>VLOOKUP(A78,TB!A:F,6)</f>
        <v>0</v>
      </c>
      <c r="S78" s="517">
        <f t="shared" si="19"/>
        <v>0</v>
      </c>
    </row>
    <row r="79" spans="1:31" ht="15.75" customHeight="1" x14ac:dyDescent="0.25">
      <c r="A79" s="512" t="s">
        <v>790</v>
      </c>
      <c r="B79" s="512" t="s">
        <v>88</v>
      </c>
      <c r="C79" s="513"/>
      <c r="D79" s="514">
        <v>0</v>
      </c>
      <c r="E79" s="514" t="e">
        <f>D79*#REF!</f>
        <v>#REF!</v>
      </c>
      <c r="F79" s="514" t="e">
        <f>D79*#REF!</f>
        <v>#REF!</v>
      </c>
      <c r="G79" s="514" t="e">
        <f>(D79*#REF!)*#REF!</f>
        <v>#REF!</v>
      </c>
      <c r="H79" s="515">
        <f t="shared" si="16"/>
        <v>0</v>
      </c>
      <c r="I79" s="479" t="e">
        <f t="shared" si="17"/>
        <v>#REF!</v>
      </c>
      <c r="J79" s="507">
        <v>0</v>
      </c>
      <c r="K79" s="513"/>
      <c r="L79" s="516">
        <v>0</v>
      </c>
      <c r="M79" s="516">
        <v>0</v>
      </c>
      <c r="N79" s="516">
        <v>1500</v>
      </c>
      <c r="O79" s="516">
        <f>VLOOKUP(A79,TB!A:F,3)</f>
        <v>0</v>
      </c>
      <c r="P79" s="518">
        <f>N79</f>
        <v>1500</v>
      </c>
      <c r="Q79" s="514">
        <v>2500</v>
      </c>
      <c r="R79" s="517">
        <f>VLOOKUP(A79,TB!A:F,6)</f>
        <v>2500</v>
      </c>
      <c r="S79" s="517">
        <f t="shared" si="19"/>
        <v>0</v>
      </c>
    </row>
    <row r="80" spans="1:31" ht="15.75" customHeight="1" x14ac:dyDescent="0.25">
      <c r="A80" s="512" t="s">
        <v>791</v>
      </c>
      <c r="B80" s="512" t="s">
        <v>90</v>
      </c>
      <c r="C80" s="513"/>
      <c r="D80" s="514">
        <v>1516</v>
      </c>
      <c r="E80" s="514" t="e">
        <f>D80*#REF!</f>
        <v>#REF!</v>
      </c>
      <c r="F80" s="514" t="e">
        <f>D80*#REF!</f>
        <v>#REF!</v>
      </c>
      <c r="G80" s="514" t="e">
        <f>(D80*#REF!)*#REF!</f>
        <v>#REF!</v>
      </c>
      <c r="H80" s="515">
        <f t="shared" si="16"/>
        <v>0</v>
      </c>
      <c r="I80" s="479" t="e">
        <f t="shared" si="17"/>
        <v>#REF!</v>
      </c>
      <c r="J80" s="507">
        <v>0</v>
      </c>
      <c r="K80" s="513"/>
      <c r="L80" s="516">
        <v>264</v>
      </c>
      <c r="M80" s="516">
        <v>1044.95</v>
      </c>
      <c r="N80" s="516">
        <v>2800</v>
      </c>
      <c r="O80" s="516">
        <f>VLOOKUP(A80,TB!A:F,3)</f>
        <v>3116.11</v>
      </c>
      <c r="P80" s="514">
        <f>O80/9*12</f>
        <v>4154.8133333333335</v>
      </c>
      <c r="Q80" s="514">
        <v>2800</v>
      </c>
      <c r="R80" s="517">
        <f>VLOOKUP(A80,TB!A:F,6)</f>
        <v>2800</v>
      </c>
      <c r="S80" s="517">
        <f t="shared" si="19"/>
        <v>0</v>
      </c>
    </row>
    <row r="81" spans="1:19" ht="15.75" customHeight="1" x14ac:dyDescent="0.25">
      <c r="A81" s="512" t="s">
        <v>792</v>
      </c>
      <c r="B81" s="512" t="s">
        <v>252</v>
      </c>
      <c r="C81" s="513"/>
      <c r="D81" s="514">
        <v>951</v>
      </c>
      <c r="E81" s="514" t="e">
        <f>D81*#REF!</f>
        <v>#REF!</v>
      </c>
      <c r="F81" s="514" t="e">
        <f>D81*#REF!</f>
        <v>#REF!</v>
      </c>
      <c r="G81" s="514" t="e">
        <f>(D81*#REF!)*#REF!</f>
        <v>#REF!</v>
      </c>
      <c r="H81" s="515">
        <f t="shared" si="16"/>
        <v>0</v>
      </c>
      <c r="I81" s="479" t="e">
        <f t="shared" si="17"/>
        <v>#REF!</v>
      </c>
      <c r="J81" s="507">
        <v>0</v>
      </c>
      <c r="K81" s="513"/>
      <c r="L81" s="516">
        <v>0</v>
      </c>
      <c r="M81" s="516">
        <v>945.56</v>
      </c>
      <c r="N81" s="516">
        <v>1000</v>
      </c>
      <c r="O81" s="516">
        <f>VLOOKUP(A81,TB!A:F,3)</f>
        <v>69</v>
      </c>
      <c r="P81" s="518">
        <f>N81</f>
        <v>1000</v>
      </c>
      <c r="Q81" s="514">
        <v>1000</v>
      </c>
      <c r="R81" s="517">
        <f>VLOOKUP(A81,TB!A:F,6)</f>
        <v>1000</v>
      </c>
      <c r="S81" s="517">
        <f t="shared" si="19"/>
        <v>0</v>
      </c>
    </row>
    <row r="82" spans="1:19" ht="15.75" customHeight="1" x14ac:dyDescent="0.25">
      <c r="A82" s="512" t="s">
        <v>793</v>
      </c>
      <c r="B82" s="512" t="s">
        <v>466</v>
      </c>
      <c r="C82" s="513"/>
      <c r="D82" s="514">
        <v>0</v>
      </c>
      <c r="E82" s="514" t="e">
        <f>D82*#REF!</f>
        <v>#REF!</v>
      </c>
      <c r="F82" s="514" t="e">
        <f>D82*#REF!</f>
        <v>#REF!</v>
      </c>
      <c r="G82" s="514" t="e">
        <f>(D82*#REF!)*#REF!</f>
        <v>#REF!</v>
      </c>
      <c r="H82" s="515">
        <f t="shared" si="16"/>
        <v>0</v>
      </c>
      <c r="I82" s="479" t="e">
        <f t="shared" si="17"/>
        <v>#REF!</v>
      </c>
      <c r="J82" s="507">
        <v>0</v>
      </c>
      <c r="K82" s="513"/>
      <c r="L82" s="516">
        <v>152800</v>
      </c>
      <c r="M82" s="516">
        <v>0</v>
      </c>
      <c r="N82" s="516">
        <v>0</v>
      </c>
      <c r="O82" s="516">
        <f>VLOOKUP(A82,TB!A:F,3)</f>
        <v>0</v>
      </c>
      <c r="P82" s="514">
        <f>O82/9*12</f>
        <v>0</v>
      </c>
      <c r="Q82" s="514">
        <v>0</v>
      </c>
      <c r="R82" s="517">
        <f>VLOOKUP(A82,TB!A:F,6)</f>
        <v>0</v>
      </c>
      <c r="S82" s="517">
        <f t="shared" si="19"/>
        <v>0</v>
      </c>
    </row>
    <row r="83" spans="1:19" ht="15.75" customHeight="1" x14ac:dyDescent="0.25">
      <c r="A83" s="512" t="s">
        <v>794</v>
      </c>
      <c r="B83" s="512" t="s">
        <v>502</v>
      </c>
      <c r="C83" s="513"/>
      <c r="D83" s="514">
        <v>0</v>
      </c>
      <c r="E83" s="514" t="e">
        <f>D83*#REF!</f>
        <v>#REF!</v>
      </c>
      <c r="F83" s="514" t="e">
        <f>D83*#REF!</f>
        <v>#REF!</v>
      </c>
      <c r="G83" s="514" t="e">
        <f>(D83*#REF!)*#REF!</f>
        <v>#REF!</v>
      </c>
      <c r="H83" s="515">
        <f t="shared" si="16"/>
        <v>0</v>
      </c>
      <c r="I83" s="479" t="e">
        <f t="shared" si="17"/>
        <v>#REF!</v>
      </c>
      <c r="J83" s="507">
        <v>0</v>
      </c>
      <c r="K83" s="513"/>
      <c r="L83" s="516">
        <v>694</v>
      </c>
      <c r="M83" s="516">
        <v>35.39</v>
      </c>
      <c r="N83" s="516">
        <v>1000</v>
      </c>
      <c r="O83" s="516">
        <f>VLOOKUP(A83,TB!A:F,3)</f>
        <v>232.96</v>
      </c>
      <c r="P83" s="518">
        <f t="shared" ref="P83:P85" si="22">N83</f>
        <v>1000</v>
      </c>
      <c r="Q83" s="514">
        <v>1000</v>
      </c>
      <c r="R83" s="517">
        <f>VLOOKUP(A83,TB!A:F,6)</f>
        <v>1000</v>
      </c>
      <c r="S83" s="517">
        <f t="shared" si="19"/>
        <v>0</v>
      </c>
    </row>
    <row r="84" spans="1:19" ht="15.75" customHeight="1" x14ac:dyDescent="0.25">
      <c r="A84" s="512" t="s">
        <v>795</v>
      </c>
      <c r="B84" s="512" t="s">
        <v>92</v>
      </c>
      <c r="C84" s="513"/>
      <c r="D84" s="514">
        <v>0</v>
      </c>
      <c r="E84" s="514" t="e">
        <f>D84*#REF!</f>
        <v>#REF!</v>
      </c>
      <c r="F84" s="514" t="e">
        <f>D84*#REF!</f>
        <v>#REF!</v>
      </c>
      <c r="G84" s="514" t="e">
        <f>(D84*#REF!)*#REF!</f>
        <v>#REF!</v>
      </c>
      <c r="H84" s="515">
        <f t="shared" si="16"/>
        <v>0</v>
      </c>
      <c r="I84" s="479" t="e">
        <f t="shared" si="17"/>
        <v>#REF!</v>
      </c>
      <c r="J84" s="507">
        <v>0</v>
      </c>
      <c r="K84" s="513"/>
      <c r="L84" s="516">
        <v>682</v>
      </c>
      <c r="M84" s="516">
        <v>0</v>
      </c>
      <c r="N84" s="516">
        <v>700</v>
      </c>
      <c r="O84" s="516">
        <f>VLOOKUP(A84,TB!A:F,3)</f>
        <v>0</v>
      </c>
      <c r="P84" s="518">
        <f t="shared" si="22"/>
        <v>700</v>
      </c>
      <c r="Q84" s="514">
        <v>1000</v>
      </c>
      <c r="R84" s="517">
        <f>VLOOKUP(A84,TB!A:F,6)</f>
        <v>1000</v>
      </c>
      <c r="S84" s="517">
        <f t="shared" si="19"/>
        <v>0</v>
      </c>
    </row>
    <row r="85" spans="1:19" ht="15.75" customHeight="1" x14ac:dyDescent="0.25">
      <c r="A85" s="512" t="s">
        <v>796</v>
      </c>
      <c r="B85" s="512" t="s">
        <v>797</v>
      </c>
      <c r="C85" s="513"/>
      <c r="D85" s="514">
        <v>4998</v>
      </c>
      <c r="E85" s="514" t="e">
        <f>D85*#REF!</f>
        <v>#REF!</v>
      </c>
      <c r="F85" s="514" t="e">
        <f>D85*#REF!</f>
        <v>#REF!</v>
      </c>
      <c r="G85" s="514" t="e">
        <f>(D85*#REF!)*#REF!</f>
        <v>#REF!</v>
      </c>
      <c r="H85" s="515">
        <f t="shared" si="16"/>
        <v>0</v>
      </c>
      <c r="I85" s="479" t="e">
        <f t="shared" si="17"/>
        <v>#REF!</v>
      </c>
      <c r="J85" s="507">
        <v>0</v>
      </c>
      <c r="K85" s="513"/>
      <c r="L85" s="516">
        <v>3448</v>
      </c>
      <c r="M85" s="516">
        <v>4249.41</v>
      </c>
      <c r="N85" s="516">
        <v>8000</v>
      </c>
      <c r="O85" s="516">
        <f>VLOOKUP(A85,TB!A:F,3)</f>
        <v>4490.03</v>
      </c>
      <c r="P85" s="518">
        <f t="shared" si="22"/>
        <v>8000</v>
      </c>
      <c r="Q85" s="514">
        <v>8000</v>
      </c>
      <c r="R85" s="517">
        <f>VLOOKUP(A85,TB!A:F,6)</f>
        <v>8000</v>
      </c>
      <c r="S85" s="517">
        <f t="shared" si="19"/>
        <v>0</v>
      </c>
    </row>
    <row r="86" spans="1:19" ht="15.75" customHeight="1" x14ac:dyDescent="0.25">
      <c r="A86" s="519" t="s">
        <v>798</v>
      </c>
      <c r="B86" s="520"/>
      <c r="C86" s="521"/>
      <c r="D86" s="522">
        <f t="shared" ref="D86:G86" si="23">SUM(D67:D85)</f>
        <v>121866</v>
      </c>
      <c r="E86" s="522" t="e">
        <f t="shared" si="23"/>
        <v>#REF!</v>
      </c>
      <c r="F86" s="522" t="e">
        <f t="shared" si="23"/>
        <v>#REF!</v>
      </c>
      <c r="G86" s="522" t="e">
        <f t="shared" si="23"/>
        <v>#REF!</v>
      </c>
      <c r="H86" s="523">
        <f t="shared" si="16"/>
        <v>0</v>
      </c>
      <c r="I86" s="522" t="e">
        <f t="shared" si="17"/>
        <v>#REF!</v>
      </c>
      <c r="J86" s="524">
        <f>SUM(J67:J85)</f>
        <v>0</v>
      </c>
      <c r="K86" s="521"/>
      <c r="L86" s="525">
        <f t="shared" ref="L86:S86" si="24">SUM(L67:L85)</f>
        <v>301998</v>
      </c>
      <c r="M86" s="525">
        <f t="shared" si="24"/>
        <v>160527.69000000003</v>
      </c>
      <c r="N86" s="525">
        <f t="shared" si="24"/>
        <v>228494</v>
      </c>
      <c r="O86" s="525">
        <f t="shared" si="24"/>
        <v>118060.76000000001</v>
      </c>
      <c r="P86" s="522">
        <f t="shared" si="24"/>
        <v>193224.28399999999</v>
      </c>
      <c r="Q86" s="522">
        <f t="shared" si="24"/>
        <v>233300</v>
      </c>
      <c r="R86" s="525">
        <f t="shared" si="24"/>
        <v>233300</v>
      </c>
      <c r="S86" s="525">
        <f t="shared" si="24"/>
        <v>0</v>
      </c>
    </row>
    <row r="87" spans="1:19" ht="15.75" customHeight="1" x14ac:dyDescent="0.2">
      <c r="A87" s="499"/>
      <c r="B87" s="499"/>
      <c r="C87" s="526"/>
      <c r="D87" s="499"/>
      <c r="E87" s="499"/>
      <c r="F87" s="499"/>
      <c r="G87" s="499"/>
      <c r="H87" s="499"/>
      <c r="I87" s="499"/>
      <c r="J87" s="499"/>
      <c r="K87" s="526"/>
      <c r="L87" s="463"/>
      <c r="M87" s="463"/>
      <c r="N87" s="463"/>
      <c r="O87" s="463"/>
      <c r="P87" s="463"/>
      <c r="Q87" s="463"/>
      <c r="R87" s="527"/>
      <c r="S87" s="527"/>
    </row>
    <row r="88" spans="1:19" ht="15.75" customHeight="1" x14ac:dyDescent="0.2">
      <c r="A88" s="528" t="s">
        <v>184</v>
      </c>
      <c r="B88" s="499"/>
      <c r="C88" s="526"/>
      <c r="D88" s="499"/>
      <c r="E88" s="499"/>
      <c r="F88" s="499"/>
      <c r="G88" s="499"/>
      <c r="H88" s="499"/>
      <c r="I88" s="499"/>
      <c r="J88" s="499"/>
      <c r="K88" s="526"/>
      <c r="L88" s="463"/>
      <c r="M88" s="463"/>
      <c r="N88" s="463"/>
      <c r="O88" s="463"/>
      <c r="P88" s="463"/>
      <c r="Q88" s="463"/>
      <c r="R88" s="527"/>
      <c r="S88" s="527"/>
    </row>
    <row r="89" spans="1:19" ht="15.75" customHeight="1" x14ac:dyDescent="0.25">
      <c r="A89" s="501" t="s">
        <v>799</v>
      </c>
      <c r="B89" s="501" t="s">
        <v>800</v>
      </c>
      <c r="C89" s="529"/>
      <c r="D89" s="479">
        <v>-23243</v>
      </c>
      <c r="E89" s="514" t="e">
        <f>D89*#REF!</f>
        <v>#REF!</v>
      </c>
      <c r="F89" s="514" t="e">
        <f>D89*#REF!</f>
        <v>#REF!</v>
      </c>
      <c r="G89" s="514" t="e">
        <f>(D89*#REF!)*#REF!</f>
        <v>#REF!</v>
      </c>
      <c r="H89" s="515">
        <f t="shared" ref="H89:H90" si="25">IFERROR(((Q89-G89)/G89),0)</f>
        <v>0</v>
      </c>
      <c r="I89" s="479" t="e">
        <f t="shared" ref="I89:I90" si="26">Q89-G89</f>
        <v>#REF!</v>
      </c>
      <c r="J89" s="507">
        <v>0</v>
      </c>
      <c r="K89" s="529"/>
      <c r="L89" s="463">
        <v>0</v>
      </c>
      <c r="M89" s="463">
        <v>0</v>
      </c>
      <c r="N89" s="463">
        <v>0</v>
      </c>
      <c r="O89" s="516">
        <v>0</v>
      </c>
      <c r="P89" s="463"/>
      <c r="Q89" s="463">
        <v>0</v>
      </c>
      <c r="R89" s="530">
        <v>0</v>
      </c>
      <c r="S89" s="517">
        <f>Q89-R89</f>
        <v>0</v>
      </c>
    </row>
    <row r="90" spans="1:19" ht="15.75" customHeight="1" x14ac:dyDescent="0.2">
      <c r="A90" s="528" t="s">
        <v>189</v>
      </c>
      <c r="B90" s="520"/>
      <c r="C90" s="521"/>
      <c r="D90" s="522">
        <f t="shared" ref="D90:G90" si="27">SUM(D89)</f>
        <v>-23243</v>
      </c>
      <c r="E90" s="522" t="e">
        <f t="shared" si="27"/>
        <v>#REF!</v>
      </c>
      <c r="F90" s="522" t="e">
        <f t="shared" si="27"/>
        <v>#REF!</v>
      </c>
      <c r="G90" s="522" t="e">
        <f t="shared" si="27"/>
        <v>#REF!</v>
      </c>
      <c r="H90" s="523">
        <f t="shared" si="25"/>
        <v>0</v>
      </c>
      <c r="I90" s="522" t="e">
        <f t="shared" si="26"/>
        <v>#REF!</v>
      </c>
      <c r="J90" s="522">
        <f>SUM(J89)</f>
        <v>0</v>
      </c>
      <c r="K90" s="521"/>
      <c r="L90" s="525">
        <f t="shared" ref="L90:S90" si="28">SUM(L89)</f>
        <v>0</v>
      </c>
      <c r="M90" s="525">
        <f t="shared" si="28"/>
        <v>0</v>
      </c>
      <c r="N90" s="525">
        <f t="shared" si="28"/>
        <v>0</v>
      </c>
      <c r="O90" s="525">
        <f t="shared" si="28"/>
        <v>0</v>
      </c>
      <c r="P90" s="522">
        <f t="shared" si="28"/>
        <v>0</v>
      </c>
      <c r="Q90" s="522">
        <f t="shared" si="28"/>
        <v>0</v>
      </c>
      <c r="R90" s="525">
        <f t="shared" si="28"/>
        <v>0</v>
      </c>
      <c r="S90" s="525">
        <f t="shared" si="28"/>
        <v>0</v>
      </c>
    </row>
    <row r="91" spans="1:19" ht="15.75" customHeight="1" x14ac:dyDescent="0.2">
      <c r="A91" s="499"/>
      <c r="B91" s="499"/>
      <c r="C91" s="526"/>
      <c r="D91" s="499"/>
      <c r="E91" s="499"/>
      <c r="F91" s="499"/>
      <c r="G91" s="499"/>
      <c r="H91" s="499"/>
      <c r="I91" s="499"/>
      <c r="J91" s="499"/>
      <c r="K91" s="526"/>
      <c r="L91" s="463"/>
      <c r="M91" s="463"/>
      <c r="N91" s="463"/>
      <c r="O91" s="463"/>
      <c r="P91" s="463"/>
      <c r="Q91" s="463"/>
      <c r="R91" s="527"/>
      <c r="S91" s="527"/>
    </row>
    <row r="92" spans="1:19" ht="15.75" customHeight="1" x14ac:dyDescent="0.2">
      <c r="A92" s="528" t="s">
        <v>190</v>
      </c>
      <c r="B92" s="501"/>
      <c r="C92" s="531"/>
      <c r="D92" s="532">
        <f t="shared" ref="D92:G92" si="29">D86+D90</f>
        <v>98623</v>
      </c>
      <c r="E92" s="532" t="e">
        <f t="shared" si="29"/>
        <v>#REF!</v>
      </c>
      <c r="F92" s="532" t="e">
        <f t="shared" si="29"/>
        <v>#REF!</v>
      </c>
      <c r="G92" s="532" t="e">
        <f t="shared" si="29"/>
        <v>#REF!</v>
      </c>
      <c r="H92" s="533">
        <f>IFERROR(((Q92-G92)/G92),0)</f>
        <v>0</v>
      </c>
      <c r="I92" s="532" t="e">
        <f>Q92-G92</f>
        <v>#REF!</v>
      </c>
      <c r="J92" s="532">
        <f>J90+J86+J83</f>
        <v>0</v>
      </c>
      <c r="K92" s="531"/>
      <c r="L92" s="534">
        <f t="shared" ref="L92:S92" si="30">L86+L90</f>
        <v>301998</v>
      </c>
      <c r="M92" s="534">
        <f t="shared" si="30"/>
        <v>160527.69000000003</v>
      </c>
      <c r="N92" s="534">
        <f t="shared" si="30"/>
        <v>228494</v>
      </c>
      <c r="O92" s="534">
        <f t="shared" si="30"/>
        <v>118060.76000000001</v>
      </c>
      <c r="P92" s="532">
        <f t="shared" si="30"/>
        <v>193224.28399999999</v>
      </c>
      <c r="Q92" s="532">
        <f t="shared" si="30"/>
        <v>233300</v>
      </c>
      <c r="R92" s="534">
        <f t="shared" si="30"/>
        <v>233300</v>
      </c>
      <c r="S92" s="534">
        <f t="shared" si="30"/>
        <v>0</v>
      </c>
    </row>
    <row r="93" spans="1:19" ht="15.75" customHeight="1" x14ac:dyDescent="0.2">
      <c r="C93" s="287"/>
      <c r="K93" s="287"/>
      <c r="L93" s="62"/>
      <c r="M93" s="62"/>
      <c r="N93" s="62"/>
      <c r="O93" s="62"/>
      <c r="P93" s="62"/>
      <c r="Q93" s="62"/>
      <c r="R93" s="62"/>
    </row>
    <row r="94" spans="1:19" ht="15.75" customHeight="1" x14ac:dyDescent="0.2">
      <c r="C94" s="288"/>
      <c r="K94" s="288"/>
      <c r="L94" s="199">
        <f t="shared" ref="L94:R94" si="31">L1</f>
        <v>0</v>
      </c>
      <c r="M94" s="199">
        <f t="shared" si="31"/>
        <v>0</v>
      </c>
      <c r="N94" s="199">
        <f t="shared" si="31"/>
        <v>0</v>
      </c>
      <c r="O94" s="199">
        <f t="shared" si="31"/>
        <v>0</v>
      </c>
      <c r="P94" s="199">
        <f t="shared" si="31"/>
        <v>0</v>
      </c>
      <c r="Q94" s="199">
        <f t="shared" si="31"/>
        <v>0</v>
      </c>
      <c r="R94" s="173">
        <f t="shared" si="31"/>
        <v>0</v>
      </c>
    </row>
    <row r="95" spans="1:19" ht="15.75" customHeight="1" x14ac:dyDescent="0.2">
      <c r="C95" s="289"/>
      <c r="K95" s="289"/>
      <c r="L95" s="290">
        <f t="shared" ref="L95:R95" si="32">L92</f>
        <v>301998</v>
      </c>
      <c r="M95" s="290">
        <f t="shared" si="32"/>
        <v>160527.69000000003</v>
      </c>
      <c r="N95" s="290">
        <f t="shared" si="32"/>
        <v>228494</v>
      </c>
      <c r="O95" s="290">
        <f t="shared" si="32"/>
        <v>118060.76000000001</v>
      </c>
      <c r="P95" s="290">
        <f t="shared" si="32"/>
        <v>193224.28399999999</v>
      </c>
      <c r="Q95" s="290">
        <f t="shared" si="32"/>
        <v>233300</v>
      </c>
      <c r="R95" s="291">
        <f t="shared" si="32"/>
        <v>233300</v>
      </c>
    </row>
    <row r="96" spans="1:19" ht="15.75" customHeight="1" x14ac:dyDescent="0.2">
      <c r="C96" s="287"/>
      <c r="K96" s="287"/>
    </row>
    <row r="97" spans="3:11" ht="15.75" customHeight="1" x14ac:dyDescent="0.2">
      <c r="C97" s="287"/>
      <c r="K97" s="287"/>
    </row>
    <row r="98" spans="3:11" ht="15.75" customHeight="1" x14ac:dyDescent="0.2">
      <c r="C98" s="287"/>
      <c r="K98" s="287"/>
    </row>
    <row r="99" spans="3:11" ht="15.75" customHeight="1" x14ac:dyDescent="0.2">
      <c r="C99" s="287"/>
      <c r="K99" s="287"/>
    </row>
    <row r="100" spans="3:11" ht="15.75" customHeight="1" x14ac:dyDescent="0.2">
      <c r="C100" s="287"/>
      <c r="K100" s="287"/>
    </row>
    <row r="101" spans="3:11" ht="15.75" customHeight="1" x14ac:dyDescent="0.2">
      <c r="C101" s="287"/>
      <c r="K101" s="287"/>
    </row>
    <row r="102" spans="3:11" ht="15.75" customHeight="1" x14ac:dyDescent="0.2">
      <c r="C102" s="287"/>
      <c r="K102" s="287"/>
    </row>
    <row r="103" spans="3:11" ht="15.75" customHeight="1" x14ac:dyDescent="0.2">
      <c r="C103" s="287"/>
      <c r="K103" s="287"/>
    </row>
    <row r="104" spans="3:11" ht="15.75" customHeight="1" x14ac:dyDescent="0.2">
      <c r="C104" s="287"/>
      <c r="K104" s="287"/>
    </row>
    <row r="105" spans="3:11" ht="15.75" customHeight="1" x14ac:dyDescent="0.2">
      <c r="C105" s="287"/>
      <c r="K105" s="287"/>
    </row>
    <row r="106" spans="3:11" ht="15.75" customHeight="1" x14ac:dyDescent="0.2">
      <c r="C106" s="287"/>
      <c r="K106" s="287"/>
    </row>
    <row r="107" spans="3:11" ht="15.75" customHeight="1" x14ac:dyDescent="0.2">
      <c r="C107" s="287"/>
      <c r="K107" s="287"/>
    </row>
    <row r="108" spans="3:11" ht="15.75" customHeight="1" x14ac:dyDescent="0.2">
      <c r="C108" s="287"/>
      <c r="K108" s="287"/>
    </row>
    <row r="109" spans="3:11" ht="15.75" customHeight="1" x14ac:dyDescent="0.2">
      <c r="C109" s="287"/>
      <c r="K109" s="287"/>
    </row>
    <row r="110" spans="3:11" ht="15.75" customHeight="1" x14ac:dyDescent="0.2">
      <c r="C110" s="287"/>
      <c r="K110" s="287"/>
    </row>
    <row r="111" spans="3:11" ht="15.75" customHeight="1" x14ac:dyDescent="0.2">
      <c r="C111" s="287"/>
      <c r="K111" s="287"/>
    </row>
    <row r="112" spans="3:11" ht="15.75" customHeight="1" x14ac:dyDescent="0.2">
      <c r="C112" s="287"/>
      <c r="K112" s="287"/>
    </row>
    <row r="113" spans="3:11" ht="15.75" customHeight="1" x14ac:dyDescent="0.2">
      <c r="C113" s="287"/>
      <c r="K113" s="287"/>
    </row>
    <row r="114" spans="3:11" ht="15.75" customHeight="1" x14ac:dyDescent="0.2">
      <c r="C114" s="287"/>
      <c r="K114" s="287"/>
    </row>
    <row r="115" spans="3:11" ht="15.75" customHeight="1" x14ac:dyDescent="0.2">
      <c r="C115" s="287"/>
      <c r="K115" s="287"/>
    </row>
    <row r="116" spans="3:11" ht="15.75" customHeight="1" x14ac:dyDescent="0.2">
      <c r="C116" s="287"/>
      <c r="K116" s="287"/>
    </row>
    <row r="117" spans="3:11" ht="15.75" customHeight="1" x14ac:dyDescent="0.2">
      <c r="C117" s="287"/>
      <c r="K117" s="287"/>
    </row>
    <row r="118" spans="3:11" ht="15.75" customHeight="1" x14ac:dyDescent="0.2">
      <c r="C118" s="287"/>
      <c r="K118" s="287"/>
    </row>
    <row r="119" spans="3:11" ht="15.75" customHeight="1" x14ac:dyDescent="0.2">
      <c r="C119" s="287"/>
      <c r="K119" s="287"/>
    </row>
    <row r="120" spans="3:11" ht="15.75" customHeight="1" x14ac:dyDescent="0.2">
      <c r="C120" s="287"/>
      <c r="K120" s="287"/>
    </row>
    <row r="121" spans="3:11" ht="15.75" customHeight="1" x14ac:dyDescent="0.2">
      <c r="C121" s="287"/>
      <c r="K121" s="287"/>
    </row>
    <row r="122" spans="3:11" ht="15.75" customHeight="1" x14ac:dyDescent="0.2">
      <c r="C122" s="287"/>
      <c r="K122" s="287"/>
    </row>
    <row r="123" spans="3:11" ht="15.75" customHeight="1" x14ac:dyDescent="0.2">
      <c r="C123" s="287"/>
      <c r="K123" s="287"/>
    </row>
    <row r="124" spans="3:11" ht="15.75" customHeight="1" x14ac:dyDescent="0.2">
      <c r="C124" s="287"/>
      <c r="K124" s="287"/>
    </row>
    <row r="125" spans="3:11" ht="15.75" customHeight="1" x14ac:dyDescent="0.2">
      <c r="C125" s="287"/>
      <c r="K125" s="287"/>
    </row>
    <row r="126" spans="3:11" ht="15.75" customHeight="1" x14ac:dyDescent="0.2">
      <c r="C126" s="287"/>
      <c r="K126" s="287"/>
    </row>
    <row r="127" spans="3:11" ht="15.75" customHeight="1" x14ac:dyDescent="0.2">
      <c r="C127" s="287"/>
      <c r="K127" s="287"/>
    </row>
    <row r="128" spans="3:11" ht="15.75" customHeight="1" x14ac:dyDescent="0.2">
      <c r="C128" s="287"/>
      <c r="K128" s="287"/>
    </row>
    <row r="129" spans="3:11" ht="15.75" customHeight="1" x14ac:dyDescent="0.2">
      <c r="C129" s="287"/>
      <c r="K129" s="287"/>
    </row>
    <row r="130" spans="3:11" ht="15.75" customHeight="1" x14ac:dyDescent="0.2">
      <c r="C130" s="287"/>
      <c r="K130" s="287"/>
    </row>
    <row r="131" spans="3:11" ht="15.75" customHeight="1" x14ac:dyDescent="0.2">
      <c r="C131" s="287"/>
      <c r="K131" s="287"/>
    </row>
    <row r="132" spans="3:11" ht="15.75" customHeight="1" x14ac:dyDescent="0.2">
      <c r="C132" s="287"/>
      <c r="K132" s="287"/>
    </row>
    <row r="133" spans="3:11" ht="15.75" customHeight="1" x14ac:dyDescent="0.2">
      <c r="C133" s="287"/>
      <c r="K133" s="287"/>
    </row>
    <row r="134" spans="3:11" ht="15.75" customHeight="1" x14ac:dyDescent="0.2">
      <c r="C134" s="287"/>
      <c r="K134" s="287"/>
    </row>
    <row r="135" spans="3:11" ht="15.75" customHeight="1" x14ac:dyDescent="0.2">
      <c r="C135" s="287"/>
      <c r="K135" s="287"/>
    </row>
    <row r="136" spans="3:11" ht="15.75" customHeight="1" x14ac:dyDescent="0.2">
      <c r="C136" s="287"/>
      <c r="K136" s="287"/>
    </row>
    <row r="137" spans="3:11" ht="15.75" customHeight="1" x14ac:dyDescent="0.2">
      <c r="C137" s="287"/>
      <c r="K137" s="287"/>
    </row>
    <row r="138" spans="3:11" ht="15.75" customHeight="1" x14ac:dyDescent="0.2">
      <c r="C138" s="287"/>
      <c r="K138" s="287"/>
    </row>
    <row r="139" spans="3:11" ht="15.75" customHeight="1" x14ac:dyDescent="0.2">
      <c r="C139" s="287"/>
      <c r="K139" s="287"/>
    </row>
    <row r="140" spans="3:11" ht="15.75" customHeight="1" x14ac:dyDescent="0.2">
      <c r="C140" s="287"/>
      <c r="K140" s="287"/>
    </row>
    <row r="141" spans="3:11" ht="15.75" customHeight="1" x14ac:dyDescent="0.2">
      <c r="C141" s="287"/>
      <c r="K141" s="287"/>
    </row>
    <row r="142" spans="3:11" ht="15.75" customHeight="1" x14ac:dyDescent="0.2">
      <c r="C142" s="287"/>
      <c r="K142" s="287"/>
    </row>
    <row r="143" spans="3:11" ht="15.75" customHeight="1" x14ac:dyDescent="0.2">
      <c r="C143" s="287"/>
      <c r="K143" s="287"/>
    </row>
    <row r="144" spans="3:11" ht="15.75" customHeight="1" x14ac:dyDescent="0.2">
      <c r="C144" s="287"/>
      <c r="K144" s="287"/>
    </row>
    <row r="145" spans="3:11" ht="15.75" customHeight="1" x14ac:dyDescent="0.2">
      <c r="C145" s="287"/>
      <c r="K145" s="287"/>
    </row>
    <row r="146" spans="3:11" ht="15.75" customHeight="1" x14ac:dyDescent="0.2">
      <c r="C146" s="287"/>
      <c r="K146" s="287"/>
    </row>
    <row r="147" spans="3:11" ht="15.75" customHeight="1" x14ac:dyDescent="0.2">
      <c r="C147" s="287"/>
      <c r="K147" s="287"/>
    </row>
    <row r="148" spans="3:11" ht="15.75" customHeight="1" x14ac:dyDescent="0.2">
      <c r="C148" s="287"/>
      <c r="K148" s="287"/>
    </row>
    <row r="149" spans="3:11" ht="15.75" customHeight="1" x14ac:dyDescent="0.2">
      <c r="C149" s="287"/>
      <c r="K149" s="287"/>
    </row>
    <row r="150" spans="3:11" ht="15.75" customHeight="1" x14ac:dyDescent="0.2">
      <c r="C150" s="287"/>
      <c r="K150" s="287"/>
    </row>
    <row r="151" spans="3:11" ht="15.75" customHeight="1" x14ac:dyDescent="0.2">
      <c r="C151" s="287"/>
      <c r="K151" s="287"/>
    </row>
    <row r="152" spans="3:11" ht="15.75" customHeight="1" x14ac:dyDescent="0.2">
      <c r="C152" s="287"/>
      <c r="K152" s="287"/>
    </row>
    <row r="153" spans="3:11" ht="15.75" customHeight="1" x14ac:dyDescent="0.2">
      <c r="C153" s="287"/>
      <c r="K153" s="287"/>
    </row>
    <row r="154" spans="3:11" ht="15.75" customHeight="1" x14ac:dyDescent="0.2">
      <c r="C154" s="287"/>
      <c r="K154" s="287"/>
    </row>
    <row r="155" spans="3:11" ht="15.75" customHeight="1" x14ac:dyDescent="0.2">
      <c r="C155" s="287"/>
      <c r="K155" s="287"/>
    </row>
    <row r="156" spans="3:11" ht="15.75" customHeight="1" x14ac:dyDescent="0.2">
      <c r="C156" s="287"/>
      <c r="K156" s="287"/>
    </row>
    <row r="157" spans="3:11" ht="15.75" customHeight="1" x14ac:dyDescent="0.2">
      <c r="C157" s="287"/>
      <c r="K157" s="287"/>
    </row>
    <row r="158" spans="3:11" ht="15.75" customHeight="1" x14ac:dyDescent="0.2">
      <c r="C158" s="287"/>
      <c r="K158" s="287"/>
    </row>
    <row r="159" spans="3:11" ht="15.75" customHeight="1" x14ac:dyDescent="0.2">
      <c r="C159" s="287"/>
      <c r="K159" s="287"/>
    </row>
    <row r="160" spans="3:11" ht="15.75" customHeight="1" x14ac:dyDescent="0.2">
      <c r="C160" s="287"/>
      <c r="K160" s="287"/>
    </row>
    <row r="161" spans="3:11" ht="15.75" customHeight="1" x14ac:dyDescent="0.2">
      <c r="C161" s="287"/>
      <c r="K161" s="287"/>
    </row>
    <row r="162" spans="3:11" ht="15.75" customHeight="1" x14ac:dyDescent="0.2">
      <c r="C162" s="287"/>
      <c r="K162" s="287"/>
    </row>
    <row r="163" spans="3:11" ht="15.75" customHeight="1" x14ac:dyDescent="0.2">
      <c r="C163" s="287"/>
      <c r="K163" s="287"/>
    </row>
    <row r="164" spans="3:11" ht="15.75" customHeight="1" x14ac:dyDescent="0.2">
      <c r="C164" s="287"/>
      <c r="K164" s="287"/>
    </row>
    <row r="165" spans="3:11" ht="15.75" customHeight="1" x14ac:dyDescent="0.2">
      <c r="C165" s="287"/>
      <c r="K165" s="287"/>
    </row>
    <row r="166" spans="3:11" ht="15.75" customHeight="1" x14ac:dyDescent="0.2">
      <c r="C166" s="287"/>
      <c r="K166" s="287"/>
    </row>
    <row r="167" spans="3:11" ht="15.75" customHeight="1" x14ac:dyDescent="0.2">
      <c r="C167" s="287"/>
      <c r="K167" s="287"/>
    </row>
    <row r="168" spans="3:11" ht="15.75" customHeight="1" x14ac:dyDescent="0.2">
      <c r="C168" s="287"/>
      <c r="K168" s="287"/>
    </row>
    <row r="169" spans="3:11" ht="15.75" customHeight="1" x14ac:dyDescent="0.2">
      <c r="C169" s="287"/>
      <c r="K169" s="287"/>
    </row>
    <row r="170" spans="3:11" ht="15.75" customHeight="1" x14ac:dyDescent="0.2">
      <c r="C170" s="287"/>
      <c r="K170" s="287"/>
    </row>
    <row r="171" spans="3:11" ht="15.75" customHeight="1" x14ac:dyDescent="0.2">
      <c r="C171" s="287"/>
      <c r="K171" s="287"/>
    </row>
    <row r="172" spans="3:11" ht="15.75" customHeight="1" x14ac:dyDescent="0.2">
      <c r="C172" s="287"/>
      <c r="K172" s="287"/>
    </row>
    <row r="173" spans="3:11" ht="15.75" customHeight="1" x14ac:dyDescent="0.2">
      <c r="C173" s="287"/>
      <c r="K173" s="287"/>
    </row>
    <row r="174" spans="3:11" ht="15.75" customHeight="1" x14ac:dyDescent="0.2">
      <c r="C174" s="287"/>
      <c r="K174" s="287"/>
    </row>
    <row r="175" spans="3:11" ht="15.75" customHeight="1" x14ac:dyDescent="0.2">
      <c r="C175" s="287"/>
      <c r="K175" s="287"/>
    </row>
    <row r="176" spans="3:11" ht="15.75" customHeight="1" x14ac:dyDescent="0.2">
      <c r="C176" s="287"/>
      <c r="K176" s="287"/>
    </row>
    <row r="177" spans="3:11" ht="15.75" customHeight="1" x14ac:dyDescent="0.2">
      <c r="C177" s="287"/>
      <c r="K177" s="287"/>
    </row>
    <row r="178" spans="3:11" ht="15.75" customHeight="1" x14ac:dyDescent="0.2">
      <c r="C178" s="287"/>
      <c r="K178" s="287"/>
    </row>
    <row r="179" spans="3:11" ht="15.75" customHeight="1" x14ac:dyDescent="0.2">
      <c r="C179" s="287"/>
      <c r="K179" s="287"/>
    </row>
    <row r="180" spans="3:11" ht="15.75" customHeight="1" x14ac:dyDescent="0.2">
      <c r="C180" s="287"/>
      <c r="K180" s="287"/>
    </row>
    <row r="181" spans="3:11" ht="15.75" customHeight="1" x14ac:dyDescent="0.2">
      <c r="C181" s="287"/>
      <c r="K181" s="287"/>
    </row>
    <row r="182" spans="3:11" ht="15.75" customHeight="1" x14ac:dyDescent="0.2">
      <c r="C182" s="287"/>
      <c r="K182" s="287"/>
    </row>
    <row r="183" spans="3:11" ht="15.75" customHeight="1" x14ac:dyDescent="0.2">
      <c r="C183" s="287"/>
      <c r="K183" s="287"/>
    </row>
    <row r="184" spans="3:11" ht="15.75" customHeight="1" x14ac:dyDescent="0.2">
      <c r="C184" s="287"/>
      <c r="K184" s="287"/>
    </row>
    <row r="185" spans="3:11" ht="15.75" customHeight="1" x14ac:dyDescent="0.2">
      <c r="C185" s="287"/>
      <c r="K185" s="287"/>
    </row>
    <row r="186" spans="3:11" ht="15.75" customHeight="1" x14ac:dyDescent="0.2">
      <c r="C186" s="287"/>
      <c r="K186" s="287"/>
    </row>
    <row r="187" spans="3:11" ht="15.75" customHeight="1" x14ac:dyDescent="0.2">
      <c r="C187" s="287"/>
      <c r="K187" s="287"/>
    </row>
    <row r="188" spans="3:11" ht="15.75" customHeight="1" x14ac:dyDescent="0.2">
      <c r="C188" s="287"/>
      <c r="K188" s="287"/>
    </row>
    <row r="189" spans="3:11" ht="15.75" customHeight="1" x14ac:dyDescent="0.2">
      <c r="C189" s="287"/>
      <c r="K189" s="287"/>
    </row>
    <row r="190" spans="3:11" ht="15.75" customHeight="1" x14ac:dyDescent="0.2">
      <c r="C190" s="287"/>
      <c r="K190" s="287"/>
    </row>
    <row r="191" spans="3:11" ht="15.75" customHeight="1" x14ac:dyDescent="0.2">
      <c r="C191" s="287"/>
      <c r="K191" s="287"/>
    </row>
    <row r="192" spans="3:11" ht="15.75" customHeight="1" x14ac:dyDescent="0.2">
      <c r="C192" s="287"/>
      <c r="K192" s="287"/>
    </row>
    <row r="193" spans="3:11" ht="15.75" customHeight="1" x14ac:dyDescent="0.2">
      <c r="C193" s="287"/>
      <c r="K193" s="287"/>
    </row>
    <row r="194" spans="3:11" ht="15.75" customHeight="1" x14ac:dyDescent="0.2">
      <c r="C194" s="287"/>
      <c r="K194" s="287"/>
    </row>
    <row r="195" spans="3:11" ht="15.75" customHeight="1" x14ac:dyDescent="0.2">
      <c r="C195" s="287"/>
      <c r="K195" s="287"/>
    </row>
    <row r="196" spans="3:11" ht="15.75" customHeight="1" x14ac:dyDescent="0.2">
      <c r="C196" s="287"/>
      <c r="K196" s="287"/>
    </row>
    <row r="197" spans="3:11" ht="15.75" customHeight="1" x14ac:dyDescent="0.2">
      <c r="C197" s="287"/>
      <c r="K197" s="287"/>
    </row>
    <row r="198" spans="3:11" ht="15.75" customHeight="1" x14ac:dyDescent="0.2">
      <c r="C198" s="287"/>
      <c r="K198" s="287"/>
    </row>
    <row r="199" spans="3:11" ht="15.75" customHeight="1" x14ac:dyDescent="0.2">
      <c r="C199" s="287"/>
      <c r="K199" s="287"/>
    </row>
    <row r="200" spans="3:11" ht="15.75" customHeight="1" x14ac:dyDescent="0.2">
      <c r="C200" s="287"/>
      <c r="K200" s="287"/>
    </row>
    <row r="201" spans="3:11" ht="15.75" customHeight="1" x14ac:dyDescent="0.2">
      <c r="C201" s="287"/>
      <c r="K201" s="287"/>
    </row>
    <row r="202" spans="3:11" ht="15.75" customHeight="1" x14ac:dyDescent="0.2">
      <c r="C202" s="287"/>
      <c r="K202" s="287"/>
    </row>
    <row r="203" spans="3:11" ht="15.75" customHeight="1" x14ac:dyDescent="0.2">
      <c r="C203" s="287"/>
      <c r="K203" s="287"/>
    </row>
    <row r="204" spans="3:11" ht="15.75" customHeight="1" x14ac:dyDescent="0.2">
      <c r="C204" s="287"/>
      <c r="K204" s="287"/>
    </row>
    <row r="205" spans="3:11" ht="15.75" customHeight="1" x14ac:dyDescent="0.2">
      <c r="C205" s="287"/>
      <c r="K205" s="287"/>
    </row>
    <row r="206" spans="3:11" ht="15.75" customHeight="1" x14ac:dyDescent="0.2">
      <c r="C206" s="287"/>
      <c r="K206" s="287"/>
    </row>
    <row r="207" spans="3:11" ht="15.75" customHeight="1" x14ac:dyDescent="0.2">
      <c r="C207" s="287"/>
      <c r="K207" s="287"/>
    </row>
    <row r="208" spans="3:11" ht="15.75" customHeight="1" x14ac:dyDescent="0.2">
      <c r="C208" s="287"/>
      <c r="K208" s="287"/>
    </row>
    <row r="209" spans="3:11" ht="15.75" customHeight="1" x14ac:dyDescent="0.2">
      <c r="C209" s="287"/>
      <c r="K209" s="287"/>
    </row>
    <row r="210" spans="3:11" ht="15.75" customHeight="1" x14ac:dyDescent="0.2">
      <c r="C210" s="287"/>
      <c r="K210" s="287"/>
    </row>
    <row r="211" spans="3:11" ht="15.75" customHeight="1" x14ac:dyDescent="0.2">
      <c r="C211" s="287"/>
      <c r="K211" s="287"/>
    </row>
    <row r="212" spans="3:11" ht="15.75" customHeight="1" x14ac:dyDescent="0.2">
      <c r="C212" s="287"/>
      <c r="K212" s="287"/>
    </row>
    <row r="213" spans="3:11" ht="15.75" customHeight="1" x14ac:dyDescent="0.2">
      <c r="C213" s="287"/>
      <c r="K213" s="287"/>
    </row>
    <row r="214" spans="3:11" ht="15.75" customHeight="1" x14ac:dyDescent="0.2">
      <c r="C214" s="287"/>
      <c r="K214" s="287"/>
    </row>
    <row r="215" spans="3:11" ht="15.75" customHeight="1" x14ac:dyDescent="0.2">
      <c r="C215" s="287"/>
      <c r="K215" s="287"/>
    </row>
    <row r="216" spans="3:11" ht="15.75" customHeight="1" x14ac:dyDescent="0.2">
      <c r="C216" s="287"/>
      <c r="K216" s="287"/>
    </row>
    <row r="217" spans="3:11" ht="15.75" customHeight="1" x14ac:dyDescent="0.2">
      <c r="C217" s="287"/>
      <c r="K217" s="287"/>
    </row>
    <row r="218" spans="3:11" ht="15.75" customHeight="1" x14ac:dyDescent="0.2">
      <c r="C218" s="287"/>
      <c r="K218" s="287"/>
    </row>
    <row r="219" spans="3:11" ht="15.75" customHeight="1" x14ac:dyDescent="0.2">
      <c r="C219" s="287"/>
      <c r="K219" s="287"/>
    </row>
    <row r="220" spans="3:11" ht="15.75" customHeight="1" x14ac:dyDescent="0.2">
      <c r="C220" s="287"/>
      <c r="K220" s="287"/>
    </row>
    <row r="221" spans="3:11" ht="15.75" customHeight="1" x14ac:dyDescent="0.2">
      <c r="C221" s="287"/>
      <c r="K221" s="287"/>
    </row>
    <row r="222" spans="3:11" ht="15.75" customHeight="1" x14ac:dyDescent="0.2">
      <c r="C222" s="287"/>
      <c r="K222" s="287"/>
    </row>
    <row r="223" spans="3:11" ht="15.75" customHeight="1" x14ac:dyDescent="0.2">
      <c r="C223" s="287"/>
      <c r="K223" s="287"/>
    </row>
    <row r="224" spans="3:11" ht="15.75" customHeight="1" x14ac:dyDescent="0.2">
      <c r="C224" s="287"/>
      <c r="K224" s="287"/>
    </row>
    <row r="225" spans="3:11" ht="15.75" customHeight="1" x14ac:dyDescent="0.2">
      <c r="C225" s="287"/>
      <c r="K225" s="287"/>
    </row>
    <row r="226" spans="3:11" ht="15.75" customHeight="1" x14ac:dyDescent="0.2">
      <c r="C226" s="287"/>
      <c r="K226" s="287"/>
    </row>
    <row r="227" spans="3:11" ht="15.75" customHeight="1" x14ac:dyDescent="0.2">
      <c r="C227" s="287"/>
      <c r="K227" s="287"/>
    </row>
    <row r="228" spans="3:11" ht="15.75" customHeight="1" x14ac:dyDescent="0.2">
      <c r="C228" s="287"/>
      <c r="K228" s="287"/>
    </row>
    <row r="229" spans="3:11" ht="15.75" customHeight="1" x14ac:dyDescent="0.2">
      <c r="C229" s="287"/>
      <c r="K229" s="287"/>
    </row>
    <row r="230" spans="3:11" ht="15.75" customHeight="1" x14ac:dyDescent="0.2">
      <c r="C230" s="287"/>
      <c r="K230" s="287"/>
    </row>
    <row r="231" spans="3:11" ht="15.75" customHeight="1" x14ac:dyDescent="0.2">
      <c r="C231" s="287"/>
      <c r="K231" s="287"/>
    </row>
    <row r="232" spans="3:11" ht="15.75" customHeight="1" x14ac:dyDescent="0.2">
      <c r="C232" s="287"/>
      <c r="K232" s="287"/>
    </row>
    <row r="233" spans="3:11" ht="15.75" customHeight="1" x14ac:dyDescent="0.2">
      <c r="C233" s="287"/>
      <c r="K233" s="287"/>
    </row>
    <row r="234" spans="3:11" ht="15.75" customHeight="1" x14ac:dyDescent="0.2">
      <c r="C234" s="287"/>
      <c r="K234" s="287"/>
    </row>
    <row r="235" spans="3:11" ht="15.75" customHeight="1" x14ac:dyDescent="0.2">
      <c r="C235" s="287"/>
      <c r="K235" s="287"/>
    </row>
    <row r="236" spans="3:11" ht="15.75" customHeight="1" x14ac:dyDescent="0.2">
      <c r="C236" s="287"/>
      <c r="K236" s="287"/>
    </row>
    <row r="237" spans="3:11" ht="15.75" customHeight="1" x14ac:dyDescent="0.2">
      <c r="C237" s="287"/>
      <c r="K237" s="287"/>
    </row>
    <row r="238" spans="3:11" ht="15.75" customHeight="1" x14ac:dyDescent="0.2">
      <c r="C238" s="287"/>
      <c r="K238" s="287"/>
    </row>
    <row r="239" spans="3:11" ht="15.75" customHeight="1" x14ac:dyDescent="0.2">
      <c r="C239" s="287"/>
      <c r="K239" s="287"/>
    </row>
    <row r="240" spans="3:11" ht="15.75" customHeight="1" x14ac:dyDescent="0.2">
      <c r="C240" s="287"/>
      <c r="K240" s="287"/>
    </row>
    <row r="241" spans="3:11" ht="15.75" customHeight="1" x14ac:dyDescent="0.2">
      <c r="C241" s="287"/>
      <c r="K241" s="287"/>
    </row>
    <row r="242" spans="3:11" ht="15.75" customHeight="1" x14ac:dyDescent="0.2">
      <c r="C242" s="287"/>
      <c r="K242" s="287"/>
    </row>
    <row r="243" spans="3:11" ht="15.75" customHeight="1" x14ac:dyDescent="0.2">
      <c r="C243" s="287"/>
      <c r="K243" s="287"/>
    </row>
    <row r="244" spans="3:11" ht="15.75" customHeight="1" x14ac:dyDescent="0.2">
      <c r="C244" s="287"/>
      <c r="K244" s="287"/>
    </row>
    <row r="245" spans="3:11" ht="15.75" customHeight="1" x14ac:dyDescent="0.2">
      <c r="C245" s="287"/>
      <c r="K245" s="287"/>
    </row>
    <row r="246" spans="3:11" ht="15.75" customHeight="1" x14ac:dyDescent="0.2">
      <c r="C246" s="287"/>
      <c r="K246" s="287"/>
    </row>
    <row r="247" spans="3:11" ht="15.75" customHeight="1" x14ac:dyDescent="0.2">
      <c r="C247" s="287"/>
      <c r="K247" s="287"/>
    </row>
    <row r="248" spans="3:11" ht="15.75" customHeight="1" x14ac:dyDescent="0.2">
      <c r="C248" s="287"/>
      <c r="K248" s="287"/>
    </row>
    <row r="249" spans="3:11" ht="15.75" customHeight="1" x14ac:dyDescent="0.2">
      <c r="C249" s="287"/>
      <c r="K249" s="287"/>
    </row>
    <row r="250" spans="3:11" ht="15.75" customHeight="1" x14ac:dyDescent="0.2">
      <c r="C250" s="287"/>
      <c r="K250" s="287"/>
    </row>
    <row r="251" spans="3:11" ht="15.75" customHeight="1" x14ac:dyDescent="0.2">
      <c r="C251" s="287"/>
      <c r="K251" s="287"/>
    </row>
    <row r="252" spans="3:11" ht="15.75" customHeight="1" x14ac:dyDescent="0.2">
      <c r="C252" s="287"/>
      <c r="K252" s="287"/>
    </row>
    <row r="253" spans="3:11" ht="15.75" customHeight="1" x14ac:dyDescent="0.2">
      <c r="C253" s="287"/>
      <c r="K253" s="287"/>
    </row>
    <row r="254" spans="3:11" ht="15.75" customHeight="1" x14ac:dyDescent="0.2">
      <c r="C254" s="287"/>
      <c r="K254" s="287"/>
    </row>
    <row r="255" spans="3:11" ht="15.75" customHeight="1" x14ac:dyDescent="0.2">
      <c r="C255" s="287"/>
      <c r="K255" s="287"/>
    </row>
    <row r="256" spans="3:11" ht="15.75" customHeight="1" x14ac:dyDescent="0.2">
      <c r="C256" s="287"/>
      <c r="K256" s="287"/>
    </row>
    <row r="257" spans="3:11" ht="15.75" customHeight="1" x14ac:dyDescent="0.2">
      <c r="C257" s="287"/>
      <c r="K257" s="287"/>
    </row>
    <row r="258" spans="3:11" ht="15.75" customHeight="1" x14ac:dyDescent="0.2">
      <c r="C258" s="287"/>
      <c r="K258" s="287"/>
    </row>
    <row r="259" spans="3:11" ht="15.75" customHeight="1" x14ac:dyDescent="0.2">
      <c r="C259" s="287"/>
      <c r="K259" s="287"/>
    </row>
    <row r="260" spans="3:11" ht="15.75" customHeight="1" x14ac:dyDescent="0.2">
      <c r="C260" s="287"/>
      <c r="K260" s="287"/>
    </row>
    <row r="261" spans="3:11" ht="15.75" customHeight="1" x14ac:dyDescent="0.2">
      <c r="C261" s="287"/>
      <c r="K261" s="287"/>
    </row>
    <row r="262" spans="3:11" ht="15.75" customHeight="1" x14ac:dyDescent="0.2">
      <c r="C262" s="287"/>
      <c r="K262" s="287"/>
    </row>
    <row r="263" spans="3:11" ht="15.75" customHeight="1" x14ac:dyDescent="0.2">
      <c r="C263" s="287"/>
      <c r="K263" s="287"/>
    </row>
    <row r="264" spans="3:11" ht="15.75" customHeight="1" x14ac:dyDescent="0.2">
      <c r="C264" s="287"/>
      <c r="K264" s="287"/>
    </row>
    <row r="265" spans="3:11" ht="15.75" customHeight="1" x14ac:dyDescent="0.2">
      <c r="C265" s="287"/>
      <c r="K265" s="287"/>
    </row>
    <row r="266" spans="3:11" ht="15.75" customHeight="1" x14ac:dyDescent="0.2">
      <c r="C266" s="287"/>
      <c r="K266" s="287"/>
    </row>
    <row r="267" spans="3:11" ht="15.75" customHeight="1" x14ac:dyDescent="0.2">
      <c r="C267" s="287"/>
      <c r="K267" s="287"/>
    </row>
    <row r="268" spans="3:11" ht="15.75" customHeight="1" x14ac:dyDescent="0.2">
      <c r="C268" s="287"/>
      <c r="K268" s="287"/>
    </row>
    <row r="269" spans="3:11" ht="15.75" customHeight="1" x14ac:dyDescent="0.2">
      <c r="C269" s="287"/>
      <c r="K269" s="287"/>
    </row>
    <row r="270" spans="3:11" ht="15.75" customHeight="1" x14ac:dyDescent="0.2">
      <c r="C270" s="287"/>
      <c r="K270" s="287"/>
    </row>
    <row r="271" spans="3:11" ht="15.75" customHeight="1" x14ac:dyDescent="0.2">
      <c r="C271" s="287"/>
      <c r="K271" s="287"/>
    </row>
    <row r="272" spans="3:11" ht="15.75" customHeight="1" x14ac:dyDescent="0.2">
      <c r="C272" s="287"/>
      <c r="K272" s="287"/>
    </row>
    <row r="273" spans="3:11" ht="15.75" customHeight="1" x14ac:dyDescent="0.2">
      <c r="C273" s="287"/>
      <c r="K273" s="287"/>
    </row>
    <row r="274" spans="3:11" ht="15.75" customHeight="1" x14ac:dyDescent="0.2">
      <c r="C274" s="287"/>
      <c r="K274" s="287"/>
    </row>
    <row r="275" spans="3:11" ht="15.75" customHeight="1" x14ac:dyDescent="0.2">
      <c r="C275" s="287"/>
      <c r="K275" s="287"/>
    </row>
    <row r="276" spans="3:11" ht="15.75" customHeight="1" x14ac:dyDescent="0.2">
      <c r="C276" s="287"/>
      <c r="K276" s="287"/>
    </row>
    <row r="277" spans="3:11" ht="15.75" customHeight="1" x14ac:dyDescent="0.2">
      <c r="C277" s="287"/>
      <c r="K277" s="287"/>
    </row>
    <row r="278" spans="3:11" ht="15.75" customHeight="1" x14ac:dyDescent="0.2">
      <c r="C278" s="287"/>
      <c r="K278" s="287"/>
    </row>
    <row r="279" spans="3:11" ht="15.75" customHeight="1" x14ac:dyDescent="0.2">
      <c r="C279" s="287"/>
      <c r="K279" s="287"/>
    </row>
    <row r="280" spans="3:11" ht="15.75" customHeight="1" x14ac:dyDescent="0.2">
      <c r="C280" s="287"/>
      <c r="K280" s="287"/>
    </row>
    <row r="281" spans="3:11" ht="15.75" customHeight="1" x14ac:dyDescent="0.2">
      <c r="C281" s="287"/>
      <c r="K281" s="287"/>
    </row>
    <row r="282" spans="3:11" ht="15.75" customHeight="1" x14ac:dyDescent="0.2">
      <c r="C282" s="287"/>
      <c r="K282" s="287"/>
    </row>
    <row r="283" spans="3:11" ht="15.75" customHeight="1" x14ac:dyDescent="0.2">
      <c r="C283" s="287"/>
      <c r="K283" s="287"/>
    </row>
    <row r="284" spans="3:11" ht="15.75" customHeight="1" x14ac:dyDescent="0.2">
      <c r="C284" s="287"/>
      <c r="K284" s="287"/>
    </row>
    <row r="285" spans="3:11" ht="15.75" customHeight="1" x14ac:dyDescent="0.2">
      <c r="C285" s="287"/>
      <c r="K285" s="287"/>
    </row>
    <row r="286" spans="3:11" ht="15.75" customHeight="1" x14ac:dyDescent="0.2">
      <c r="C286" s="287"/>
      <c r="K286" s="287"/>
    </row>
    <row r="287" spans="3:11" ht="15.75" customHeight="1" x14ac:dyDescent="0.2">
      <c r="C287" s="287"/>
      <c r="K287" s="287"/>
    </row>
    <row r="288" spans="3:11" ht="15.75" customHeight="1" x14ac:dyDescent="0.2">
      <c r="C288" s="287"/>
      <c r="K288" s="287"/>
    </row>
    <row r="289" spans="3:11" ht="15.75" customHeight="1" x14ac:dyDescent="0.2">
      <c r="C289" s="287"/>
      <c r="K289" s="287"/>
    </row>
    <row r="290" spans="3:11" ht="15.75" customHeight="1" x14ac:dyDescent="0.2">
      <c r="C290" s="287"/>
      <c r="K290" s="287"/>
    </row>
    <row r="291" spans="3:11" ht="15.75" customHeight="1" x14ac:dyDescent="0.2">
      <c r="C291" s="287"/>
      <c r="K291" s="287"/>
    </row>
    <row r="292" spans="3:11" ht="15.75" customHeight="1" x14ac:dyDescent="0.2">
      <c r="C292" s="287"/>
      <c r="K292" s="287"/>
    </row>
    <row r="293" spans="3:11" ht="15.75" customHeight="1" x14ac:dyDescent="0.2">
      <c r="C293" s="287"/>
      <c r="K293" s="287"/>
    </row>
    <row r="294" spans="3:11" ht="15.75" customHeight="1" x14ac:dyDescent="0.2">
      <c r="C294" s="287"/>
      <c r="K294" s="287"/>
    </row>
    <row r="295" spans="3:11" ht="15.75" customHeight="1" x14ac:dyDescent="0.2">
      <c r="C295" s="287"/>
      <c r="K295" s="287"/>
    </row>
  </sheetData>
  <conditionalFormatting sqref="H3:H15 H18:H21 H67:H86 H89">
    <cfRule type="cellIs" dxfId="18" priority="1" operator="lessThan">
      <formula>0</formula>
    </cfRule>
  </conditionalFormatting>
  <printOptions horizontalCentered="1" verticalCentered="1"/>
  <pageMargins left="0.25" right="0.25" top="0.75" bottom="0.75" header="0.3" footer="0.3"/>
  <pageSetup scale="87" fitToHeight="0" orientation="landscape" r:id="rId1"/>
  <headerFooter>
    <oddHeader>&amp;A</oddHeader>
    <oddFooter>Page &amp;P of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/>
  </sheetViews>
  <sheetFormatPr defaultColWidth="12.5703125" defaultRowHeight="15" customHeight="1" outlineLevelCol="1" x14ac:dyDescent="0.2"/>
  <cols>
    <col min="2" max="2" width="40" customWidth="1"/>
    <col min="3" max="3" width="3.42578125" hidden="1" customWidth="1" outlineLevel="1"/>
    <col min="4" max="10" width="0.140625" hidden="1" customWidth="1" outlineLevel="1"/>
    <col min="11" max="11" width="3.42578125" hidden="1" customWidth="1" outlineLevel="1"/>
    <col min="12" max="12" width="12.5703125" collapsed="1"/>
    <col min="13" max="13" width="14.85546875" customWidth="1"/>
    <col min="23" max="23" width="3.140625" customWidth="1"/>
  </cols>
  <sheetData>
    <row r="1" spans="1:31" ht="28.5" customHeight="1" x14ac:dyDescent="0.25">
      <c r="A1" s="1" t="s">
        <v>854</v>
      </c>
      <c r="B1" s="5"/>
      <c r="C1" s="15"/>
      <c r="D1" s="16"/>
      <c r="E1" s="16"/>
      <c r="F1" s="16"/>
      <c r="G1" s="16"/>
      <c r="H1" s="18"/>
      <c r="I1" s="16"/>
      <c r="J1" s="16"/>
      <c r="K1" s="15"/>
      <c r="L1" s="7"/>
      <c r="M1" s="7"/>
      <c r="N1" s="7"/>
      <c r="O1" s="7"/>
      <c r="P1" s="7"/>
      <c r="Q1" s="7"/>
      <c r="R1" s="7"/>
      <c r="S1" s="7"/>
      <c r="T1" s="206"/>
      <c r="W1" s="19"/>
      <c r="X1" s="20"/>
    </row>
    <row r="2" spans="1:31" ht="50.25" customHeight="1" x14ac:dyDescent="0.2">
      <c r="A2" s="3" t="s">
        <v>50</v>
      </c>
      <c r="B2" s="3" t="s">
        <v>51</v>
      </c>
      <c r="C2" s="21"/>
      <c r="D2" s="22" t="s">
        <v>52</v>
      </c>
      <c r="E2" s="23" t="s">
        <v>53</v>
      </c>
      <c r="F2" s="23" t="s">
        <v>54</v>
      </c>
      <c r="G2" s="23" t="s">
        <v>55</v>
      </c>
      <c r="H2" s="100" t="s">
        <v>56</v>
      </c>
      <c r="I2" s="23" t="s">
        <v>57</v>
      </c>
      <c r="J2" s="129" t="s">
        <v>58</v>
      </c>
      <c r="K2" s="130"/>
      <c r="L2" s="27" t="s">
        <v>59</v>
      </c>
      <c r="M2" s="27" t="s">
        <v>60</v>
      </c>
      <c r="N2" s="27" t="s">
        <v>61</v>
      </c>
      <c r="O2" s="27" t="s">
        <v>62</v>
      </c>
      <c r="P2" s="27" t="s">
        <v>63</v>
      </c>
      <c r="Q2" s="27" t="s">
        <v>64</v>
      </c>
      <c r="R2" s="27" t="s">
        <v>65</v>
      </c>
      <c r="S2" s="27" t="s">
        <v>66</v>
      </c>
      <c r="T2" s="207"/>
      <c r="U2" s="28"/>
      <c r="V2" s="19"/>
      <c r="X2" s="28"/>
      <c r="Y2" s="28"/>
      <c r="Z2" s="28"/>
      <c r="AA2" s="28"/>
      <c r="AB2" s="28"/>
      <c r="AC2" s="28"/>
      <c r="AD2" s="28"/>
      <c r="AE2" s="28"/>
    </row>
    <row r="3" spans="1:31" ht="15.75" customHeight="1" x14ac:dyDescent="0.25">
      <c r="A3" s="103" t="s">
        <v>855</v>
      </c>
      <c r="B3" s="103" t="s">
        <v>68</v>
      </c>
      <c r="C3" s="280"/>
      <c r="D3" s="142">
        <v>1940295</v>
      </c>
      <c r="E3" s="142" t="e">
        <f>D3*#REF!</f>
        <v>#REF!</v>
      </c>
      <c r="F3" s="142" t="e">
        <f>D3*#REF!</f>
        <v>#REF!</v>
      </c>
      <c r="G3" s="142" t="e">
        <f>(D3*#REF!)*#REF!</f>
        <v>#REF!</v>
      </c>
      <c r="H3" s="33">
        <f t="shared" ref="H3:H21" si="0">IFERROR(((Q3-G3)/G3),0)</f>
        <v>0</v>
      </c>
      <c r="I3" s="16" t="e">
        <f t="shared" ref="I3:I21" si="1">Q3-G3</f>
        <v>#REF!</v>
      </c>
      <c r="J3" s="18">
        <v>0</v>
      </c>
      <c r="K3" s="280"/>
      <c r="L3" s="216">
        <v>2899833</v>
      </c>
      <c r="M3" s="216">
        <v>1499348.05</v>
      </c>
      <c r="N3" s="216">
        <v>1941787</v>
      </c>
      <c r="O3" s="216">
        <f>VLOOKUP(A3,TB!A:F,3)</f>
        <v>1435487.37</v>
      </c>
      <c r="P3" s="142">
        <f t="shared" ref="P3:P7" si="2">O3/20*26</f>
        <v>1866133.5810000002</v>
      </c>
      <c r="Q3" s="142">
        <v>2219900</v>
      </c>
      <c r="R3" s="281">
        <f>VLOOKUP(A3,TB!A:F,6)</f>
        <v>2219900</v>
      </c>
      <c r="S3" s="281">
        <f t="shared" ref="S3:S21" si="3">Q3-R3</f>
        <v>0</v>
      </c>
    </row>
    <row r="4" spans="1:31" ht="15.75" customHeight="1" x14ac:dyDescent="0.25">
      <c r="A4" s="103" t="s">
        <v>856</v>
      </c>
      <c r="B4" s="103" t="s">
        <v>70</v>
      </c>
      <c r="C4" s="280"/>
      <c r="D4" s="142">
        <v>156826</v>
      </c>
      <c r="E4" s="142" t="e">
        <f>D4*#REF!</f>
        <v>#REF!</v>
      </c>
      <c r="F4" s="142" t="e">
        <f>D4*#REF!</f>
        <v>#REF!</v>
      </c>
      <c r="G4" s="142" t="e">
        <f>(D4*#REF!)*#REF!</f>
        <v>#REF!</v>
      </c>
      <c r="H4" s="33">
        <f t="shared" si="0"/>
        <v>0</v>
      </c>
      <c r="I4" s="16" t="e">
        <f t="shared" si="1"/>
        <v>#REF!</v>
      </c>
      <c r="J4" s="18">
        <v>0</v>
      </c>
      <c r="K4" s="280"/>
      <c r="L4" s="216">
        <v>224381</v>
      </c>
      <c r="M4" s="216">
        <v>107383.76</v>
      </c>
      <c r="N4" s="216">
        <v>195000</v>
      </c>
      <c r="O4" s="216">
        <f>VLOOKUP(A4,TB!A:F,3)</f>
        <v>176184.81</v>
      </c>
      <c r="P4" s="142">
        <f t="shared" si="2"/>
        <v>229040.253</v>
      </c>
      <c r="Q4" s="142">
        <v>195000</v>
      </c>
      <c r="R4" s="281">
        <f>VLOOKUP(A4,TB!A:F,6)</f>
        <v>195000</v>
      </c>
      <c r="S4" s="281">
        <f t="shared" si="3"/>
        <v>0</v>
      </c>
    </row>
    <row r="5" spans="1:31" ht="15.75" customHeight="1" x14ac:dyDescent="0.25">
      <c r="A5" s="103" t="s">
        <v>857</v>
      </c>
      <c r="B5" s="103" t="s">
        <v>132</v>
      </c>
      <c r="C5" s="280"/>
      <c r="D5" s="142">
        <v>4211</v>
      </c>
      <c r="E5" s="142" t="e">
        <f>D5*#REF!</f>
        <v>#REF!</v>
      </c>
      <c r="F5" s="142" t="e">
        <f>D5*#REF!</f>
        <v>#REF!</v>
      </c>
      <c r="G5" s="142" t="e">
        <f>(D5*#REF!)*#REF!</f>
        <v>#REF!</v>
      </c>
      <c r="H5" s="33">
        <f t="shared" si="0"/>
        <v>0</v>
      </c>
      <c r="I5" s="16" t="e">
        <f t="shared" si="1"/>
        <v>#REF!</v>
      </c>
      <c r="J5" s="18">
        <v>0</v>
      </c>
      <c r="K5" s="280"/>
      <c r="L5" s="216">
        <v>3624</v>
      </c>
      <c r="M5" s="216">
        <v>1700</v>
      </c>
      <c r="N5" s="216">
        <v>93157</v>
      </c>
      <c r="O5" s="216">
        <f>VLOOKUP(A5,TB!A:F,3)</f>
        <v>4489.93</v>
      </c>
      <c r="P5" s="142">
        <f t="shared" si="2"/>
        <v>5836.9090000000006</v>
      </c>
      <c r="Q5" s="142">
        <v>0</v>
      </c>
      <c r="R5" s="281">
        <f>VLOOKUP(A5,TB!A:F,6)</f>
        <v>0</v>
      </c>
      <c r="S5" s="281">
        <f t="shared" si="3"/>
        <v>0</v>
      </c>
    </row>
    <row r="6" spans="1:31" ht="15.75" customHeight="1" x14ac:dyDescent="0.25">
      <c r="A6" s="103" t="s">
        <v>858</v>
      </c>
      <c r="B6" s="103" t="s">
        <v>72</v>
      </c>
      <c r="C6" s="280"/>
      <c r="D6" s="142">
        <v>1257579</v>
      </c>
      <c r="E6" s="142" t="e">
        <f>D6*#REF!</f>
        <v>#REF!</v>
      </c>
      <c r="F6" s="142" t="e">
        <f>D6*#REF!</f>
        <v>#REF!</v>
      </c>
      <c r="G6" s="142" t="e">
        <f>(D6*#REF!)*#REF!</f>
        <v>#REF!</v>
      </c>
      <c r="H6" s="33">
        <f t="shared" si="0"/>
        <v>0</v>
      </c>
      <c r="I6" s="16" t="e">
        <f t="shared" si="1"/>
        <v>#REF!</v>
      </c>
      <c r="J6" s="18">
        <v>0</v>
      </c>
      <c r="K6" s="280"/>
      <c r="L6" s="216">
        <v>1801983</v>
      </c>
      <c r="M6" s="216">
        <v>927488.31</v>
      </c>
      <c r="N6" s="216">
        <v>1482498</v>
      </c>
      <c r="O6" s="216">
        <f>VLOOKUP(A6,TB!A:F,3)</f>
        <v>928210.6</v>
      </c>
      <c r="P6" s="142">
        <f t="shared" si="2"/>
        <v>1206673.78</v>
      </c>
      <c r="Q6" s="142">
        <v>1438600</v>
      </c>
      <c r="R6" s="281">
        <f>VLOOKUP(A6,TB!A:F,6)</f>
        <v>1438600</v>
      </c>
      <c r="S6" s="281">
        <f t="shared" si="3"/>
        <v>0</v>
      </c>
    </row>
    <row r="7" spans="1:31" ht="15.75" customHeight="1" x14ac:dyDescent="0.25">
      <c r="A7" s="103" t="s">
        <v>859</v>
      </c>
      <c r="B7" s="103" t="s">
        <v>451</v>
      </c>
      <c r="C7" s="280"/>
      <c r="D7" s="142">
        <v>8272</v>
      </c>
      <c r="E7" s="142" t="e">
        <f>D7*#REF!</f>
        <v>#REF!</v>
      </c>
      <c r="F7" s="142" t="e">
        <f>D7*#REF!</f>
        <v>#REF!</v>
      </c>
      <c r="G7" s="142" t="e">
        <f>(D7*#REF!)*#REF!</f>
        <v>#REF!</v>
      </c>
      <c r="H7" s="33">
        <f t="shared" si="0"/>
        <v>0</v>
      </c>
      <c r="I7" s="16" t="e">
        <f t="shared" si="1"/>
        <v>#REF!</v>
      </c>
      <c r="J7" s="18">
        <v>0</v>
      </c>
      <c r="K7" s="280"/>
      <c r="L7" s="216">
        <v>15133</v>
      </c>
      <c r="M7" s="216">
        <v>11410.41</v>
      </c>
      <c r="N7" s="216">
        <v>30000</v>
      </c>
      <c r="O7" s="216">
        <f>VLOOKUP(A7,TB!A:F,3)</f>
        <v>17642.07</v>
      </c>
      <c r="P7" s="142">
        <f t="shared" si="2"/>
        <v>22934.690999999999</v>
      </c>
      <c r="Q7" s="142">
        <v>30000</v>
      </c>
      <c r="R7" s="281">
        <f>VLOOKUP(A7,TB!A:F,6)</f>
        <v>30000</v>
      </c>
      <c r="S7" s="281">
        <f t="shared" si="3"/>
        <v>0</v>
      </c>
    </row>
    <row r="8" spans="1:31" ht="15.75" customHeight="1" x14ac:dyDescent="0.25">
      <c r="A8" s="103" t="s">
        <v>860</v>
      </c>
      <c r="B8" s="103" t="s">
        <v>74</v>
      </c>
      <c r="C8" s="323"/>
      <c r="D8" s="320">
        <v>654</v>
      </c>
      <c r="E8" s="142" t="e">
        <f>D8*#REF!</f>
        <v>#REF!</v>
      </c>
      <c r="F8" s="142" t="e">
        <f>D8*#REF!</f>
        <v>#REF!</v>
      </c>
      <c r="G8" s="142" t="e">
        <f>(D8*#REF!)*#REF!</f>
        <v>#REF!</v>
      </c>
      <c r="H8" s="33">
        <f t="shared" si="0"/>
        <v>0</v>
      </c>
      <c r="I8" s="16" t="e">
        <f t="shared" si="1"/>
        <v>#REF!</v>
      </c>
      <c r="J8" s="18">
        <v>0</v>
      </c>
      <c r="K8" s="323"/>
      <c r="L8" s="216">
        <v>1371</v>
      </c>
      <c r="M8" s="216">
        <v>26716.86</v>
      </c>
      <c r="N8" s="216">
        <v>44000</v>
      </c>
      <c r="O8" s="216">
        <f>VLOOKUP(A8,TB!A:F,3)</f>
        <v>9312.5499999999993</v>
      </c>
      <c r="P8" s="272">
        <f t="shared" ref="P8:P9" si="4">N8</f>
        <v>44000</v>
      </c>
      <c r="Q8" s="142">
        <v>41700</v>
      </c>
      <c r="R8" s="281">
        <f>VLOOKUP(A8,TB!A:F,6)</f>
        <v>41700</v>
      </c>
      <c r="S8" s="281">
        <f t="shared" si="3"/>
        <v>0</v>
      </c>
    </row>
    <row r="9" spans="1:31" ht="15.75" customHeight="1" x14ac:dyDescent="0.25">
      <c r="A9" s="103" t="s">
        <v>861</v>
      </c>
      <c r="B9" s="103" t="s">
        <v>76</v>
      </c>
      <c r="C9" s="280"/>
      <c r="D9" s="142">
        <v>24247</v>
      </c>
      <c r="E9" s="142" t="e">
        <f>D9*#REF!</f>
        <v>#REF!</v>
      </c>
      <c r="F9" s="142" t="e">
        <f>D9*#REF!</f>
        <v>#REF!</v>
      </c>
      <c r="G9" s="142" t="e">
        <f>(D9*#REF!)*#REF!</f>
        <v>#REF!</v>
      </c>
      <c r="H9" s="33">
        <f t="shared" si="0"/>
        <v>0</v>
      </c>
      <c r="I9" s="16" t="e">
        <f t="shared" si="1"/>
        <v>#REF!</v>
      </c>
      <c r="J9" s="18">
        <v>0</v>
      </c>
      <c r="K9" s="280"/>
      <c r="L9" s="216">
        <v>38040</v>
      </c>
      <c r="M9" s="216">
        <v>43708.12</v>
      </c>
      <c r="N9" s="216">
        <v>83000</v>
      </c>
      <c r="O9" s="216">
        <f>VLOOKUP(A9,TB!A:F,3)</f>
        <v>25500.41</v>
      </c>
      <c r="P9" s="272">
        <f t="shared" si="4"/>
        <v>83000</v>
      </c>
      <c r="Q9" s="142">
        <v>50000</v>
      </c>
      <c r="R9" s="281">
        <f>VLOOKUP(A9,TB!A:F,6)</f>
        <v>50000</v>
      </c>
      <c r="S9" s="281">
        <f t="shared" si="3"/>
        <v>0</v>
      </c>
    </row>
    <row r="10" spans="1:31" ht="15.75" customHeight="1" x14ac:dyDescent="0.25">
      <c r="A10" s="103" t="s">
        <v>862</v>
      </c>
      <c r="B10" s="103" t="s">
        <v>80</v>
      </c>
      <c r="C10" s="280"/>
      <c r="D10" s="142">
        <v>6773</v>
      </c>
      <c r="E10" s="142" t="e">
        <f>D10*#REF!</f>
        <v>#REF!</v>
      </c>
      <c r="F10" s="142" t="e">
        <f>D10*#REF!</f>
        <v>#REF!</v>
      </c>
      <c r="G10" s="142" t="e">
        <f>(D10*#REF!)*#REF!</f>
        <v>#REF!</v>
      </c>
      <c r="H10" s="33">
        <f t="shared" si="0"/>
        <v>0</v>
      </c>
      <c r="I10" s="16" t="e">
        <f t="shared" si="1"/>
        <v>#REF!</v>
      </c>
      <c r="J10" s="18">
        <v>0</v>
      </c>
      <c r="K10" s="280"/>
      <c r="L10" s="216">
        <v>7441</v>
      </c>
      <c r="M10" s="216">
        <v>0</v>
      </c>
      <c r="N10" s="216">
        <v>2500</v>
      </c>
      <c r="O10" s="216">
        <f>VLOOKUP(A10,TB!A:F,3)</f>
        <v>2401.29</v>
      </c>
      <c r="P10" s="142">
        <f t="shared" ref="P10:P11" si="5">O10/9*12</f>
        <v>3201.7200000000003</v>
      </c>
      <c r="Q10" s="142">
        <v>4400</v>
      </c>
      <c r="R10" s="281">
        <f>VLOOKUP(A10,TB!A:F,6)</f>
        <v>4400</v>
      </c>
      <c r="S10" s="281">
        <f t="shared" si="3"/>
        <v>0</v>
      </c>
    </row>
    <row r="11" spans="1:31" ht="15.75" customHeight="1" x14ac:dyDescent="0.25">
      <c r="A11" s="103" t="s">
        <v>863</v>
      </c>
      <c r="B11" s="103" t="s">
        <v>82</v>
      </c>
      <c r="C11" s="280"/>
      <c r="D11" s="142">
        <v>59164</v>
      </c>
      <c r="E11" s="142" t="e">
        <f>D11*#REF!</f>
        <v>#REF!</v>
      </c>
      <c r="F11" s="142" t="e">
        <f>D11*#REF!</f>
        <v>#REF!</v>
      </c>
      <c r="G11" s="142" t="e">
        <f>(D11*#REF!)*#REF!</f>
        <v>#REF!</v>
      </c>
      <c r="H11" s="33">
        <f t="shared" si="0"/>
        <v>0</v>
      </c>
      <c r="I11" s="16" t="e">
        <f t="shared" si="1"/>
        <v>#REF!</v>
      </c>
      <c r="J11" s="18">
        <v>0</v>
      </c>
      <c r="K11" s="280"/>
      <c r="L11" s="216">
        <v>91212</v>
      </c>
      <c r="M11" s="216">
        <v>1496.58</v>
      </c>
      <c r="N11" s="216">
        <v>0</v>
      </c>
      <c r="O11" s="216">
        <f>VLOOKUP(A11,TB!A:F,3)</f>
        <v>89.86</v>
      </c>
      <c r="P11" s="142">
        <f t="shared" si="5"/>
        <v>119.81333333333333</v>
      </c>
      <c r="Q11" s="142">
        <v>0</v>
      </c>
      <c r="R11" s="281">
        <f>VLOOKUP(A11,TB!A:F,6)</f>
        <v>0</v>
      </c>
      <c r="S11" s="281">
        <f t="shared" si="3"/>
        <v>0</v>
      </c>
    </row>
    <row r="12" spans="1:31" ht="15.75" customHeight="1" x14ac:dyDescent="0.25">
      <c r="A12" s="103" t="s">
        <v>864</v>
      </c>
      <c r="B12" s="103" t="s">
        <v>115</v>
      </c>
      <c r="C12" s="280"/>
      <c r="D12" s="142">
        <v>32970</v>
      </c>
      <c r="E12" s="142" t="e">
        <f>D12*#REF!</f>
        <v>#REF!</v>
      </c>
      <c r="F12" s="142" t="e">
        <f>D12*#REF!</f>
        <v>#REF!</v>
      </c>
      <c r="G12" s="142" t="e">
        <f>(D12*#REF!)*#REF!</f>
        <v>#REF!</v>
      </c>
      <c r="H12" s="33">
        <f t="shared" si="0"/>
        <v>0</v>
      </c>
      <c r="I12" s="16" t="e">
        <f t="shared" si="1"/>
        <v>#REF!</v>
      </c>
      <c r="J12" s="18">
        <v>0</v>
      </c>
      <c r="K12" s="280"/>
      <c r="L12" s="216">
        <v>57522</v>
      </c>
      <c r="M12" s="216">
        <v>50935.7</v>
      </c>
      <c r="N12" s="216">
        <v>93000</v>
      </c>
      <c r="O12" s="216">
        <f>VLOOKUP(A12,TB!A:F,3)</f>
        <v>39734.410000000003</v>
      </c>
      <c r="P12" s="272">
        <f>N12</f>
        <v>93000</v>
      </c>
      <c r="Q12" s="142">
        <v>69000</v>
      </c>
      <c r="R12" s="281">
        <f>VLOOKUP(A12,TB!A:F,6)</f>
        <v>69000</v>
      </c>
      <c r="S12" s="281">
        <f t="shared" si="3"/>
        <v>0</v>
      </c>
    </row>
    <row r="13" spans="1:31" ht="15.75" customHeight="1" x14ac:dyDescent="0.25">
      <c r="A13" s="103" t="s">
        <v>865</v>
      </c>
      <c r="B13" s="103" t="s">
        <v>84</v>
      </c>
      <c r="C13" s="323"/>
      <c r="D13" s="320">
        <v>0</v>
      </c>
      <c r="E13" s="142" t="e">
        <f>D13*#REF!</f>
        <v>#REF!</v>
      </c>
      <c r="F13" s="142" t="e">
        <f>D13*#REF!</f>
        <v>#REF!</v>
      </c>
      <c r="G13" s="142" t="e">
        <f>(D13*#REF!)*#REF!</f>
        <v>#REF!</v>
      </c>
      <c r="H13" s="33">
        <f t="shared" si="0"/>
        <v>0</v>
      </c>
      <c r="I13" s="16" t="e">
        <f t="shared" si="1"/>
        <v>#REF!</v>
      </c>
      <c r="J13" s="18">
        <v>0</v>
      </c>
      <c r="K13" s="323"/>
      <c r="L13" s="216">
        <v>456</v>
      </c>
      <c r="M13" s="216">
        <v>0</v>
      </c>
      <c r="N13" s="216">
        <v>0</v>
      </c>
      <c r="O13" s="216">
        <f>VLOOKUP(A13,TB!A:F,3)</f>
        <v>635.19000000000005</v>
      </c>
      <c r="P13" s="142">
        <f t="shared" ref="P13:P14" si="6">O13/9*12</f>
        <v>846.92000000000007</v>
      </c>
      <c r="Q13" s="142">
        <v>0</v>
      </c>
      <c r="R13" s="281">
        <f>VLOOKUP(A13,TB!A:F,6)</f>
        <v>0</v>
      </c>
      <c r="S13" s="281">
        <f t="shared" si="3"/>
        <v>0</v>
      </c>
    </row>
    <row r="14" spans="1:31" ht="15.75" customHeight="1" x14ac:dyDescent="0.25">
      <c r="A14" s="103" t="s">
        <v>866</v>
      </c>
      <c r="B14" s="103" t="s">
        <v>210</v>
      </c>
      <c r="C14" s="280"/>
      <c r="D14" s="142">
        <v>111739</v>
      </c>
      <c r="E14" s="142" t="e">
        <f>D14*#REF!</f>
        <v>#REF!</v>
      </c>
      <c r="F14" s="142" t="e">
        <f>D14*#REF!</f>
        <v>#REF!</v>
      </c>
      <c r="G14" s="142" t="e">
        <f>(D14*#REF!)*#REF!</f>
        <v>#REF!</v>
      </c>
      <c r="H14" s="33">
        <f t="shared" si="0"/>
        <v>0</v>
      </c>
      <c r="I14" s="16" t="e">
        <f t="shared" si="1"/>
        <v>#REF!</v>
      </c>
      <c r="J14" s="18">
        <v>0</v>
      </c>
      <c r="K14" s="280"/>
      <c r="L14" s="216">
        <v>165258</v>
      </c>
      <c r="M14" s="216">
        <v>0</v>
      </c>
      <c r="N14" s="216">
        <v>0</v>
      </c>
      <c r="O14" s="216">
        <f>VLOOKUP(A14,TB!A:F,3)</f>
        <v>0</v>
      </c>
      <c r="P14" s="142">
        <f t="shared" si="6"/>
        <v>0</v>
      </c>
      <c r="Q14" s="142">
        <v>0</v>
      </c>
      <c r="R14" s="281">
        <f>VLOOKUP(A14,TB!A:F,6)</f>
        <v>0</v>
      </c>
      <c r="S14" s="281">
        <f t="shared" si="3"/>
        <v>0</v>
      </c>
    </row>
    <row r="15" spans="1:31" ht="15.75" customHeight="1" x14ac:dyDescent="0.25">
      <c r="A15" s="103" t="s">
        <v>867</v>
      </c>
      <c r="B15" s="103" t="s">
        <v>86</v>
      </c>
      <c r="C15" s="280"/>
      <c r="D15" s="142">
        <v>1184</v>
      </c>
      <c r="E15" s="142" t="e">
        <f>D15*#REF!</f>
        <v>#REF!</v>
      </c>
      <c r="F15" s="142" t="e">
        <f>D15*#REF!</f>
        <v>#REF!</v>
      </c>
      <c r="G15" s="142" t="e">
        <f>(D15*#REF!)*#REF!</f>
        <v>#REF!</v>
      </c>
      <c r="H15" s="33">
        <f t="shared" si="0"/>
        <v>0</v>
      </c>
      <c r="I15" s="16" t="e">
        <f t="shared" si="1"/>
        <v>#REF!</v>
      </c>
      <c r="J15" s="18">
        <v>0</v>
      </c>
      <c r="K15" s="280"/>
      <c r="L15" s="216">
        <v>3618</v>
      </c>
      <c r="M15" s="216">
        <v>6542.85</v>
      </c>
      <c r="N15" s="216">
        <v>7500</v>
      </c>
      <c r="O15" s="216">
        <f>VLOOKUP(A15,TB!A:F,3)</f>
        <v>194.77</v>
      </c>
      <c r="P15" s="272">
        <f t="shared" ref="P15:P16" si="7">N15</f>
        <v>7500</v>
      </c>
      <c r="Q15" s="142">
        <v>19000</v>
      </c>
      <c r="R15" s="281">
        <f>VLOOKUP(A15,TB!A:F,6)</f>
        <v>19000</v>
      </c>
      <c r="S15" s="281">
        <f t="shared" si="3"/>
        <v>0</v>
      </c>
    </row>
    <row r="16" spans="1:31" ht="15.75" customHeight="1" x14ac:dyDescent="0.25">
      <c r="A16" s="103" t="s">
        <v>868</v>
      </c>
      <c r="B16" s="103" t="s">
        <v>90</v>
      </c>
      <c r="C16" s="280"/>
      <c r="D16" s="142">
        <v>23623</v>
      </c>
      <c r="E16" s="142" t="e">
        <f>D16*#REF!</f>
        <v>#REF!</v>
      </c>
      <c r="F16" s="142" t="e">
        <f>D16*#REF!</f>
        <v>#REF!</v>
      </c>
      <c r="G16" s="142" t="e">
        <f>(D16*#REF!)*#REF!</f>
        <v>#REF!</v>
      </c>
      <c r="H16" s="33">
        <f t="shared" si="0"/>
        <v>0</v>
      </c>
      <c r="I16" s="16" t="e">
        <f t="shared" si="1"/>
        <v>#REF!</v>
      </c>
      <c r="J16" s="18">
        <v>0</v>
      </c>
      <c r="K16" s="280"/>
      <c r="L16" s="216">
        <v>33918</v>
      </c>
      <c r="M16" s="216">
        <v>30559.49</v>
      </c>
      <c r="N16" s="216">
        <v>47000</v>
      </c>
      <c r="O16" s="216">
        <f>VLOOKUP(A16,TB!A:F,3)</f>
        <v>23979.040000000001</v>
      </c>
      <c r="P16" s="272">
        <f t="shared" si="7"/>
        <v>47000</v>
      </c>
      <c r="Q16" s="142">
        <v>35000</v>
      </c>
      <c r="R16" s="281">
        <f>VLOOKUP(A16,TB!A:F,6)</f>
        <v>35000</v>
      </c>
      <c r="S16" s="281">
        <f t="shared" si="3"/>
        <v>0</v>
      </c>
    </row>
    <row r="17" spans="1:30" ht="15.75" customHeight="1" x14ac:dyDescent="0.25">
      <c r="A17" s="103" t="s">
        <v>869</v>
      </c>
      <c r="B17" s="103" t="s">
        <v>252</v>
      </c>
      <c r="C17" s="280"/>
      <c r="D17" s="142">
        <v>28860</v>
      </c>
      <c r="E17" s="142" t="e">
        <f>D17*#REF!</f>
        <v>#REF!</v>
      </c>
      <c r="F17" s="142" t="e">
        <f>D17*#REF!</f>
        <v>#REF!</v>
      </c>
      <c r="G17" s="142" t="e">
        <f>(D17*#REF!)*#REF!</f>
        <v>#REF!</v>
      </c>
      <c r="H17" s="33">
        <f t="shared" si="0"/>
        <v>0</v>
      </c>
      <c r="I17" s="16" t="e">
        <f t="shared" si="1"/>
        <v>#REF!</v>
      </c>
      <c r="J17" s="18">
        <v>0</v>
      </c>
      <c r="K17" s="280"/>
      <c r="L17" s="216">
        <v>41617</v>
      </c>
      <c r="M17" s="216">
        <v>9263.42</v>
      </c>
      <c r="N17" s="216">
        <v>0</v>
      </c>
      <c r="O17" s="216">
        <f>VLOOKUP(A17,TB!A:F,3)</f>
        <v>0</v>
      </c>
      <c r="P17" s="142">
        <f>O17/9*12</f>
        <v>0</v>
      </c>
      <c r="Q17" s="142">
        <v>0</v>
      </c>
      <c r="R17" s="281">
        <f>VLOOKUP(A17,TB!A:F,6)</f>
        <v>0</v>
      </c>
      <c r="S17" s="281">
        <f t="shared" si="3"/>
        <v>0</v>
      </c>
    </row>
    <row r="18" spans="1:30" ht="15.75" customHeight="1" x14ac:dyDescent="0.25">
      <c r="A18" s="103" t="s">
        <v>870</v>
      </c>
      <c r="B18" s="103" t="s">
        <v>871</v>
      </c>
      <c r="C18" s="280"/>
      <c r="D18" s="142">
        <v>6694</v>
      </c>
      <c r="E18" s="142" t="e">
        <f>D18*#REF!</f>
        <v>#REF!</v>
      </c>
      <c r="F18" s="142" t="e">
        <f>D18*#REF!</f>
        <v>#REF!</v>
      </c>
      <c r="G18" s="142" t="e">
        <f>(D18*#REF!)*#REF!</f>
        <v>#REF!</v>
      </c>
      <c r="H18" s="33">
        <f t="shared" si="0"/>
        <v>0</v>
      </c>
      <c r="I18" s="16" t="e">
        <f t="shared" si="1"/>
        <v>#REF!</v>
      </c>
      <c r="J18" s="18">
        <v>0</v>
      </c>
      <c r="K18" s="280"/>
      <c r="L18" s="216">
        <v>7228</v>
      </c>
      <c r="M18" s="216">
        <v>5652.73</v>
      </c>
      <c r="N18" s="216">
        <v>9100</v>
      </c>
      <c r="O18" s="216">
        <f>VLOOKUP(A18,TB!A:F,3)</f>
        <v>0</v>
      </c>
      <c r="P18" s="272">
        <f t="shared" ref="P18:P19" si="8">N18</f>
        <v>9100</v>
      </c>
      <c r="Q18" s="142">
        <v>9100</v>
      </c>
      <c r="R18" s="281">
        <f>VLOOKUP(A18,TB!A:F,6)</f>
        <v>9100</v>
      </c>
      <c r="S18" s="281">
        <f t="shared" si="3"/>
        <v>0</v>
      </c>
    </row>
    <row r="19" spans="1:30" ht="15.75" customHeight="1" x14ac:dyDescent="0.25">
      <c r="A19" s="103" t="s">
        <v>872</v>
      </c>
      <c r="B19" s="103" t="s">
        <v>502</v>
      </c>
      <c r="C19" s="280"/>
      <c r="D19" s="142">
        <v>52679</v>
      </c>
      <c r="E19" s="142" t="e">
        <f>D19*#REF!</f>
        <v>#REF!</v>
      </c>
      <c r="F19" s="142" t="e">
        <f>D19*#REF!</f>
        <v>#REF!</v>
      </c>
      <c r="G19" s="142" t="e">
        <f>(D19*#REF!)*#REF!</f>
        <v>#REF!</v>
      </c>
      <c r="H19" s="33">
        <f t="shared" si="0"/>
        <v>0</v>
      </c>
      <c r="I19" s="16" t="e">
        <f t="shared" si="1"/>
        <v>#REF!</v>
      </c>
      <c r="J19" s="18">
        <v>0</v>
      </c>
      <c r="K19" s="280"/>
      <c r="L19" s="216">
        <v>84930</v>
      </c>
      <c r="M19" s="216">
        <v>14931.53</v>
      </c>
      <c r="N19" s="216">
        <v>16500</v>
      </c>
      <c r="O19" s="216">
        <f>VLOOKUP(A19,TB!A:F,3)</f>
        <v>8396.98</v>
      </c>
      <c r="P19" s="272">
        <f t="shared" si="8"/>
        <v>16500</v>
      </c>
      <c r="Q19" s="142">
        <v>16600</v>
      </c>
      <c r="R19" s="281">
        <f>VLOOKUP(A19,TB!A:F,6)</f>
        <v>16600</v>
      </c>
      <c r="S19" s="281">
        <f t="shared" si="3"/>
        <v>0</v>
      </c>
    </row>
    <row r="20" spans="1:30" ht="15.75" customHeight="1" x14ac:dyDescent="0.25">
      <c r="A20" s="103" t="s">
        <v>873</v>
      </c>
      <c r="B20" s="103" t="s">
        <v>92</v>
      </c>
      <c r="C20" s="323"/>
      <c r="D20" s="320">
        <v>0</v>
      </c>
      <c r="E20" s="142" t="e">
        <f>D20*#REF!</f>
        <v>#REF!</v>
      </c>
      <c r="F20" s="142" t="e">
        <f>D20*#REF!</f>
        <v>#REF!</v>
      </c>
      <c r="G20" s="142" t="e">
        <f>(D20*#REF!)*#REF!</f>
        <v>#REF!</v>
      </c>
      <c r="H20" s="33">
        <f t="shared" si="0"/>
        <v>0</v>
      </c>
      <c r="I20" s="16" t="e">
        <f t="shared" si="1"/>
        <v>#REF!</v>
      </c>
      <c r="J20" s="18">
        <v>0</v>
      </c>
      <c r="K20" s="323"/>
      <c r="L20" s="216">
        <v>67368</v>
      </c>
      <c r="M20" s="216">
        <v>0</v>
      </c>
      <c r="N20" s="216">
        <v>0</v>
      </c>
      <c r="O20" s="216">
        <f>VLOOKUP(A20,TB!A:F,3)</f>
        <v>51.53</v>
      </c>
      <c r="P20" s="142">
        <f>O20/9*12</f>
        <v>68.706666666666663</v>
      </c>
      <c r="Q20" s="142">
        <v>0</v>
      </c>
      <c r="R20" s="281">
        <f>VLOOKUP(A20,TB!A:F,6)</f>
        <v>0</v>
      </c>
      <c r="S20" s="281">
        <f t="shared" si="3"/>
        <v>0</v>
      </c>
    </row>
    <row r="21" spans="1:30" ht="15.75" customHeight="1" x14ac:dyDescent="0.25">
      <c r="A21" s="47" t="s">
        <v>874</v>
      </c>
      <c r="B21" s="48"/>
      <c r="C21" s="282"/>
      <c r="D21" s="50">
        <f t="shared" ref="D21:G21" si="9">SUM(D1:D20)</f>
        <v>3715770</v>
      </c>
      <c r="E21" s="50" t="e">
        <f t="shared" si="9"/>
        <v>#REF!</v>
      </c>
      <c r="F21" s="50" t="e">
        <f t="shared" si="9"/>
        <v>#REF!</v>
      </c>
      <c r="G21" s="50" t="e">
        <f t="shared" si="9"/>
        <v>#REF!</v>
      </c>
      <c r="H21" s="42">
        <f t="shared" si="0"/>
        <v>0</v>
      </c>
      <c r="I21" s="50" t="e">
        <f t="shared" si="1"/>
        <v>#REF!</v>
      </c>
      <c r="J21" s="283">
        <f>SUM(J3:J20)</f>
        <v>0</v>
      </c>
      <c r="K21" s="282"/>
      <c r="L21" s="12">
        <f t="shared" ref="L21:R21" si="10">SUM(L1:L20)</f>
        <v>5544933</v>
      </c>
      <c r="M21" s="12">
        <f t="shared" si="10"/>
        <v>2737137.8100000005</v>
      </c>
      <c r="N21" s="12">
        <f t="shared" si="10"/>
        <v>4045042</v>
      </c>
      <c r="O21" s="12">
        <f t="shared" si="10"/>
        <v>2672310.8099999996</v>
      </c>
      <c r="P21" s="50">
        <f t="shared" si="10"/>
        <v>3634956.3740000003</v>
      </c>
      <c r="Q21" s="50">
        <f t="shared" si="10"/>
        <v>4128300</v>
      </c>
      <c r="R21" s="12">
        <f t="shared" si="10"/>
        <v>4128300</v>
      </c>
      <c r="S21" s="124">
        <f t="shared" si="3"/>
        <v>0</v>
      </c>
    </row>
    <row r="22" spans="1:30" ht="15.75" customHeight="1" x14ac:dyDescent="0.2">
      <c r="A22" s="5"/>
      <c r="B22" s="5"/>
      <c r="C22" s="284"/>
      <c r="D22" s="5"/>
      <c r="E22" s="5"/>
      <c r="F22" s="5"/>
      <c r="G22" s="5"/>
      <c r="H22" s="5"/>
      <c r="I22" s="5"/>
      <c r="J22" s="5"/>
      <c r="K22" s="284"/>
      <c r="L22" s="5"/>
      <c r="M22" s="5"/>
      <c r="N22" s="5"/>
      <c r="O22" s="5"/>
      <c r="P22" s="5"/>
      <c r="Q22" s="5"/>
      <c r="R22" s="267"/>
      <c r="S22" s="267"/>
    </row>
    <row r="23" spans="1:30" ht="15.75" customHeight="1" x14ac:dyDescent="0.25">
      <c r="A23" s="103" t="s">
        <v>875</v>
      </c>
      <c r="B23" s="103" t="s">
        <v>99</v>
      </c>
      <c r="C23" s="280"/>
      <c r="D23" s="142">
        <v>452550</v>
      </c>
      <c r="E23" s="142" t="e">
        <f>D23*#REF!</f>
        <v>#REF!</v>
      </c>
      <c r="F23" s="142" t="e">
        <f>D23*#REF!</f>
        <v>#REF!</v>
      </c>
      <c r="G23" s="142" t="e">
        <f>(D23*#REF!)*#REF!</f>
        <v>#REF!</v>
      </c>
      <c r="H23" s="33">
        <f t="shared" ref="H23:H24" si="11">IFERROR(((Q23-G23)/G23),0)</f>
        <v>0</v>
      </c>
      <c r="I23" s="16" t="e">
        <f t="shared" ref="I23:I24" si="12">Q23-G23</f>
        <v>#REF!</v>
      </c>
      <c r="J23" s="18">
        <f>0</f>
        <v>0</v>
      </c>
      <c r="K23" s="280"/>
      <c r="L23" s="216">
        <v>836844</v>
      </c>
      <c r="M23" s="216">
        <v>55934.98</v>
      </c>
      <c r="N23" s="216">
        <v>0</v>
      </c>
      <c r="O23" s="216">
        <v>0</v>
      </c>
      <c r="P23" s="142">
        <v>0</v>
      </c>
      <c r="Q23" s="142">
        <v>0</v>
      </c>
      <c r="R23" s="281">
        <f>VLOOKUP(A23,TB!A:F,6)</f>
        <v>0</v>
      </c>
      <c r="S23" s="281">
        <v>0</v>
      </c>
    </row>
    <row r="24" spans="1:30" ht="15.75" customHeight="1" x14ac:dyDescent="0.25">
      <c r="A24" s="47" t="s">
        <v>876</v>
      </c>
      <c r="B24" s="48"/>
      <c r="C24" s="282"/>
      <c r="D24" s="50">
        <f t="shared" ref="D24:G24" si="13">D23</f>
        <v>452550</v>
      </c>
      <c r="E24" s="50" t="e">
        <f t="shared" si="13"/>
        <v>#REF!</v>
      </c>
      <c r="F24" s="50" t="e">
        <f t="shared" si="13"/>
        <v>#REF!</v>
      </c>
      <c r="G24" s="50" t="e">
        <f t="shared" si="13"/>
        <v>#REF!</v>
      </c>
      <c r="H24" s="42">
        <f t="shared" si="11"/>
        <v>0</v>
      </c>
      <c r="I24" s="50" t="e">
        <f t="shared" si="12"/>
        <v>#REF!</v>
      </c>
      <c r="J24" s="283">
        <f>J23</f>
        <v>0</v>
      </c>
      <c r="K24" s="282"/>
      <c r="L24" s="12">
        <f t="shared" ref="L24:O24" si="14">L23</f>
        <v>836844</v>
      </c>
      <c r="M24" s="12">
        <f t="shared" si="14"/>
        <v>55934.98</v>
      </c>
      <c r="N24" s="12">
        <f t="shared" si="14"/>
        <v>0</v>
      </c>
      <c r="O24" s="12">
        <f t="shared" si="14"/>
        <v>0</v>
      </c>
      <c r="P24" s="50">
        <v>0</v>
      </c>
      <c r="Q24" s="50">
        <f>Q23</f>
        <v>0</v>
      </c>
      <c r="R24" s="124">
        <v>0</v>
      </c>
      <c r="S24" s="124">
        <v>0</v>
      </c>
    </row>
    <row r="25" spans="1:30" ht="15.75" customHeight="1" x14ac:dyDescent="0.2">
      <c r="A25" s="5"/>
      <c r="B25" s="5"/>
      <c r="C25" s="284"/>
      <c r="D25" s="5"/>
      <c r="E25" s="5"/>
      <c r="F25" s="5"/>
      <c r="G25" s="5"/>
      <c r="H25" s="5"/>
      <c r="I25" s="5"/>
      <c r="J25" s="5"/>
      <c r="K25" s="284"/>
      <c r="L25" s="7"/>
      <c r="M25" s="7"/>
      <c r="N25" s="7"/>
      <c r="O25" s="7"/>
      <c r="P25" s="7"/>
      <c r="Q25" s="7"/>
      <c r="R25" s="213"/>
      <c r="S25" s="213"/>
    </row>
    <row r="26" spans="1:30" ht="15.75" customHeight="1" x14ac:dyDescent="0.25">
      <c r="A26" s="47" t="s">
        <v>877</v>
      </c>
      <c r="B26" s="6"/>
      <c r="C26" s="321"/>
      <c r="D26" s="50">
        <f t="shared" ref="D26:G26" si="15">D21+D24</f>
        <v>4168320</v>
      </c>
      <c r="E26" s="50" t="e">
        <f t="shared" si="15"/>
        <v>#REF!</v>
      </c>
      <c r="F26" s="50" t="e">
        <f t="shared" si="15"/>
        <v>#REF!</v>
      </c>
      <c r="G26" s="50" t="e">
        <f t="shared" si="15"/>
        <v>#REF!</v>
      </c>
      <c r="H26" s="42">
        <f>IFERROR(((Q26-G26)/G26),0)</f>
        <v>0</v>
      </c>
      <c r="I26" s="50" t="e">
        <f>Q26-G26</f>
        <v>#REF!</v>
      </c>
      <c r="J26" s="283">
        <v>0</v>
      </c>
      <c r="K26" s="321"/>
      <c r="L26" s="12">
        <f t="shared" ref="L26:S26" si="16">L21+L24</f>
        <v>6381777</v>
      </c>
      <c r="M26" s="12">
        <f t="shared" si="16"/>
        <v>2793072.7900000005</v>
      </c>
      <c r="N26" s="12">
        <f t="shared" si="16"/>
        <v>4045042</v>
      </c>
      <c r="O26" s="12">
        <f t="shared" si="16"/>
        <v>2672310.8099999996</v>
      </c>
      <c r="P26" s="50">
        <f t="shared" si="16"/>
        <v>3634956.3740000003</v>
      </c>
      <c r="Q26" s="50">
        <f t="shared" si="16"/>
        <v>4128300</v>
      </c>
      <c r="R26" s="12">
        <f t="shared" si="16"/>
        <v>4128300</v>
      </c>
      <c r="S26" s="12">
        <f t="shared" si="16"/>
        <v>0</v>
      </c>
    </row>
    <row r="27" spans="1:30" ht="15.75" customHeight="1" x14ac:dyDescent="0.2">
      <c r="A27" s="5"/>
      <c r="B27" s="5"/>
      <c r="C27" s="284"/>
      <c r="D27" s="5"/>
      <c r="E27" s="5"/>
      <c r="F27" s="5"/>
      <c r="G27" s="5"/>
      <c r="H27" s="5"/>
      <c r="I27" s="5"/>
      <c r="J27" s="5"/>
      <c r="K27" s="284"/>
      <c r="L27" s="7"/>
      <c r="M27" s="7"/>
      <c r="N27" s="7"/>
      <c r="O27" s="7"/>
      <c r="P27" s="7"/>
      <c r="Q27" s="7"/>
      <c r="R27" s="213"/>
      <c r="S27" s="213"/>
    </row>
    <row r="28" spans="1:30" ht="15.75" customHeight="1" x14ac:dyDescent="0.2">
      <c r="A28" s="11" t="s">
        <v>184</v>
      </c>
      <c r="B28" s="5"/>
      <c r="C28" s="284"/>
      <c r="D28" s="5"/>
      <c r="E28" s="5"/>
      <c r="F28" s="5"/>
      <c r="G28" s="5"/>
      <c r="H28" s="5"/>
      <c r="I28" s="5"/>
      <c r="J28" s="5"/>
      <c r="K28" s="284"/>
      <c r="L28" s="7"/>
      <c r="M28" s="7"/>
      <c r="N28" s="7"/>
      <c r="O28" s="7"/>
      <c r="P28" s="7"/>
      <c r="Q28" s="7"/>
      <c r="R28" s="213"/>
      <c r="S28" s="213"/>
    </row>
    <row r="29" spans="1:30" ht="15.75" customHeight="1" x14ac:dyDescent="0.25">
      <c r="A29" s="6" t="s">
        <v>878</v>
      </c>
      <c r="B29" s="6" t="s">
        <v>879</v>
      </c>
      <c r="C29" s="285"/>
      <c r="D29" s="16">
        <v>-201424</v>
      </c>
      <c r="E29" s="142" t="e">
        <f>D29*#REF!</f>
        <v>#REF!</v>
      </c>
      <c r="F29" s="142" t="e">
        <f>D29*#REF!</f>
        <v>#REF!</v>
      </c>
      <c r="G29" s="142" t="e">
        <f>(D29*#REF!)*#REF!</f>
        <v>#REF!</v>
      </c>
      <c r="H29" s="33">
        <f t="shared" ref="H29:H30" si="17">IFERROR(((Q29-G29)/G29),0)</f>
        <v>0</v>
      </c>
      <c r="I29" s="16" t="e">
        <f t="shared" ref="I29:I30" si="18">Q29-G29</f>
        <v>#REF!</v>
      </c>
      <c r="J29" s="18">
        <v>0</v>
      </c>
      <c r="K29" s="285"/>
      <c r="L29" s="7">
        <v>-238751</v>
      </c>
      <c r="M29" s="7">
        <v>-427358</v>
      </c>
      <c r="N29" s="7">
        <f>VLOOKUP(A29,TB!A:F,4)</f>
        <v>-694750</v>
      </c>
      <c r="O29" s="216">
        <f>VLOOKUP(A29,TB!A:F,3)</f>
        <v>-479848.9</v>
      </c>
      <c r="P29" s="322">
        <f>N29</f>
        <v>-694750</v>
      </c>
      <c r="Q29" s="16">
        <f>VLOOKUP(A29,TB!A:F,5)</f>
        <v>-615600</v>
      </c>
      <c r="R29" s="281">
        <f>VLOOKUP(A29,TB!A:F,6)</f>
        <v>-615600</v>
      </c>
      <c r="S29" s="213">
        <v>0</v>
      </c>
    </row>
    <row r="30" spans="1:30" ht="15.75" customHeight="1" x14ac:dyDescent="0.2">
      <c r="A30" s="11" t="s">
        <v>189</v>
      </c>
      <c r="B30" s="48"/>
      <c r="C30" s="282"/>
      <c r="D30" s="50">
        <f t="shared" ref="D30:G30" si="19">SUM(D29)</f>
        <v>-201424</v>
      </c>
      <c r="E30" s="50" t="e">
        <f t="shared" si="19"/>
        <v>#REF!</v>
      </c>
      <c r="F30" s="50" t="e">
        <f t="shared" si="19"/>
        <v>#REF!</v>
      </c>
      <c r="G30" s="50" t="e">
        <f t="shared" si="19"/>
        <v>#REF!</v>
      </c>
      <c r="H30" s="42">
        <f t="shared" si="17"/>
        <v>0</v>
      </c>
      <c r="I30" s="50" t="e">
        <f t="shared" si="18"/>
        <v>#REF!</v>
      </c>
      <c r="J30" s="50">
        <v>0</v>
      </c>
      <c r="K30" s="282"/>
      <c r="L30" s="12">
        <f t="shared" ref="L30:R30" si="20">SUM(L29)</f>
        <v>-238751</v>
      </c>
      <c r="M30" s="12">
        <f t="shared" si="20"/>
        <v>-427358</v>
      </c>
      <c r="N30" s="12">
        <f t="shared" si="20"/>
        <v>-694750</v>
      </c>
      <c r="O30" s="12">
        <f t="shared" si="20"/>
        <v>-479848.9</v>
      </c>
      <c r="P30" s="50">
        <f t="shared" si="20"/>
        <v>-694750</v>
      </c>
      <c r="Q30" s="50">
        <f t="shared" si="20"/>
        <v>-615600</v>
      </c>
      <c r="R30" s="12">
        <f t="shared" si="20"/>
        <v>-615600</v>
      </c>
      <c r="S30" s="124">
        <v>0</v>
      </c>
    </row>
    <row r="31" spans="1:30" ht="15.75" customHeight="1" x14ac:dyDescent="0.2">
      <c r="A31" s="5"/>
      <c r="B31" s="5"/>
      <c r="C31" s="284"/>
      <c r="D31" s="5"/>
      <c r="E31" s="5"/>
      <c r="F31" s="5"/>
      <c r="G31" s="5"/>
      <c r="H31" s="5"/>
      <c r="I31" s="5"/>
      <c r="J31" s="5"/>
      <c r="K31" s="284"/>
      <c r="L31" s="7"/>
      <c r="M31" s="7"/>
      <c r="N31" s="7"/>
      <c r="O31" s="7"/>
      <c r="P31" s="7"/>
      <c r="Q31" s="7"/>
      <c r="R31" s="213"/>
      <c r="S31" s="213"/>
    </row>
    <row r="32" spans="1:30" ht="15.75" customHeight="1" x14ac:dyDescent="0.2">
      <c r="A32" s="11" t="s">
        <v>190</v>
      </c>
      <c r="B32" s="6"/>
      <c r="C32" s="286"/>
      <c r="D32" s="178">
        <f t="shared" ref="D32:G32" si="21">D26+D30</f>
        <v>3966896</v>
      </c>
      <c r="E32" s="178" t="e">
        <f t="shared" si="21"/>
        <v>#REF!</v>
      </c>
      <c r="F32" s="178" t="e">
        <f t="shared" si="21"/>
        <v>#REF!</v>
      </c>
      <c r="G32" s="178" t="e">
        <f t="shared" si="21"/>
        <v>#REF!</v>
      </c>
      <c r="H32" s="273">
        <f>IFERROR(((Q32-G32)/G32),0)</f>
        <v>0</v>
      </c>
      <c r="I32" s="178" t="e">
        <f>Q32-G32</f>
        <v>#REF!</v>
      </c>
      <c r="J32" s="178" t="e">
        <f>J30+#REF!</f>
        <v>#REF!</v>
      </c>
      <c r="K32" s="286"/>
      <c r="L32" s="227">
        <f t="shared" ref="L32:S32" si="22">L26+L30</f>
        <v>6143026</v>
      </c>
      <c r="M32" s="227">
        <f t="shared" si="22"/>
        <v>2365714.7900000005</v>
      </c>
      <c r="N32" s="227">
        <f t="shared" si="22"/>
        <v>3350292</v>
      </c>
      <c r="O32" s="227">
        <f t="shared" si="22"/>
        <v>2192461.9099999997</v>
      </c>
      <c r="P32" s="178">
        <f t="shared" si="22"/>
        <v>2940206.3740000003</v>
      </c>
      <c r="Q32" s="178">
        <f t="shared" si="22"/>
        <v>3512700</v>
      </c>
      <c r="R32" s="227">
        <f t="shared" si="22"/>
        <v>3512700</v>
      </c>
      <c r="S32" s="227">
        <f t="shared" si="22"/>
        <v>0</v>
      </c>
      <c r="W32" s="56"/>
      <c r="X32" s="56"/>
      <c r="Y32" s="56"/>
      <c r="Z32" s="56"/>
      <c r="AA32" s="56"/>
      <c r="AB32" s="56"/>
      <c r="AC32" s="56"/>
      <c r="AD32" s="56"/>
    </row>
    <row r="33" spans="3:19" ht="15.75" customHeight="1" x14ac:dyDescent="0.2">
      <c r="C33" s="287"/>
      <c r="K33" s="287"/>
      <c r="L33" s="54"/>
      <c r="M33" s="54"/>
      <c r="N33" s="54"/>
      <c r="O33" s="54"/>
      <c r="P33" s="54"/>
      <c r="Q33" s="54"/>
      <c r="R33" s="54"/>
      <c r="S33" s="54"/>
    </row>
    <row r="34" spans="3:19" ht="15.75" customHeight="1" x14ac:dyDescent="0.2">
      <c r="C34" s="287"/>
      <c r="K34" s="287"/>
    </row>
    <row r="35" spans="3:19" ht="15.75" customHeight="1" x14ac:dyDescent="0.2">
      <c r="C35" s="288"/>
      <c r="K35" s="288"/>
      <c r="L35" s="199" t="e">
        <f t="shared" ref="L35:R35" si="23">#REF!</f>
        <v>#REF!</v>
      </c>
      <c r="M35" s="199" t="e">
        <f t="shared" si="23"/>
        <v>#REF!</v>
      </c>
      <c r="N35" s="199" t="e">
        <f t="shared" si="23"/>
        <v>#REF!</v>
      </c>
      <c r="O35" s="199" t="e">
        <f t="shared" si="23"/>
        <v>#REF!</v>
      </c>
      <c r="P35" s="199" t="e">
        <f t="shared" si="23"/>
        <v>#REF!</v>
      </c>
      <c r="Q35" s="199" t="e">
        <f t="shared" si="23"/>
        <v>#REF!</v>
      </c>
      <c r="R35" s="173" t="e">
        <f t="shared" si="23"/>
        <v>#REF!</v>
      </c>
    </row>
    <row r="36" spans="3:19" ht="15.75" customHeight="1" x14ac:dyDescent="0.2">
      <c r="C36" s="289"/>
      <c r="K36" s="289"/>
      <c r="L36" s="290">
        <f t="shared" ref="L36:R36" si="24">L32</f>
        <v>6143026</v>
      </c>
      <c r="M36" s="290">
        <f t="shared" si="24"/>
        <v>2365714.7900000005</v>
      </c>
      <c r="N36" s="290">
        <f t="shared" si="24"/>
        <v>3350292</v>
      </c>
      <c r="O36" s="290">
        <f t="shared" si="24"/>
        <v>2192461.9099999997</v>
      </c>
      <c r="P36" s="290">
        <f t="shared" si="24"/>
        <v>2940206.3740000003</v>
      </c>
      <c r="Q36" s="290">
        <f t="shared" si="24"/>
        <v>3512700</v>
      </c>
      <c r="R36" s="291">
        <f t="shared" si="24"/>
        <v>3512700</v>
      </c>
    </row>
    <row r="37" spans="3:19" ht="15.75" customHeight="1" x14ac:dyDescent="0.2">
      <c r="C37" s="287"/>
      <c r="K37" s="287"/>
    </row>
    <row r="38" spans="3:19" ht="15.75" customHeight="1" x14ac:dyDescent="0.2">
      <c r="C38" s="287"/>
      <c r="K38" s="287"/>
    </row>
    <row r="39" spans="3:19" ht="15.75" customHeight="1" x14ac:dyDescent="0.2">
      <c r="C39" s="287"/>
      <c r="K39" s="287"/>
    </row>
    <row r="40" spans="3:19" ht="15.75" customHeight="1" x14ac:dyDescent="0.2">
      <c r="C40" s="287"/>
      <c r="K40" s="287"/>
    </row>
    <row r="41" spans="3:19" ht="15.75" customHeight="1" x14ac:dyDescent="0.2">
      <c r="C41" s="287"/>
      <c r="K41" s="287"/>
    </row>
    <row r="42" spans="3:19" ht="15.75" customHeight="1" x14ac:dyDescent="0.2">
      <c r="C42" s="287"/>
      <c r="K42" s="287"/>
    </row>
    <row r="43" spans="3:19" ht="15.75" customHeight="1" x14ac:dyDescent="0.2">
      <c r="C43" s="287"/>
      <c r="K43" s="287"/>
    </row>
    <row r="44" spans="3:19" ht="15.75" customHeight="1" x14ac:dyDescent="0.2">
      <c r="C44" s="287"/>
      <c r="K44" s="287"/>
    </row>
    <row r="45" spans="3:19" ht="15.75" customHeight="1" x14ac:dyDescent="0.2">
      <c r="C45" s="287"/>
      <c r="K45" s="287"/>
    </row>
    <row r="46" spans="3:19" ht="15.75" customHeight="1" x14ac:dyDescent="0.2">
      <c r="C46" s="287"/>
      <c r="K46" s="287"/>
    </row>
    <row r="47" spans="3:19" ht="15.75" customHeight="1" x14ac:dyDescent="0.2">
      <c r="C47" s="287"/>
      <c r="K47" s="287"/>
    </row>
    <row r="48" spans="3:19" ht="15.75" customHeight="1" x14ac:dyDescent="0.2">
      <c r="C48" s="287"/>
      <c r="K48" s="287"/>
    </row>
    <row r="49" spans="3:11" ht="15.75" customHeight="1" x14ac:dyDescent="0.2">
      <c r="C49" s="287"/>
      <c r="K49" s="287"/>
    </row>
    <row r="50" spans="3:11" ht="15.75" customHeight="1" x14ac:dyDescent="0.2">
      <c r="C50" s="287"/>
      <c r="K50" s="287"/>
    </row>
    <row r="51" spans="3:11" ht="15.75" customHeight="1" x14ac:dyDescent="0.2">
      <c r="C51" s="287"/>
      <c r="K51" s="287"/>
    </row>
    <row r="52" spans="3:11" ht="15.75" customHeight="1" x14ac:dyDescent="0.2">
      <c r="C52" s="287"/>
      <c r="K52" s="287"/>
    </row>
    <row r="53" spans="3:11" ht="15.75" customHeight="1" x14ac:dyDescent="0.2">
      <c r="C53" s="287"/>
      <c r="K53" s="287"/>
    </row>
    <row r="54" spans="3:11" ht="15.75" customHeight="1" x14ac:dyDescent="0.2">
      <c r="C54" s="287"/>
      <c r="K54" s="287"/>
    </row>
    <row r="55" spans="3:11" ht="15.75" customHeight="1" x14ac:dyDescent="0.2">
      <c r="C55" s="287"/>
      <c r="K55" s="287"/>
    </row>
    <row r="56" spans="3:11" ht="15.75" customHeight="1" x14ac:dyDescent="0.2">
      <c r="C56" s="287"/>
      <c r="K56" s="287"/>
    </row>
    <row r="57" spans="3:11" ht="15.75" customHeight="1" x14ac:dyDescent="0.2">
      <c r="C57" s="287"/>
      <c r="K57" s="287"/>
    </row>
    <row r="58" spans="3:11" ht="15.75" customHeight="1" x14ac:dyDescent="0.2">
      <c r="C58" s="287"/>
      <c r="K58" s="287"/>
    </row>
    <row r="59" spans="3:11" ht="15.75" customHeight="1" x14ac:dyDescent="0.2">
      <c r="C59" s="287"/>
      <c r="K59" s="287"/>
    </row>
    <row r="60" spans="3:11" ht="15.75" customHeight="1" x14ac:dyDescent="0.2">
      <c r="C60" s="287"/>
      <c r="K60" s="287"/>
    </row>
    <row r="61" spans="3:11" ht="15.75" customHeight="1" x14ac:dyDescent="0.2">
      <c r="C61" s="287"/>
      <c r="K61" s="287"/>
    </row>
    <row r="62" spans="3:11" ht="15.75" customHeight="1" x14ac:dyDescent="0.2">
      <c r="C62" s="287"/>
      <c r="K62" s="287"/>
    </row>
    <row r="63" spans="3:11" ht="15.75" customHeight="1" x14ac:dyDescent="0.2">
      <c r="C63" s="287"/>
      <c r="K63" s="287"/>
    </row>
    <row r="64" spans="3:11" ht="15.75" customHeight="1" x14ac:dyDescent="0.2">
      <c r="C64" s="287"/>
      <c r="K64" s="287"/>
    </row>
    <row r="65" spans="3:11" ht="15.75" customHeight="1" x14ac:dyDescent="0.2">
      <c r="C65" s="287"/>
      <c r="K65" s="287"/>
    </row>
    <row r="66" spans="3:11" ht="15.75" customHeight="1" x14ac:dyDescent="0.2">
      <c r="C66" s="287"/>
      <c r="K66" s="287"/>
    </row>
    <row r="67" spans="3:11" ht="15.75" customHeight="1" x14ac:dyDescent="0.2">
      <c r="C67" s="287"/>
      <c r="K67" s="287"/>
    </row>
    <row r="68" spans="3:11" ht="15.75" customHeight="1" x14ac:dyDescent="0.2">
      <c r="C68" s="287"/>
      <c r="K68" s="287"/>
    </row>
    <row r="69" spans="3:11" ht="15.75" customHeight="1" x14ac:dyDescent="0.2">
      <c r="C69" s="287"/>
      <c r="K69" s="287"/>
    </row>
    <row r="70" spans="3:11" ht="15.75" customHeight="1" x14ac:dyDescent="0.2">
      <c r="C70" s="287"/>
      <c r="K70" s="287"/>
    </row>
    <row r="71" spans="3:11" ht="15.75" customHeight="1" x14ac:dyDescent="0.2">
      <c r="C71" s="287"/>
      <c r="K71" s="287"/>
    </row>
    <row r="72" spans="3:11" ht="15.75" customHeight="1" x14ac:dyDescent="0.2">
      <c r="C72" s="287"/>
      <c r="K72" s="287"/>
    </row>
    <row r="73" spans="3:11" ht="15.75" customHeight="1" x14ac:dyDescent="0.2">
      <c r="C73" s="287"/>
      <c r="K73" s="287"/>
    </row>
    <row r="74" spans="3:11" ht="15.75" customHeight="1" x14ac:dyDescent="0.2">
      <c r="C74" s="287"/>
      <c r="K74" s="287"/>
    </row>
    <row r="75" spans="3:11" ht="15.75" customHeight="1" x14ac:dyDescent="0.2">
      <c r="C75" s="287"/>
      <c r="K75" s="287"/>
    </row>
    <row r="76" spans="3:11" ht="15.75" customHeight="1" x14ac:dyDescent="0.2">
      <c r="C76" s="287"/>
      <c r="K76" s="287"/>
    </row>
    <row r="77" spans="3:11" ht="15.75" customHeight="1" x14ac:dyDescent="0.2">
      <c r="C77" s="287"/>
      <c r="K77" s="287"/>
    </row>
    <row r="78" spans="3:11" ht="15.75" customHeight="1" x14ac:dyDescent="0.2">
      <c r="C78" s="287"/>
      <c r="K78" s="287"/>
    </row>
    <row r="79" spans="3:11" ht="15.75" customHeight="1" x14ac:dyDescent="0.2">
      <c r="C79" s="287"/>
      <c r="K79" s="287"/>
    </row>
    <row r="80" spans="3:11" ht="15.75" customHeight="1" x14ac:dyDescent="0.2">
      <c r="C80" s="287"/>
      <c r="K80" s="287"/>
    </row>
    <row r="81" spans="3:11" ht="15.75" customHeight="1" x14ac:dyDescent="0.2">
      <c r="C81" s="287"/>
      <c r="K81" s="287"/>
    </row>
    <row r="82" spans="3:11" ht="15.75" customHeight="1" x14ac:dyDescent="0.2">
      <c r="C82" s="287"/>
      <c r="K82" s="287"/>
    </row>
    <row r="83" spans="3:11" ht="15.75" customHeight="1" x14ac:dyDescent="0.2">
      <c r="C83" s="287"/>
      <c r="K83" s="287"/>
    </row>
    <row r="84" spans="3:11" ht="15.75" customHeight="1" x14ac:dyDescent="0.2">
      <c r="C84" s="287"/>
      <c r="K84" s="287"/>
    </row>
    <row r="85" spans="3:11" ht="15.75" customHeight="1" x14ac:dyDescent="0.2">
      <c r="C85" s="287"/>
      <c r="K85" s="287"/>
    </row>
    <row r="86" spans="3:11" ht="15.75" customHeight="1" x14ac:dyDescent="0.2">
      <c r="C86" s="287"/>
      <c r="K86" s="287"/>
    </row>
    <row r="87" spans="3:11" ht="15.75" customHeight="1" x14ac:dyDescent="0.2">
      <c r="C87" s="287"/>
      <c r="K87" s="287"/>
    </row>
    <row r="88" spans="3:11" ht="15.75" customHeight="1" x14ac:dyDescent="0.2">
      <c r="C88" s="287"/>
      <c r="K88" s="287"/>
    </row>
    <row r="89" spans="3:11" ht="15.75" customHeight="1" x14ac:dyDescent="0.2">
      <c r="C89" s="287"/>
      <c r="K89" s="287"/>
    </row>
    <row r="90" spans="3:11" ht="15.75" customHeight="1" x14ac:dyDescent="0.2">
      <c r="C90" s="287"/>
      <c r="K90" s="287"/>
    </row>
    <row r="91" spans="3:11" ht="15.75" customHeight="1" x14ac:dyDescent="0.2"/>
    <row r="92" spans="3:11" ht="15.75" customHeight="1" x14ac:dyDescent="0.2"/>
    <row r="93" spans="3:11" ht="15.75" customHeight="1" x14ac:dyDescent="0.2"/>
    <row r="94" spans="3:11" ht="15.75" customHeight="1" x14ac:dyDescent="0.2"/>
    <row r="95" spans="3:11" ht="15.75" customHeight="1" x14ac:dyDescent="0.2"/>
    <row r="96" spans="3:11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conditionalFormatting sqref="H3:H21 H23:H24 H26 H29">
    <cfRule type="cellIs" dxfId="17" priority="1" operator="lessThan">
      <formula>0</formula>
    </cfRule>
  </conditionalFormatting>
  <printOptions horizontalCentered="1" verticalCentered="1"/>
  <pageMargins left="0.25" right="0.25" top="0.75" bottom="0.75" header="0.3" footer="0.3"/>
  <pageSetup scale="87" fitToHeight="0" orientation="landscape" r:id="rId1"/>
  <headerFooter>
    <oddHeader>&amp;A</oddHeader>
    <oddFooter>Page &amp;P of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000"/>
  <sheetViews>
    <sheetView workbookViewId="0">
      <selection sqref="A1:D1"/>
    </sheetView>
  </sheetViews>
  <sheetFormatPr defaultColWidth="12.5703125" defaultRowHeight="15" customHeight="1" outlineLevelCol="1" x14ac:dyDescent="0.2"/>
  <cols>
    <col min="2" max="2" width="40" customWidth="1"/>
    <col min="3" max="3" width="3.42578125" hidden="1" customWidth="1" outlineLevel="1"/>
    <col min="4" max="10" width="0.140625" hidden="1" customWidth="1" outlineLevel="1"/>
    <col min="11" max="11" width="3.42578125" hidden="1" customWidth="1" outlineLevel="1"/>
    <col min="12" max="12" width="12.5703125" collapsed="1"/>
    <col min="13" max="13" width="14.85546875" customWidth="1"/>
    <col min="23" max="23" width="3.140625" customWidth="1"/>
  </cols>
  <sheetData>
    <row r="1" spans="1:19" ht="33.75" customHeight="1" x14ac:dyDescent="0.4">
      <c r="A1" s="569" t="s">
        <v>627</v>
      </c>
      <c r="B1" s="568"/>
      <c r="C1" s="568"/>
      <c r="D1" s="558"/>
      <c r="E1" s="103"/>
      <c r="F1" s="103"/>
      <c r="G1" s="103"/>
      <c r="H1" s="211"/>
      <c r="I1" s="5"/>
      <c r="J1" s="5"/>
      <c r="K1" s="5"/>
      <c r="L1" s="265"/>
      <c r="M1" s="314"/>
      <c r="N1" s="265"/>
      <c r="O1" s="314"/>
      <c r="P1" s="265"/>
      <c r="Q1" s="265"/>
      <c r="R1" s="265"/>
      <c r="S1" s="265"/>
    </row>
    <row r="2" spans="1:19" ht="48" customHeight="1" x14ac:dyDescent="0.2">
      <c r="A2" s="3" t="s">
        <v>50</v>
      </c>
      <c r="B2" s="3" t="s">
        <v>51</v>
      </c>
      <c r="C2" s="292"/>
      <c r="D2" s="99" t="s">
        <v>52</v>
      </c>
      <c r="E2" s="100" t="s">
        <v>53</v>
      </c>
      <c r="F2" s="100" t="s">
        <v>54</v>
      </c>
      <c r="G2" s="100" t="s">
        <v>55</v>
      </c>
      <c r="H2" s="24" t="s">
        <v>56</v>
      </c>
      <c r="I2" s="24" t="s">
        <v>57</v>
      </c>
      <c r="J2" s="101" t="s">
        <v>58</v>
      </c>
      <c r="K2" s="292"/>
      <c r="L2" s="3" t="s">
        <v>59</v>
      </c>
      <c r="M2" s="3" t="s">
        <v>60</v>
      </c>
      <c r="N2" s="3" t="s">
        <v>61</v>
      </c>
      <c r="O2" s="3" t="s">
        <v>62</v>
      </c>
      <c r="P2" s="293" t="s">
        <v>541</v>
      </c>
      <c r="Q2" s="293" t="s">
        <v>64</v>
      </c>
      <c r="R2" s="293" t="s">
        <v>65</v>
      </c>
      <c r="S2" s="293" t="s">
        <v>66</v>
      </c>
    </row>
    <row r="3" spans="1:19" ht="15.75" customHeight="1" x14ac:dyDescent="0.25">
      <c r="A3" s="103" t="s">
        <v>628</v>
      </c>
      <c r="B3" s="103" t="s">
        <v>74</v>
      </c>
      <c r="C3" s="280"/>
      <c r="D3" s="142">
        <v>2530</v>
      </c>
      <c r="E3" s="142" t="e">
        <f>D3*#REF!</f>
        <v>#REF!</v>
      </c>
      <c r="F3" s="142" t="e">
        <f>D3*#REF!</f>
        <v>#REF!</v>
      </c>
      <c r="G3" s="142" t="e">
        <f>(D3*#REF!)*#REF!</f>
        <v>#REF!</v>
      </c>
      <c r="H3" s="33">
        <f t="shared" ref="H3:H17" si="0">IFERROR(((Q3-G3)/G3),0)</f>
        <v>0</v>
      </c>
      <c r="I3" s="16" t="e">
        <f t="shared" ref="I3:I17" si="1">Q3-G3</f>
        <v>#REF!</v>
      </c>
      <c r="J3" s="18">
        <v>0</v>
      </c>
      <c r="K3" s="280"/>
      <c r="L3" s="216">
        <v>2227</v>
      </c>
      <c r="M3" s="318">
        <v>5042.45</v>
      </c>
      <c r="N3" s="216">
        <v>5600</v>
      </c>
      <c r="O3" s="216">
        <f>VLOOKUP(A3,TB!A:F,3)</f>
        <v>787.14</v>
      </c>
      <c r="P3" s="272">
        <f>N3</f>
        <v>5600</v>
      </c>
      <c r="Q3" s="142">
        <v>6000</v>
      </c>
      <c r="R3" s="281">
        <f>VLOOKUP(A3,TB!A:F,6)</f>
        <v>6000</v>
      </c>
      <c r="S3" s="281">
        <f t="shared" ref="S3:S16" si="2">Q3-R3</f>
        <v>0</v>
      </c>
    </row>
    <row r="4" spans="1:19" ht="15.75" customHeight="1" x14ac:dyDescent="0.25">
      <c r="A4" s="103" t="s">
        <v>629</v>
      </c>
      <c r="B4" s="103" t="s">
        <v>76</v>
      </c>
      <c r="C4" s="280"/>
      <c r="D4" s="142">
        <v>3984</v>
      </c>
      <c r="E4" s="142" t="e">
        <f>D4*#REF!</f>
        <v>#REF!</v>
      </c>
      <c r="F4" s="142" t="e">
        <f>D4*#REF!</f>
        <v>#REF!</v>
      </c>
      <c r="G4" s="142" t="e">
        <f>(D4*#REF!)*#REF!</f>
        <v>#REF!</v>
      </c>
      <c r="H4" s="33">
        <f t="shared" si="0"/>
        <v>0</v>
      </c>
      <c r="I4" s="16" t="e">
        <f t="shared" si="1"/>
        <v>#REF!</v>
      </c>
      <c r="J4" s="18">
        <v>0</v>
      </c>
      <c r="K4" s="280"/>
      <c r="L4" s="216">
        <v>1665</v>
      </c>
      <c r="M4" s="318">
        <v>1414.74</v>
      </c>
      <c r="N4" s="216">
        <v>6000</v>
      </c>
      <c r="O4" s="216">
        <f>VLOOKUP(A4,TB!A:F,3)</f>
        <v>4536.21</v>
      </c>
      <c r="P4" s="142">
        <f>O4/9*12</f>
        <v>6048.28</v>
      </c>
      <c r="Q4" s="142">
        <v>6000</v>
      </c>
      <c r="R4" s="281">
        <f>VLOOKUP(A4,TB!A:F,6)</f>
        <v>6000</v>
      </c>
      <c r="S4" s="281">
        <f t="shared" si="2"/>
        <v>0</v>
      </c>
    </row>
    <row r="5" spans="1:19" ht="15.75" customHeight="1" x14ac:dyDescent="0.25">
      <c r="A5" s="103" t="s">
        <v>630</v>
      </c>
      <c r="B5" s="103" t="s">
        <v>80</v>
      </c>
      <c r="C5" s="280"/>
      <c r="D5" s="142">
        <v>130</v>
      </c>
      <c r="E5" s="142" t="e">
        <f>D5*#REF!</f>
        <v>#REF!</v>
      </c>
      <c r="F5" s="142" t="e">
        <f>D5*#REF!</f>
        <v>#REF!</v>
      </c>
      <c r="G5" s="142" t="e">
        <f>(D5*#REF!)*#REF!</f>
        <v>#REF!</v>
      </c>
      <c r="H5" s="33">
        <f t="shared" si="0"/>
        <v>0</v>
      </c>
      <c r="I5" s="16" t="e">
        <f t="shared" si="1"/>
        <v>#REF!</v>
      </c>
      <c r="J5" s="18">
        <v>0</v>
      </c>
      <c r="K5" s="280"/>
      <c r="L5" s="216">
        <v>50</v>
      </c>
      <c r="M5" s="318">
        <v>0</v>
      </c>
      <c r="N5" s="216">
        <v>500</v>
      </c>
      <c r="O5" s="216">
        <f>VLOOKUP(A5,TB!A:F,3)</f>
        <v>0</v>
      </c>
      <c r="P5" s="272">
        <f t="shared" ref="P5:P7" si="3">N5</f>
        <v>500</v>
      </c>
      <c r="Q5" s="142">
        <v>750</v>
      </c>
      <c r="R5" s="281">
        <f>VLOOKUP(A5,TB!A:F,6)</f>
        <v>750</v>
      </c>
      <c r="S5" s="281">
        <f t="shared" si="2"/>
        <v>0</v>
      </c>
    </row>
    <row r="6" spans="1:19" ht="15.75" customHeight="1" x14ac:dyDescent="0.25">
      <c r="A6" s="103" t="s">
        <v>631</v>
      </c>
      <c r="B6" s="103" t="s">
        <v>82</v>
      </c>
      <c r="C6" s="280"/>
      <c r="D6" s="142">
        <v>14690</v>
      </c>
      <c r="E6" s="142" t="e">
        <f>D6*#REF!</f>
        <v>#REF!</v>
      </c>
      <c r="F6" s="142" t="e">
        <f>D6*#REF!</f>
        <v>#REF!</v>
      </c>
      <c r="G6" s="142" t="e">
        <f>(D6*#REF!)*#REF!</f>
        <v>#REF!</v>
      </c>
      <c r="H6" s="33">
        <f t="shared" si="0"/>
        <v>0</v>
      </c>
      <c r="I6" s="16" t="e">
        <f t="shared" si="1"/>
        <v>#REF!</v>
      </c>
      <c r="J6" s="18">
        <v>0</v>
      </c>
      <c r="K6" s="280"/>
      <c r="L6" s="216">
        <v>11176</v>
      </c>
      <c r="M6" s="318">
        <v>11334.28</v>
      </c>
      <c r="N6" s="216">
        <v>12000</v>
      </c>
      <c r="O6" s="216">
        <f>VLOOKUP(A6,TB!A:F,3)</f>
        <v>9370.16</v>
      </c>
      <c r="P6" s="272">
        <f t="shared" si="3"/>
        <v>12000</v>
      </c>
      <c r="Q6" s="142">
        <v>14000</v>
      </c>
      <c r="R6" s="281">
        <f>VLOOKUP(A6,TB!A:F,6)</f>
        <v>14000</v>
      </c>
      <c r="S6" s="281">
        <f t="shared" si="2"/>
        <v>0</v>
      </c>
    </row>
    <row r="7" spans="1:19" ht="15.75" customHeight="1" x14ac:dyDescent="0.25">
      <c r="A7" s="103" t="s">
        <v>632</v>
      </c>
      <c r="B7" s="103" t="s">
        <v>115</v>
      </c>
      <c r="C7" s="280"/>
      <c r="D7" s="142">
        <v>17515</v>
      </c>
      <c r="E7" s="142" t="e">
        <f>D7*#REF!</f>
        <v>#REF!</v>
      </c>
      <c r="F7" s="142" t="e">
        <f>D7*#REF!</f>
        <v>#REF!</v>
      </c>
      <c r="G7" s="142" t="e">
        <f>(D7*#REF!)*#REF!</f>
        <v>#REF!</v>
      </c>
      <c r="H7" s="33">
        <f t="shared" si="0"/>
        <v>0</v>
      </c>
      <c r="I7" s="16" t="e">
        <f t="shared" si="1"/>
        <v>#REF!</v>
      </c>
      <c r="J7" s="18">
        <v>0</v>
      </c>
      <c r="K7" s="280"/>
      <c r="L7" s="216">
        <v>22416</v>
      </c>
      <c r="M7" s="318">
        <v>22594.26</v>
      </c>
      <c r="N7" s="216">
        <v>30500</v>
      </c>
      <c r="O7" s="216">
        <f>VLOOKUP(A7,TB!A:F,3)</f>
        <v>9211.3799999999992</v>
      </c>
      <c r="P7" s="272">
        <f t="shared" si="3"/>
        <v>30500</v>
      </c>
      <c r="Q7" s="142">
        <v>29000</v>
      </c>
      <c r="R7" s="281">
        <f>VLOOKUP(A7,TB!A:F,6)</f>
        <v>29000</v>
      </c>
      <c r="S7" s="281">
        <f t="shared" si="2"/>
        <v>0</v>
      </c>
    </row>
    <row r="8" spans="1:19" ht="15.75" customHeight="1" x14ac:dyDescent="0.25">
      <c r="A8" s="103" t="s">
        <v>633</v>
      </c>
      <c r="B8" s="103" t="s">
        <v>277</v>
      </c>
      <c r="C8" s="280"/>
      <c r="D8" s="142">
        <v>0</v>
      </c>
      <c r="E8" s="142" t="e">
        <f>D8*#REF!</f>
        <v>#REF!</v>
      </c>
      <c r="F8" s="142" t="e">
        <f>D8*#REF!</f>
        <v>#REF!</v>
      </c>
      <c r="G8" s="142" t="e">
        <f>(D8*#REF!)*#REF!</f>
        <v>#REF!</v>
      </c>
      <c r="H8" s="33">
        <f t="shared" si="0"/>
        <v>0</v>
      </c>
      <c r="I8" s="16" t="e">
        <f t="shared" si="1"/>
        <v>#REF!</v>
      </c>
      <c r="J8" s="18">
        <v>0</v>
      </c>
      <c r="K8" s="280"/>
      <c r="L8" s="216">
        <v>10350</v>
      </c>
      <c r="M8" s="318">
        <v>0</v>
      </c>
      <c r="N8" s="216">
        <v>0</v>
      </c>
      <c r="O8" s="216">
        <f>VLOOKUP(A8,TB!A:F,3)</f>
        <v>0</v>
      </c>
      <c r="P8" s="142">
        <f>O8/9*12</f>
        <v>0</v>
      </c>
      <c r="Q8" s="142">
        <v>0</v>
      </c>
      <c r="R8" s="281">
        <f>VLOOKUP(A8,TB!A:F,6)</f>
        <v>0</v>
      </c>
      <c r="S8" s="281">
        <f t="shared" si="2"/>
        <v>0</v>
      </c>
    </row>
    <row r="9" spans="1:19" ht="15.75" customHeight="1" x14ac:dyDescent="0.25">
      <c r="A9" s="103" t="s">
        <v>634</v>
      </c>
      <c r="B9" s="103" t="s">
        <v>84</v>
      </c>
      <c r="C9" s="280"/>
      <c r="D9" s="142">
        <v>0</v>
      </c>
      <c r="E9" s="142" t="e">
        <f>D9*#REF!</f>
        <v>#REF!</v>
      </c>
      <c r="F9" s="142" t="e">
        <f>D9*#REF!</f>
        <v>#REF!</v>
      </c>
      <c r="G9" s="142" t="e">
        <f>(D9*#REF!)*#REF!</f>
        <v>#REF!</v>
      </c>
      <c r="H9" s="33">
        <f t="shared" si="0"/>
        <v>0</v>
      </c>
      <c r="I9" s="16" t="e">
        <f t="shared" si="1"/>
        <v>#REF!</v>
      </c>
      <c r="J9" s="18">
        <v>0</v>
      </c>
      <c r="K9" s="280"/>
      <c r="L9" s="216">
        <v>35</v>
      </c>
      <c r="M9" s="318">
        <v>568.51</v>
      </c>
      <c r="N9" s="216">
        <v>2500</v>
      </c>
      <c r="O9" s="216">
        <f>VLOOKUP(A9,TB!A:F,3)</f>
        <v>305.73</v>
      </c>
      <c r="P9" s="272">
        <f t="shared" ref="P9:P13" si="4">N9</f>
        <v>2500</v>
      </c>
      <c r="Q9" s="142">
        <v>0</v>
      </c>
      <c r="R9" s="281">
        <f>VLOOKUP(A9,TB!A:F,6)</f>
        <v>0</v>
      </c>
      <c r="S9" s="281">
        <f t="shared" si="2"/>
        <v>0</v>
      </c>
    </row>
    <row r="10" spans="1:19" ht="15.75" customHeight="1" x14ac:dyDescent="0.25">
      <c r="A10" s="103" t="s">
        <v>635</v>
      </c>
      <c r="B10" s="103" t="s">
        <v>90</v>
      </c>
      <c r="C10" s="280"/>
      <c r="D10" s="142">
        <v>10670</v>
      </c>
      <c r="E10" s="142" t="e">
        <f>D10*#REF!</f>
        <v>#REF!</v>
      </c>
      <c r="F10" s="142" t="e">
        <f>D10*#REF!</f>
        <v>#REF!</v>
      </c>
      <c r="G10" s="142" t="e">
        <f>(D10*#REF!)*#REF!</f>
        <v>#REF!</v>
      </c>
      <c r="H10" s="33">
        <f t="shared" si="0"/>
        <v>0</v>
      </c>
      <c r="I10" s="16" t="e">
        <f t="shared" si="1"/>
        <v>#REF!</v>
      </c>
      <c r="J10" s="18">
        <v>0</v>
      </c>
      <c r="K10" s="280"/>
      <c r="L10" s="216">
        <v>10057</v>
      </c>
      <c r="M10" s="318">
        <v>7032.01</v>
      </c>
      <c r="N10" s="216">
        <v>10000</v>
      </c>
      <c r="O10" s="216">
        <f>VLOOKUP(A10,TB!A:F,3)</f>
        <v>3775.36</v>
      </c>
      <c r="P10" s="272">
        <f t="shared" si="4"/>
        <v>10000</v>
      </c>
      <c r="Q10" s="142">
        <v>12000</v>
      </c>
      <c r="R10" s="281">
        <f>VLOOKUP(A10,TB!A:F,6)</f>
        <v>12000</v>
      </c>
      <c r="S10" s="281">
        <f t="shared" si="2"/>
        <v>0</v>
      </c>
    </row>
    <row r="11" spans="1:19" ht="15.75" customHeight="1" x14ac:dyDescent="0.25">
      <c r="A11" s="103" t="s">
        <v>636</v>
      </c>
      <c r="B11" s="103" t="s">
        <v>252</v>
      </c>
      <c r="C11" s="280"/>
      <c r="D11" s="142">
        <v>3813</v>
      </c>
      <c r="E11" s="142" t="e">
        <f>D11*#REF!</f>
        <v>#REF!</v>
      </c>
      <c r="F11" s="142" t="e">
        <f>D11*#REF!</f>
        <v>#REF!</v>
      </c>
      <c r="G11" s="142" t="e">
        <f>(D11*#REF!)*#REF!</f>
        <v>#REF!</v>
      </c>
      <c r="H11" s="33">
        <f t="shared" si="0"/>
        <v>0</v>
      </c>
      <c r="I11" s="16" t="e">
        <f t="shared" si="1"/>
        <v>#REF!</v>
      </c>
      <c r="J11" s="18">
        <v>0</v>
      </c>
      <c r="K11" s="280"/>
      <c r="L11" s="216">
        <v>5230</v>
      </c>
      <c r="M11" s="318">
        <v>5161.68</v>
      </c>
      <c r="N11" s="216">
        <v>5500</v>
      </c>
      <c r="O11" s="216">
        <f>VLOOKUP(A11,TB!A:F,3)</f>
        <v>1388.31</v>
      </c>
      <c r="P11" s="272">
        <f t="shared" si="4"/>
        <v>5500</v>
      </c>
      <c r="Q11" s="142">
        <v>5500</v>
      </c>
      <c r="R11" s="281">
        <f>VLOOKUP(A11,TB!A:F,6)</f>
        <v>5500</v>
      </c>
      <c r="S11" s="281">
        <f t="shared" si="2"/>
        <v>0</v>
      </c>
    </row>
    <row r="12" spans="1:19" ht="15.75" customHeight="1" x14ac:dyDescent="0.25">
      <c r="A12" s="103" t="s">
        <v>637</v>
      </c>
      <c r="B12" s="103" t="s">
        <v>638</v>
      </c>
      <c r="C12" s="280"/>
      <c r="D12" s="142">
        <v>0</v>
      </c>
      <c r="E12" s="142" t="e">
        <f>D12*#REF!</f>
        <v>#REF!</v>
      </c>
      <c r="F12" s="142" t="e">
        <f>D12*#REF!</f>
        <v>#REF!</v>
      </c>
      <c r="G12" s="142" t="e">
        <f>(D12*#REF!)*#REF!</f>
        <v>#REF!</v>
      </c>
      <c r="H12" s="33">
        <f t="shared" si="0"/>
        <v>0</v>
      </c>
      <c r="I12" s="16" t="e">
        <f t="shared" si="1"/>
        <v>#REF!</v>
      </c>
      <c r="J12" s="18">
        <v>0</v>
      </c>
      <c r="K12" s="280"/>
      <c r="L12" s="216">
        <v>0</v>
      </c>
      <c r="M12" s="318">
        <v>116.32</v>
      </c>
      <c r="N12" s="216">
        <v>1000</v>
      </c>
      <c r="O12" s="216">
        <f>VLOOKUP(A12,TB!A:F,3)</f>
        <v>0</v>
      </c>
      <c r="P12" s="272">
        <f t="shared" si="4"/>
        <v>1000</v>
      </c>
      <c r="Q12" s="142">
        <v>0</v>
      </c>
      <c r="R12" s="281">
        <f>VLOOKUP(A12,TB!A:F,6)</f>
        <v>0</v>
      </c>
      <c r="S12" s="281">
        <f t="shared" si="2"/>
        <v>0</v>
      </c>
    </row>
    <row r="13" spans="1:19" ht="15.75" customHeight="1" x14ac:dyDescent="0.25">
      <c r="A13" s="103" t="s">
        <v>639</v>
      </c>
      <c r="B13" s="103" t="s">
        <v>502</v>
      </c>
      <c r="C13" s="280"/>
      <c r="D13" s="142">
        <v>2886</v>
      </c>
      <c r="E13" s="142" t="e">
        <f>D13*#REF!</f>
        <v>#REF!</v>
      </c>
      <c r="F13" s="142" t="e">
        <f>D13*#REF!</f>
        <v>#REF!</v>
      </c>
      <c r="G13" s="142" t="e">
        <f>(D13*#REF!)*#REF!</f>
        <v>#REF!</v>
      </c>
      <c r="H13" s="33">
        <f t="shared" si="0"/>
        <v>0</v>
      </c>
      <c r="I13" s="16" t="e">
        <f t="shared" si="1"/>
        <v>#REF!</v>
      </c>
      <c r="J13" s="18">
        <v>0</v>
      </c>
      <c r="K13" s="280"/>
      <c r="L13" s="216">
        <v>2848</v>
      </c>
      <c r="M13" s="318">
        <v>7315.13</v>
      </c>
      <c r="N13" s="216">
        <v>3500</v>
      </c>
      <c r="O13" s="216">
        <f>VLOOKUP(A13,TB!A:F,3)</f>
        <v>285.8</v>
      </c>
      <c r="P13" s="272">
        <f t="shared" si="4"/>
        <v>3500</v>
      </c>
      <c r="Q13" s="142">
        <v>3500</v>
      </c>
      <c r="R13" s="281">
        <f>VLOOKUP(A13,TB!A:F,6)</f>
        <v>3500</v>
      </c>
      <c r="S13" s="281">
        <f t="shared" si="2"/>
        <v>0</v>
      </c>
    </row>
    <row r="14" spans="1:19" ht="15.75" customHeight="1" x14ac:dyDescent="0.25">
      <c r="A14" s="103" t="s">
        <v>640</v>
      </c>
      <c r="B14" s="103" t="s">
        <v>92</v>
      </c>
      <c r="C14" s="280"/>
      <c r="D14" s="142">
        <v>0</v>
      </c>
      <c r="E14" s="142" t="e">
        <f>D14*#REF!</f>
        <v>#REF!</v>
      </c>
      <c r="F14" s="142" t="e">
        <f>D14*#REF!</f>
        <v>#REF!</v>
      </c>
      <c r="G14" s="142" t="e">
        <f>(D14*#REF!)*#REF!</f>
        <v>#REF!</v>
      </c>
      <c r="H14" s="33">
        <f t="shared" si="0"/>
        <v>0</v>
      </c>
      <c r="I14" s="16" t="e">
        <f t="shared" si="1"/>
        <v>#REF!</v>
      </c>
      <c r="J14" s="18">
        <v>0</v>
      </c>
      <c r="K14" s="280"/>
      <c r="L14" s="216">
        <v>3949</v>
      </c>
      <c r="M14" s="318">
        <v>0</v>
      </c>
      <c r="N14" s="216">
        <v>0</v>
      </c>
      <c r="O14" s="216">
        <f>VLOOKUP(A14,TB!A:F,3)</f>
        <v>0</v>
      </c>
      <c r="P14" s="142">
        <f t="shared" ref="P14:P16" si="5">O14/9*12</f>
        <v>0</v>
      </c>
      <c r="Q14" s="142">
        <v>0</v>
      </c>
      <c r="R14" s="281">
        <f>VLOOKUP(A14,TB!A:F,6)</f>
        <v>0</v>
      </c>
      <c r="S14" s="281">
        <f t="shared" si="2"/>
        <v>0</v>
      </c>
    </row>
    <row r="15" spans="1:19" ht="15.75" customHeight="1" x14ac:dyDescent="0.25">
      <c r="A15" s="103" t="s">
        <v>641</v>
      </c>
      <c r="B15" s="103" t="s">
        <v>180</v>
      </c>
      <c r="C15" s="280"/>
      <c r="D15" s="142">
        <v>0</v>
      </c>
      <c r="E15" s="142" t="e">
        <f>D15*#REF!</f>
        <v>#REF!</v>
      </c>
      <c r="F15" s="142" t="e">
        <f>D15*#REF!</f>
        <v>#REF!</v>
      </c>
      <c r="G15" s="142" t="e">
        <f>(D15*#REF!)*#REF!</f>
        <v>#REF!</v>
      </c>
      <c r="H15" s="33">
        <f t="shared" si="0"/>
        <v>0</v>
      </c>
      <c r="I15" s="16" t="e">
        <f t="shared" si="1"/>
        <v>#REF!</v>
      </c>
      <c r="J15" s="18">
        <v>0</v>
      </c>
      <c r="K15" s="280"/>
      <c r="L15" s="216">
        <v>6374</v>
      </c>
      <c r="M15" s="318">
        <v>0</v>
      </c>
      <c r="N15" s="216">
        <v>0</v>
      </c>
      <c r="O15" s="216">
        <f>VLOOKUP(A15,TB!A:F,3)</f>
        <v>0</v>
      </c>
      <c r="P15" s="142">
        <f t="shared" si="5"/>
        <v>0</v>
      </c>
      <c r="Q15" s="142">
        <v>0</v>
      </c>
      <c r="R15" s="281">
        <f>VLOOKUP(A15,TB!A:F,6)</f>
        <v>0</v>
      </c>
      <c r="S15" s="281">
        <f t="shared" si="2"/>
        <v>0</v>
      </c>
    </row>
    <row r="16" spans="1:19" ht="15.75" customHeight="1" x14ac:dyDescent="0.25">
      <c r="A16" s="103" t="s">
        <v>642</v>
      </c>
      <c r="B16" s="103" t="s">
        <v>99</v>
      </c>
      <c r="C16" s="280"/>
      <c r="D16" s="142">
        <v>15500</v>
      </c>
      <c r="E16" s="142" t="e">
        <f>D16*#REF!</f>
        <v>#REF!</v>
      </c>
      <c r="F16" s="142" t="e">
        <f>D16*#REF!</f>
        <v>#REF!</v>
      </c>
      <c r="G16" s="142" t="e">
        <f>(D16*#REF!)*#REF!</f>
        <v>#REF!</v>
      </c>
      <c r="H16" s="33">
        <f t="shared" si="0"/>
        <v>0</v>
      </c>
      <c r="I16" s="16" t="e">
        <f t="shared" si="1"/>
        <v>#REF!</v>
      </c>
      <c r="J16" s="18">
        <v>0</v>
      </c>
      <c r="K16" s="280"/>
      <c r="L16" s="216">
        <v>124316</v>
      </c>
      <c r="M16" s="318">
        <v>9229</v>
      </c>
      <c r="N16" s="216">
        <v>0</v>
      </c>
      <c r="O16" s="216">
        <f>VLOOKUP(A16,TB!A:F,3)</f>
        <v>0</v>
      </c>
      <c r="P16" s="142">
        <f t="shared" si="5"/>
        <v>0</v>
      </c>
      <c r="Q16" s="142">
        <v>0</v>
      </c>
      <c r="R16" s="281">
        <f>VLOOKUP(A16,TB!A:F,6)</f>
        <v>0</v>
      </c>
      <c r="S16" s="281">
        <f t="shared" si="2"/>
        <v>0</v>
      </c>
    </row>
    <row r="17" spans="1:30" ht="15.75" customHeight="1" x14ac:dyDescent="0.25">
      <c r="A17" s="47" t="s">
        <v>643</v>
      </c>
      <c r="B17" s="48"/>
      <c r="C17" s="282"/>
      <c r="D17" s="50">
        <f t="shared" ref="D17:G17" si="6">SUM(D3:D16)</f>
        <v>71718</v>
      </c>
      <c r="E17" s="50" t="e">
        <f t="shared" si="6"/>
        <v>#REF!</v>
      </c>
      <c r="F17" s="50" t="e">
        <f t="shared" si="6"/>
        <v>#REF!</v>
      </c>
      <c r="G17" s="50" t="e">
        <f t="shared" si="6"/>
        <v>#REF!</v>
      </c>
      <c r="H17" s="42">
        <f t="shared" si="0"/>
        <v>0</v>
      </c>
      <c r="I17" s="50" t="e">
        <f t="shared" si="1"/>
        <v>#REF!</v>
      </c>
      <c r="J17" s="283">
        <f>SUM(J3:J16)</f>
        <v>0</v>
      </c>
      <c r="K17" s="282"/>
      <c r="L17" s="12">
        <f t="shared" ref="L17:S17" si="7">SUM(L3:L16)</f>
        <v>200693</v>
      </c>
      <c r="M17" s="12">
        <f t="shared" si="7"/>
        <v>69808.38</v>
      </c>
      <c r="N17" s="12">
        <f t="shared" si="7"/>
        <v>77100</v>
      </c>
      <c r="O17" s="12">
        <f t="shared" si="7"/>
        <v>29660.09</v>
      </c>
      <c r="P17" s="50">
        <f t="shared" si="7"/>
        <v>77148.28</v>
      </c>
      <c r="Q17" s="50">
        <f t="shared" si="7"/>
        <v>76750</v>
      </c>
      <c r="R17" s="12">
        <f t="shared" si="7"/>
        <v>76750</v>
      </c>
      <c r="S17" s="12">
        <f t="shared" si="7"/>
        <v>0</v>
      </c>
    </row>
    <row r="18" spans="1:30" ht="15.75" customHeight="1" x14ac:dyDescent="0.2">
      <c r="A18" s="5"/>
      <c r="B18" s="5"/>
      <c r="C18" s="284"/>
      <c r="D18" s="5"/>
      <c r="E18" s="5"/>
      <c r="F18" s="5"/>
      <c r="G18" s="5"/>
      <c r="H18" s="5"/>
      <c r="I18" s="5"/>
      <c r="J18" s="5"/>
      <c r="K18" s="284"/>
      <c r="L18" s="5"/>
      <c r="M18" s="5"/>
      <c r="N18" s="5"/>
      <c r="O18" s="5"/>
      <c r="P18" s="5"/>
      <c r="Q18" s="5"/>
      <c r="R18" s="267"/>
      <c r="S18" s="267"/>
    </row>
    <row r="19" spans="1:30" ht="15.75" customHeight="1" x14ac:dyDescent="0.25">
      <c r="A19" s="103" t="s">
        <v>641</v>
      </c>
      <c r="B19" s="103" t="s">
        <v>180</v>
      </c>
      <c r="C19" s="280"/>
      <c r="D19" s="142">
        <v>0</v>
      </c>
      <c r="E19" s="142" t="e">
        <f>D19*#REF!</f>
        <v>#REF!</v>
      </c>
      <c r="F19" s="142" t="e">
        <f>D19*#REF!</f>
        <v>#REF!</v>
      </c>
      <c r="G19" s="142" t="e">
        <f>(D19*#REF!)*#REF!</f>
        <v>#REF!</v>
      </c>
      <c r="H19" s="33">
        <f t="shared" ref="H19:H21" si="8">IFERROR(((Q19-G19)/G19),0)</f>
        <v>0</v>
      </c>
      <c r="I19" s="16" t="e">
        <f t="shared" ref="I19:I21" si="9">Q19-G19</f>
        <v>#REF!</v>
      </c>
      <c r="J19" s="18">
        <v>0</v>
      </c>
      <c r="K19" s="280"/>
      <c r="L19" s="216">
        <v>6374</v>
      </c>
      <c r="M19" s="318">
        <v>0</v>
      </c>
      <c r="N19" s="216">
        <v>0</v>
      </c>
      <c r="O19" s="216">
        <v>0</v>
      </c>
      <c r="P19" s="142">
        <f t="shared" ref="P19:P20" si="10">N19</f>
        <v>0</v>
      </c>
      <c r="Q19" s="142">
        <v>0</v>
      </c>
      <c r="R19" s="281">
        <f>VLOOKUP(A19,TB!A:F,6)</f>
        <v>0</v>
      </c>
      <c r="S19" s="281">
        <f t="shared" ref="S19:S20" si="11">Q19-R19</f>
        <v>0</v>
      </c>
    </row>
    <row r="20" spans="1:30" ht="15.75" customHeight="1" x14ac:dyDescent="0.25">
      <c r="A20" s="103" t="s">
        <v>642</v>
      </c>
      <c r="B20" s="103" t="s">
        <v>99</v>
      </c>
      <c r="C20" s="280"/>
      <c r="D20" s="142">
        <v>15500</v>
      </c>
      <c r="E20" s="142" t="e">
        <f>D20*#REF!</f>
        <v>#REF!</v>
      </c>
      <c r="F20" s="142" t="e">
        <f>D20*#REF!</f>
        <v>#REF!</v>
      </c>
      <c r="G20" s="142" t="e">
        <f>(D20*#REF!)*#REF!</f>
        <v>#REF!</v>
      </c>
      <c r="H20" s="33">
        <f t="shared" si="8"/>
        <v>0</v>
      </c>
      <c r="I20" s="16" t="e">
        <f t="shared" si="9"/>
        <v>#REF!</v>
      </c>
      <c r="J20" s="18">
        <v>0</v>
      </c>
      <c r="K20" s="280"/>
      <c r="L20" s="216">
        <v>124316</v>
      </c>
      <c r="M20" s="318">
        <v>9229</v>
      </c>
      <c r="N20" s="216">
        <v>28000</v>
      </c>
      <c r="O20" s="216">
        <v>0</v>
      </c>
      <c r="P20" s="272">
        <f t="shared" si="10"/>
        <v>28000</v>
      </c>
      <c r="Q20" s="142">
        <v>0</v>
      </c>
      <c r="R20" s="281">
        <f>VLOOKUP(A20,TB!A:F,6)</f>
        <v>0</v>
      </c>
      <c r="S20" s="281">
        <f t="shared" si="11"/>
        <v>0</v>
      </c>
    </row>
    <row r="21" spans="1:30" ht="15.75" customHeight="1" x14ac:dyDescent="0.25">
      <c r="A21" s="47" t="s">
        <v>644</v>
      </c>
      <c r="B21" s="48"/>
      <c r="C21" s="282"/>
      <c r="D21" s="50">
        <f>SUM(D19:D20)</f>
        <v>15500</v>
      </c>
      <c r="E21" s="50" t="e">
        <f t="shared" ref="E21:G21" si="12">SUM(E7:E20)</f>
        <v>#REF!</v>
      </c>
      <c r="F21" s="50" t="e">
        <f t="shared" si="12"/>
        <v>#REF!</v>
      </c>
      <c r="G21" s="50" t="e">
        <f t="shared" si="12"/>
        <v>#REF!</v>
      </c>
      <c r="H21" s="42">
        <f t="shared" si="8"/>
        <v>0</v>
      </c>
      <c r="I21" s="50" t="e">
        <f t="shared" si="9"/>
        <v>#REF!</v>
      </c>
      <c r="J21" s="283">
        <f>SUM(J19:J20)</f>
        <v>0</v>
      </c>
      <c r="K21" s="282"/>
      <c r="L21" s="12">
        <f t="shared" ref="L21:S21" si="13">SUM(L19:L20)</f>
        <v>130690</v>
      </c>
      <c r="M21" s="12">
        <f t="shared" si="13"/>
        <v>9229</v>
      </c>
      <c r="N21" s="12">
        <f t="shared" si="13"/>
        <v>28000</v>
      </c>
      <c r="O21" s="12">
        <f t="shared" si="13"/>
        <v>0</v>
      </c>
      <c r="P21" s="50">
        <f t="shared" si="13"/>
        <v>28000</v>
      </c>
      <c r="Q21" s="50">
        <f t="shared" si="13"/>
        <v>0</v>
      </c>
      <c r="R21" s="12">
        <f t="shared" si="13"/>
        <v>0</v>
      </c>
      <c r="S21" s="12">
        <f t="shared" si="13"/>
        <v>0</v>
      </c>
    </row>
    <row r="22" spans="1:30" ht="15.75" customHeight="1" x14ac:dyDescent="0.2">
      <c r="A22" s="5"/>
      <c r="B22" s="5"/>
      <c r="C22" s="284"/>
      <c r="D22" s="5"/>
      <c r="E22" s="5"/>
      <c r="F22" s="5"/>
      <c r="G22" s="5"/>
      <c r="H22" s="5"/>
      <c r="I22" s="5"/>
      <c r="J22" s="5"/>
      <c r="K22" s="284"/>
      <c r="L22" s="5"/>
      <c r="M22" s="5"/>
      <c r="N22" s="5"/>
      <c r="O22" s="5"/>
      <c r="P22" s="5"/>
      <c r="Q22" s="5"/>
      <c r="R22" s="267"/>
      <c r="S22" s="267"/>
    </row>
    <row r="23" spans="1:30" ht="15.75" customHeight="1" x14ac:dyDescent="0.25">
      <c r="A23" s="47" t="s">
        <v>645</v>
      </c>
      <c r="B23" s="6"/>
      <c r="C23" s="321"/>
      <c r="D23" s="50">
        <f t="shared" ref="D23:G23" si="14">D17+D21</f>
        <v>87218</v>
      </c>
      <c r="E23" s="50" t="e">
        <f t="shared" si="14"/>
        <v>#REF!</v>
      </c>
      <c r="F23" s="50" t="e">
        <f t="shared" si="14"/>
        <v>#REF!</v>
      </c>
      <c r="G23" s="50" t="e">
        <f t="shared" si="14"/>
        <v>#REF!</v>
      </c>
      <c r="H23" s="42">
        <f>IFERROR(((Q23-G23)/G23),0)</f>
        <v>0</v>
      </c>
      <c r="I23" s="50" t="e">
        <f>Q23-G23</f>
        <v>#REF!</v>
      </c>
      <c r="J23" s="283">
        <f>J22</f>
        <v>0</v>
      </c>
      <c r="K23" s="321"/>
      <c r="L23" s="12">
        <f t="shared" ref="L23:S23" si="15">L17+L21</f>
        <v>331383</v>
      </c>
      <c r="M23" s="12">
        <f t="shared" si="15"/>
        <v>79037.38</v>
      </c>
      <c r="N23" s="12">
        <f t="shared" si="15"/>
        <v>105100</v>
      </c>
      <c r="O23" s="12">
        <f t="shared" si="15"/>
        <v>29660.09</v>
      </c>
      <c r="P23" s="50">
        <f t="shared" si="15"/>
        <v>105148.28</v>
      </c>
      <c r="Q23" s="50">
        <f t="shared" si="15"/>
        <v>76750</v>
      </c>
      <c r="R23" s="12">
        <f t="shared" si="15"/>
        <v>76750</v>
      </c>
      <c r="S23" s="12">
        <f t="shared" si="15"/>
        <v>0</v>
      </c>
    </row>
    <row r="24" spans="1:30" ht="15.75" customHeight="1" x14ac:dyDescent="0.2">
      <c r="A24" s="5"/>
      <c r="B24" s="5"/>
      <c r="C24" s="284"/>
      <c r="D24" s="5"/>
      <c r="E24" s="5"/>
      <c r="F24" s="5"/>
      <c r="G24" s="5"/>
      <c r="H24" s="5"/>
      <c r="I24" s="5"/>
      <c r="J24" s="5"/>
      <c r="K24" s="284"/>
      <c r="L24" s="5"/>
      <c r="M24" s="5"/>
      <c r="N24" s="5"/>
      <c r="O24" s="5"/>
      <c r="P24" s="5"/>
      <c r="Q24" s="5"/>
      <c r="R24" s="267"/>
      <c r="S24" s="267"/>
    </row>
    <row r="25" spans="1:30" ht="15.75" customHeight="1" x14ac:dyDescent="0.2">
      <c r="A25" s="11" t="s">
        <v>184</v>
      </c>
      <c r="B25" s="5"/>
      <c r="C25" s="284"/>
      <c r="D25" s="5"/>
      <c r="E25" s="5"/>
      <c r="F25" s="5"/>
      <c r="G25" s="5"/>
      <c r="H25" s="5"/>
      <c r="I25" s="5"/>
      <c r="J25" s="5"/>
      <c r="K25" s="284"/>
      <c r="L25" s="5"/>
      <c r="M25" s="5"/>
      <c r="N25" s="5"/>
      <c r="O25" s="5"/>
      <c r="P25" s="5"/>
      <c r="Q25" s="5"/>
      <c r="R25" s="267"/>
      <c r="S25" s="267"/>
    </row>
    <row r="26" spans="1:30" ht="15.75" customHeight="1" x14ac:dyDescent="0.25">
      <c r="A26" s="6" t="s">
        <v>646</v>
      </c>
      <c r="B26" s="6" t="s">
        <v>647</v>
      </c>
      <c r="C26" s="285"/>
      <c r="D26" s="16">
        <v>-20957</v>
      </c>
      <c r="E26" s="142" t="e">
        <f>D26*#REF!</f>
        <v>#REF!</v>
      </c>
      <c r="F26" s="142" t="e">
        <f>D26*#REF!</f>
        <v>#REF!</v>
      </c>
      <c r="G26" s="142" t="e">
        <f>(D26*#REF!)*#REF!</f>
        <v>#REF!</v>
      </c>
      <c r="H26" s="33">
        <f t="shared" ref="H26:H29" si="16">IFERROR(((Q26-G26)/G26),0)</f>
        <v>0</v>
      </c>
      <c r="I26" s="16" t="e">
        <f t="shared" ref="I26:I29" si="17">Q26-G26</f>
        <v>#REF!</v>
      </c>
      <c r="J26" s="18">
        <v>0</v>
      </c>
      <c r="K26" s="285"/>
      <c r="L26" s="7">
        <v>-19985</v>
      </c>
      <c r="M26" s="7">
        <v>-19475.28</v>
      </c>
      <c r="N26" s="7">
        <v>-20000</v>
      </c>
      <c r="O26" s="216">
        <f>VLOOKUP(A26,TB!A:F,3)</f>
        <v>0</v>
      </c>
      <c r="P26" s="322">
        <f t="shared" ref="P26:P28" si="18">N26</f>
        <v>-20000</v>
      </c>
      <c r="Q26" s="16">
        <v>-20000</v>
      </c>
      <c r="R26" s="281">
        <f>VLOOKUP(A26,TB!A:F,6)</f>
        <v>-20000</v>
      </c>
      <c r="S26" s="281">
        <f t="shared" ref="S26:S28" si="19">Q26-R26</f>
        <v>0</v>
      </c>
    </row>
    <row r="27" spans="1:30" ht="15.75" customHeight="1" x14ac:dyDescent="0.25">
      <c r="A27" s="6" t="s">
        <v>648</v>
      </c>
      <c r="B27" s="6" t="s">
        <v>649</v>
      </c>
      <c r="C27" s="285"/>
      <c r="D27" s="16">
        <v>-23952</v>
      </c>
      <c r="E27" s="142" t="e">
        <f>D27*#REF!</f>
        <v>#REF!</v>
      </c>
      <c r="F27" s="142" t="e">
        <f>D27*#REF!</f>
        <v>#REF!</v>
      </c>
      <c r="G27" s="142" t="e">
        <f>(D27*#REF!)*#REF!</f>
        <v>#REF!</v>
      </c>
      <c r="H27" s="33">
        <f t="shared" si="16"/>
        <v>0</v>
      </c>
      <c r="I27" s="16" t="e">
        <f t="shared" si="17"/>
        <v>#REF!</v>
      </c>
      <c r="J27" s="18">
        <v>0</v>
      </c>
      <c r="K27" s="285"/>
      <c r="L27" s="7">
        <v>-52917</v>
      </c>
      <c r="M27" s="7">
        <v>-11786.7</v>
      </c>
      <c r="N27" s="7">
        <v>-20000</v>
      </c>
      <c r="O27" s="216">
        <f>VLOOKUP(A27,TB!A:F,3)</f>
        <v>0</v>
      </c>
      <c r="P27" s="322">
        <f t="shared" si="18"/>
        <v>-20000</v>
      </c>
      <c r="Q27" s="16">
        <v>-20000</v>
      </c>
      <c r="R27" s="281">
        <f>VLOOKUP(A27,TB!A:F,6)</f>
        <v>-20000</v>
      </c>
      <c r="S27" s="281">
        <f t="shared" si="19"/>
        <v>0</v>
      </c>
    </row>
    <row r="28" spans="1:30" ht="15.75" customHeight="1" x14ac:dyDescent="0.25">
      <c r="A28" s="6" t="s">
        <v>650</v>
      </c>
      <c r="B28" s="6" t="s">
        <v>651</v>
      </c>
      <c r="C28" s="285"/>
      <c r="D28" s="16">
        <v>-150</v>
      </c>
      <c r="E28" s="142" t="e">
        <f>D28*#REF!</f>
        <v>#REF!</v>
      </c>
      <c r="F28" s="142" t="e">
        <f>D28*#REF!</f>
        <v>#REF!</v>
      </c>
      <c r="G28" s="142" t="e">
        <f>(D28*#REF!)*#REF!</f>
        <v>#REF!</v>
      </c>
      <c r="H28" s="33">
        <f t="shared" si="16"/>
        <v>0</v>
      </c>
      <c r="I28" s="16" t="e">
        <f t="shared" si="17"/>
        <v>#REF!</v>
      </c>
      <c r="J28" s="18">
        <v>0</v>
      </c>
      <c r="K28" s="285"/>
      <c r="L28" s="7">
        <v>-5682</v>
      </c>
      <c r="M28" s="7">
        <v>-200</v>
      </c>
      <c r="N28" s="7">
        <v>-2500</v>
      </c>
      <c r="O28" s="216">
        <f>VLOOKUP(A28,TB!A:F,3)</f>
        <v>-138.04</v>
      </c>
      <c r="P28" s="322">
        <f t="shared" si="18"/>
        <v>-2500</v>
      </c>
      <c r="Q28" s="16">
        <v>0</v>
      </c>
      <c r="R28" s="281">
        <f>VLOOKUP(A28,TB!A:F,6)</f>
        <v>0</v>
      </c>
      <c r="S28" s="281">
        <f t="shared" si="19"/>
        <v>0</v>
      </c>
    </row>
    <row r="29" spans="1:30" ht="15.75" customHeight="1" x14ac:dyDescent="0.2">
      <c r="A29" s="11" t="s">
        <v>189</v>
      </c>
      <c r="B29" s="48"/>
      <c r="C29" s="282"/>
      <c r="D29" s="50">
        <f t="shared" ref="D29:G29" si="20">SUM(D26:D28)</f>
        <v>-45059</v>
      </c>
      <c r="E29" s="50" t="e">
        <f t="shared" si="20"/>
        <v>#REF!</v>
      </c>
      <c r="F29" s="50" t="e">
        <f t="shared" si="20"/>
        <v>#REF!</v>
      </c>
      <c r="G29" s="50" t="e">
        <f t="shared" si="20"/>
        <v>#REF!</v>
      </c>
      <c r="H29" s="42">
        <f t="shared" si="16"/>
        <v>0</v>
      </c>
      <c r="I29" s="50" t="e">
        <f t="shared" si="17"/>
        <v>#REF!</v>
      </c>
      <c r="J29" s="50">
        <v>0</v>
      </c>
      <c r="K29" s="282"/>
      <c r="L29" s="12">
        <f t="shared" ref="L29:S29" si="21">SUM(L26:L28)</f>
        <v>-78584</v>
      </c>
      <c r="M29" s="12">
        <f t="shared" si="21"/>
        <v>-31461.98</v>
      </c>
      <c r="N29" s="12">
        <f t="shared" si="21"/>
        <v>-42500</v>
      </c>
      <c r="O29" s="12">
        <f t="shared" si="21"/>
        <v>-138.04</v>
      </c>
      <c r="P29" s="50">
        <f t="shared" si="21"/>
        <v>-42500</v>
      </c>
      <c r="Q29" s="50">
        <f t="shared" si="21"/>
        <v>-40000</v>
      </c>
      <c r="R29" s="12">
        <f t="shared" si="21"/>
        <v>-40000</v>
      </c>
      <c r="S29" s="12">
        <f t="shared" si="21"/>
        <v>0</v>
      </c>
    </row>
    <row r="30" spans="1:30" ht="15.75" customHeight="1" x14ac:dyDescent="0.2">
      <c r="A30" s="5"/>
      <c r="B30" s="5"/>
      <c r="C30" s="284"/>
      <c r="D30" s="5"/>
      <c r="E30" s="5"/>
      <c r="F30" s="5"/>
      <c r="G30" s="5"/>
      <c r="H30" s="5"/>
      <c r="I30" s="5"/>
      <c r="J30" s="5"/>
      <c r="K30" s="284"/>
      <c r="L30" s="5"/>
      <c r="M30" s="5"/>
      <c r="N30" s="5"/>
      <c r="O30" s="5"/>
      <c r="P30" s="5"/>
      <c r="Q30" s="5"/>
      <c r="R30" s="267"/>
      <c r="S30" s="267"/>
    </row>
    <row r="31" spans="1:30" ht="15.75" customHeight="1" x14ac:dyDescent="0.2">
      <c r="A31" s="11" t="s">
        <v>190</v>
      </c>
      <c r="B31" s="6"/>
      <c r="C31" s="286"/>
      <c r="D31" s="178">
        <f t="shared" ref="D31:G31" si="22">D23+D29</f>
        <v>42159</v>
      </c>
      <c r="E31" s="178" t="e">
        <f t="shared" si="22"/>
        <v>#REF!</v>
      </c>
      <c r="F31" s="178" t="e">
        <f t="shared" si="22"/>
        <v>#REF!</v>
      </c>
      <c r="G31" s="178" t="e">
        <f t="shared" si="22"/>
        <v>#REF!</v>
      </c>
      <c r="H31" s="273">
        <f>IFERROR(((Q31-G31)/G31),0)</f>
        <v>0</v>
      </c>
      <c r="I31" s="178" t="e">
        <f>Q31-G31</f>
        <v>#REF!</v>
      </c>
      <c r="J31" s="178">
        <f>J29+J28</f>
        <v>0</v>
      </c>
      <c r="K31" s="286"/>
      <c r="L31" s="227">
        <f t="shared" ref="L31:S31" si="23">L23+L29</f>
        <v>252799</v>
      </c>
      <c r="M31" s="227">
        <f t="shared" si="23"/>
        <v>47575.400000000009</v>
      </c>
      <c r="N31" s="227">
        <f t="shared" si="23"/>
        <v>62600</v>
      </c>
      <c r="O31" s="227">
        <f t="shared" si="23"/>
        <v>29522.05</v>
      </c>
      <c r="P31" s="178">
        <f t="shared" si="23"/>
        <v>62648.28</v>
      </c>
      <c r="Q31" s="178">
        <f t="shared" si="23"/>
        <v>36750</v>
      </c>
      <c r="R31" s="227">
        <f t="shared" si="23"/>
        <v>36750</v>
      </c>
      <c r="S31" s="227">
        <f t="shared" si="23"/>
        <v>0</v>
      </c>
      <c r="W31" s="56"/>
      <c r="X31" s="56"/>
      <c r="Y31" s="56"/>
      <c r="Z31" s="56"/>
      <c r="AA31" s="56"/>
      <c r="AB31" s="56"/>
      <c r="AC31" s="56"/>
      <c r="AD31" s="56"/>
    </row>
    <row r="32" spans="1:30" ht="15.75" customHeight="1" x14ac:dyDescent="0.2">
      <c r="C32" s="287"/>
      <c r="K32" s="287"/>
    </row>
    <row r="33" spans="3:18" ht="15.75" customHeight="1" x14ac:dyDescent="0.2">
      <c r="C33" s="287"/>
      <c r="K33" s="287"/>
    </row>
    <row r="34" spans="3:18" ht="15.75" customHeight="1" x14ac:dyDescent="0.2">
      <c r="C34" s="288"/>
      <c r="K34" s="288"/>
      <c r="L34" s="199" t="e">
        <f t="shared" ref="L34:R34" si="24">#REF!</f>
        <v>#REF!</v>
      </c>
      <c r="M34" s="199" t="e">
        <f t="shared" si="24"/>
        <v>#REF!</v>
      </c>
      <c r="N34" s="199" t="e">
        <f t="shared" si="24"/>
        <v>#REF!</v>
      </c>
      <c r="O34" s="199" t="e">
        <f t="shared" si="24"/>
        <v>#REF!</v>
      </c>
      <c r="P34" s="199" t="e">
        <f t="shared" si="24"/>
        <v>#REF!</v>
      </c>
      <c r="Q34" s="199" t="e">
        <f t="shared" si="24"/>
        <v>#REF!</v>
      </c>
      <c r="R34" s="173" t="e">
        <f t="shared" si="24"/>
        <v>#REF!</v>
      </c>
    </row>
    <row r="35" spans="3:18" ht="15.75" customHeight="1" x14ac:dyDescent="0.2">
      <c r="C35" s="289"/>
      <c r="K35" s="289"/>
      <c r="L35" s="290">
        <f t="shared" ref="L35:R35" si="25">L31</f>
        <v>252799</v>
      </c>
      <c r="M35" s="290">
        <f t="shared" si="25"/>
        <v>47575.400000000009</v>
      </c>
      <c r="N35" s="290">
        <f t="shared" si="25"/>
        <v>62600</v>
      </c>
      <c r="O35" s="290">
        <f t="shared" si="25"/>
        <v>29522.05</v>
      </c>
      <c r="P35" s="290">
        <f t="shared" si="25"/>
        <v>62648.28</v>
      </c>
      <c r="Q35" s="290">
        <f t="shared" si="25"/>
        <v>36750</v>
      </c>
      <c r="R35" s="291">
        <f t="shared" si="25"/>
        <v>36750</v>
      </c>
    </row>
    <row r="36" spans="3:18" ht="15.75" customHeight="1" x14ac:dyDescent="0.2">
      <c r="C36" s="287"/>
      <c r="K36" s="287"/>
    </row>
    <row r="37" spans="3:18" ht="15.75" customHeight="1" x14ac:dyDescent="0.2">
      <c r="C37" s="287"/>
      <c r="K37" s="287"/>
    </row>
    <row r="38" spans="3:18" ht="15.75" customHeight="1" x14ac:dyDescent="0.2">
      <c r="C38" s="287"/>
      <c r="K38" s="287"/>
    </row>
    <row r="39" spans="3:18" ht="15.75" customHeight="1" x14ac:dyDescent="0.2">
      <c r="C39" s="287"/>
      <c r="K39" s="287"/>
    </row>
    <row r="40" spans="3:18" ht="15.75" customHeight="1" x14ac:dyDescent="0.2">
      <c r="C40" s="287"/>
      <c r="K40" s="287"/>
    </row>
    <row r="41" spans="3:18" ht="15.75" customHeight="1" x14ac:dyDescent="0.2">
      <c r="C41" s="287"/>
      <c r="K41" s="287"/>
    </row>
    <row r="42" spans="3:18" ht="15.75" customHeight="1" x14ac:dyDescent="0.2">
      <c r="C42" s="287"/>
      <c r="K42" s="287"/>
    </row>
    <row r="43" spans="3:18" ht="15.75" customHeight="1" x14ac:dyDescent="0.2">
      <c r="C43" s="287"/>
      <c r="K43" s="287"/>
    </row>
    <row r="44" spans="3:18" ht="15.75" customHeight="1" x14ac:dyDescent="0.2">
      <c r="C44" s="287"/>
      <c r="K44" s="287"/>
    </row>
    <row r="45" spans="3:18" ht="15.75" customHeight="1" x14ac:dyDescent="0.2">
      <c r="C45" s="287"/>
      <c r="K45" s="287"/>
    </row>
    <row r="46" spans="3:18" ht="15.75" customHeight="1" x14ac:dyDescent="0.2">
      <c r="C46" s="287"/>
      <c r="K46" s="287"/>
    </row>
    <row r="47" spans="3:18" ht="15.75" customHeight="1" x14ac:dyDescent="0.2">
      <c r="C47" s="287"/>
      <c r="K47" s="287"/>
    </row>
    <row r="48" spans="3:18" ht="15.75" customHeight="1" x14ac:dyDescent="0.2">
      <c r="C48" s="287"/>
      <c r="K48" s="287"/>
    </row>
    <row r="49" spans="3:11" ht="15.75" customHeight="1" x14ac:dyDescent="0.2">
      <c r="C49" s="287"/>
      <c r="K49" s="287"/>
    </row>
    <row r="50" spans="3:11" ht="15.75" customHeight="1" x14ac:dyDescent="0.2">
      <c r="C50" s="287"/>
      <c r="K50" s="287"/>
    </row>
    <row r="51" spans="3:11" ht="15.75" customHeight="1" x14ac:dyDescent="0.2">
      <c r="C51" s="287"/>
      <c r="K51" s="287"/>
    </row>
    <row r="52" spans="3:11" ht="15.75" customHeight="1" x14ac:dyDescent="0.2">
      <c r="C52" s="287"/>
      <c r="K52" s="287"/>
    </row>
    <row r="53" spans="3:11" ht="15.75" customHeight="1" x14ac:dyDescent="0.2">
      <c r="C53" s="287"/>
      <c r="K53" s="287"/>
    </row>
    <row r="54" spans="3:11" ht="15.75" customHeight="1" x14ac:dyDescent="0.2">
      <c r="C54" s="287"/>
      <c r="K54" s="287"/>
    </row>
    <row r="55" spans="3:11" ht="15.75" customHeight="1" x14ac:dyDescent="0.2">
      <c r="C55" s="287"/>
      <c r="K55" s="287"/>
    </row>
    <row r="56" spans="3:11" ht="15.75" customHeight="1" x14ac:dyDescent="0.2">
      <c r="C56" s="287"/>
      <c r="K56" s="287"/>
    </row>
    <row r="57" spans="3:11" ht="15.75" customHeight="1" x14ac:dyDescent="0.2">
      <c r="C57" s="287"/>
      <c r="K57" s="287"/>
    </row>
    <row r="58" spans="3:11" ht="15.75" customHeight="1" x14ac:dyDescent="0.2">
      <c r="C58" s="287"/>
      <c r="K58" s="287"/>
    </row>
    <row r="59" spans="3:11" ht="15.75" customHeight="1" x14ac:dyDescent="0.2">
      <c r="C59" s="287"/>
      <c r="K59" s="287"/>
    </row>
    <row r="60" spans="3:11" ht="15.75" customHeight="1" x14ac:dyDescent="0.2">
      <c r="C60" s="287"/>
      <c r="K60" s="287"/>
    </row>
    <row r="61" spans="3:11" ht="15.75" customHeight="1" x14ac:dyDescent="0.2">
      <c r="C61" s="287"/>
      <c r="K61" s="287"/>
    </row>
    <row r="62" spans="3:11" ht="15.75" customHeight="1" x14ac:dyDescent="0.2">
      <c r="C62" s="287"/>
      <c r="K62" s="287"/>
    </row>
    <row r="63" spans="3:11" ht="15.75" customHeight="1" x14ac:dyDescent="0.2">
      <c r="C63" s="287"/>
      <c r="K63" s="287"/>
    </row>
    <row r="64" spans="3:11" ht="15.75" customHeight="1" x14ac:dyDescent="0.2">
      <c r="C64" s="287"/>
      <c r="K64" s="287"/>
    </row>
    <row r="65" spans="3:11" ht="15.75" customHeight="1" x14ac:dyDescent="0.2">
      <c r="C65" s="287"/>
      <c r="K65" s="287"/>
    </row>
    <row r="66" spans="3:11" ht="15.75" customHeight="1" x14ac:dyDescent="0.2">
      <c r="C66" s="287"/>
      <c r="K66" s="287"/>
    </row>
    <row r="67" spans="3:11" ht="15.75" customHeight="1" x14ac:dyDescent="0.2">
      <c r="C67" s="287"/>
      <c r="K67" s="287"/>
    </row>
    <row r="68" spans="3:11" ht="15.75" customHeight="1" x14ac:dyDescent="0.2">
      <c r="C68" s="287"/>
      <c r="K68" s="287"/>
    </row>
    <row r="69" spans="3:11" ht="15.75" customHeight="1" x14ac:dyDescent="0.2">
      <c r="C69" s="287"/>
      <c r="K69" s="287"/>
    </row>
    <row r="70" spans="3:11" ht="15.75" customHeight="1" x14ac:dyDescent="0.2">
      <c r="C70" s="287"/>
      <c r="K70" s="287"/>
    </row>
    <row r="71" spans="3:11" ht="15.75" customHeight="1" x14ac:dyDescent="0.2">
      <c r="C71" s="287"/>
      <c r="K71" s="287"/>
    </row>
    <row r="72" spans="3:11" ht="15.75" customHeight="1" x14ac:dyDescent="0.2">
      <c r="C72" s="287"/>
      <c r="K72" s="287"/>
    </row>
    <row r="73" spans="3:11" ht="15.75" customHeight="1" x14ac:dyDescent="0.2">
      <c r="C73" s="287"/>
      <c r="K73" s="287"/>
    </row>
    <row r="74" spans="3:11" ht="15.75" customHeight="1" x14ac:dyDescent="0.2">
      <c r="C74" s="287"/>
      <c r="K74" s="287"/>
    </row>
    <row r="75" spans="3:11" ht="15.75" customHeight="1" x14ac:dyDescent="0.2">
      <c r="C75" s="287"/>
      <c r="K75" s="287"/>
    </row>
    <row r="76" spans="3:11" ht="15.75" customHeight="1" x14ac:dyDescent="0.2">
      <c r="C76" s="287"/>
      <c r="K76" s="287"/>
    </row>
    <row r="77" spans="3:11" ht="15.75" customHeight="1" x14ac:dyDescent="0.2">
      <c r="C77" s="287"/>
      <c r="K77" s="287"/>
    </row>
    <row r="78" spans="3:11" ht="15.75" customHeight="1" x14ac:dyDescent="0.2">
      <c r="C78" s="287"/>
      <c r="K78" s="287"/>
    </row>
    <row r="79" spans="3:11" ht="15.75" customHeight="1" x14ac:dyDescent="0.2">
      <c r="C79" s="287"/>
      <c r="K79" s="287"/>
    </row>
    <row r="80" spans="3:11" ht="15.75" customHeight="1" x14ac:dyDescent="0.2">
      <c r="C80" s="287"/>
      <c r="K80" s="287"/>
    </row>
    <row r="81" spans="3:11" ht="15.75" customHeight="1" x14ac:dyDescent="0.2">
      <c r="C81" s="287"/>
      <c r="K81" s="287"/>
    </row>
    <row r="82" spans="3:11" ht="15.75" customHeight="1" x14ac:dyDescent="0.2">
      <c r="C82" s="287"/>
      <c r="K82" s="287"/>
    </row>
    <row r="83" spans="3:11" ht="15.75" customHeight="1" x14ac:dyDescent="0.2">
      <c r="C83" s="287"/>
      <c r="K83" s="287"/>
    </row>
    <row r="84" spans="3:11" ht="15.75" customHeight="1" x14ac:dyDescent="0.2">
      <c r="C84" s="287"/>
      <c r="K84" s="287"/>
    </row>
    <row r="85" spans="3:11" ht="15.75" customHeight="1" x14ac:dyDescent="0.2">
      <c r="C85" s="287"/>
      <c r="K85" s="287"/>
    </row>
    <row r="86" spans="3:11" ht="15.75" customHeight="1" x14ac:dyDescent="0.2">
      <c r="C86" s="287"/>
      <c r="K86" s="287"/>
    </row>
    <row r="87" spans="3:11" ht="15.75" customHeight="1" x14ac:dyDescent="0.2">
      <c r="C87" s="287"/>
      <c r="K87" s="287"/>
    </row>
    <row r="88" spans="3:11" ht="15.75" customHeight="1" x14ac:dyDescent="0.2">
      <c r="C88" s="287"/>
      <c r="K88" s="287"/>
    </row>
    <row r="89" spans="3:11" ht="15.75" customHeight="1" x14ac:dyDescent="0.2">
      <c r="C89" s="287"/>
      <c r="K89" s="287"/>
    </row>
    <row r="90" spans="3:11" ht="15.75" customHeight="1" x14ac:dyDescent="0.2">
      <c r="C90" s="287"/>
      <c r="K90" s="287"/>
    </row>
    <row r="91" spans="3:11" ht="15.75" customHeight="1" x14ac:dyDescent="0.2">
      <c r="C91" s="287"/>
      <c r="K91" s="287"/>
    </row>
    <row r="92" spans="3:11" ht="15.75" customHeight="1" x14ac:dyDescent="0.2">
      <c r="C92" s="287"/>
      <c r="K92" s="287"/>
    </row>
    <row r="93" spans="3:11" ht="15.75" customHeight="1" x14ac:dyDescent="0.2">
      <c r="C93" s="287"/>
      <c r="K93" s="287"/>
    </row>
    <row r="94" spans="3:11" ht="15.75" customHeight="1" x14ac:dyDescent="0.2">
      <c r="C94" s="287"/>
      <c r="K94" s="287"/>
    </row>
    <row r="95" spans="3:11" ht="15.75" customHeight="1" x14ac:dyDescent="0.2">
      <c r="C95" s="287"/>
      <c r="K95" s="287"/>
    </row>
    <row r="96" spans="3:11" ht="15.75" customHeight="1" x14ac:dyDescent="0.2">
      <c r="C96" s="287"/>
      <c r="K96" s="287"/>
    </row>
    <row r="97" spans="3:11" ht="15.75" customHeight="1" x14ac:dyDescent="0.2">
      <c r="C97" s="287"/>
      <c r="K97" s="287"/>
    </row>
    <row r="98" spans="3:11" ht="15.75" customHeight="1" x14ac:dyDescent="0.2">
      <c r="C98" s="287"/>
      <c r="K98" s="287"/>
    </row>
    <row r="99" spans="3:11" ht="15.75" customHeight="1" x14ac:dyDescent="0.2">
      <c r="C99" s="287"/>
      <c r="K99" s="287"/>
    </row>
    <row r="100" spans="3:11" ht="15.75" customHeight="1" x14ac:dyDescent="0.2">
      <c r="C100" s="287"/>
      <c r="K100" s="287"/>
    </row>
    <row r="101" spans="3:11" ht="15.75" customHeight="1" x14ac:dyDescent="0.2">
      <c r="C101" s="287"/>
      <c r="K101" s="287"/>
    </row>
    <row r="102" spans="3:11" ht="15.75" customHeight="1" x14ac:dyDescent="0.2">
      <c r="C102" s="287"/>
      <c r="K102" s="287"/>
    </row>
    <row r="103" spans="3:11" ht="15.75" customHeight="1" x14ac:dyDescent="0.2">
      <c r="C103" s="287"/>
      <c r="K103" s="287"/>
    </row>
    <row r="104" spans="3:11" ht="15.75" customHeight="1" x14ac:dyDescent="0.2">
      <c r="C104" s="287"/>
      <c r="K104" s="287"/>
    </row>
    <row r="105" spans="3:11" ht="15.75" customHeight="1" x14ac:dyDescent="0.2">
      <c r="C105" s="287"/>
      <c r="K105" s="287"/>
    </row>
    <row r="106" spans="3:11" ht="15.75" customHeight="1" x14ac:dyDescent="0.2">
      <c r="C106" s="287"/>
      <c r="K106" s="287"/>
    </row>
    <row r="107" spans="3:11" ht="15.75" customHeight="1" x14ac:dyDescent="0.2">
      <c r="C107" s="287"/>
      <c r="K107" s="287"/>
    </row>
    <row r="108" spans="3:11" ht="15.75" customHeight="1" x14ac:dyDescent="0.2">
      <c r="C108" s="287"/>
      <c r="K108" s="287"/>
    </row>
    <row r="109" spans="3:11" ht="15.75" customHeight="1" x14ac:dyDescent="0.2">
      <c r="C109" s="287"/>
      <c r="K109" s="287"/>
    </row>
    <row r="110" spans="3:11" ht="15.75" customHeight="1" x14ac:dyDescent="0.2">
      <c r="C110" s="287"/>
      <c r="K110" s="287"/>
    </row>
    <row r="111" spans="3:11" ht="15.75" customHeight="1" x14ac:dyDescent="0.2">
      <c r="C111" s="287"/>
      <c r="K111" s="287"/>
    </row>
    <row r="112" spans="3:11" ht="15.75" customHeight="1" x14ac:dyDescent="0.2">
      <c r="C112" s="287"/>
      <c r="K112" s="287"/>
    </row>
    <row r="113" spans="3:11" ht="15.75" customHeight="1" x14ac:dyDescent="0.2">
      <c r="C113" s="287"/>
      <c r="K113" s="287"/>
    </row>
    <row r="114" spans="3:11" ht="15.75" customHeight="1" x14ac:dyDescent="0.2">
      <c r="C114" s="287"/>
      <c r="K114" s="287"/>
    </row>
    <row r="115" spans="3:11" ht="15.75" customHeight="1" x14ac:dyDescent="0.2">
      <c r="C115" s="287"/>
      <c r="K115" s="287"/>
    </row>
    <row r="116" spans="3:11" ht="15.75" customHeight="1" x14ac:dyDescent="0.2">
      <c r="C116" s="287"/>
      <c r="K116" s="287"/>
    </row>
    <row r="117" spans="3:11" ht="15.75" customHeight="1" x14ac:dyDescent="0.2">
      <c r="C117" s="287"/>
      <c r="K117" s="287"/>
    </row>
    <row r="118" spans="3:11" ht="15.75" customHeight="1" x14ac:dyDescent="0.2">
      <c r="C118" s="287"/>
      <c r="K118" s="287"/>
    </row>
    <row r="119" spans="3:11" ht="15.75" customHeight="1" x14ac:dyDescent="0.2">
      <c r="C119" s="287"/>
      <c r="K119" s="287"/>
    </row>
    <row r="120" spans="3:11" ht="15.75" customHeight="1" x14ac:dyDescent="0.2">
      <c r="C120" s="287"/>
      <c r="K120" s="287"/>
    </row>
    <row r="121" spans="3:11" ht="15.75" customHeight="1" x14ac:dyDescent="0.2">
      <c r="C121" s="287"/>
      <c r="K121" s="287"/>
    </row>
    <row r="122" spans="3:11" ht="15.75" customHeight="1" x14ac:dyDescent="0.2">
      <c r="C122" s="287"/>
      <c r="K122" s="287"/>
    </row>
    <row r="123" spans="3:11" ht="15.75" customHeight="1" x14ac:dyDescent="0.2">
      <c r="C123" s="287"/>
      <c r="K123" s="287"/>
    </row>
    <row r="124" spans="3:11" ht="15.75" customHeight="1" x14ac:dyDescent="0.2">
      <c r="C124" s="287"/>
      <c r="K124" s="287"/>
    </row>
    <row r="125" spans="3:11" ht="15.75" customHeight="1" x14ac:dyDescent="0.2">
      <c r="C125" s="287"/>
      <c r="K125" s="287"/>
    </row>
    <row r="126" spans="3:11" ht="15.75" customHeight="1" x14ac:dyDescent="0.2">
      <c r="C126" s="287"/>
      <c r="K126" s="287"/>
    </row>
    <row r="127" spans="3:11" ht="15.75" customHeight="1" x14ac:dyDescent="0.2">
      <c r="C127" s="287"/>
      <c r="K127" s="287"/>
    </row>
    <row r="128" spans="3:11" ht="15.75" customHeight="1" x14ac:dyDescent="0.2">
      <c r="C128" s="287"/>
      <c r="K128" s="287"/>
    </row>
    <row r="129" spans="3:11" ht="15.75" customHeight="1" x14ac:dyDescent="0.2">
      <c r="C129" s="287"/>
      <c r="K129" s="287"/>
    </row>
    <row r="130" spans="3:11" ht="15.75" customHeight="1" x14ac:dyDescent="0.2">
      <c r="C130" s="287"/>
      <c r="K130" s="287"/>
    </row>
    <row r="131" spans="3:11" ht="15.75" customHeight="1" x14ac:dyDescent="0.2">
      <c r="C131" s="287"/>
      <c r="K131" s="287"/>
    </row>
    <row r="132" spans="3:11" ht="15.75" customHeight="1" x14ac:dyDescent="0.2">
      <c r="C132" s="287"/>
      <c r="K132" s="287"/>
    </row>
    <row r="133" spans="3:11" ht="15.75" customHeight="1" x14ac:dyDescent="0.2">
      <c r="C133" s="287"/>
      <c r="K133" s="287"/>
    </row>
    <row r="134" spans="3:11" ht="15.75" customHeight="1" x14ac:dyDescent="0.2">
      <c r="C134" s="287"/>
      <c r="K134" s="287"/>
    </row>
    <row r="135" spans="3:11" ht="15.75" customHeight="1" x14ac:dyDescent="0.2">
      <c r="C135" s="287"/>
      <c r="K135" s="287"/>
    </row>
    <row r="136" spans="3:11" ht="15.75" customHeight="1" x14ac:dyDescent="0.2">
      <c r="C136" s="287"/>
      <c r="K136" s="287"/>
    </row>
    <row r="137" spans="3:11" ht="15.75" customHeight="1" x14ac:dyDescent="0.2">
      <c r="C137" s="287"/>
      <c r="K137" s="287"/>
    </row>
    <row r="138" spans="3:11" ht="15.75" customHeight="1" x14ac:dyDescent="0.2">
      <c r="C138" s="287"/>
      <c r="K138" s="287"/>
    </row>
    <row r="139" spans="3:11" ht="15.75" customHeight="1" x14ac:dyDescent="0.2">
      <c r="C139" s="287"/>
      <c r="K139" s="287"/>
    </row>
    <row r="140" spans="3:11" ht="15.75" customHeight="1" x14ac:dyDescent="0.2">
      <c r="C140" s="287"/>
      <c r="K140" s="287"/>
    </row>
    <row r="141" spans="3:11" ht="15.75" customHeight="1" x14ac:dyDescent="0.2">
      <c r="C141" s="287"/>
      <c r="K141" s="287"/>
    </row>
    <row r="142" spans="3:11" ht="15.75" customHeight="1" x14ac:dyDescent="0.2">
      <c r="C142" s="287"/>
      <c r="K142" s="287"/>
    </row>
    <row r="143" spans="3:11" ht="15.75" customHeight="1" x14ac:dyDescent="0.2">
      <c r="C143" s="287"/>
      <c r="K143" s="287"/>
    </row>
    <row r="144" spans="3:11" ht="15.75" customHeight="1" x14ac:dyDescent="0.2">
      <c r="C144" s="287"/>
      <c r="K144" s="287"/>
    </row>
    <row r="145" spans="3:11" ht="15.75" customHeight="1" x14ac:dyDescent="0.2">
      <c r="C145" s="287"/>
      <c r="K145" s="287"/>
    </row>
    <row r="146" spans="3:11" ht="15.75" customHeight="1" x14ac:dyDescent="0.2">
      <c r="C146" s="287"/>
      <c r="K146" s="287"/>
    </row>
    <row r="147" spans="3:11" ht="15.75" customHeight="1" x14ac:dyDescent="0.2">
      <c r="C147" s="287"/>
      <c r="K147" s="287"/>
    </row>
    <row r="148" spans="3:11" ht="15.75" customHeight="1" x14ac:dyDescent="0.2">
      <c r="C148" s="287"/>
      <c r="K148" s="287"/>
    </row>
    <row r="149" spans="3:11" ht="15.75" customHeight="1" x14ac:dyDescent="0.2">
      <c r="C149" s="287"/>
      <c r="K149" s="287"/>
    </row>
    <row r="150" spans="3:11" ht="15.75" customHeight="1" x14ac:dyDescent="0.2"/>
    <row r="151" spans="3:11" ht="15.75" customHeight="1" x14ac:dyDescent="0.2"/>
    <row r="152" spans="3:11" ht="15.75" customHeight="1" x14ac:dyDescent="0.2"/>
    <row r="153" spans="3:11" ht="15.75" customHeight="1" x14ac:dyDescent="0.2"/>
    <row r="154" spans="3:11" ht="15.75" customHeight="1" x14ac:dyDescent="0.2"/>
    <row r="155" spans="3:11" ht="15.75" customHeight="1" x14ac:dyDescent="0.2"/>
    <row r="156" spans="3:11" ht="15.75" customHeight="1" x14ac:dyDescent="0.2"/>
    <row r="157" spans="3:11" ht="15.75" customHeight="1" x14ac:dyDescent="0.2"/>
    <row r="158" spans="3:11" ht="15.75" customHeight="1" x14ac:dyDescent="0.2"/>
    <row r="159" spans="3:11" ht="15.75" customHeight="1" x14ac:dyDescent="0.2"/>
    <row r="160" spans="3:11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">
    <mergeCell ref="A1:D1"/>
  </mergeCells>
  <conditionalFormatting sqref="H1 H3:H17 H19:H21 H23 H26:H28">
    <cfRule type="cellIs" dxfId="16" priority="1" operator="lessThan">
      <formula>0</formula>
    </cfRule>
  </conditionalFormatting>
  <printOptions horizontalCentered="1" verticalCentered="1"/>
  <pageMargins left="0.25" right="0.25" top="0.75" bottom="0.75" header="0.3" footer="0.3"/>
  <pageSetup scale="87" fitToHeight="0" orientation="landscape" r:id="rId1"/>
  <headerFooter>
    <oddHeader>&amp;A</oddHeader>
    <oddFooter>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9"/>
  <sheetViews>
    <sheetView workbookViewId="0">
      <selection sqref="A1:D1"/>
    </sheetView>
  </sheetViews>
  <sheetFormatPr defaultColWidth="12.5703125" defaultRowHeight="15" customHeight="1" outlineLevelCol="1" x14ac:dyDescent="0.2"/>
  <cols>
    <col min="2" max="2" width="40" customWidth="1"/>
    <col min="3" max="3" width="3.42578125" hidden="1" customWidth="1" outlineLevel="1"/>
    <col min="4" max="10" width="0.140625" hidden="1" customWidth="1" outlineLevel="1"/>
    <col min="11" max="11" width="3.42578125" hidden="1" customWidth="1" outlineLevel="1"/>
    <col min="12" max="12" width="12.5703125" collapsed="1"/>
    <col min="13" max="13" width="14.85546875" customWidth="1"/>
    <col min="22" max="22" width="3.140625" customWidth="1"/>
  </cols>
  <sheetData>
    <row r="1" spans="1:19" ht="21" customHeight="1" x14ac:dyDescent="0.35">
      <c r="A1" s="567" t="s">
        <v>663</v>
      </c>
      <c r="B1" s="568"/>
      <c r="C1" s="568"/>
      <c r="D1" s="558"/>
      <c r="E1" s="103"/>
      <c r="F1" s="103"/>
      <c r="G1" s="105"/>
      <c r="H1" s="211"/>
      <c r="I1" s="5"/>
      <c r="J1" s="5"/>
      <c r="K1" s="5"/>
      <c r="L1" s="265"/>
      <c r="M1" s="265"/>
      <c r="N1" s="265"/>
      <c r="O1" s="314"/>
      <c r="P1" s="265"/>
      <c r="Q1" s="265"/>
      <c r="R1" s="281"/>
      <c r="S1" s="315"/>
    </row>
    <row r="2" spans="1:19" ht="48" customHeight="1" x14ac:dyDescent="0.2">
      <c r="A2" s="3" t="s">
        <v>50</v>
      </c>
      <c r="B2" s="3" t="s">
        <v>51</v>
      </c>
      <c r="C2" s="292"/>
      <c r="D2" s="99" t="s">
        <v>52</v>
      </c>
      <c r="E2" s="100" t="s">
        <v>53</v>
      </c>
      <c r="F2" s="100" t="s">
        <v>54</v>
      </c>
      <c r="G2" s="100" t="s">
        <v>55</v>
      </c>
      <c r="H2" s="24" t="s">
        <v>56</v>
      </c>
      <c r="I2" s="24" t="s">
        <v>57</v>
      </c>
      <c r="J2" s="101" t="s">
        <v>58</v>
      </c>
      <c r="K2" s="292"/>
      <c r="L2" s="3" t="s">
        <v>59</v>
      </c>
      <c r="M2" s="3" t="s">
        <v>60</v>
      </c>
      <c r="N2" s="3" t="s">
        <v>61</v>
      </c>
      <c r="O2" s="3" t="s">
        <v>62</v>
      </c>
      <c r="P2" s="293" t="s">
        <v>541</v>
      </c>
      <c r="Q2" s="293" t="s">
        <v>64</v>
      </c>
      <c r="R2" s="293" t="s">
        <v>65</v>
      </c>
      <c r="S2" s="293" t="s">
        <v>66</v>
      </c>
    </row>
    <row r="3" spans="1:19" ht="15.75" customHeight="1" x14ac:dyDescent="0.25">
      <c r="A3" s="103" t="s">
        <v>664</v>
      </c>
      <c r="B3" s="103" t="s">
        <v>68</v>
      </c>
      <c r="C3" s="280"/>
      <c r="D3" s="142">
        <v>3498927</v>
      </c>
      <c r="E3" s="142" t="e">
        <f>D3*#REF!</f>
        <v>#REF!</v>
      </c>
      <c r="F3" s="142" t="e">
        <f>D3*#REF!</f>
        <v>#REF!</v>
      </c>
      <c r="G3" s="142" t="e">
        <f>(D3*#REF!)*#REF!</f>
        <v>#REF!</v>
      </c>
      <c r="H3" s="33">
        <f t="shared" ref="H3:H29" si="0">IFERROR(((Q3-G3)/G3),0)</f>
        <v>0</v>
      </c>
      <c r="I3" s="16" t="e">
        <f t="shared" ref="I3:I29" si="1">Q3-G3</f>
        <v>#REF!</v>
      </c>
      <c r="J3" s="18">
        <v>0</v>
      </c>
      <c r="K3" s="280"/>
      <c r="L3" s="216">
        <v>4394037</v>
      </c>
      <c r="M3" s="216">
        <v>4688561.2300000004</v>
      </c>
      <c r="N3" s="216">
        <v>4899001</v>
      </c>
      <c r="O3" s="216">
        <f>VLOOKUP(A3,TB!A:F,3)</f>
        <v>3644863.85</v>
      </c>
      <c r="P3" s="142">
        <f t="shared" ref="P3:P7" si="2">O3/20*26</f>
        <v>4738323.0049999999</v>
      </c>
      <c r="Q3" s="142">
        <v>5672600</v>
      </c>
      <c r="R3" s="281">
        <f>VLOOKUP(A3,TB!A:F,6)</f>
        <v>5672600</v>
      </c>
      <c r="S3" s="281">
        <f t="shared" ref="S3:S28" si="3">Q3-R3</f>
        <v>0</v>
      </c>
    </row>
    <row r="4" spans="1:19" ht="15.75" customHeight="1" x14ac:dyDescent="0.25">
      <c r="A4" s="103" t="s">
        <v>665</v>
      </c>
      <c r="B4" s="103" t="s">
        <v>70</v>
      </c>
      <c r="C4" s="280"/>
      <c r="D4" s="142">
        <v>88887</v>
      </c>
      <c r="E4" s="142" t="e">
        <f>D4*#REF!</f>
        <v>#REF!</v>
      </c>
      <c r="F4" s="142" t="e">
        <f>D4*#REF!</f>
        <v>#REF!</v>
      </c>
      <c r="G4" s="142" t="e">
        <f>(D4*#REF!)*#REF!</f>
        <v>#REF!</v>
      </c>
      <c r="H4" s="33">
        <f t="shared" si="0"/>
        <v>0</v>
      </c>
      <c r="I4" s="16" t="e">
        <f t="shared" si="1"/>
        <v>#REF!</v>
      </c>
      <c r="J4" s="18">
        <v>0</v>
      </c>
      <c r="K4" s="280"/>
      <c r="L4" s="216">
        <v>332965</v>
      </c>
      <c r="M4" s="216">
        <v>304050.82</v>
      </c>
      <c r="N4" s="216">
        <v>300000</v>
      </c>
      <c r="O4" s="216">
        <f>VLOOKUP(A4,TB!A:F,3)</f>
        <v>123782.65</v>
      </c>
      <c r="P4" s="142">
        <f t="shared" si="2"/>
        <v>160917.44500000001</v>
      </c>
      <c r="Q4" s="142">
        <v>150000</v>
      </c>
      <c r="R4" s="281">
        <f>VLOOKUP(A4,TB!A:F,6)</f>
        <v>150000</v>
      </c>
      <c r="S4" s="281">
        <f t="shared" si="3"/>
        <v>0</v>
      </c>
    </row>
    <row r="5" spans="1:19" ht="15.75" customHeight="1" x14ac:dyDescent="0.25">
      <c r="A5" s="103" t="s">
        <v>666</v>
      </c>
      <c r="B5" s="103" t="s">
        <v>132</v>
      </c>
      <c r="C5" s="280"/>
      <c r="D5" s="142">
        <v>21796</v>
      </c>
      <c r="E5" s="142" t="e">
        <f>D5*#REF!</f>
        <v>#REF!</v>
      </c>
      <c r="F5" s="142" t="e">
        <f>D5*#REF!</f>
        <v>#REF!</v>
      </c>
      <c r="G5" s="142" t="e">
        <f>(D5*#REF!)*#REF!</f>
        <v>#REF!</v>
      </c>
      <c r="H5" s="33">
        <f t="shared" si="0"/>
        <v>0</v>
      </c>
      <c r="I5" s="16" t="e">
        <f t="shared" si="1"/>
        <v>#REF!</v>
      </c>
      <c r="J5" s="18">
        <v>0</v>
      </c>
      <c r="K5" s="280"/>
      <c r="L5" s="216">
        <v>74791</v>
      </c>
      <c r="M5" s="216">
        <v>7522.6</v>
      </c>
      <c r="N5" s="216">
        <v>0</v>
      </c>
      <c r="O5" s="216">
        <f>VLOOKUP(A5,TB!A:F,3)</f>
        <v>0</v>
      </c>
      <c r="P5" s="142">
        <f t="shared" si="2"/>
        <v>0</v>
      </c>
      <c r="Q5" s="142">
        <v>0</v>
      </c>
      <c r="R5" s="281">
        <f>VLOOKUP(A5,TB!A:F,6)</f>
        <v>0</v>
      </c>
      <c r="S5" s="281">
        <f t="shared" si="3"/>
        <v>0</v>
      </c>
    </row>
    <row r="6" spans="1:19" ht="15.75" customHeight="1" x14ac:dyDescent="0.25">
      <c r="A6" s="103" t="s">
        <v>667</v>
      </c>
      <c r="B6" s="103" t="s">
        <v>72</v>
      </c>
      <c r="C6" s="280"/>
      <c r="D6" s="142">
        <v>2263505</v>
      </c>
      <c r="E6" s="142" t="e">
        <f>D6*#REF!</f>
        <v>#REF!</v>
      </c>
      <c r="F6" s="142" t="e">
        <f>D6*#REF!</f>
        <v>#REF!</v>
      </c>
      <c r="G6" s="142" t="e">
        <f>(D6*#REF!)*#REF!</f>
        <v>#REF!</v>
      </c>
      <c r="H6" s="33">
        <f t="shared" si="0"/>
        <v>0</v>
      </c>
      <c r="I6" s="16" t="e">
        <f t="shared" si="1"/>
        <v>#REF!</v>
      </c>
      <c r="J6" s="18">
        <v>0</v>
      </c>
      <c r="K6" s="280"/>
      <c r="L6" s="216">
        <v>2748193</v>
      </c>
      <c r="M6" s="216">
        <v>2926856.82</v>
      </c>
      <c r="N6" s="216">
        <v>3628142</v>
      </c>
      <c r="O6" s="216">
        <f>VLOOKUP(A6,TB!A:F,3)</f>
        <v>2209623.5299999998</v>
      </c>
      <c r="P6" s="142">
        <f t="shared" si="2"/>
        <v>2872510.5889999997</v>
      </c>
      <c r="Q6" s="142">
        <v>3450500</v>
      </c>
      <c r="R6" s="281">
        <f>VLOOKUP(A6,TB!A:F,6)</f>
        <v>3450500</v>
      </c>
      <c r="S6" s="281">
        <f t="shared" si="3"/>
        <v>0</v>
      </c>
    </row>
    <row r="7" spans="1:19" ht="15.75" customHeight="1" x14ac:dyDescent="0.25">
      <c r="A7" s="103" t="s">
        <v>668</v>
      </c>
      <c r="B7" s="103" t="s">
        <v>451</v>
      </c>
      <c r="C7" s="280"/>
      <c r="D7" s="142">
        <v>10747</v>
      </c>
      <c r="E7" s="142" t="e">
        <f>D7*#REF!</f>
        <v>#REF!</v>
      </c>
      <c r="F7" s="142" t="e">
        <f>D7*#REF!</f>
        <v>#REF!</v>
      </c>
      <c r="G7" s="142" t="e">
        <f>(D7*#REF!)*#REF!</f>
        <v>#REF!</v>
      </c>
      <c r="H7" s="33">
        <f t="shared" si="0"/>
        <v>0</v>
      </c>
      <c r="I7" s="16" t="e">
        <f t="shared" si="1"/>
        <v>#REF!</v>
      </c>
      <c r="J7" s="18">
        <v>0</v>
      </c>
      <c r="K7" s="280"/>
      <c r="L7" s="216">
        <v>22550</v>
      </c>
      <c r="M7" s="216">
        <v>35325.06</v>
      </c>
      <c r="N7" s="216">
        <v>16000</v>
      </c>
      <c r="O7" s="216">
        <f>VLOOKUP(A7,TB!A:F,3)</f>
        <v>21031.32</v>
      </c>
      <c r="P7" s="142">
        <f t="shared" si="2"/>
        <v>27340.716</v>
      </c>
      <c r="Q7" s="142">
        <v>28000</v>
      </c>
      <c r="R7" s="281">
        <f>VLOOKUP(A7,TB!A:F,6)</f>
        <v>28000</v>
      </c>
      <c r="S7" s="281">
        <f t="shared" si="3"/>
        <v>0</v>
      </c>
    </row>
    <row r="8" spans="1:19" ht="15.75" customHeight="1" x14ac:dyDescent="0.25">
      <c r="A8" s="103" t="s">
        <v>669</v>
      </c>
      <c r="B8" s="103" t="s">
        <v>670</v>
      </c>
      <c r="C8" s="280"/>
      <c r="D8" s="142">
        <v>282088</v>
      </c>
      <c r="E8" s="142" t="e">
        <f>D8*#REF!</f>
        <v>#REF!</v>
      </c>
      <c r="F8" s="142" t="e">
        <f>D8*#REF!</f>
        <v>#REF!</v>
      </c>
      <c r="G8" s="142" t="e">
        <f>(D8*#REF!)*#REF!</f>
        <v>#REF!</v>
      </c>
      <c r="H8" s="33">
        <f t="shared" si="0"/>
        <v>0</v>
      </c>
      <c r="I8" s="16" t="e">
        <f t="shared" si="1"/>
        <v>#REF!</v>
      </c>
      <c r="J8" s="18">
        <v>0</v>
      </c>
      <c r="K8" s="280"/>
      <c r="L8" s="216">
        <v>288637</v>
      </c>
      <c r="M8" s="216">
        <v>263560.34999999998</v>
      </c>
      <c r="N8" s="216">
        <v>268900</v>
      </c>
      <c r="O8" s="216">
        <f>VLOOKUP(A8,TB!A:F,3)</f>
        <v>185075.11</v>
      </c>
      <c r="P8" s="272">
        <f>N8</f>
        <v>268900</v>
      </c>
      <c r="Q8" s="142">
        <v>259400</v>
      </c>
      <c r="R8" s="281">
        <f>VLOOKUP(A8,TB!A:F,6)</f>
        <v>259400</v>
      </c>
      <c r="S8" s="281">
        <f t="shared" si="3"/>
        <v>0</v>
      </c>
    </row>
    <row r="9" spans="1:19" ht="15.75" customHeight="1" x14ac:dyDescent="0.25">
      <c r="A9" s="103" t="s">
        <v>671</v>
      </c>
      <c r="B9" s="103" t="s">
        <v>74</v>
      </c>
      <c r="C9" s="280"/>
      <c r="D9" s="142">
        <v>5255</v>
      </c>
      <c r="E9" s="142" t="e">
        <f>D9*#REF!</f>
        <v>#REF!</v>
      </c>
      <c r="F9" s="142" t="e">
        <f>D9*#REF!</f>
        <v>#REF!</v>
      </c>
      <c r="G9" s="142" t="e">
        <f>(D9*#REF!)*#REF!</f>
        <v>#REF!</v>
      </c>
      <c r="H9" s="33">
        <f t="shared" si="0"/>
        <v>0</v>
      </c>
      <c r="I9" s="16" t="e">
        <f t="shared" si="1"/>
        <v>#REF!</v>
      </c>
      <c r="J9" s="18">
        <v>0</v>
      </c>
      <c r="K9" s="280"/>
      <c r="L9" s="216">
        <v>425</v>
      </c>
      <c r="M9" s="216">
        <v>0</v>
      </c>
      <c r="N9" s="216">
        <v>0</v>
      </c>
      <c r="O9" s="216">
        <f>VLOOKUP(A9,TB!A:F,3)</f>
        <v>0</v>
      </c>
      <c r="P9" s="142">
        <f t="shared" ref="P9:P10" si="4">O9/9*12</f>
        <v>0</v>
      </c>
      <c r="Q9" s="142">
        <v>0</v>
      </c>
      <c r="R9" s="281">
        <f>VLOOKUP(A9,TB!A:F,6)</f>
        <v>0</v>
      </c>
      <c r="S9" s="281">
        <f t="shared" si="3"/>
        <v>0</v>
      </c>
    </row>
    <row r="10" spans="1:19" ht="15.75" customHeight="1" x14ac:dyDescent="0.25">
      <c r="A10" s="103" t="s">
        <v>672</v>
      </c>
      <c r="B10" s="103" t="s">
        <v>76</v>
      </c>
      <c r="C10" s="280"/>
      <c r="D10" s="142">
        <v>24165</v>
      </c>
      <c r="E10" s="142" t="e">
        <f>D10*#REF!</f>
        <v>#REF!</v>
      </c>
      <c r="F10" s="142" t="e">
        <f>D10*#REF!</f>
        <v>#REF!</v>
      </c>
      <c r="G10" s="142" t="e">
        <f>(D10*#REF!)*#REF!</f>
        <v>#REF!</v>
      </c>
      <c r="H10" s="33">
        <f t="shared" si="0"/>
        <v>0</v>
      </c>
      <c r="I10" s="16" t="e">
        <f t="shared" si="1"/>
        <v>#REF!</v>
      </c>
      <c r="J10" s="18">
        <v>0</v>
      </c>
      <c r="K10" s="280"/>
      <c r="L10" s="216">
        <v>40174</v>
      </c>
      <c r="M10" s="216">
        <v>33281.89</v>
      </c>
      <c r="N10" s="216">
        <v>30000</v>
      </c>
      <c r="O10" s="216">
        <f>VLOOKUP(A10,TB!A:F,3)</f>
        <v>27084.23</v>
      </c>
      <c r="P10" s="142">
        <f t="shared" si="4"/>
        <v>36112.306666666671</v>
      </c>
      <c r="Q10" s="142">
        <v>30000</v>
      </c>
      <c r="R10" s="281">
        <f>VLOOKUP(A10,TB!A:F,6)</f>
        <v>30000</v>
      </c>
      <c r="S10" s="281">
        <f t="shared" si="3"/>
        <v>0</v>
      </c>
    </row>
    <row r="11" spans="1:19" ht="15.75" customHeight="1" x14ac:dyDescent="0.25">
      <c r="A11" s="103" t="s">
        <v>673</v>
      </c>
      <c r="B11" s="103" t="s">
        <v>674</v>
      </c>
      <c r="C11" s="280"/>
      <c r="D11" s="142">
        <v>-37</v>
      </c>
      <c r="E11" s="142" t="e">
        <f>D11*#REF!</f>
        <v>#REF!</v>
      </c>
      <c r="F11" s="142" t="e">
        <f>D11*#REF!</f>
        <v>#REF!</v>
      </c>
      <c r="G11" s="142" t="e">
        <f>(D11*#REF!)*#REF!</f>
        <v>#REF!</v>
      </c>
      <c r="H11" s="33">
        <f t="shared" si="0"/>
        <v>0</v>
      </c>
      <c r="I11" s="16" t="e">
        <f t="shared" si="1"/>
        <v>#REF!</v>
      </c>
      <c r="J11" s="18">
        <v>0</v>
      </c>
      <c r="K11" s="280"/>
      <c r="L11" s="216">
        <v>-733</v>
      </c>
      <c r="M11" s="216">
        <v>2861.26</v>
      </c>
      <c r="N11" s="216">
        <v>4100</v>
      </c>
      <c r="O11" s="216">
        <f>VLOOKUP(A11,TB!A:F,3)</f>
        <v>-440.59</v>
      </c>
      <c r="P11" s="272">
        <f>N11</f>
        <v>4100</v>
      </c>
      <c r="Q11" s="142">
        <v>4100</v>
      </c>
      <c r="R11" s="281">
        <f>VLOOKUP(A11,TB!A:F,6)</f>
        <v>4100</v>
      </c>
      <c r="S11" s="281">
        <f t="shared" si="3"/>
        <v>0</v>
      </c>
    </row>
    <row r="12" spans="1:19" ht="15.75" customHeight="1" x14ac:dyDescent="0.25">
      <c r="A12" s="103" t="s">
        <v>675</v>
      </c>
      <c r="B12" s="103" t="s">
        <v>80</v>
      </c>
      <c r="C12" s="280"/>
      <c r="D12" s="142">
        <v>23503</v>
      </c>
      <c r="E12" s="142" t="e">
        <f>D12*#REF!</f>
        <v>#REF!</v>
      </c>
      <c r="F12" s="142" t="e">
        <f>D12*#REF!</f>
        <v>#REF!</v>
      </c>
      <c r="G12" s="142" t="e">
        <f>(D12*#REF!)*#REF!</f>
        <v>#REF!</v>
      </c>
      <c r="H12" s="33">
        <f t="shared" si="0"/>
        <v>0</v>
      </c>
      <c r="I12" s="16" t="e">
        <f t="shared" si="1"/>
        <v>#REF!</v>
      </c>
      <c r="J12" s="18">
        <v>0</v>
      </c>
      <c r="K12" s="280"/>
      <c r="L12" s="216">
        <v>36477</v>
      </c>
      <c r="M12" s="216">
        <v>591.96</v>
      </c>
      <c r="N12" s="216">
        <v>0</v>
      </c>
      <c r="O12" s="216">
        <f>VLOOKUP(A12,TB!A:F,3)</f>
        <v>8.69</v>
      </c>
      <c r="P12" s="142">
        <f t="shared" ref="P12:P13" si="5">O12/9*12</f>
        <v>11.586666666666666</v>
      </c>
      <c r="Q12" s="142">
        <v>0</v>
      </c>
      <c r="R12" s="281">
        <f>VLOOKUP(A12,TB!A:F,6)</f>
        <v>0</v>
      </c>
      <c r="S12" s="281">
        <f t="shared" si="3"/>
        <v>0</v>
      </c>
    </row>
    <row r="13" spans="1:19" ht="15.75" customHeight="1" x14ac:dyDescent="0.25">
      <c r="A13" s="103" t="s">
        <v>676</v>
      </c>
      <c r="B13" s="103" t="s">
        <v>82</v>
      </c>
      <c r="C13" s="280"/>
      <c r="D13" s="142">
        <v>24750</v>
      </c>
      <c r="E13" s="142" t="e">
        <f>D13*#REF!</f>
        <v>#REF!</v>
      </c>
      <c r="F13" s="142" t="e">
        <f>D13*#REF!</f>
        <v>#REF!</v>
      </c>
      <c r="G13" s="142" t="e">
        <f>(D13*#REF!)*#REF!</f>
        <v>#REF!</v>
      </c>
      <c r="H13" s="33">
        <f t="shared" si="0"/>
        <v>0</v>
      </c>
      <c r="I13" s="16" t="e">
        <f t="shared" si="1"/>
        <v>#REF!</v>
      </c>
      <c r="J13" s="18">
        <v>0</v>
      </c>
      <c r="K13" s="280"/>
      <c r="L13" s="216">
        <v>26769</v>
      </c>
      <c r="M13" s="216">
        <v>777.9</v>
      </c>
      <c r="N13" s="216">
        <v>0</v>
      </c>
      <c r="O13" s="216">
        <f>VLOOKUP(A13,TB!A:F,3)</f>
        <v>0</v>
      </c>
      <c r="P13" s="142">
        <f t="shared" si="5"/>
        <v>0</v>
      </c>
      <c r="Q13" s="142">
        <v>0</v>
      </c>
      <c r="R13" s="281">
        <f>VLOOKUP(A13,TB!A:F,6)</f>
        <v>0</v>
      </c>
      <c r="S13" s="281">
        <f t="shared" si="3"/>
        <v>0</v>
      </c>
    </row>
    <row r="14" spans="1:19" ht="15.75" customHeight="1" x14ac:dyDescent="0.25">
      <c r="A14" s="103" t="s">
        <v>677</v>
      </c>
      <c r="B14" s="103" t="s">
        <v>115</v>
      </c>
      <c r="C14" s="280"/>
      <c r="D14" s="142">
        <v>29524</v>
      </c>
      <c r="E14" s="142" t="e">
        <f>D14*#REF!</f>
        <v>#REF!</v>
      </c>
      <c r="F14" s="142" t="e">
        <f>D14*#REF!</f>
        <v>#REF!</v>
      </c>
      <c r="G14" s="142" t="e">
        <f>(D14*#REF!)*#REF!</f>
        <v>#REF!</v>
      </c>
      <c r="H14" s="33">
        <f t="shared" si="0"/>
        <v>0</v>
      </c>
      <c r="I14" s="16" t="e">
        <f t="shared" si="1"/>
        <v>#REF!</v>
      </c>
      <c r="J14" s="18">
        <v>0</v>
      </c>
      <c r="K14" s="280"/>
      <c r="L14" s="216">
        <v>42880</v>
      </c>
      <c r="M14" s="216">
        <v>33869.050000000003</v>
      </c>
      <c r="N14" s="216">
        <v>50000</v>
      </c>
      <c r="O14" s="216">
        <f>VLOOKUP(A14,TB!A:F,3)</f>
        <v>21055.02</v>
      </c>
      <c r="P14" s="272">
        <f t="shared" ref="P14:P15" si="6">N14</f>
        <v>50000</v>
      </c>
      <c r="Q14" s="142">
        <v>38500</v>
      </c>
      <c r="R14" s="281">
        <f>VLOOKUP(A14,TB!A:F,6)</f>
        <v>38500</v>
      </c>
      <c r="S14" s="281">
        <f t="shared" si="3"/>
        <v>0</v>
      </c>
    </row>
    <row r="15" spans="1:19" ht="15.75" customHeight="1" x14ac:dyDescent="0.25">
      <c r="A15" s="103" t="s">
        <v>678</v>
      </c>
      <c r="B15" s="103" t="s">
        <v>679</v>
      </c>
      <c r="C15" s="280"/>
      <c r="D15" s="142">
        <v>2811</v>
      </c>
      <c r="E15" s="142" t="e">
        <f>D15*#REF!</f>
        <v>#REF!</v>
      </c>
      <c r="F15" s="142" t="e">
        <f>D15*#REF!</f>
        <v>#REF!</v>
      </c>
      <c r="G15" s="142" t="e">
        <f>(D15*#REF!)*#REF!</f>
        <v>#REF!</v>
      </c>
      <c r="H15" s="33">
        <f t="shared" si="0"/>
        <v>0</v>
      </c>
      <c r="I15" s="16" t="e">
        <f t="shared" si="1"/>
        <v>#REF!</v>
      </c>
      <c r="J15" s="18">
        <v>0</v>
      </c>
      <c r="K15" s="280"/>
      <c r="L15" s="216">
        <v>1570</v>
      </c>
      <c r="M15" s="216">
        <v>9230.81</v>
      </c>
      <c r="N15" s="216">
        <v>5400</v>
      </c>
      <c r="O15" s="216">
        <f>VLOOKUP(A15,TB!A:F,3)</f>
        <v>748.49</v>
      </c>
      <c r="P15" s="272">
        <f t="shared" si="6"/>
        <v>5400</v>
      </c>
      <c r="Q15" s="142">
        <v>5400</v>
      </c>
      <c r="R15" s="281">
        <f>VLOOKUP(A15,TB!A:F,6)</f>
        <v>5400</v>
      </c>
      <c r="S15" s="281">
        <f t="shared" si="3"/>
        <v>0</v>
      </c>
    </row>
    <row r="16" spans="1:19" ht="15.75" customHeight="1" x14ac:dyDescent="0.25">
      <c r="A16" s="103" t="s">
        <v>680</v>
      </c>
      <c r="B16" s="103" t="s">
        <v>277</v>
      </c>
      <c r="C16" s="280"/>
      <c r="D16" s="142">
        <v>0</v>
      </c>
      <c r="E16" s="142" t="e">
        <f>D16*#REF!</f>
        <v>#REF!</v>
      </c>
      <c r="F16" s="142" t="e">
        <f>D16*#REF!</f>
        <v>#REF!</v>
      </c>
      <c r="G16" s="142" t="e">
        <f>(D16*#REF!)*#REF!</f>
        <v>#REF!</v>
      </c>
      <c r="H16" s="33">
        <f t="shared" si="0"/>
        <v>0</v>
      </c>
      <c r="I16" s="16" t="e">
        <f t="shared" si="1"/>
        <v>#REF!</v>
      </c>
      <c r="J16" s="18">
        <v>0</v>
      </c>
      <c r="K16" s="280"/>
      <c r="L16" s="216">
        <v>16755</v>
      </c>
      <c r="M16" s="216">
        <v>0</v>
      </c>
      <c r="N16" s="216">
        <v>0</v>
      </c>
      <c r="O16" s="216">
        <f>VLOOKUP(A16,TB!A:F,3)</f>
        <v>0</v>
      </c>
      <c r="P16" s="142">
        <f t="shared" ref="P16:P18" si="7">O16/9*12</f>
        <v>0</v>
      </c>
      <c r="Q16" s="142">
        <v>0</v>
      </c>
      <c r="R16" s="281">
        <f>VLOOKUP(A16,TB!A:F,6)</f>
        <v>0</v>
      </c>
      <c r="S16" s="281">
        <f t="shared" si="3"/>
        <v>0</v>
      </c>
    </row>
    <row r="17" spans="1:19" ht="15.75" customHeight="1" x14ac:dyDescent="0.25">
      <c r="A17" s="103" t="s">
        <v>681</v>
      </c>
      <c r="B17" s="103" t="s">
        <v>84</v>
      </c>
      <c r="C17" s="280"/>
      <c r="D17" s="142">
        <v>197</v>
      </c>
      <c r="E17" s="142" t="e">
        <f>D17*#REF!</f>
        <v>#REF!</v>
      </c>
      <c r="F17" s="142" t="e">
        <f>D17*#REF!</f>
        <v>#REF!</v>
      </c>
      <c r="G17" s="142" t="e">
        <f>(D17*#REF!)*#REF!</f>
        <v>#REF!</v>
      </c>
      <c r="H17" s="33">
        <f t="shared" si="0"/>
        <v>0</v>
      </c>
      <c r="I17" s="16" t="e">
        <f t="shared" si="1"/>
        <v>#REF!</v>
      </c>
      <c r="J17" s="18">
        <v>0</v>
      </c>
      <c r="K17" s="280"/>
      <c r="L17" s="216">
        <v>1635</v>
      </c>
      <c r="M17" s="216">
        <v>0</v>
      </c>
      <c r="N17" s="216">
        <v>0</v>
      </c>
      <c r="O17" s="216">
        <f>VLOOKUP(A17,TB!A:F,3)</f>
        <v>492.82</v>
      </c>
      <c r="P17" s="142">
        <f t="shared" si="7"/>
        <v>657.09333333333325</v>
      </c>
      <c r="Q17" s="142">
        <v>0</v>
      </c>
      <c r="R17" s="281">
        <f>VLOOKUP(A17,TB!A:F,6)</f>
        <v>0</v>
      </c>
      <c r="S17" s="281">
        <f t="shared" si="3"/>
        <v>0</v>
      </c>
    </row>
    <row r="18" spans="1:19" ht="15.75" customHeight="1" x14ac:dyDescent="0.25">
      <c r="A18" s="103" t="s">
        <v>682</v>
      </c>
      <c r="B18" s="103" t="s">
        <v>210</v>
      </c>
      <c r="C18" s="280"/>
      <c r="D18" s="142">
        <v>20205</v>
      </c>
      <c r="E18" s="142" t="e">
        <f>D18*#REF!</f>
        <v>#REF!</v>
      </c>
      <c r="F18" s="142" t="e">
        <f>D18*#REF!</f>
        <v>#REF!</v>
      </c>
      <c r="G18" s="142" t="e">
        <f>(D18*#REF!)*#REF!</f>
        <v>#REF!</v>
      </c>
      <c r="H18" s="33">
        <f t="shared" si="0"/>
        <v>0</v>
      </c>
      <c r="I18" s="16" t="e">
        <f t="shared" si="1"/>
        <v>#REF!</v>
      </c>
      <c r="J18" s="18">
        <v>0</v>
      </c>
      <c r="K18" s="280"/>
      <c r="L18" s="216">
        <v>22170</v>
      </c>
      <c r="M18" s="216">
        <v>0</v>
      </c>
      <c r="N18" s="216">
        <v>0</v>
      </c>
      <c r="O18" s="216">
        <f>VLOOKUP(A18,TB!A:F,3)</f>
        <v>0</v>
      </c>
      <c r="P18" s="142">
        <f t="shared" si="7"/>
        <v>0</v>
      </c>
      <c r="Q18" s="142">
        <v>0</v>
      </c>
      <c r="R18" s="281">
        <f>VLOOKUP(A18,TB!A:F,6)</f>
        <v>0</v>
      </c>
      <c r="S18" s="281">
        <f t="shared" si="3"/>
        <v>0</v>
      </c>
    </row>
    <row r="19" spans="1:19" ht="15.75" customHeight="1" x14ac:dyDescent="0.25">
      <c r="A19" s="103" t="s">
        <v>683</v>
      </c>
      <c r="B19" s="103" t="s">
        <v>86</v>
      </c>
      <c r="C19" s="280"/>
      <c r="D19" s="142">
        <v>1121905</v>
      </c>
      <c r="E19" s="142" t="e">
        <f>D19*#REF!</f>
        <v>#REF!</v>
      </c>
      <c r="F19" s="142" t="e">
        <f>D19*#REF!</f>
        <v>#REF!</v>
      </c>
      <c r="G19" s="142" t="e">
        <f>(D19*#REF!)*#REF!</f>
        <v>#REF!</v>
      </c>
      <c r="H19" s="33">
        <f t="shared" si="0"/>
        <v>0</v>
      </c>
      <c r="I19" s="16" t="e">
        <f t="shared" si="1"/>
        <v>#REF!</v>
      </c>
      <c r="J19" s="18">
        <v>0</v>
      </c>
      <c r="K19" s="280"/>
      <c r="L19" s="216">
        <v>1401521</v>
      </c>
      <c r="M19" s="216">
        <v>0</v>
      </c>
      <c r="N19" s="216">
        <v>1552645</v>
      </c>
      <c r="O19" s="216">
        <f>VLOOKUP(A19,TB!A:F,3)</f>
        <v>1237637.5</v>
      </c>
      <c r="P19" s="142">
        <f>N19</f>
        <v>1552645</v>
      </c>
      <c r="Q19" s="142">
        <v>1601224</v>
      </c>
      <c r="R19" s="281">
        <f>VLOOKUP(A19,TB!A:F,6)</f>
        <v>1601224</v>
      </c>
      <c r="S19" s="281">
        <f t="shared" si="3"/>
        <v>0</v>
      </c>
    </row>
    <row r="20" spans="1:19" ht="15.75" customHeight="1" x14ac:dyDescent="0.25">
      <c r="A20" s="103" t="s">
        <v>684</v>
      </c>
      <c r="B20" s="103" t="s">
        <v>88</v>
      </c>
      <c r="C20" s="280"/>
      <c r="D20" s="142">
        <v>0</v>
      </c>
      <c r="E20" s="142" t="e">
        <f>D20*#REF!</f>
        <v>#REF!</v>
      </c>
      <c r="F20" s="142" t="e">
        <f>D20*#REF!</f>
        <v>#REF!</v>
      </c>
      <c r="G20" s="142" t="e">
        <f>(D20*#REF!)*#REF!</f>
        <v>#REF!</v>
      </c>
      <c r="H20" s="33">
        <f t="shared" si="0"/>
        <v>0</v>
      </c>
      <c r="I20" s="16" t="e">
        <f t="shared" si="1"/>
        <v>#REF!</v>
      </c>
      <c r="J20" s="18">
        <v>0</v>
      </c>
      <c r="K20" s="280"/>
      <c r="L20" s="216">
        <v>1459</v>
      </c>
      <c r="M20" s="216">
        <v>16052.6</v>
      </c>
      <c r="N20" s="216">
        <v>0</v>
      </c>
      <c r="O20" s="216">
        <f>VLOOKUP(A20,TB!A:F,3)</f>
        <v>0</v>
      </c>
      <c r="P20" s="142">
        <f>O20/9*12</f>
        <v>0</v>
      </c>
      <c r="Q20" s="142">
        <v>0</v>
      </c>
      <c r="R20" s="281">
        <f>VLOOKUP(A20,TB!A:F,6)</f>
        <v>0</v>
      </c>
      <c r="S20" s="281">
        <f t="shared" si="3"/>
        <v>0</v>
      </c>
    </row>
    <row r="21" spans="1:19" ht="15.75" customHeight="1" x14ac:dyDescent="0.25">
      <c r="A21" s="103" t="s">
        <v>685</v>
      </c>
      <c r="B21" s="103" t="s">
        <v>686</v>
      </c>
      <c r="C21" s="280"/>
      <c r="D21" s="142">
        <v>189000</v>
      </c>
      <c r="E21" s="142" t="e">
        <f>D21*#REF!</f>
        <v>#REF!</v>
      </c>
      <c r="F21" s="142" t="e">
        <f>D21*#REF!</f>
        <v>#REF!</v>
      </c>
      <c r="G21" s="142" t="e">
        <f>(D21*#REF!)*#REF!</f>
        <v>#REF!</v>
      </c>
      <c r="H21" s="33">
        <f t="shared" si="0"/>
        <v>0</v>
      </c>
      <c r="I21" s="16" t="e">
        <f t="shared" si="1"/>
        <v>#REF!</v>
      </c>
      <c r="J21" s="18">
        <v>0</v>
      </c>
      <c r="K21" s="280"/>
      <c r="L21" s="216">
        <v>236316</v>
      </c>
      <c r="M21" s="216">
        <v>280616.76</v>
      </c>
      <c r="N21" s="216">
        <v>241000</v>
      </c>
      <c r="O21" s="216">
        <f>VLOOKUP(A21,TB!A:F,3)</f>
        <v>160305.60000000001</v>
      </c>
      <c r="P21" s="272">
        <f t="shared" ref="P21:P23" si="8">N21</f>
        <v>241000</v>
      </c>
      <c r="Q21" s="142">
        <v>250040</v>
      </c>
      <c r="R21" s="281">
        <f>VLOOKUP(A21,TB!A:F,6)</f>
        <v>250040</v>
      </c>
      <c r="S21" s="281">
        <f t="shared" si="3"/>
        <v>0</v>
      </c>
    </row>
    <row r="22" spans="1:19" ht="15.75" customHeight="1" x14ac:dyDescent="0.25">
      <c r="A22" s="103" t="s">
        <v>687</v>
      </c>
      <c r="B22" s="103" t="s">
        <v>688</v>
      </c>
      <c r="C22" s="280"/>
      <c r="D22" s="142">
        <v>24769</v>
      </c>
      <c r="E22" s="142" t="e">
        <f>D22*#REF!</f>
        <v>#REF!</v>
      </c>
      <c r="F22" s="142" t="e">
        <f>D22*#REF!</f>
        <v>#REF!</v>
      </c>
      <c r="G22" s="142" t="e">
        <f>(D22*#REF!)*#REF!</f>
        <v>#REF!</v>
      </c>
      <c r="H22" s="33">
        <f t="shared" si="0"/>
        <v>0</v>
      </c>
      <c r="I22" s="16" t="e">
        <f t="shared" si="1"/>
        <v>#REF!</v>
      </c>
      <c r="J22" s="18">
        <v>0</v>
      </c>
      <c r="K22" s="280"/>
      <c r="L22" s="216">
        <v>12996</v>
      </c>
      <c r="M22" s="216">
        <v>35609.14</v>
      </c>
      <c r="N22" s="216">
        <v>36100</v>
      </c>
      <c r="O22" s="216">
        <f>VLOOKUP(A22,TB!A:F,3)</f>
        <v>11277.05</v>
      </c>
      <c r="P22" s="272">
        <f t="shared" si="8"/>
        <v>36100</v>
      </c>
      <c r="Q22" s="142">
        <v>36100</v>
      </c>
      <c r="R22" s="281">
        <f>VLOOKUP(A22,TB!A:F,6)</f>
        <v>36100</v>
      </c>
      <c r="S22" s="281">
        <f t="shared" si="3"/>
        <v>0</v>
      </c>
    </row>
    <row r="23" spans="1:19" ht="15.75" customHeight="1" x14ac:dyDescent="0.25">
      <c r="A23" s="103" t="s">
        <v>689</v>
      </c>
      <c r="B23" s="103" t="s">
        <v>90</v>
      </c>
      <c r="C23" s="280"/>
      <c r="D23" s="142">
        <v>30452</v>
      </c>
      <c r="E23" s="142" t="e">
        <f>D23*#REF!</f>
        <v>#REF!</v>
      </c>
      <c r="F23" s="142" t="e">
        <f>D23*#REF!</f>
        <v>#REF!</v>
      </c>
      <c r="G23" s="142" t="e">
        <f>(D23*#REF!)*#REF!</f>
        <v>#REF!</v>
      </c>
      <c r="H23" s="33">
        <f t="shared" si="0"/>
        <v>0</v>
      </c>
      <c r="I23" s="16" t="e">
        <f t="shared" si="1"/>
        <v>#REF!</v>
      </c>
      <c r="J23" s="18">
        <v>0</v>
      </c>
      <c r="K23" s="280"/>
      <c r="L23" s="216">
        <v>24620</v>
      </c>
      <c r="M23" s="216">
        <v>29249.18</v>
      </c>
      <c r="N23" s="216">
        <v>45000</v>
      </c>
      <c r="O23" s="216">
        <f>VLOOKUP(A23,TB!A:F,3)</f>
        <v>13921.06</v>
      </c>
      <c r="P23" s="272">
        <f t="shared" si="8"/>
        <v>45000</v>
      </c>
      <c r="Q23" s="142">
        <v>25000</v>
      </c>
      <c r="R23" s="281">
        <f>VLOOKUP(A23,TB!A:F,6)</f>
        <v>25000</v>
      </c>
      <c r="S23" s="281">
        <f t="shared" si="3"/>
        <v>0</v>
      </c>
    </row>
    <row r="24" spans="1:19" ht="15.75" customHeight="1" x14ac:dyDescent="0.25">
      <c r="A24" s="103" t="s">
        <v>690</v>
      </c>
      <c r="B24" s="103" t="s">
        <v>606</v>
      </c>
      <c r="C24" s="280"/>
      <c r="D24" s="142">
        <v>6949</v>
      </c>
      <c r="E24" s="142" t="e">
        <f>D24*#REF!</f>
        <v>#REF!</v>
      </c>
      <c r="F24" s="142" t="e">
        <f>D24*#REF!</f>
        <v>#REF!</v>
      </c>
      <c r="G24" s="142" t="e">
        <f>(D24*#REF!)*#REF!</f>
        <v>#REF!</v>
      </c>
      <c r="H24" s="33">
        <f t="shared" si="0"/>
        <v>0</v>
      </c>
      <c r="I24" s="16" t="e">
        <f t="shared" si="1"/>
        <v>#REF!</v>
      </c>
      <c r="J24" s="18">
        <v>0</v>
      </c>
      <c r="K24" s="280"/>
      <c r="L24" s="216">
        <v>2852</v>
      </c>
      <c r="M24" s="216">
        <v>5212</v>
      </c>
      <c r="N24" s="216">
        <v>8300</v>
      </c>
      <c r="O24" s="216">
        <f>VLOOKUP(A24,TB!A:F,3)</f>
        <v>10418.41</v>
      </c>
      <c r="P24" s="142">
        <f>O24/9*12</f>
        <v>13891.213333333333</v>
      </c>
      <c r="Q24" s="142">
        <v>0</v>
      </c>
      <c r="R24" s="281">
        <f>VLOOKUP(A24,TB!A:F,6)</f>
        <v>0</v>
      </c>
      <c r="S24" s="281">
        <f t="shared" si="3"/>
        <v>0</v>
      </c>
    </row>
    <row r="25" spans="1:19" ht="15.75" customHeight="1" x14ac:dyDescent="0.25">
      <c r="A25" s="103" t="s">
        <v>691</v>
      </c>
      <c r="B25" s="103" t="s">
        <v>608</v>
      </c>
      <c r="C25" s="280"/>
      <c r="D25" s="142">
        <v>378683</v>
      </c>
      <c r="E25" s="142" t="e">
        <f>D25*#REF!</f>
        <v>#REF!</v>
      </c>
      <c r="F25" s="142" t="e">
        <f>D25*#REF!</f>
        <v>#REF!</v>
      </c>
      <c r="G25" s="142" t="e">
        <f>(D25*#REF!)*#REF!</f>
        <v>#REF!</v>
      </c>
      <c r="H25" s="33">
        <f t="shared" si="0"/>
        <v>0</v>
      </c>
      <c r="I25" s="16" t="e">
        <f t="shared" si="1"/>
        <v>#REF!</v>
      </c>
      <c r="J25" s="18">
        <v>0</v>
      </c>
      <c r="K25" s="280"/>
      <c r="L25" s="216">
        <v>464268</v>
      </c>
      <c r="M25" s="216">
        <v>9910.99</v>
      </c>
      <c r="N25" s="216">
        <v>496460</v>
      </c>
      <c r="O25" s="216">
        <f>VLOOKUP(A25,TB!A:F,3)</f>
        <v>387408.2</v>
      </c>
      <c r="P25" s="272">
        <f t="shared" ref="P25:P26" si="9">N25</f>
        <v>496460</v>
      </c>
      <c r="Q25" s="142">
        <v>511354</v>
      </c>
      <c r="R25" s="281">
        <f>VLOOKUP(A25,TB!A:F,6)</f>
        <v>511354</v>
      </c>
      <c r="S25" s="281">
        <f t="shared" si="3"/>
        <v>0</v>
      </c>
    </row>
    <row r="26" spans="1:19" ht="15.75" customHeight="1" x14ac:dyDescent="0.25">
      <c r="A26" s="103" t="s">
        <v>692</v>
      </c>
      <c r="B26" s="103" t="s">
        <v>693</v>
      </c>
      <c r="C26" s="280"/>
      <c r="D26" s="142">
        <v>9514</v>
      </c>
      <c r="E26" s="142" t="e">
        <f>D26*#REF!</f>
        <v>#REF!</v>
      </c>
      <c r="F26" s="142" t="e">
        <f>D26*#REF!</f>
        <v>#REF!</v>
      </c>
      <c r="G26" s="142" t="e">
        <f>(D26*#REF!)*#REF!</f>
        <v>#REF!</v>
      </c>
      <c r="H26" s="33">
        <f t="shared" si="0"/>
        <v>0</v>
      </c>
      <c r="I26" s="16" t="e">
        <f t="shared" si="1"/>
        <v>#REF!</v>
      </c>
      <c r="J26" s="18">
        <v>0</v>
      </c>
      <c r="K26" s="280"/>
      <c r="L26" s="216">
        <v>8316</v>
      </c>
      <c r="M26" s="216">
        <v>17599.740000000002</v>
      </c>
      <c r="N26" s="216">
        <v>10900</v>
      </c>
      <c r="O26" s="216">
        <f>VLOOKUP(A26,TB!A:F,3)</f>
        <v>4018.73</v>
      </c>
      <c r="P26" s="272">
        <f t="shared" si="9"/>
        <v>10900</v>
      </c>
      <c r="Q26" s="142">
        <v>10000</v>
      </c>
      <c r="R26" s="281">
        <f>VLOOKUP(A26,TB!A:F,6)</f>
        <v>10000</v>
      </c>
      <c r="S26" s="281">
        <f t="shared" si="3"/>
        <v>0</v>
      </c>
    </row>
    <row r="27" spans="1:19" ht="15.75" customHeight="1" x14ac:dyDescent="0.25">
      <c r="A27" s="103" t="s">
        <v>694</v>
      </c>
      <c r="B27" s="103" t="s">
        <v>502</v>
      </c>
      <c r="C27" s="280"/>
      <c r="D27" s="142">
        <v>59397</v>
      </c>
      <c r="E27" s="142" t="e">
        <f>D27*#REF!</f>
        <v>#REF!</v>
      </c>
      <c r="F27" s="142" t="e">
        <f>D27*#REF!</f>
        <v>#REF!</v>
      </c>
      <c r="G27" s="142" t="e">
        <f>(D27*#REF!)*#REF!</f>
        <v>#REF!</v>
      </c>
      <c r="H27" s="33">
        <f t="shared" si="0"/>
        <v>0</v>
      </c>
      <c r="I27" s="16" t="e">
        <f t="shared" si="1"/>
        <v>#REF!</v>
      </c>
      <c r="J27" s="18">
        <v>0</v>
      </c>
      <c r="K27" s="280"/>
      <c r="L27" s="216">
        <v>57980</v>
      </c>
      <c r="M27" s="216">
        <v>2507.64</v>
      </c>
      <c r="N27" s="216">
        <v>0</v>
      </c>
      <c r="O27" s="216">
        <f>VLOOKUP(A27,TB!A:F,3)</f>
        <v>642</v>
      </c>
      <c r="P27" s="142">
        <f t="shared" ref="P27:P28" si="10">O27/9*12</f>
        <v>856</v>
      </c>
      <c r="Q27" s="142">
        <v>5000</v>
      </c>
      <c r="R27" s="281">
        <f>VLOOKUP(A27,TB!A:F,6)</f>
        <v>5000</v>
      </c>
      <c r="S27" s="281">
        <f t="shared" si="3"/>
        <v>0</v>
      </c>
    </row>
    <row r="28" spans="1:19" ht="15.75" customHeight="1" x14ac:dyDescent="0.25">
      <c r="A28" s="103" t="s">
        <v>695</v>
      </c>
      <c r="B28" s="103" t="s">
        <v>92</v>
      </c>
      <c r="C28" s="280"/>
      <c r="D28" s="142">
        <v>0</v>
      </c>
      <c r="E28" s="142" t="e">
        <f>D28*#REF!</f>
        <v>#REF!</v>
      </c>
      <c r="F28" s="142" t="e">
        <f>D28*#REF!</f>
        <v>#REF!</v>
      </c>
      <c r="G28" s="142" t="e">
        <f>(D28*#REF!)*#REF!</f>
        <v>#REF!</v>
      </c>
      <c r="H28" s="33">
        <f t="shared" si="0"/>
        <v>0</v>
      </c>
      <c r="I28" s="16" t="e">
        <f t="shared" si="1"/>
        <v>#REF!</v>
      </c>
      <c r="J28" s="18">
        <v>0</v>
      </c>
      <c r="K28" s="280"/>
      <c r="L28" s="216">
        <v>53326</v>
      </c>
      <c r="M28" s="216">
        <v>0</v>
      </c>
      <c r="N28" s="216">
        <v>0</v>
      </c>
      <c r="O28" s="216">
        <f>VLOOKUP(A28,TB!A:F,3)</f>
        <v>0</v>
      </c>
      <c r="P28" s="142">
        <f t="shared" si="10"/>
        <v>0</v>
      </c>
      <c r="Q28" s="142">
        <v>0</v>
      </c>
      <c r="R28" s="281">
        <f>VLOOKUP(A28,TB!A:F,6)</f>
        <v>0</v>
      </c>
      <c r="S28" s="281">
        <f t="shared" si="3"/>
        <v>0</v>
      </c>
    </row>
    <row r="29" spans="1:19" ht="15.75" customHeight="1" x14ac:dyDescent="0.25">
      <c r="A29" s="47" t="s">
        <v>696</v>
      </c>
      <c r="B29" s="48"/>
      <c r="C29" s="282"/>
      <c r="D29" s="50">
        <f t="shared" ref="D29:G29" si="11">SUM(D3:D28)</f>
        <v>8116992</v>
      </c>
      <c r="E29" s="50" t="e">
        <f t="shared" si="11"/>
        <v>#REF!</v>
      </c>
      <c r="F29" s="50" t="e">
        <f t="shared" si="11"/>
        <v>#REF!</v>
      </c>
      <c r="G29" s="50" t="e">
        <f t="shared" si="11"/>
        <v>#REF!</v>
      </c>
      <c r="H29" s="42">
        <f t="shared" si="0"/>
        <v>0</v>
      </c>
      <c r="I29" s="50" t="e">
        <f t="shared" si="1"/>
        <v>#REF!</v>
      </c>
      <c r="J29" s="283">
        <f>SUM(J3:J28)</f>
        <v>0</v>
      </c>
      <c r="K29" s="282"/>
      <c r="L29" s="12">
        <f t="shared" ref="L29:S29" si="12">SUM(L3:L28)</f>
        <v>10312949</v>
      </c>
      <c r="M29" s="12">
        <f t="shared" si="12"/>
        <v>8703247.8000000007</v>
      </c>
      <c r="N29" s="12">
        <f t="shared" si="12"/>
        <v>11591948</v>
      </c>
      <c r="O29" s="12">
        <f t="shared" si="12"/>
        <v>8058953.6700000009</v>
      </c>
      <c r="P29" s="50">
        <f t="shared" si="12"/>
        <v>10561124.955</v>
      </c>
      <c r="Q29" s="50">
        <f t="shared" si="12"/>
        <v>12077218</v>
      </c>
      <c r="R29" s="12">
        <f t="shared" si="12"/>
        <v>12077218</v>
      </c>
      <c r="S29" s="12">
        <f t="shared" si="12"/>
        <v>0</v>
      </c>
    </row>
    <row r="30" spans="1:19" ht="15.75" customHeight="1" x14ac:dyDescent="0.2">
      <c r="A30" s="5"/>
      <c r="B30" s="5"/>
      <c r="C30" s="284"/>
      <c r="D30" s="5"/>
      <c r="E30" s="5"/>
      <c r="F30" s="5"/>
      <c r="G30" s="5"/>
      <c r="H30" s="5"/>
      <c r="I30" s="5"/>
      <c r="J30" s="5"/>
      <c r="K30" s="284"/>
      <c r="L30" s="7"/>
      <c r="M30" s="7"/>
      <c r="N30" s="7"/>
      <c r="O30" s="7"/>
      <c r="P30" s="7"/>
      <c r="Q30" s="7"/>
      <c r="R30" s="267"/>
      <c r="S30" s="267"/>
    </row>
    <row r="31" spans="1:19" ht="15.75" customHeight="1" x14ac:dyDescent="0.25">
      <c r="A31" s="314" t="s">
        <v>697</v>
      </c>
      <c r="B31" s="314" t="s">
        <v>180</v>
      </c>
      <c r="C31" s="316"/>
      <c r="D31" s="317">
        <v>0</v>
      </c>
      <c r="E31" s="142" t="e">
        <f>D31*#REF!</f>
        <v>#REF!</v>
      </c>
      <c r="F31" s="142" t="e">
        <f>D31*#REF!</f>
        <v>#REF!</v>
      </c>
      <c r="G31" s="142" t="e">
        <f>(D31*#REF!)*#REF!</f>
        <v>#REF!</v>
      </c>
      <c r="H31" s="33">
        <f t="shared" ref="H31:H33" si="13">IFERROR(((Q31-G31)/G31),0)</f>
        <v>0</v>
      </c>
      <c r="I31" s="16" t="e">
        <f t="shared" ref="I31:I33" si="14">Q31-G31</f>
        <v>#REF!</v>
      </c>
      <c r="J31" s="18">
        <v>0</v>
      </c>
      <c r="K31" s="316"/>
      <c r="L31" s="216">
        <v>220405</v>
      </c>
      <c r="M31" s="216">
        <v>0</v>
      </c>
      <c r="N31" s="216">
        <v>0</v>
      </c>
      <c r="O31" s="216">
        <f>VLOOKUP(A31,TB!A:F,3)</f>
        <v>0</v>
      </c>
      <c r="P31" s="142">
        <f t="shared" ref="P31:P32" si="15">N31</f>
        <v>0</v>
      </c>
      <c r="Q31" s="142">
        <v>0</v>
      </c>
      <c r="R31" s="281">
        <f>VLOOKUP(A31,TB!A:F,6)</f>
        <v>0</v>
      </c>
      <c r="S31" s="281">
        <f t="shared" ref="S31:S32" si="16">Q31-R31</f>
        <v>0</v>
      </c>
    </row>
    <row r="32" spans="1:19" ht="15.75" customHeight="1" x14ac:dyDescent="0.25">
      <c r="A32" s="103" t="s">
        <v>698</v>
      </c>
      <c r="B32" s="103" t="s">
        <v>99</v>
      </c>
      <c r="C32" s="280"/>
      <c r="D32" s="142">
        <v>55677</v>
      </c>
      <c r="E32" s="142" t="e">
        <f>D32*#REF!</f>
        <v>#REF!</v>
      </c>
      <c r="F32" s="142" t="e">
        <f>D32*#REF!</f>
        <v>#REF!</v>
      </c>
      <c r="G32" s="142" t="e">
        <f>(D32*#REF!)*#REF!</f>
        <v>#REF!</v>
      </c>
      <c r="H32" s="33">
        <f t="shared" si="13"/>
        <v>0</v>
      </c>
      <c r="I32" s="16" t="e">
        <f t="shared" si="14"/>
        <v>#REF!</v>
      </c>
      <c r="J32" s="18">
        <v>0</v>
      </c>
      <c r="K32" s="280"/>
      <c r="L32" s="216">
        <v>41819</v>
      </c>
      <c r="M32" s="216">
        <v>16668</v>
      </c>
      <c r="N32" s="216">
        <v>9700</v>
      </c>
      <c r="O32" s="216">
        <f>VLOOKUP(A32,TB!A:F,3)</f>
        <v>0</v>
      </c>
      <c r="P32" s="272">
        <f t="shared" si="15"/>
        <v>9700</v>
      </c>
      <c r="Q32" s="142">
        <v>0</v>
      </c>
      <c r="R32" s="281">
        <f>VLOOKUP(A32,TB!A:F,6)</f>
        <v>0</v>
      </c>
      <c r="S32" s="281">
        <f t="shared" si="16"/>
        <v>0</v>
      </c>
    </row>
    <row r="33" spans="1:19" ht="15.75" customHeight="1" x14ac:dyDescent="0.25">
      <c r="A33" s="47" t="s">
        <v>696</v>
      </c>
      <c r="B33" s="48"/>
      <c r="C33" s="282"/>
      <c r="D33" s="50">
        <f t="shared" ref="D33:G33" si="17">SUM(D31:D32)</f>
        <v>55677</v>
      </c>
      <c r="E33" s="50" t="e">
        <f t="shared" si="17"/>
        <v>#REF!</v>
      </c>
      <c r="F33" s="50" t="e">
        <f t="shared" si="17"/>
        <v>#REF!</v>
      </c>
      <c r="G33" s="50" t="e">
        <f t="shared" si="17"/>
        <v>#REF!</v>
      </c>
      <c r="H33" s="42">
        <f t="shared" si="13"/>
        <v>0</v>
      </c>
      <c r="I33" s="50" t="e">
        <f t="shared" si="14"/>
        <v>#REF!</v>
      </c>
      <c r="J33" s="283">
        <f>SUM(J31:J32)</f>
        <v>0</v>
      </c>
      <c r="K33" s="282"/>
      <c r="L33" s="12">
        <f t="shared" ref="L33:S33" si="18">SUM(L31:L32)</f>
        <v>262224</v>
      </c>
      <c r="M33" s="12">
        <f t="shared" si="18"/>
        <v>16668</v>
      </c>
      <c r="N33" s="12">
        <f t="shared" si="18"/>
        <v>9700</v>
      </c>
      <c r="O33" s="12">
        <f t="shared" si="18"/>
        <v>0</v>
      </c>
      <c r="P33" s="50">
        <f t="shared" si="18"/>
        <v>9700</v>
      </c>
      <c r="Q33" s="50">
        <f t="shared" si="18"/>
        <v>0</v>
      </c>
      <c r="R33" s="12">
        <f t="shared" si="18"/>
        <v>0</v>
      </c>
      <c r="S33" s="12">
        <f t="shared" si="18"/>
        <v>0</v>
      </c>
    </row>
    <row r="34" spans="1:19" ht="15.75" customHeight="1" x14ac:dyDescent="0.2">
      <c r="A34" s="5"/>
      <c r="B34" s="5"/>
      <c r="C34" s="284"/>
      <c r="D34" s="5"/>
      <c r="E34" s="5"/>
      <c r="F34" s="5"/>
      <c r="G34" s="5"/>
      <c r="H34" s="5"/>
      <c r="I34" s="5"/>
      <c r="J34" s="5"/>
      <c r="K34" s="284"/>
      <c r="L34" s="7"/>
      <c r="M34" s="7"/>
      <c r="N34" s="7"/>
      <c r="O34" s="7"/>
      <c r="P34" s="7"/>
      <c r="Q34" s="7"/>
      <c r="R34" s="267"/>
      <c r="S34" s="267"/>
    </row>
    <row r="35" spans="1:19" ht="15.75" customHeight="1" x14ac:dyDescent="0.25">
      <c r="A35" s="47" t="s">
        <v>699</v>
      </c>
      <c r="B35" s="6"/>
      <c r="C35" s="321"/>
      <c r="D35" s="50">
        <f t="shared" ref="D35:G35" si="19">D29+D33</f>
        <v>8172669</v>
      </c>
      <c r="E35" s="50" t="e">
        <f t="shared" si="19"/>
        <v>#REF!</v>
      </c>
      <c r="F35" s="50" t="e">
        <f t="shared" si="19"/>
        <v>#REF!</v>
      </c>
      <c r="G35" s="50" t="e">
        <f t="shared" si="19"/>
        <v>#REF!</v>
      </c>
      <c r="H35" s="42">
        <f>IFERROR(((Q35-G35)/G35),0)</f>
        <v>0</v>
      </c>
      <c r="I35" s="50" t="e">
        <f>Q35-G35</f>
        <v>#REF!</v>
      </c>
      <c r="J35" s="283">
        <v>0</v>
      </c>
      <c r="K35" s="321"/>
      <c r="L35" s="12">
        <f t="shared" ref="L35:S35" si="20">L29+L33</f>
        <v>10575173</v>
      </c>
      <c r="M35" s="12">
        <f t="shared" si="20"/>
        <v>8719915.8000000007</v>
      </c>
      <c r="N35" s="12">
        <f t="shared" si="20"/>
        <v>11601648</v>
      </c>
      <c r="O35" s="12">
        <f t="shared" si="20"/>
        <v>8058953.6700000009</v>
      </c>
      <c r="P35" s="50">
        <f t="shared" si="20"/>
        <v>10570824.955</v>
      </c>
      <c r="Q35" s="50">
        <f t="shared" si="20"/>
        <v>12077218</v>
      </c>
      <c r="R35" s="12">
        <f t="shared" si="20"/>
        <v>12077218</v>
      </c>
      <c r="S35" s="12">
        <f t="shared" si="20"/>
        <v>0</v>
      </c>
    </row>
    <row r="36" spans="1:19" ht="15.75" customHeight="1" x14ac:dyDescent="0.2">
      <c r="A36" s="5"/>
      <c r="B36" s="5"/>
      <c r="C36" s="284"/>
      <c r="D36" s="5"/>
      <c r="E36" s="5"/>
      <c r="F36" s="5"/>
      <c r="G36" s="5"/>
      <c r="H36" s="5"/>
      <c r="I36" s="5"/>
      <c r="J36" s="5"/>
      <c r="K36" s="284"/>
      <c r="L36" s="7"/>
      <c r="M36" s="7"/>
      <c r="N36" s="7"/>
      <c r="O36" s="7"/>
      <c r="P36" s="7"/>
      <c r="Q36" s="7"/>
      <c r="R36" s="267"/>
      <c r="S36" s="267"/>
    </row>
    <row r="37" spans="1:19" ht="15.75" customHeight="1" x14ac:dyDescent="0.2">
      <c r="A37" s="11" t="s">
        <v>184</v>
      </c>
      <c r="B37" s="5"/>
      <c r="C37" s="284"/>
      <c r="D37" s="5"/>
      <c r="E37" s="5"/>
      <c r="F37" s="5"/>
      <c r="G37" s="5"/>
      <c r="H37" s="5"/>
      <c r="I37" s="5"/>
      <c r="J37" s="5"/>
      <c r="K37" s="284"/>
      <c r="L37" s="7"/>
      <c r="M37" s="7"/>
      <c r="N37" s="7"/>
      <c r="O37" s="7"/>
      <c r="P37" s="7"/>
      <c r="Q37" s="7"/>
      <c r="R37" s="267"/>
      <c r="S37" s="267"/>
    </row>
    <row r="38" spans="1:19" ht="15.75" customHeight="1" x14ac:dyDescent="0.25">
      <c r="A38" s="6" t="s">
        <v>700</v>
      </c>
      <c r="B38" s="6" t="s">
        <v>701</v>
      </c>
      <c r="C38" s="285"/>
      <c r="D38" s="16">
        <v>0</v>
      </c>
      <c r="E38" s="142" t="e">
        <f>D38*#REF!</f>
        <v>#REF!</v>
      </c>
      <c r="F38" s="142" t="e">
        <f>D38*#REF!</f>
        <v>#REF!</v>
      </c>
      <c r="G38" s="142" t="e">
        <f>(D38*#REF!)*#REF!</f>
        <v>#REF!</v>
      </c>
      <c r="H38" s="33">
        <f t="shared" ref="H38:H53" si="21">IFERROR(((Q38-G38)/G38),0)</f>
        <v>0</v>
      </c>
      <c r="I38" s="16" t="e">
        <f t="shared" ref="I38:I53" si="22">Q38-G38</f>
        <v>#REF!</v>
      </c>
      <c r="J38" s="18">
        <v>0</v>
      </c>
      <c r="K38" s="285"/>
      <c r="L38" s="7">
        <v>-211570</v>
      </c>
      <c r="M38" s="7">
        <v>-49305</v>
      </c>
      <c r="N38" s="7">
        <v>-200000</v>
      </c>
      <c r="O38" s="216">
        <f>VLOOKUP(A38,TB!A:F,3)</f>
        <v>49305</v>
      </c>
      <c r="P38" s="322">
        <f t="shared" ref="P38:P52" si="23">N38</f>
        <v>-200000</v>
      </c>
      <c r="Q38" s="16">
        <v>-45000</v>
      </c>
      <c r="R38" s="281">
        <f>VLOOKUP(A38,TB!A:F,6)</f>
        <v>-45000</v>
      </c>
      <c r="S38" s="281">
        <f t="shared" ref="S38:S52" si="24">Q38-R38</f>
        <v>0</v>
      </c>
    </row>
    <row r="39" spans="1:19" ht="15.75" customHeight="1" x14ac:dyDescent="0.25">
      <c r="A39" s="6" t="s">
        <v>702</v>
      </c>
      <c r="B39" s="6" t="s">
        <v>703</v>
      </c>
      <c r="C39" s="285"/>
      <c r="D39" s="16">
        <v>-252821</v>
      </c>
      <c r="E39" s="142" t="e">
        <f>D39*#REF!</f>
        <v>#REF!</v>
      </c>
      <c r="F39" s="142" t="e">
        <f>D39*#REF!</f>
        <v>#REF!</v>
      </c>
      <c r="G39" s="142" t="e">
        <f>(D39*#REF!)*#REF!</f>
        <v>#REF!</v>
      </c>
      <c r="H39" s="33">
        <f t="shared" si="21"/>
        <v>0</v>
      </c>
      <c r="I39" s="16" t="e">
        <f t="shared" si="22"/>
        <v>#REF!</v>
      </c>
      <c r="J39" s="18">
        <v>0</v>
      </c>
      <c r="K39" s="285"/>
      <c r="L39" s="7">
        <v>-322088</v>
      </c>
      <c r="M39" s="7">
        <v>-336076.26</v>
      </c>
      <c r="N39" s="7">
        <v>-428400</v>
      </c>
      <c r="O39" s="216">
        <f>VLOOKUP(A39,TB!A:F,3)</f>
        <v>-157367.07999999999</v>
      </c>
      <c r="P39" s="322">
        <f t="shared" si="23"/>
        <v>-428400</v>
      </c>
      <c r="Q39" s="16">
        <v>-277600</v>
      </c>
      <c r="R39" s="281">
        <f>VLOOKUP(A39,TB!A:F,6)</f>
        <v>-277600</v>
      </c>
      <c r="S39" s="281">
        <f t="shared" si="24"/>
        <v>0</v>
      </c>
    </row>
    <row r="40" spans="1:19" ht="15.75" customHeight="1" x14ac:dyDescent="0.25">
      <c r="A40" s="6" t="s">
        <v>704</v>
      </c>
      <c r="B40" s="6" t="s">
        <v>705</v>
      </c>
      <c r="C40" s="285"/>
      <c r="D40" s="16">
        <v>-281334</v>
      </c>
      <c r="E40" s="142" t="e">
        <f>D40*#REF!</f>
        <v>#REF!</v>
      </c>
      <c r="F40" s="142" t="e">
        <f>D40*#REF!</f>
        <v>#REF!</v>
      </c>
      <c r="G40" s="142" t="e">
        <f>(D40*#REF!)*#REF!</f>
        <v>#REF!</v>
      </c>
      <c r="H40" s="33">
        <f t="shared" si="21"/>
        <v>0</v>
      </c>
      <c r="I40" s="16" t="e">
        <f t="shared" si="22"/>
        <v>#REF!</v>
      </c>
      <c r="J40" s="18">
        <v>0</v>
      </c>
      <c r="K40" s="285"/>
      <c r="L40" s="7">
        <v>0</v>
      </c>
      <c r="M40" s="7">
        <v>0</v>
      </c>
      <c r="N40" s="7">
        <v>-5000</v>
      </c>
      <c r="O40" s="216">
        <f>VLOOKUP(A40,TB!A:F,3)</f>
        <v>0</v>
      </c>
      <c r="P40" s="322">
        <f t="shared" si="23"/>
        <v>-5000</v>
      </c>
      <c r="Q40" s="16">
        <v>-2000</v>
      </c>
      <c r="R40" s="281">
        <f>VLOOKUP(A40,TB!A:F,6)</f>
        <v>-2000</v>
      </c>
      <c r="S40" s="281">
        <f t="shared" si="24"/>
        <v>0</v>
      </c>
    </row>
    <row r="41" spans="1:19" ht="15.75" customHeight="1" x14ac:dyDescent="0.25">
      <c r="A41" s="6" t="s">
        <v>706</v>
      </c>
      <c r="B41" s="6" t="s">
        <v>707</v>
      </c>
      <c r="C41" s="285"/>
      <c r="D41" s="16">
        <v>0</v>
      </c>
      <c r="E41" s="142" t="e">
        <f>D41*#REF!</f>
        <v>#REF!</v>
      </c>
      <c r="F41" s="142" t="e">
        <f>D41*#REF!</f>
        <v>#REF!</v>
      </c>
      <c r="G41" s="142" t="e">
        <f>(D41*#REF!)*#REF!</f>
        <v>#REF!</v>
      </c>
      <c r="H41" s="33">
        <f t="shared" si="21"/>
        <v>0</v>
      </c>
      <c r="I41" s="16" t="e">
        <f t="shared" si="22"/>
        <v>#REF!</v>
      </c>
      <c r="J41" s="18">
        <v>0</v>
      </c>
      <c r="K41" s="285"/>
      <c r="L41" s="7">
        <v>-18145</v>
      </c>
      <c r="M41" s="7">
        <v>-18547.09</v>
      </c>
      <c r="N41" s="7">
        <v>-10000</v>
      </c>
      <c r="O41" s="216">
        <f>VLOOKUP(A41,TB!A:F,3)</f>
        <v>-8621.76</v>
      </c>
      <c r="P41" s="322">
        <f t="shared" si="23"/>
        <v>-10000</v>
      </c>
      <c r="Q41" s="16">
        <v>-10000</v>
      </c>
      <c r="R41" s="281">
        <f>VLOOKUP(A41,TB!A:F,6)</f>
        <v>-10000</v>
      </c>
      <c r="S41" s="281">
        <f t="shared" si="24"/>
        <v>0</v>
      </c>
    </row>
    <row r="42" spans="1:19" ht="15.75" customHeight="1" x14ac:dyDescent="0.25">
      <c r="A42" s="6" t="s">
        <v>708</v>
      </c>
      <c r="B42" s="6" t="s">
        <v>709</v>
      </c>
      <c r="C42" s="285"/>
      <c r="D42" s="16">
        <v>-97547</v>
      </c>
      <c r="E42" s="142" t="e">
        <f>D42*#REF!</f>
        <v>#REF!</v>
      </c>
      <c r="F42" s="142" t="e">
        <f>D42*#REF!</f>
        <v>#REF!</v>
      </c>
      <c r="G42" s="142" t="e">
        <f>(D42*#REF!)*#REF!</f>
        <v>#REF!</v>
      </c>
      <c r="H42" s="33">
        <f t="shared" si="21"/>
        <v>0</v>
      </c>
      <c r="I42" s="16" t="e">
        <f t="shared" si="22"/>
        <v>#REF!</v>
      </c>
      <c r="J42" s="18">
        <v>0</v>
      </c>
      <c r="K42" s="285"/>
      <c r="L42" s="7">
        <v>-179585</v>
      </c>
      <c r="M42" s="7">
        <v>-160723.06</v>
      </c>
      <c r="N42" s="7">
        <v>-100000</v>
      </c>
      <c r="O42" s="216">
        <f>VLOOKUP(A42,TB!A:F,3)</f>
        <v>-82613.86</v>
      </c>
      <c r="P42" s="322">
        <f t="shared" si="23"/>
        <v>-100000</v>
      </c>
      <c r="Q42" s="16">
        <v>-120000</v>
      </c>
      <c r="R42" s="281">
        <f>VLOOKUP(A42,TB!A:F,6)</f>
        <v>-120000</v>
      </c>
      <c r="S42" s="281">
        <f t="shared" si="24"/>
        <v>0</v>
      </c>
    </row>
    <row r="43" spans="1:19" ht="15.75" customHeight="1" x14ac:dyDescent="0.25">
      <c r="A43" s="6" t="s">
        <v>710</v>
      </c>
      <c r="B43" s="6" t="s">
        <v>711</v>
      </c>
      <c r="C43" s="285"/>
      <c r="D43" s="16">
        <v>-35071</v>
      </c>
      <c r="E43" s="142" t="e">
        <f>D43*#REF!</f>
        <v>#REF!</v>
      </c>
      <c r="F43" s="142" t="e">
        <f>D43*#REF!</f>
        <v>#REF!</v>
      </c>
      <c r="G43" s="142" t="e">
        <f>(D43*#REF!)*#REF!</f>
        <v>#REF!</v>
      </c>
      <c r="H43" s="33">
        <f t="shared" si="21"/>
        <v>0</v>
      </c>
      <c r="I43" s="16" t="e">
        <f t="shared" si="22"/>
        <v>#REF!</v>
      </c>
      <c r="J43" s="18">
        <v>0</v>
      </c>
      <c r="K43" s="285"/>
      <c r="L43" s="7">
        <v>11980</v>
      </c>
      <c r="M43" s="7">
        <v>-6967.24</v>
      </c>
      <c r="N43" s="7">
        <v>-27000</v>
      </c>
      <c r="O43" s="216">
        <f>VLOOKUP(A43,TB!A:F,3)</f>
        <v>-1956.65</v>
      </c>
      <c r="P43" s="322">
        <f t="shared" si="23"/>
        <v>-27000</v>
      </c>
      <c r="Q43" s="16">
        <v>-24100</v>
      </c>
      <c r="R43" s="281">
        <f>VLOOKUP(A43,TB!A:F,6)</f>
        <v>-24100</v>
      </c>
      <c r="S43" s="281">
        <f t="shared" si="24"/>
        <v>0</v>
      </c>
    </row>
    <row r="44" spans="1:19" ht="15.75" customHeight="1" x14ac:dyDescent="0.25">
      <c r="A44" s="6" t="s">
        <v>712</v>
      </c>
      <c r="B44" s="6" t="s">
        <v>713</v>
      </c>
      <c r="C44" s="285"/>
      <c r="D44" s="16">
        <v>-3578</v>
      </c>
      <c r="E44" s="142" t="e">
        <f>D44*#REF!</f>
        <v>#REF!</v>
      </c>
      <c r="F44" s="142" t="e">
        <f>D44*#REF!</f>
        <v>#REF!</v>
      </c>
      <c r="G44" s="142" t="e">
        <f>(D44*#REF!)*#REF!</f>
        <v>#REF!</v>
      </c>
      <c r="H44" s="33">
        <f t="shared" si="21"/>
        <v>0</v>
      </c>
      <c r="I44" s="16" t="e">
        <f t="shared" si="22"/>
        <v>#REF!</v>
      </c>
      <c r="J44" s="18">
        <v>0</v>
      </c>
      <c r="K44" s="285"/>
      <c r="L44" s="7">
        <v>-10198</v>
      </c>
      <c r="M44" s="7">
        <v>-16009.86</v>
      </c>
      <c r="N44" s="7">
        <v>-22000</v>
      </c>
      <c r="O44" s="216">
        <f>VLOOKUP(A44,TB!A:F,3)</f>
        <v>-4895.46</v>
      </c>
      <c r="P44" s="322">
        <f t="shared" si="23"/>
        <v>-22000</v>
      </c>
      <c r="Q44" s="16">
        <v>-27000</v>
      </c>
      <c r="R44" s="281">
        <f>VLOOKUP(A44,TB!A:F,6)</f>
        <v>-27000</v>
      </c>
      <c r="S44" s="281">
        <f t="shared" si="24"/>
        <v>0</v>
      </c>
    </row>
    <row r="45" spans="1:19" ht="15.75" customHeight="1" x14ac:dyDescent="0.25">
      <c r="A45" s="6" t="s">
        <v>714</v>
      </c>
      <c r="B45" s="6" t="s">
        <v>715</v>
      </c>
      <c r="C45" s="285"/>
      <c r="D45" s="16">
        <v>-4748</v>
      </c>
      <c r="E45" s="142" t="e">
        <f>D45*#REF!</f>
        <v>#REF!</v>
      </c>
      <c r="F45" s="142" t="e">
        <f>D45*#REF!</f>
        <v>#REF!</v>
      </c>
      <c r="G45" s="142" t="e">
        <f>(D45*#REF!)*#REF!</f>
        <v>#REF!</v>
      </c>
      <c r="H45" s="33">
        <f t="shared" si="21"/>
        <v>0</v>
      </c>
      <c r="I45" s="16" t="e">
        <f t="shared" si="22"/>
        <v>#REF!</v>
      </c>
      <c r="J45" s="18">
        <v>0</v>
      </c>
      <c r="K45" s="285"/>
      <c r="L45" s="7">
        <v>-24183</v>
      </c>
      <c r="M45" s="7">
        <v>-263127.88</v>
      </c>
      <c r="N45" s="7">
        <v>-120000</v>
      </c>
      <c r="O45" s="216">
        <f>VLOOKUP(A45,TB!A:F,3)</f>
        <v>-201814.19</v>
      </c>
      <c r="P45" s="322">
        <f t="shared" si="23"/>
        <v>-120000</v>
      </c>
      <c r="Q45" s="16">
        <v>-230000</v>
      </c>
      <c r="R45" s="281">
        <f>VLOOKUP(A45,TB!A:F,6)</f>
        <v>-230000</v>
      </c>
      <c r="S45" s="281">
        <f t="shared" si="24"/>
        <v>0</v>
      </c>
    </row>
    <row r="46" spans="1:19" ht="15.75" customHeight="1" x14ac:dyDescent="0.25">
      <c r="A46" s="6" t="s">
        <v>716</v>
      </c>
      <c r="B46" s="6" t="s">
        <v>717</v>
      </c>
      <c r="C46" s="285"/>
      <c r="D46" s="16">
        <v>-199316</v>
      </c>
      <c r="E46" s="142" t="e">
        <f>D46*#REF!</f>
        <v>#REF!</v>
      </c>
      <c r="F46" s="142" t="e">
        <f>D46*#REF!</f>
        <v>#REF!</v>
      </c>
      <c r="G46" s="142" t="e">
        <f>(D46*#REF!)*#REF!</f>
        <v>#REF!</v>
      </c>
      <c r="H46" s="33">
        <f t="shared" si="21"/>
        <v>0</v>
      </c>
      <c r="I46" s="16" t="e">
        <f t="shared" si="22"/>
        <v>#REF!</v>
      </c>
      <c r="J46" s="18">
        <v>0</v>
      </c>
      <c r="K46" s="285"/>
      <c r="L46" s="7">
        <v>-300139</v>
      </c>
      <c r="M46" s="7">
        <v>-294389.12</v>
      </c>
      <c r="N46" s="7">
        <v>-230000</v>
      </c>
      <c r="O46" s="216">
        <f>VLOOKUP(A46,TB!A:F,3)</f>
        <v>0</v>
      </c>
      <c r="P46" s="322">
        <f t="shared" si="23"/>
        <v>-230000</v>
      </c>
      <c r="Q46" s="16">
        <v>-260000</v>
      </c>
      <c r="R46" s="281">
        <f>VLOOKUP(A46,TB!A:F,6)</f>
        <v>-260000</v>
      </c>
      <c r="S46" s="281">
        <f t="shared" si="24"/>
        <v>0</v>
      </c>
    </row>
    <row r="47" spans="1:19" ht="15.75" customHeight="1" x14ac:dyDescent="0.25">
      <c r="A47" s="6" t="s">
        <v>718</v>
      </c>
      <c r="B47" s="6" t="s">
        <v>719</v>
      </c>
      <c r="C47" s="285"/>
      <c r="D47" s="16">
        <v>-1531362</v>
      </c>
      <c r="E47" s="142" t="e">
        <f>D47*#REF!</f>
        <v>#REF!</v>
      </c>
      <c r="F47" s="142" t="e">
        <f>D47*#REF!</f>
        <v>#REF!</v>
      </c>
      <c r="G47" s="142" t="e">
        <f>(D47*#REF!)*#REF!</f>
        <v>#REF!</v>
      </c>
      <c r="H47" s="33">
        <f t="shared" si="21"/>
        <v>0</v>
      </c>
      <c r="I47" s="16" t="e">
        <f t="shared" si="22"/>
        <v>#REF!</v>
      </c>
      <c r="J47" s="18">
        <v>0</v>
      </c>
      <c r="K47" s="285"/>
      <c r="L47" s="7">
        <v>-2431364</v>
      </c>
      <c r="M47" s="7">
        <v>-2422470.5699999998</v>
      </c>
      <c r="N47" s="7">
        <v>-2855400</v>
      </c>
      <c r="O47" s="216">
        <f>VLOOKUP(A47,TB!A:F,3)</f>
        <v>-1490254.36</v>
      </c>
      <c r="P47" s="322">
        <f t="shared" si="23"/>
        <v>-2855400</v>
      </c>
      <c r="Q47" s="16">
        <v>-2702700</v>
      </c>
      <c r="R47" s="281">
        <f>VLOOKUP(A47,TB!A:F,6)</f>
        <v>-2702700</v>
      </c>
      <c r="S47" s="281">
        <f t="shared" si="24"/>
        <v>0</v>
      </c>
    </row>
    <row r="48" spans="1:19" ht="15.75" customHeight="1" x14ac:dyDescent="0.25">
      <c r="A48" s="6" t="s">
        <v>720</v>
      </c>
      <c r="B48" s="6" t="s">
        <v>721</v>
      </c>
      <c r="C48" s="285"/>
      <c r="D48" s="16">
        <v>-17607</v>
      </c>
      <c r="E48" s="142" t="e">
        <f>D48*#REF!</f>
        <v>#REF!</v>
      </c>
      <c r="F48" s="142" t="e">
        <f>D48*#REF!</f>
        <v>#REF!</v>
      </c>
      <c r="G48" s="142" t="e">
        <f>(D48*#REF!)*#REF!</f>
        <v>#REF!</v>
      </c>
      <c r="H48" s="33">
        <f t="shared" si="21"/>
        <v>0</v>
      </c>
      <c r="I48" s="16" t="e">
        <f t="shared" si="22"/>
        <v>#REF!</v>
      </c>
      <c r="J48" s="18">
        <v>0</v>
      </c>
      <c r="K48" s="285"/>
      <c r="L48" s="7">
        <v>-12638</v>
      </c>
      <c r="M48" s="7">
        <v>-32203.93</v>
      </c>
      <c r="N48" s="7">
        <v>-5000</v>
      </c>
      <c r="O48" s="216">
        <f>VLOOKUP(A48,TB!A:F,3)</f>
        <v>-6211.35</v>
      </c>
      <c r="P48" s="322">
        <f t="shared" si="23"/>
        <v>-5000</v>
      </c>
      <c r="Q48" s="16">
        <v>-15000</v>
      </c>
      <c r="R48" s="281">
        <f>VLOOKUP(A48,TB!A:F,6)</f>
        <v>-15000</v>
      </c>
      <c r="S48" s="281">
        <f t="shared" si="24"/>
        <v>0</v>
      </c>
    </row>
    <row r="49" spans="1:29" ht="15.75" customHeight="1" x14ac:dyDescent="0.25">
      <c r="A49" s="6" t="s">
        <v>722</v>
      </c>
      <c r="B49" s="6" t="s">
        <v>723</v>
      </c>
      <c r="C49" s="285"/>
      <c r="D49" s="16">
        <v>-6115</v>
      </c>
      <c r="E49" s="142" t="e">
        <f>D49*#REF!</f>
        <v>#REF!</v>
      </c>
      <c r="F49" s="142" t="e">
        <f>D49*#REF!</f>
        <v>#REF!</v>
      </c>
      <c r="G49" s="142" t="e">
        <f>(D49*#REF!)*#REF!</f>
        <v>#REF!</v>
      </c>
      <c r="H49" s="33">
        <f t="shared" si="21"/>
        <v>0</v>
      </c>
      <c r="I49" s="16" t="e">
        <f t="shared" si="22"/>
        <v>#REF!</v>
      </c>
      <c r="J49" s="18">
        <v>0</v>
      </c>
      <c r="K49" s="285"/>
      <c r="L49" s="7">
        <v>-1973</v>
      </c>
      <c r="M49" s="7">
        <v>-1826.79</v>
      </c>
      <c r="N49" s="7">
        <v>-2500</v>
      </c>
      <c r="O49" s="216">
        <f>VLOOKUP(A49,TB!A:F,3)</f>
        <v>-1674.4</v>
      </c>
      <c r="P49" s="322">
        <f t="shared" si="23"/>
        <v>-2500</v>
      </c>
      <c r="Q49" s="16">
        <v>-2000</v>
      </c>
      <c r="R49" s="281">
        <f>VLOOKUP(A49,TB!A:F,6)</f>
        <v>-2000</v>
      </c>
      <c r="S49" s="281">
        <f t="shared" si="24"/>
        <v>0</v>
      </c>
    </row>
    <row r="50" spans="1:29" ht="15.75" customHeight="1" x14ac:dyDescent="0.25">
      <c r="A50" s="6" t="s">
        <v>724</v>
      </c>
      <c r="B50" s="6" t="s">
        <v>725</v>
      </c>
      <c r="C50" s="285"/>
      <c r="D50" s="16">
        <v>-19251</v>
      </c>
      <c r="E50" s="142" t="e">
        <f>D50*#REF!</f>
        <v>#REF!</v>
      </c>
      <c r="F50" s="142" t="e">
        <f>D50*#REF!</f>
        <v>#REF!</v>
      </c>
      <c r="G50" s="142" t="e">
        <f>(D50*#REF!)*#REF!</f>
        <v>#REF!</v>
      </c>
      <c r="H50" s="33">
        <f t="shared" si="21"/>
        <v>0</v>
      </c>
      <c r="I50" s="16" t="e">
        <f t="shared" si="22"/>
        <v>#REF!</v>
      </c>
      <c r="J50" s="18">
        <v>0</v>
      </c>
      <c r="K50" s="285"/>
      <c r="L50" s="7">
        <v>-33018</v>
      </c>
      <c r="M50" s="7">
        <v>-35620.06</v>
      </c>
      <c r="N50" s="7">
        <v>-33000</v>
      </c>
      <c r="O50" s="216">
        <f>VLOOKUP(A50,TB!A:F,3)</f>
        <v>-27309.42</v>
      </c>
      <c r="P50" s="322">
        <f t="shared" si="23"/>
        <v>-33000</v>
      </c>
      <c r="Q50" s="16">
        <v>-34800</v>
      </c>
      <c r="R50" s="281">
        <f>VLOOKUP(A50,TB!A:F,6)</f>
        <v>-34800</v>
      </c>
      <c r="S50" s="281">
        <f t="shared" si="24"/>
        <v>0</v>
      </c>
    </row>
    <row r="51" spans="1:29" ht="15.75" customHeight="1" x14ac:dyDescent="0.25">
      <c r="A51" s="6" t="s">
        <v>726</v>
      </c>
      <c r="B51" s="6" t="s">
        <v>727</v>
      </c>
      <c r="C51" s="285"/>
      <c r="D51" s="16">
        <v>-37574</v>
      </c>
      <c r="E51" s="142" t="e">
        <f>D51*#REF!</f>
        <v>#REF!</v>
      </c>
      <c r="F51" s="142" t="e">
        <f>D51*#REF!</f>
        <v>#REF!</v>
      </c>
      <c r="G51" s="142" t="e">
        <f>(D51*#REF!)*#REF!</f>
        <v>#REF!</v>
      </c>
      <c r="H51" s="33">
        <f t="shared" si="21"/>
        <v>0</v>
      </c>
      <c r="I51" s="16" t="e">
        <f t="shared" si="22"/>
        <v>#REF!</v>
      </c>
      <c r="J51" s="18">
        <v>0</v>
      </c>
      <c r="K51" s="285"/>
      <c r="L51" s="7">
        <v>-955477</v>
      </c>
      <c r="M51" s="7">
        <v>-1312198.67</v>
      </c>
      <c r="N51" s="7">
        <v>-1587750</v>
      </c>
      <c r="O51" s="216">
        <f>VLOOKUP(A51,TB!A:F,3)</f>
        <v>-843430.16</v>
      </c>
      <c r="P51" s="322">
        <f t="shared" si="23"/>
        <v>-1587750</v>
      </c>
      <c r="Q51" s="16">
        <v>-1500000</v>
      </c>
      <c r="R51" s="281">
        <f>VLOOKUP(A51,TB!A:F,6)</f>
        <v>-1500000</v>
      </c>
      <c r="S51" s="281">
        <f t="shared" si="24"/>
        <v>0</v>
      </c>
    </row>
    <row r="52" spans="1:29" ht="15.75" customHeight="1" x14ac:dyDescent="0.25">
      <c r="A52" s="6" t="s">
        <v>728</v>
      </c>
      <c r="B52" s="6" t="s">
        <v>729</v>
      </c>
      <c r="C52" s="285"/>
      <c r="D52" s="16">
        <v>-790130</v>
      </c>
      <c r="E52" s="142" t="e">
        <f>D52*#REF!</f>
        <v>#REF!</v>
      </c>
      <c r="F52" s="142" t="e">
        <f>D52*#REF!</f>
        <v>#REF!</v>
      </c>
      <c r="G52" s="142" t="e">
        <f>(D52*#REF!)*#REF!</f>
        <v>#REF!</v>
      </c>
      <c r="H52" s="33">
        <f t="shared" si="21"/>
        <v>0</v>
      </c>
      <c r="I52" s="16" t="e">
        <f t="shared" si="22"/>
        <v>#REF!</v>
      </c>
      <c r="J52" s="18">
        <v>0</v>
      </c>
      <c r="K52" s="285"/>
      <c r="L52" s="7">
        <v>0</v>
      </c>
      <c r="M52" s="7">
        <v>0</v>
      </c>
      <c r="N52" s="7">
        <v>-10000</v>
      </c>
      <c r="O52" s="216">
        <f>VLOOKUP(A52,TB!A:F,3)</f>
        <v>0</v>
      </c>
      <c r="P52" s="322">
        <f t="shared" si="23"/>
        <v>-10000</v>
      </c>
      <c r="Q52" s="16">
        <v>-476325</v>
      </c>
      <c r="R52" s="281">
        <f>VLOOKUP(A52,TB!A:F,6)</f>
        <v>-476325</v>
      </c>
      <c r="S52" s="281">
        <f t="shared" si="24"/>
        <v>0</v>
      </c>
    </row>
    <row r="53" spans="1:29" ht="15.75" customHeight="1" x14ac:dyDescent="0.2">
      <c r="A53" s="11" t="s">
        <v>189</v>
      </c>
      <c r="B53" s="48"/>
      <c r="C53" s="282"/>
      <c r="D53" s="50">
        <f t="shared" ref="D53:G53" si="25">SUM(D38:D52)</f>
        <v>-3276454</v>
      </c>
      <c r="E53" s="50" t="e">
        <f t="shared" si="25"/>
        <v>#REF!</v>
      </c>
      <c r="F53" s="50" t="e">
        <f t="shared" si="25"/>
        <v>#REF!</v>
      </c>
      <c r="G53" s="50" t="e">
        <f t="shared" si="25"/>
        <v>#REF!</v>
      </c>
      <c r="H53" s="42">
        <f t="shared" si="21"/>
        <v>0</v>
      </c>
      <c r="I53" s="50" t="e">
        <f t="shared" si="22"/>
        <v>#REF!</v>
      </c>
      <c r="J53" s="50">
        <v>0</v>
      </c>
      <c r="K53" s="282"/>
      <c r="L53" s="12">
        <f t="shared" ref="L53:S53" si="26">SUM(L38:L52)</f>
        <v>-4488398</v>
      </c>
      <c r="M53" s="12">
        <f t="shared" si="26"/>
        <v>-4949465.53</v>
      </c>
      <c r="N53" s="12">
        <f t="shared" si="26"/>
        <v>-5636050</v>
      </c>
      <c r="O53" s="12">
        <f t="shared" si="26"/>
        <v>-2776843.69</v>
      </c>
      <c r="P53" s="50">
        <f t="shared" si="26"/>
        <v>-5636050</v>
      </c>
      <c r="Q53" s="50">
        <f t="shared" si="26"/>
        <v>-5726525</v>
      </c>
      <c r="R53" s="12">
        <f t="shared" si="26"/>
        <v>-5726525</v>
      </c>
      <c r="S53" s="12">
        <f t="shared" si="26"/>
        <v>0</v>
      </c>
    </row>
    <row r="54" spans="1:29" ht="15.75" customHeight="1" x14ac:dyDescent="0.2">
      <c r="A54" s="5"/>
      <c r="B54" s="5"/>
      <c r="C54" s="284"/>
      <c r="D54" s="5"/>
      <c r="E54" s="5"/>
      <c r="F54" s="5"/>
      <c r="G54" s="5"/>
      <c r="H54" s="5"/>
      <c r="I54" s="5"/>
      <c r="J54" s="5"/>
      <c r="K54" s="284"/>
      <c r="L54" s="7"/>
      <c r="M54" s="7"/>
      <c r="N54" s="7"/>
      <c r="O54" s="7"/>
      <c r="P54" s="7"/>
      <c r="Q54" s="7"/>
      <c r="R54" s="267"/>
      <c r="S54" s="267"/>
    </row>
    <row r="55" spans="1:29" ht="15.75" customHeight="1" x14ac:dyDescent="0.2">
      <c r="A55" s="11" t="s">
        <v>190</v>
      </c>
      <c r="B55" s="6"/>
      <c r="C55" s="286"/>
      <c r="D55" s="178">
        <f t="shared" ref="D55:G55" si="27">D35+D53</f>
        <v>4896215</v>
      </c>
      <c r="E55" s="178" t="e">
        <f t="shared" si="27"/>
        <v>#REF!</v>
      </c>
      <c r="F55" s="178" t="e">
        <f t="shared" si="27"/>
        <v>#REF!</v>
      </c>
      <c r="G55" s="178" t="e">
        <f t="shared" si="27"/>
        <v>#REF!</v>
      </c>
      <c r="H55" s="273">
        <f>IFERROR(((Q55-G55)/G55),0)</f>
        <v>0</v>
      </c>
      <c r="I55" s="178" t="e">
        <f>Q55-G55</f>
        <v>#REF!</v>
      </c>
      <c r="J55" s="178">
        <f>J53+J48</f>
        <v>0</v>
      </c>
      <c r="K55" s="286"/>
      <c r="L55" s="227">
        <f t="shared" ref="L55:S55" si="28">L35+L53</f>
        <v>6086775</v>
      </c>
      <c r="M55" s="227">
        <f t="shared" si="28"/>
        <v>3770450.2700000005</v>
      </c>
      <c r="N55" s="227">
        <f t="shared" si="28"/>
        <v>5965598</v>
      </c>
      <c r="O55" s="227">
        <f t="shared" si="28"/>
        <v>5282109.9800000004</v>
      </c>
      <c r="P55" s="178">
        <f t="shared" si="28"/>
        <v>4934774.9550000001</v>
      </c>
      <c r="Q55" s="178">
        <f t="shared" si="28"/>
        <v>6350693</v>
      </c>
      <c r="R55" s="227">
        <f t="shared" si="28"/>
        <v>6350693</v>
      </c>
      <c r="S55" s="227">
        <f t="shared" si="28"/>
        <v>0</v>
      </c>
      <c r="V55" s="56"/>
      <c r="W55" s="56"/>
      <c r="X55" s="56"/>
      <c r="Y55" s="56"/>
      <c r="Z55" s="56"/>
      <c r="AA55" s="56"/>
      <c r="AB55" s="56"/>
      <c r="AC55" s="56"/>
    </row>
    <row r="56" spans="1:29" ht="15.75" customHeight="1" x14ac:dyDescent="0.2">
      <c r="C56" s="287"/>
      <c r="K56" s="287"/>
      <c r="R56" s="83"/>
      <c r="S56" s="83"/>
    </row>
    <row r="57" spans="1:29" ht="15.75" customHeight="1" x14ac:dyDescent="0.2">
      <c r="C57" s="287"/>
      <c r="K57" s="287"/>
    </row>
    <row r="58" spans="1:29" ht="15.75" customHeight="1" x14ac:dyDescent="0.2">
      <c r="C58" s="288"/>
      <c r="K58" s="288"/>
      <c r="L58" s="199" t="e">
        <f t="shared" ref="L58:R58" si="29">#REF!</f>
        <v>#REF!</v>
      </c>
      <c r="M58" s="199" t="e">
        <f t="shared" si="29"/>
        <v>#REF!</v>
      </c>
      <c r="N58" s="199" t="e">
        <f t="shared" si="29"/>
        <v>#REF!</v>
      </c>
      <c r="O58" s="199" t="e">
        <f t="shared" si="29"/>
        <v>#REF!</v>
      </c>
      <c r="P58" s="199" t="e">
        <f t="shared" si="29"/>
        <v>#REF!</v>
      </c>
      <c r="Q58" s="199" t="e">
        <f t="shared" si="29"/>
        <v>#REF!</v>
      </c>
      <c r="R58" s="173" t="e">
        <f t="shared" si="29"/>
        <v>#REF!</v>
      </c>
    </row>
    <row r="59" spans="1:29" ht="15.75" customHeight="1" x14ac:dyDescent="0.2">
      <c r="C59" s="289"/>
      <c r="K59" s="289"/>
      <c r="L59" s="290">
        <f t="shared" ref="L59:R59" si="30">L55</f>
        <v>6086775</v>
      </c>
      <c r="M59" s="290">
        <f t="shared" si="30"/>
        <v>3770450.2700000005</v>
      </c>
      <c r="N59" s="290">
        <f t="shared" si="30"/>
        <v>5965598</v>
      </c>
      <c r="O59" s="290">
        <f t="shared" si="30"/>
        <v>5282109.9800000004</v>
      </c>
      <c r="P59" s="290">
        <f t="shared" si="30"/>
        <v>4934774.9550000001</v>
      </c>
      <c r="Q59" s="290">
        <f t="shared" si="30"/>
        <v>6350693</v>
      </c>
      <c r="R59" s="291">
        <f t="shared" si="30"/>
        <v>6350693</v>
      </c>
    </row>
    <row r="60" spans="1:29" ht="15.75" customHeight="1" x14ac:dyDescent="0.2">
      <c r="C60" s="287"/>
      <c r="K60" s="287"/>
    </row>
    <row r="61" spans="1:29" ht="15.75" customHeight="1" x14ac:dyDescent="0.2">
      <c r="C61" s="287"/>
      <c r="K61" s="287"/>
    </row>
    <row r="62" spans="1:29" ht="15.75" customHeight="1" x14ac:dyDescent="0.2">
      <c r="C62" s="287"/>
      <c r="K62" s="287"/>
    </row>
    <row r="63" spans="1:29" ht="15.75" customHeight="1" x14ac:dyDescent="0.2">
      <c r="C63" s="287"/>
      <c r="K63" s="287"/>
    </row>
    <row r="64" spans="1:29" ht="15.75" customHeight="1" x14ac:dyDescent="0.2">
      <c r="C64" s="287"/>
      <c r="K64" s="287"/>
    </row>
    <row r="65" spans="3:11" ht="15.75" customHeight="1" x14ac:dyDescent="0.2">
      <c r="C65" s="287"/>
      <c r="K65" s="287"/>
    </row>
    <row r="66" spans="3:11" ht="15.75" customHeight="1" x14ac:dyDescent="0.2">
      <c r="C66" s="287"/>
      <c r="K66" s="287"/>
    </row>
    <row r="67" spans="3:11" ht="15.75" customHeight="1" x14ac:dyDescent="0.2">
      <c r="C67" s="287"/>
      <c r="K67" s="287"/>
    </row>
    <row r="68" spans="3:11" ht="15.75" customHeight="1" x14ac:dyDescent="0.2">
      <c r="C68" s="287"/>
      <c r="K68" s="287"/>
    </row>
    <row r="69" spans="3:11" ht="15.75" customHeight="1" x14ac:dyDescent="0.2">
      <c r="C69" s="287"/>
      <c r="K69" s="287"/>
    </row>
    <row r="70" spans="3:11" ht="15.75" customHeight="1" x14ac:dyDescent="0.2">
      <c r="C70" s="287"/>
      <c r="K70" s="287"/>
    </row>
    <row r="71" spans="3:11" ht="15.75" customHeight="1" x14ac:dyDescent="0.2">
      <c r="C71" s="287"/>
      <c r="K71" s="287"/>
    </row>
    <row r="72" spans="3:11" ht="15.75" customHeight="1" x14ac:dyDescent="0.2">
      <c r="C72" s="287"/>
      <c r="K72" s="287"/>
    </row>
    <row r="73" spans="3:11" ht="15.75" customHeight="1" x14ac:dyDescent="0.2">
      <c r="C73" s="287"/>
      <c r="K73" s="287"/>
    </row>
    <row r="74" spans="3:11" ht="15.75" customHeight="1" x14ac:dyDescent="0.2">
      <c r="C74" s="287"/>
      <c r="K74" s="287"/>
    </row>
    <row r="75" spans="3:11" ht="15.75" customHeight="1" x14ac:dyDescent="0.2">
      <c r="C75" s="287"/>
      <c r="K75" s="287"/>
    </row>
    <row r="76" spans="3:11" ht="15.75" customHeight="1" x14ac:dyDescent="0.2">
      <c r="C76" s="287"/>
      <c r="K76" s="287"/>
    </row>
    <row r="77" spans="3:11" ht="15.75" customHeight="1" x14ac:dyDescent="0.2">
      <c r="C77" s="287"/>
      <c r="K77" s="287"/>
    </row>
    <row r="78" spans="3:11" ht="15.75" customHeight="1" x14ac:dyDescent="0.2">
      <c r="C78" s="287"/>
      <c r="K78" s="287"/>
    </row>
    <row r="79" spans="3:11" ht="15.75" customHeight="1" x14ac:dyDescent="0.2">
      <c r="C79" s="287"/>
      <c r="K79" s="287"/>
    </row>
    <row r="80" spans="3:11" ht="15.75" customHeight="1" x14ac:dyDescent="0.2">
      <c r="C80" s="287"/>
      <c r="K80" s="287"/>
    </row>
    <row r="81" spans="3:11" ht="15.75" customHeight="1" x14ac:dyDescent="0.2">
      <c r="C81" s="287"/>
      <c r="K81" s="287"/>
    </row>
    <row r="82" spans="3:11" ht="15.75" customHeight="1" x14ac:dyDescent="0.2">
      <c r="C82" s="287"/>
      <c r="K82" s="287"/>
    </row>
    <row r="83" spans="3:11" ht="15.75" customHeight="1" x14ac:dyDescent="0.2">
      <c r="C83" s="287"/>
      <c r="K83" s="287"/>
    </row>
    <row r="84" spans="3:11" ht="15.75" customHeight="1" x14ac:dyDescent="0.2">
      <c r="C84" s="287"/>
      <c r="K84" s="287"/>
    </row>
    <row r="85" spans="3:11" ht="15.75" customHeight="1" x14ac:dyDescent="0.2">
      <c r="C85" s="287"/>
      <c r="K85" s="287"/>
    </row>
    <row r="86" spans="3:11" ht="15.75" customHeight="1" x14ac:dyDescent="0.2">
      <c r="C86" s="287"/>
      <c r="K86" s="287"/>
    </row>
    <row r="87" spans="3:11" ht="15.75" customHeight="1" x14ac:dyDescent="0.2">
      <c r="C87" s="287"/>
      <c r="K87" s="287"/>
    </row>
    <row r="88" spans="3:11" ht="15.75" customHeight="1" x14ac:dyDescent="0.2">
      <c r="C88" s="287"/>
      <c r="K88" s="287"/>
    </row>
    <row r="89" spans="3:11" ht="15.75" customHeight="1" x14ac:dyDescent="0.2">
      <c r="C89" s="287"/>
      <c r="K89" s="287"/>
    </row>
    <row r="90" spans="3:11" ht="15.75" customHeight="1" x14ac:dyDescent="0.2">
      <c r="C90" s="287"/>
      <c r="K90" s="287"/>
    </row>
    <row r="91" spans="3:11" ht="15.75" customHeight="1" x14ac:dyDescent="0.2">
      <c r="C91" s="287"/>
      <c r="K91" s="287"/>
    </row>
    <row r="92" spans="3:11" ht="15.75" customHeight="1" x14ac:dyDescent="0.2">
      <c r="C92" s="287"/>
      <c r="K92" s="287"/>
    </row>
    <row r="93" spans="3:11" ht="15.75" customHeight="1" x14ac:dyDescent="0.2">
      <c r="C93" s="287"/>
      <c r="K93" s="287"/>
    </row>
    <row r="94" spans="3:11" ht="15.75" customHeight="1" x14ac:dyDescent="0.2">
      <c r="C94" s="287"/>
      <c r="K94" s="287"/>
    </row>
    <row r="95" spans="3:11" ht="15.75" customHeight="1" x14ac:dyDescent="0.2">
      <c r="C95" s="287"/>
      <c r="K95" s="287"/>
    </row>
    <row r="96" spans="3:11" ht="15.75" customHeight="1" x14ac:dyDescent="0.2">
      <c r="C96" s="287"/>
      <c r="K96" s="287"/>
    </row>
    <row r="97" spans="1:19" ht="15.75" customHeight="1" x14ac:dyDescent="0.2">
      <c r="C97" s="287"/>
      <c r="K97" s="287"/>
    </row>
    <row r="98" spans="1:19" ht="15.75" customHeight="1" x14ac:dyDescent="0.2">
      <c r="C98" s="287"/>
      <c r="K98" s="287"/>
    </row>
    <row r="99" spans="1:19" ht="15.75" customHeight="1" x14ac:dyDescent="0.2">
      <c r="C99" s="287"/>
      <c r="K99" s="287"/>
    </row>
    <row r="100" spans="1:19" ht="15.75" customHeight="1" x14ac:dyDescent="0.2">
      <c r="C100" s="287"/>
      <c r="K100" s="287"/>
    </row>
    <row r="101" spans="1:19" ht="15.75" customHeight="1" x14ac:dyDescent="0.2">
      <c r="C101" s="287"/>
      <c r="K101" s="287"/>
    </row>
    <row r="102" spans="1:19" ht="15.75" customHeight="1" x14ac:dyDescent="0.2">
      <c r="C102" s="287"/>
      <c r="K102" s="287"/>
    </row>
    <row r="103" spans="1:19" ht="15.75" customHeight="1" x14ac:dyDescent="0.2">
      <c r="C103" s="287"/>
      <c r="K103" s="287"/>
    </row>
    <row r="104" spans="1:19" ht="15.75" customHeight="1" x14ac:dyDescent="0.2">
      <c r="C104" s="287"/>
      <c r="K104" s="287"/>
    </row>
    <row r="105" spans="1:19" ht="15.75" customHeight="1" x14ac:dyDescent="0.2">
      <c r="C105" s="287"/>
      <c r="K105" s="287"/>
    </row>
    <row r="106" spans="1:19" ht="15.75" customHeight="1" x14ac:dyDescent="0.2">
      <c r="C106" s="287"/>
      <c r="K106" s="287"/>
    </row>
    <row r="107" spans="1:19" ht="15.75" customHeight="1" x14ac:dyDescent="0.2">
      <c r="C107" s="287"/>
      <c r="K107" s="287"/>
    </row>
    <row r="108" spans="1:19" ht="15.75" customHeight="1" x14ac:dyDescent="0.2">
      <c r="C108" s="287"/>
      <c r="K108" s="287"/>
    </row>
    <row r="109" spans="1:19" ht="15.75" customHeight="1" x14ac:dyDescent="0.2">
      <c r="C109" s="287"/>
      <c r="K109" s="287"/>
    </row>
    <row r="110" spans="1:19" ht="30.75" customHeight="1" x14ac:dyDescent="0.35">
      <c r="A110" s="570" t="s">
        <v>730</v>
      </c>
      <c r="B110" s="566"/>
      <c r="C110" s="311"/>
      <c r="D110" s="66"/>
      <c r="E110" s="65"/>
      <c r="F110" s="65"/>
      <c r="G110" s="275"/>
      <c r="H110" s="234"/>
      <c r="K110" s="311"/>
      <c r="L110" s="65"/>
      <c r="M110" s="165"/>
      <c r="N110" s="65"/>
      <c r="O110" s="165"/>
      <c r="P110" s="157"/>
      <c r="Q110" s="157"/>
      <c r="R110" s="275"/>
      <c r="S110" s="275"/>
    </row>
    <row r="111" spans="1:19" ht="48" customHeight="1" x14ac:dyDescent="0.2">
      <c r="A111" s="3" t="s">
        <v>50</v>
      </c>
      <c r="B111" s="3" t="s">
        <v>51</v>
      </c>
      <c r="C111" s="292"/>
      <c r="D111" s="99" t="s">
        <v>52</v>
      </c>
      <c r="E111" s="100" t="s">
        <v>53</v>
      </c>
      <c r="F111" s="100" t="s">
        <v>54</v>
      </c>
      <c r="G111" s="100" t="s">
        <v>55</v>
      </c>
      <c r="H111" s="24" t="s">
        <v>56</v>
      </c>
      <c r="I111" s="24" t="s">
        <v>57</v>
      </c>
      <c r="J111" s="101" t="s">
        <v>58</v>
      </c>
      <c r="K111" s="292"/>
      <c r="L111" s="3" t="s">
        <v>59</v>
      </c>
      <c r="M111" s="3" t="s">
        <v>60</v>
      </c>
      <c r="N111" s="3" t="s">
        <v>61</v>
      </c>
      <c r="O111" s="3" t="s">
        <v>62</v>
      </c>
      <c r="P111" s="293" t="s">
        <v>541</v>
      </c>
      <c r="Q111" s="293" t="s">
        <v>64</v>
      </c>
      <c r="R111" s="293" t="s">
        <v>65</v>
      </c>
      <c r="S111" s="293" t="s">
        <v>66</v>
      </c>
    </row>
    <row r="112" spans="1:19" ht="15.75" customHeight="1" x14ac:dyDescent="0.25">
      <c r="A112" s="66" t="s">
        <v>731</v>
      </c>
      <c r="B112" s="66" t="s">
        <v>115</v>
      </c>
      <c r="C112" s="295"/>
      <c r="D112" s="160">
        <v>17188</v>
      </c>
      <c r="E112" s="160" t="e">
        <f>D112*#REF!</f>
        <v>#REF!</v>
      </c>
      <c r="F112" s="160" t="e">
        <f>D112*#REF!</f>
        <v>#REF!</v>
      </c>
      <c r="G112" s="160" t="e">
        <f>(D112*#REF!)*#REF!</f>
        <v>#REF!</v>
      </c>
      <c r="H112" s="296">
        <f t="shared" ref="H112:H116" si="31">IFERROR(((Q112-G112)/G112),0)</f>
        <v>0</v>
      </c>
      <c r="I112" s="147" t="e">
        <f t="shared" ref="I112:I116" si="32">Q112-G112</f>
        <v>#REF!</v>
      </c>
      <c r="J112" s="97">
        <v>0</v>
      </c>
      <c r="K112" s="295"/>
      <c r="L112" s="20">
        <v>29621</v>
      </c>
      <c r="M112" s="20">
        <v>30691.33</v>
      </c>
      <c r="N112" s="20">
        <v>30000</v>
      </c>
      <c r="O112" s="20">
        <f>VLOOKUP(A112,TB!A:F,3)</f>
        <v>19221.04</v>
      </c>
      <c r="P112" s="163">
        <f t="shared" ref="P112:P115" si="33">N112</f>
        <v>30000</v>
      </c>
      <c r="Q112" s="160">
        <v>43000</v>
      </c>
      <c r="R112" s="233">
        <f>VLOOKUP(A112,TB!A:F,6)</f>
        <v>43000</v>
      </c>
      <c r="S112" s="233">
        <f t="shared" ref="S112:S115" si="34">Q112-R112</f>
        <v>0</v>
      </c>
    </row>
    <row r="113" spans="1:29" ht="15.75" customHeight="1" x14ac:dyDescent="0.25">
      <c r="A113" s="66" t="s">
        <v>732</v>
      </c>
      <c r="B113" s="66" t="s">
        <v>84</v>
      </c>
      <c r="C113" s="295"/>
      <c r="D113" s="160">
        <v>478</v>
      </c>
      <c r="E113" s="160" t="e">
        <f>D113*#REF!</f>
        <v>#REF!</v>
      </c>
      <c r="F113" s="160" t="e">
        <f>D113*#REF!</f>
        <v>#REF!</v>
      </c>
      <c r="G113" s="160" t="e">
        <f>(D113*#REF!)*#REF!</f>
        <v>#REF!</v>
      </c>
      <c r="H113" s="296">
        <f t="shared" si="31"/>
        <v>0</v>
      </c>
      <c r="I113" s="147" t="e">
        <f t="shared" si="32"/>
        <v>#REF!</v>
      </c>
      <c r="J113" s="97">
        <v>0</v>
      </c>
      <c r="K113" s="295"/>
      <c r="L113" s="20">
        <v>2550</v>
      </c>
      <c r="M113" s="20">
        <v>114875.74</v>
      </c>
      <c r="N113" s="20">
        <v>153120</v>
      </c>
      <c r="O113" s="20">
        <f>VLOOKUP(A113,TB!A:F,3)</f>
        <v>78090.03</v>
      </c>
      <c r="P113" s="163">
        <f t="shared" si="33"/>
        <v>153120</v>
      </c>
      <c r="Q113" s="160">
        <v>153120</v>
      </c>
      <c r="R113" s="233">
        <f>VLOOKUP(A113,TB!A:F,6)</f>
        <v>153120</v>
      </c>
      <c r="S113" s="233">
        <f t="shared" si="34"/>
        <v>0</v>
      </c>
    </row>
    <row r="114" spans="1:29" ht="15.75" customHeight="1" x14ac:dyDescent="0.25">
      <c r="A114" s="66" t="s">
        <v>733</v>
      </c>
      <c r="B114" s="66" t="s">
        <v>88</v>
      </c>
      <c r="C114" s="295"/>
      <c r="D114" s="160">
        <v>400</v>
      </c>
      <c r="E114" s="160" t="e">
        <f>D114*#REF!</f>
        <v>#REF!</v>
      </c>
      <c r="F114" s="160" t="e">
        <f>D114*#REF!</f>
        <v>#REF!</v>
      </c>
      <c r="G114" s="160" t="e">
        <f>(D114*#REF!)*#REF!</f>
        <v>#REF!</v>
      </c>
      <c r="H114" s="296">
        <f t="shared" si="31"/>
        <v>0</v>
      </c>
      <c r="I114" s="147" t="e">
        <f t="shared" si="32"/>
        <v>#REF!</v>
      </c>
      <c r="J114" s="97">
        <v>0</v>
      </c>
      <c r="K114" s="295"/>
      <c r="L114" s="20">
        <v>7495</v>
      </c>
      <c r="M114" s="20">
        <v>8428.66</v>
      </c>
      <c r="N114" s="20">
        <v>37500</v>
      </c>
      <c r="O114" s="20">
        <f>VLOOKUP(A114,TB!A:F,3)</f>
        <v>5346.5</v>
      </c>
      <c r="P114" s="163">
        <f t="shared" si="33"/>
        <v>37500</v>
      </c>
      <c r="Q114" s="160">
        <v>24300</v>
      </c>
      <c r="R114" s="233">
        <f>VLOOKUP(A114,TB!A:F,6)</f>
        <v>24300</v>
      </c>
      <c r="S114" s="233">
        <f t="shared" si="34"/>
        <v>0</v>
      </c>
    </row>
    <row r="115" spans="1:29" ht="15.75" customHeight="1" x14ac:dyDescent="0.25">
      <c r="A115" s="66" t="s">
        <v>734</v>
      </c>
      <c r="B115" s="66" t="s">
        <v>90</v>
      </c>
      <c r="C115" s="295"/>
      <c r="D115" s="160">
        <v>3932</v>
      </c>
      <c r="E115" s="160" t="e">
        <f>D115*#REF!</f>
        <v>#REF!</v>
      </c>
      <c r="F115" s="160" t="e">
        <f>D115*#REF!</f>
        <v>#REF!</v>
      </c>
      <c r="G115" s="160" t="e">
        <f>(D115*#REF!)*#REF!</f>
        <v>#REF!</v>
      </c>
      <c r="H115" s="296">
        <f t="shared" si="31"/>
        <v>0</v>
      </c>
      <c r="I115" s="147" t="e">
        <f t="shared" si="32"/>
        <v>#REF!</v>
      </c>
      <c r="J115" s="97">
        <v>0</v>
      </c>
      <c r="K115" s="295"/>
      <c r="L115" s="20">
        <v>6013</v>
      </c>
      <c r="M115" s="20">
        <v>5483.81</v>
      </c>
      <c r="N115" s="20">
        <v>8300</v>
      </c>
      <c r="O115" s="20">
        <f>VLOOKUP(A115,TB!A:F,3)</f>
        <v>642.79999999999995</v>
      </c>
      <c r="P115" s="163">
        <f t="shared" si="33"/>
        <v>8300</v>
      </c>
      <c r="Q115" s="160">
        <v>6500</v>
      </c>
      <c r="R115" s="233">
        <f>VLOOKUP(A115,TB!A:F,6)</f>
        <v>6500</v>
      </c>
      <c r="S115" s="233">
        <f t="shared" si="34"/>
        <v>0</v>
      </c>
    </row>
    <row r="116" spans="1:29" ht="15.75" customHeight="1" x14ac:dyDescent="0.25">
      <c r="A116" s="74" t="s">
        <v>735</v>
      </c>
      <c r="B116" s="75"/>
      <c r="C116" s="299"/>
      <c r="D116" s="189">
        <f t="shared" ref="D116:G116" si="35">SUM(D112:D115)</f>
        <v>21998</v>
      </c>
      <c r="E116" s="189" t="e">
        <f t="shared" si="35"/>
        <v>#REF!</v>
      </c>
      <c r="F116" s="189" t="e">
        <f t="shared" si="35"/>
        <v>#REF!</v>
      </c>
      <c r="G116" s="189" t="e">
        <f t="shared" si="35"/>
        <v>#REF!</v>
      </c>
      <c r="H116" s="300">
        <f t="shared" si="31"/>
        <v>0</v>
      </c>
      <c r="I116" s="189" t="e">
        <f t="shared" si="32"/>
        <v>#REF!</v>
      </c>
      <c r="J116" s="301">
        <f>SUM(J112:J115)</f>
        <v>0</v>
      </c>
      <c r="K116" s="299"/>
      <c r="L116" s="77">
        <f t="shared" ref="L116:S116" si="36">SUM(L112:L115)</f>
        <v>45679</v>
      </c>
      <c r="M116" s="77">
        <f t="shared" si="36"/>
        <v>159479.54</v>
      </c>
      <c r="N116" s="77">
        <f t="shared" si="36"/>
        <v>228920</v>
      </c>
      <c r="O116" s="77">
        <f t="shared" si="36"/>
        <v>103300.37000000001</v>
      </c>
      <c r="P116" s="189">
        <f t="shared" si="36"/>
        <v>228920</v>
      </c>
      <c r="Q116" s="189">
        <f t="shared" si="36"/>
        <v>226920</v>
      </c>
      <c r="R116" s="77">
        <f t="shared" si="36"/>
        <v>226920</v>
      </c>
      <c r="S116" s="77">
        <f t="shared" si="36"/>
        <v>0</v>
      </c>
    </row>
    <row r="117" spans="1:29" ht="15.75" customHeight="1" x14ac:dyDescent="0.25">
      <c r="C117" s="287"/>
      <c r="K117" s="287"/>
      <c r="L117" s="54"/>
      <c r="M117" s="54"/>
      <c r="N117" s="54"/>
      <c r="O117" s="20"/>
      <c r="P117" s="54"/>
      <c r="Q117" s="54"/>
      <c r="R117" s="83"/>
      <c r="S117" s="83"/>
    </row>
    <row r="118" spans="1:29" ht="15.75" customHeight="1" x14ac:dyDescent="0.2">
      <c r="A118" s="69" t="s">
        <v>184</v>
      </c>
      <c r="C118" s="287"/>
      <c r="K118" s="287"/>
      <c r="L118" s="54"/>
      <c r="M118" s="54"/>
      <c r="N118" s="54"/>
      <c r="O118" s="54"/>
      <c r="P118" s="54"/>
      <c r="Q118" s="54"/>
      <c r="R118" s="83"/>
      <c r="S118" s="83"/>
    </row>
    <row r="119" spans="1:29" ht="15.75" customHeight="1" x14ac:dyDescent="0.25">
      <c r="C119" s="307"/>
      <c r="D119" s="147"/>
      <c r="E119" s="160" t="e">
        <f>D119*#REF!</f>
        <v>#REF!</v>
      </c>
      <c r="F119" s="160" t="e">
        <f>D119*#REF!</f>
        <v>#REF!</v>
      </c>
      <c r="G119" s="160" t="e">
        <f>(D119*#REF!)*#REF!</f>
        <v>#REF!</v>
      </c>
      <c r="H119" s="296">
        <f t="shared" ref="H119:H120" si="37">IFERROR(((Q119-G119)/G119),0)</f>
        <v>0</v>
      </c>
      <c r="I119" s="147" t="e">
        <f t="shared" ref="I119:I120" si="38">Q119-G119</f>
        <v>#REF!</v>
      </c>
      <c r="J119" s="97">
        <v>0</v>
      </c>
      <c r="K119" s="307"/>
      <c r="L119" s="54"/>
      <c r="M119" s="54"/>
      <c r="N119" s="54"/>
      <c r="O119" s="54"/>
      <c r="P119" s="54"/>
      <c r="Q119" s="54"/>
      <c r="R119" s="81"/>
      <c r="S119" s="81"/>
    </row>
    <row r="120" spans="1:29" ht="15.75" customHeight="1" x14ac:dyDescent="0.2">
      <c r="A120" s="239" t="s">
        <v>189</v>
      </c>
      <c r="B120" s="75"/>
      <c r="C120" s="299"/>
      <c r="D120" s="189">
        <f t="shared" ref="D120:G120" si="39">SUM(D119)</f>
        <v>0</v>
      </c>
      <c r="E120" s="189" t="e">
        <f t="shared" si="39"/>
        <v>#REF!</v>
      </c>
      <c r="F120" s="189" t="e">
        <f t="shared" si="39"/>
        <v>#REF!</v>
      </c>
      <c r="G120" s="189" t="e">
        <f t="shared" si="39"/>
        <v>#REF!</v>
      </c>
      <c r="H120" s="300">
        <f t="shared" si="37"/>
        <v>0</v>
      </c>
      <c r="I120" s="189" t="e">
        <f t="shared" si="38"/>
        <v>#REF!</v>
      </c>
      <c r="J120" s="189">
        <v>0</v>
      </c>
      <c r="K120" s="299"/>
      <c r="L120" s="77">
        <f t="shared" ref="L120:S120" si="40">SUM(L119)</f>
        <v>0</v>
      </c>
      <c r="M120" s="77">
        <f t="shared" si="40"/>
        <v>0</v>
      </c>
      <c r="N120" s="77">
        <f t="shared" si="40"/>
        <v>0</v>
      </c>
      <c r="O120" s="77">
        <f t="shared" si="40"/>
        <v>0</v>
      </c>
      <c r="P120" s="189">
        <f t="shared" si="40"/>
        <v>0</v>
      </c>
      <c r="Q120" s="189">
        <f t="shared" si="40"/>
        <v>0</v>
      </c>
      <c r="R120" s="77">
        <f t="shared" si="40"/>
        <v>0</v>
      </c>
      <c r="S120" s="77">
        <f t="shared" si="40"/>
        <v>0</v>
      </c>
    </row>
    <row r="121" spans="1:29" ht="15.75" customHeight="1" x14ac:dyDescent="0.2">
      <c r="C121" s="287"/>
      <c r="K121" s="287"/>
      <c r="L121" s="54"/>
      <c r="M121" s="54"/>
      <c r="N121" s="54"/>
      <c r="O121" s="54"/>
      <c r="P121" s="54"/>
      <c r="Q121" s="54"/>
      <c r="R121" s="83"/>
      <c r="S121" s="83"/>
    </row>
    <row r="122" spans="1:29" ht="15.75" customHeight="1" x14ac:dyDescent="0.2">
      <c r="A122" s="69" t="s">
        <v>190</v>
      </c>
      <c r="B122" s="51"/>
      <c r="C122" s="309"/>
      <c r="D122" s="193">
        <f t="shared" ref="D122:G122" si="41">D116+D120</f>
        <v>21998</v>
      </c>
      <c r="E122" s="193" t="e">
        <f t="shared" si="41"/>
        <v>#REF!</v>
      </c>
      <c r="F122" s="193" t="e">
        <f t="shared" si="41"/>
        <v>#REF!</v>
      </c>
      <c r="G122" s="193" t="e">
        <f t="shared" si="41"/>
        <v>#REF!</v>
      </c>
      <c r="H122" s="310">
        <f>IFERROR(((Q122-G122)/G122),0)</f>
        <v>0</v>
      </c>
      <c r="I122" s="193" t="e">
        <f>Q122-G122</f>
        <v>#REF!</v>
      </c>
      <c r="J122" s="193">
        <f>J120+J116</f>
        <v>0</v>
      </c>
      <c r="K122" s="309"/>
      <c r="L122" s="245">
        <f t="shared" ref="L122:S122" si="42">L116+L120</f>
        <v>45679</v>
      </c>
      <c r="M122" s="245">
        <f t="shared" si="42"/>
        <v>159479.54</v>
      </c>
      <c r="N122" s="245">
        <f t="shared" si="42"/>
        <v>228920</v>
      </c>
      <c r="O122" s="245">
        <f t="shared" si="42"/>
        <v>103300.37000000001</v>
      </c>
      <c r="P122" s="193">
        <f t="shared" si="42"/>
        <v>228920</v>
      </c>
      <c r="Q122" s="193">
        <f t="shared" si="42"/>
        <v>226920</v>
      </c>
      <c r="R122" s="245">
        <f t="shared" si="42"/>
        <v>226920</v>
      </c>
      <c r="S122" s="245">
        <f t="shared" si="42"/>
        <v>0</v>
      </c>
      <c r="V122" s="56"/>
      <c r="W122" s="56"/>
      <c r="X122" s="56"/>
      <c r="Y122" s="56"/>
      <c r="Z122" s="56"/>
      <c r="AA122" s="56"/>
      <c r="AB122" s="56"/>
      <c r="AC122" s="56"/>
    </row>
    <row r="123" spans="1:29" ht="15.75" customHeight="1" x14ac:dyDescent="0.2">
      <c r="C123" s="287"/>
      <c r="K123" s="287"/>
    </row>
    <row r="124" spans="1:29" ht="15.75" customHeight="1" x14ac:dyDescent="0.2">
      <c r="C124" s="287"/>
      <c r="K124" s="287"/>
    </row>
    <row r="125" spans="1:29" ht="15.75" customHeight="1" x14ac:dyDescent="0.2">
      <c r="C125" s="288"/>
      <c r="K125" s="288"/>
      <c r="L125" s="269" t="s">
        <v>60</v>
      </c>
      <c r="M125" s="114" t="s">
        <v>61</v>
      </c>
      <c r="N125" s="269" t="s">
        <v>62</v>
      </c>
      <c r="O125" s="269" t="s">
        <v>541</v>
      </c>
      <c r="P125" s="269" t="s">
        <v>64</v>
      </c>
      <c r="Q125" s="269" t="s">
        <v>65</v>
      </c>
      <c r="R125" s="114" t="s">
        <v>586</v>
      </c>
    </row>
    <row r="126" spans="1:29" ht="15.75" customHeight="1" x14ac:dyDescent="0.2">
      <c r="C126" s="289"/>
      <c r="K126" s="289"/>
      <c r="L126" s="63">
        <f t="shared" ref="L126:R126" si="43">L122</f>
        <v>45679</v>
      </c>
      <c r="M126" s="63">
        <f t="shared" si="43"/>
        <v>159479.54</v>
      </c>
      <c r="N126" s="63">
        <f t="shared" si="43"/>
        <v>228920</v>
      </c>
      <c r="O126" s="63">
        <f t="shared" si="43"/>
        <v>103300.37000000001</v>
      </c>
      <c r="P126" s="63">
        <f t="shared" si="43"/>
        <v>228920</v>
      </c>
      <c r="Q126" s="63">
        <f t="shared" si="43"/>
        <v>226920</v>
      </c>
      <c r="R126" s="63">
        <f t="shared" si="43"/>
        <v>226920</v>
      </c>
    </row>
    <row r="127" spans="1:29" ht="15.75" customHeight="1" x14ac:dyDescent="0.2">
      <c r="C127" s="287"/>
      <c r="K127" s="287"/>
    </row>
    <row r="128" spans="1:29" ht="15.75" customHeight="1" x14ac:dyDescent="0.2">
      <c r="C128" s="287"/>
      <c r="K128" s="287"/>
    </row>
    <row r="129" spans="3:11" ht="15.75" customHeight="1" x14ac:dyDescent="0.2">
      <c r="C129" s="287"/>
      <c r="K129" s="287"/>
    </row>
    <row r="130" spans="3:11" ht="15.75" customHeight="1" x14ac:dyDescent="0.2">
      <c r="C130" s="287"/>
      <c r="K130" s="287"/>
    </row>
    <row r="131" spans="3:11" ht="15.75" customHeight="1" x14ac:dyDescent="0.2">
      <c r="C131" s="287"/>
      <c r="K131" s="287"/>
    </row>
    <row r="132" spans="3:11" ht="15.75" customHeight="1" x14ac:dyDescent="0.2">
      <c r="C132" s="287"/>
      <c r="K132" s="287"/>
    </row>
    <row r="133" spans="3:11" ht="15.75" customHeight="1" x14ac:dyDescent="0.2">
      <c r="C133" s="287"/>
      <c r="K133" s="287"/>
    </row>
    <row r="134" spans="3:11" ht="15.75" customHeight="1" x14ac:dyDescent="0.2">
      <c r="C134" s="287"/>
      <c r="K134" s="287"/>
    </row>
    <row r="135" spans="3:11" ht="15.75" customHeight="1" x14ac:dyDescent="0.2">
      <c r="C135" s="287"/>
      <c r="K135" s="287"/>
    </row>
    <row r="136" spans="3:11" ht="15.75" customHeight="1" x14ac:dyDescent="0.2">
      <c r="C136" s="287"/>
      <c r="K136" s="287"/>
    </row>
    <row r="137" spans="3:11" ht="15.75" customHeight="1" x14ac:dyDescent="0.2">
      <c r="C137" s="287"/>
      <c r="K137" s="287"/>
    </row>
    <row r="138" spans="3:11" ht="15.75" customHeight="1" x14ac:dyDescent="0.2">
      <c r="C138" s="287"/>
      <c r="K138" s="287"/>
    </row>
    <row r="139" spans="3:11" ht="15.75" customHeight="1" x14ac:dyDescent="0.2">
      <c r="C139" s="287"/>
      <c r="K139" s="287"/>
    </row>
    <row r="140" spans="3:11" ht="15.75" customHeight="1" x14ac:dyDescent="0.2">
      <c r="C140" s="287"/>
      <c r="K140" s="287"/>
    </row>
    <row r="141" spans="3:11" ht="15.75" customHeight="1" x14ac:dyDescent="0.2">
      <c r="C141" s="287"/>
      <c r="K141" s="287"/>
    </row>
    <row r="142" spans="3:11" ht="15.75" customHeight="1" x14ac:dyDescent="0.2">
      <c r="C142" s="287"/>
      <c r="K142" s="287"/>
    </row>
    <row r="143" spans="3:11" ht="15.75" customHeight="1" x14ac:dyDescent="0.2">
      <c r="C143" s="287"/>
      <c r="K143" s="287"/>
    </row>
    <row r="144" spans="3:11" ht="15.75" customHeight="1" x14ac:dyDescent="0.2">
      <c r="C144" s="287"/>
      <c r="K144" s="287"/>
    </row>
    <row r="145" spans="3:11" ht="15.75" customHeight="1" x14ac:dyDescent="0.2">
      <c r="C145" s="287"/>
      <c r="K145" s="287"/>
    </row>
    <row r="146" spans="3:11" ht="15.75" customHeight="1" x14ac:dyDescent="0.2">
      <c r="C146" s="287"/>
      <c r="K146" s="287"/>
    </row>
    <row r="147" spans="3:11" ht="15.75" customHeight="1" x14ac:dyDescent="0.2">
      <c r="C147" s="287"/>
      <c r="K147" s="287"/>
    </row>
    <row r="148" spans="3:11" ht="15.75" customHeight="1" x14ac:dyDescent="0.2">
      <c r="C148" s="287"/>
      <c r="K148" s="287"/>
    </row>
    <row r="149" spans="3:11" ht="15.75" customHeight="1" x14ac:dyDescent="0.2">
      <c r="C149" s="287"/>
      <c r="K149" s="287"/>
    </row>
    <row r="150" spans="3:11" ht="15.75" customHeight="1" x14ac:dyDescent="0.2">
      <c r="C150" s="287"/>
      <c r="K150" s="287"/>
    </row>
    <row r="151" spans="3:11" ht="15.75" customHeight="1" x14ac:dyDescent="0.2">
      <c r="C151" s="287"/>
      <c r="K151" s="287"/>
    </row>
    <row r="152" spans="3:11" ht="15.75" customHeight="1" x14ac:dyDescent="0.2">
      <c r="C152" s="287"/>
      <c r="K152" s="287"/>
    </row>
    <row r="153" spans="3:11" ht="15.75" customHeight="1" x14ac:dyDescent="0.2">
      <c r="C153" s="287"/>
      <c r="K153" s="287"/>
    </row>
    <row r="154" spans="3:11" ht="15.75" customHeight="1" x14ac:dyDescent="0.2">
      <c r="C154" s="287"/>
      <c r="K154" s="287"/>
    </row>
    <row r="155" spans="3:11" ht="1.5" customHeight="1" x14ac:dyDescent="0.2">
      <c r="C155" s="287"/>
      <c r="K155" s="287"/>
    </row>
    <row r="156" spans="3:11" ht="15.75" customHeight="1" x14ac:dyDescent="0.2">
      <c r="C156" s="287"/>
      <c r="K156" s="287"/>
    </row>
    <row r="157" spans="3:11" ht="15.75" customHeight="1" x14ac:dyDescent="0.2">
      <c r="C157" s="287"/>
      <c r="K157" s="287"/>
    </row>
    <row r="158" spans="3:11" ht="15.75" customHeight="1" x14ac:dyDescent="0.2">
      <c r="C158" s="287"/>
      <c r="K158" s="287"/>
    </row>
    <row r="159" spans="3:11" ht="15.75" customHeight="1" x14ac:dyDescent="0.2">
      <c r="C159" s="287"/>
      <c r="K159" s="287"/>
    </row>
    <row r="160" spans="3:11" ht="15.75" customHeight="1" x14ac:dyDescent="0.2">
      <c r="C160" s="287"/>
      <c r="K160" s="287"/>
    </row>
    <row r="161" spans="3:11" ht="15.75" customHeight="1" x14ac:dyDescent="0.2">
      <c r="C161" s="287"/>
      <c r="K161" s="287"/>
    </row>
    <row r="162" spans="3:11" ht="15.75" customHeight="1" x14ac:dyDescent="0.2">
      <c r="C162" s="287"/>
      <c r="K162" s="287"/>
    </row>
    <row r="163" spans="3:11" ht="15.75" customHeight="1" x14ac:dyDescent="0.2">
      <c r="C163" s="287"/>
      <c r="K163" s="287"/>
    </row>
    <row r="164" spans="3:11" ht="15.75" customHeight="1" x14ac:dyDescent="0.2">
      <c r="C164" s="287"/>
      <c r="K164" s="287"/>
    </row>
    <row r="165" spans="3:11" ht="15.75" customHeight="1" x14ac:dyDescent="0.2">
      <c r="C165" s="287"/>
      <c r="K165" s="287"/>
    </row>
    <row r="166" spans="3:11" ht="15.75" customHeight="1" x14ac:dyDescent="0.2">
      <c r="C166" s="287"/>
      <c r="K166" s="287"/>
    </row>
    <row r="167" spans="3:11" ht="15.75" customHeight="1" x14ac:dyDescent="0.2">
      <c r="C167" s="287"/>
      <c r="K167" s="287"/>
    </row>
    <row r="168" spans="3:11" ht="15.75" customHeight="1" x14ac:dyDescent="0.2">
      <c r="C168" s="287"/>
      <c r="K168" s="287"/>
    </row>
    <row r="169" spans="3:11" ht="15.75" customHeight="1" x14ac:dyDescent="0.2">
      <c r="C169" s="287"/>
      <c r="K169" s="287"/>
    </row>
    <row r="170" spans="3:11" ht="15.75" customHeight="1" x14ac:dyDescent="0.2">
      <c r="C170" s="287"/>
      <c r="K170" s="287"/>
    </row>
    <row r="171" spans="3:11" ht="15.75" customHeight="1" x14ac:dyDescent="0.2">
      <c r="C171" s="287"/>
      <c r="K171" s="287"/>
    </row>
    <row r="172" spans="3:11" ht="15.75" customHeight="1" x14ac:dyDescent="0.2">
      <c r="C172" s="287"/>
      <c r="K172" s="287"/>
    </row>
    <row r="173" spans="3:11" ht="15.75" customHeight="1" x14ac:dyDescent="0.2">
      <c r="C173" s="287"/>
      <c r="K173" s="287"/>
    </row>
    <row r="174" spans="3:11" ht="15.75" customHeight="1" x14ac:dyDescent="0.2">
      <c r="C174" s="287"/>
      <c r="K174" s="287"/>
    </row>
    <row r="175" spans="3:11" ht="15.75" customHeight="1" x14ac:dyDescent="0.2">
      <c r="C175" s="287"/>
      <c r="K175" s="287"/>
    </row>
    <row r="176" spans="3:11" ht="15.75" customHeight="1" x14ac:dyDescent="0.2">
      <c r="C176" s="287"/>
      <c r="K176" s="287"/>
    </row>
    <row r="177" spans="1:19" ht="15.75" customHeight="1" x14ac:dyDescent="0.2">
      <c r="C177" s="287"/>
      <c r="K177" s="287"/>
    </row>
    <row r="178" spans="1:19" ht="15.75" customHeight="1" x14ac:dyDescent="0.2">
      <c r="A178" s="3" t="s">
        <v>50</v>
      </c>
      <c r="B178" s="3" t="s">
        <v>51</v>
      </c>
      <c r="C178" s="292"/>
      <c r="D178" s="99" t="s">
        <v>52</v>
      </c>
      <c r="E178" s="100" t="s">
        <v>53</v>
      </c>
      <c r="F178" s="100" t="s">
        <v>54</v>
      </c>
      <c r="G178" s="100" t="s">
        <v>55</v>
      </c>
      <c r="H178" s="24" t="s">
        <v>56</v>
      </c>
      <c r="I178" s="24" t="s">
        <v>57</v>
      </c>
      <c r="J178" s="101" t="s">
        <v>58</v>
      </c>
      <c r="K178" s="292"/>
      <c r="L178" s="3" t="s">
        <v>59</v>
      </c>
      <c r="M178" s="3" t="s">
        <v>60</v>
      </c>
      <c r="N178" s="3" t="s">
        <v>61</v>
      </c>
      <c r="O178" s="3" t="s">
        <v>62</v>
      </c>
      <c r="P178" s="293" t="s">
        <v>541</v>
      </c>
      <c r="Q178" s="293" t="s">
        <v>64</v>
      </c>
      <c r="R178" s="293" t="s">
        <v>65</v>
      </c>
      <c r="S178" s="293" t="s">
        <v>586</v>
      </c>
    </row>
    <row r="179" spans="1:19" ht="15.75" customHeight="1" x14ac:dyDescent="0.25">
      <c r="A179" s="565" t="s">
        <v>736</v>
      </c>
      <c r="B179" s="566"/>
      <c r="C179" s="566"/>
      <c r="D179" s="566"/>
      <c r="E179" s="65"/>
      <c r="F179" s="65"/>
      <c r="G179" s="275"/>
      <c r="H179" s="234"/>
      <c r="L179" s="65"/>
      <c r="M179" s="165"/>
      <c r="N179" s="65"/>
      <c r="O179" s="165"/>
      <c r="P179" s="157"/>
      <c r="Q179" s="157"/>
      <c r="R179" s="275"/>
      <c r="S179" s="275"/>
    </row>
    <row r="180" spans="1:19" ht="15.75" customHeight="1" x14ac:dyDescent="0.25">
      <c r="A180" s="66" t="s">
        <v>737</v>
      </c>
      <c r="B180" s="66" t="s">
        <v>68</v>
      </c>
      <c r="C180" s="295"/>
      <c r="D180" s="160">
        <v>104878</v>
      </c>
      <c r="E180" s="160" t="e">
        <f>D180*#REF!</f>
        <v>#REF!</v>
      </c>
      <c r="F180" s="160" t="e">
        <f>D180*#REF!</f>
        <v>#REF!</v>
      </c>
      <c r="G180" s="160" t="e">
        <f>(D180*#REF!)*#REF!</f>
        <v>#REF!</v>
      </c>
      <c r="H180" s="296">
        <f t="shared" ref="H180:H191" si="44">IFERROR(((Q180-G180)/G180),0)</f>
        <v>0</v>
      </c>
      <c r="I180" s="147" t="e">
        <f t="shared" ref="I180:I191" si="45">Q180-G180</f>
        <v>#REF!</v>
      </c>
      <c r="J180" s="97">
        <v>0</v>
      </c>
      <c r="K180" s="295"/>
      <c r="L180" s="20">
        <v>134117</v>
      </c>
      <c r="M180" s="20">
        <v>122614.05</v>
      </c>
      <c r="N180" s="20">
        <v>290931</v>
      </c>
      <c r="O180" s="20">
        <f>VLOOKUP(A180,TB!A:F,3)</f>
        <v>192571.31</v>
      </c>
      <c r="P180" s="160">
        <f t="shared" ref="P180:P183" si="46">O180/20*26</f>
        <v>250342.70300000001</v>
      </c>
      <c r="Q180" s="160">
        <v>313000</v>
      </c>
      <c r="R180" s="233">
        <f>VLOOKUP(A180,TB!A:F,6)</f>
        <v>313000</v>
      </c>
      <c r="S180" s="233">
        <f t="shared" ref="S180:S190" si="47">Q180-R180</f>
        <v>0</v>
      </c>
    </row>
    <row r="181" spans="1:19" ht="15.75" customHeight="1" x14ac:dyDescent="0.25">
      <c r="A181" s="66" t="s">
        <v>738</v>
      </c>
      <c r="B181" s="66" t="s">
        <v>70</v>
      </c>
      <c r="C181" s="295"/>
      <c r="D181" s="160">
        <v>1517</v>
      </c>
      <c r="E181" s="160" t="e">
        <f>D181*#REF!</f>
        <v>#REF!</v>
      </c>
      <c r="F181" s="160" t="e">
        <f>D181*#REF!</f>
        <v>#REF!</v>
      </c>
      <c r="G181" s="160" t="e">
        <f>(D181*#REF!)*#REF!</f>
        <v>#REF!</v>
      </c>
      <c r="H181" s="296">
        <f t="shared" si="44"/>
        <v>0</v>
      </c>
      <c r="I181" s="147" t="e">
        <f t="shared" si="45"/>
        <v>#REF!</v>
      </c>
      <c r="J181" s="97">
        <v>0</v>
      </c>
      <c r="K181" s="295"/>
      <c r="L181" s="20">
        <v>4044</v>
      </c>
      <c r="M181" s="20">
        <v>6586.39</v>
      </c>
      <c r="N181" s="20">
        <v>6500</v>
      </c>
      <c r="O181" s="20">
        <f>VLOOKUP(A181,TB!A:F,3)</f>
        <v>7421.51</v>
      </c>
      <c r="P181" s="160">
        <f t="shared" si="46"/>
        <v>9647.9630000000016</v>
      </c>
      <c r="Q181" s="160">
        <v>8800</v>
      </c>
      <c r="R181" s="233">
        <f>VLOOKUP(A181,TB!A:F,6)</f>
        <v>8800</v>
      </c>
      <c r="S181" s="233">
        <f t="shared" si="47"/>
        <v>0</v>
      </c>
    </row>
    <row r="182" spans="1:19" ht="15.75" customHeight="1" x14ac:dyDescent="0.25">
      <c r="A182" s="66" t="s">
        <v>739</v>
      </c>
      <c r="B182" s="66" t="s">
        <v>72</v>
      </c>
      <c r="C182" s="295"/>
      <c r="D182" s="160">
        <v>37761</v>
      </c>
      <c r="E182" s="160" t="e">
        <f>D182*#REF!</f>
        <v>#REF!</v>
      </c>
      <c r="F182" s="160" t="e">
        <f>D182*#REF!</f>
        <v>#REF!</v>
      </c>
      <c r="G182" s="160" t="e">
        <f>(D182*#REF!)*#REF!</f>
        <v>#REF!</v>
      </c>
      <c r="H182" s="296">
        <f t="shared" si="44"/>
        <v>0</v>
      </c>
      <c r="I182" s="147" t="e">
        <f t="shared" si="45"/>
        <v>#REF!</v>
      </c>
      <c r="J182" s="97">
        <v>0</v>
      </c>
      <c r="K182" s="295"/>
      <c r="L182" s="20">
        <v>51348</v>
      </c>
      <c r="M182" s="20">
        <v>60632.49</v>
      </c>
      <c r="N182" s="20">
        <v>166400</v>
      </c>
      <c r="O182" s="20">
        <f>VLOOKUP(A182,TB!A:F,3)</f>
        <v>95391.6</v>
      </c>
      <c r="P182" s="160">
        <f t="shared" si="46"/>
        <v>124009.08</v>
      </c>
      <c r="Q182" s="160">
        <v>157800</v>
      </c>
      <c r="R182" s="233">
        <f>VLOOKUP(A182,TB!A:F,6)</f>
        <v>157800</v>
      </c>
      <c r="S182" s="233">
        <f t="shared" si="47"/>
        <v>0</v>
      </c>
    </row>
    <row r="183" spans="1:19" ht="15.75" customHeight="1" x14ac:dyDescent="0.25">
      <c r="A183" s="66" t="s">
        <v>740</v>
      </c>
      <c r="B183" s="66" t="s">
        <v>451</v>
      </c>
      <c r="C183" s="295"/>
      <c r="D183" s="160">
        <v>480</v>
      </c>
      <c r="E183" s="160" t="e">
        <f>D183*#REF!</f>
        <v>#REF!</v>
      </c>
      <c r="F183" s="160" t="e">
        <f>D183*#REF!</f>
        <v>#REF!</v>
      </c>
      <c r="G183" s="160" t="e">
        <f>(D183*#REF!)*#REF!</f>
        <v>#REF!</v>
      </c>
      <c r="H183" s="296">
        <f t="shared" si="44"/>
        <v>0</v>
      </c>
      <c r="I183" s="147" t="e">
        <f t="shared" si="45"/>
        <v>#REF!</v>
      </c>
      <c r="J183" s="97">
        <v>0</v>
      </c>
      <c r="K183" s="295"/>
      <c r="L183" s="20">
        <v>983</v>
      </c>
      <c r="M183" s="20">
        <v>1172.67</v>
      </c>
      <c r="N183" s="20">
        <v>2800</v>
      </c>
      <c r="O183" s="20">
        <f>VLOOKUP(A183,TB!A:F,3)</f>
        <v>278.91000000000003</v>
      </c>
      <c r="P183" s="160">
        <f t="shared" si="46"/>
        <v>362.58300000000003</v>
      </c>
      <c r="Q183" s="160">
        <v>2800</v>
      </c>
      <c r="R183" s="233">
        <f>VLOOKUP(A183,TB!A:F,6)</f>
        <v>2800</v>
      </c>
      <c r="S183" s="233">
        <f t="shared" si="47"/>
        <v>0</v>
      </c>
    </row>
    <row r="184" spans="1:19" ht="15.75" customHeight="1" x14ac:dyDescent="0.25">
      <c r="A184" s="66" t="s">
        <v>741</v>
      </c>
      <c r="B184" s="66" t="s">
        <v>742</v>
      </c>
      <c r="C184" s="295"/>
      <c r="D184" s="160">
        <v>9550</v>
      </c>
      <c r="E184" s="160" t="e">
        <f>D184*#REF!</f>
        <v>#REF!</v>
      </c>
      <c r="F184" s="160" t="e">
        <f>D184*#REF!</f>
        <v>#REF!</v>
      </c>
      <c r="G184" s="160" t="e">
        <f>(D184*#REF!)*#REF!</f>
        <v>#REF!</v>
      </c>
      <c r="H184" s="296">
        <f t="shared" si="44"/>
        <v>0</v>
      </c>
      <c r="I184" s="147" t="e">
        <f t="shared" si="45"/>
        <v>#REF!</v>
      </c>
      <c r="J184" s="97">
        <v>0</v>
      </c>
      <c r="K184" s="295"/>
      <c r="L184" s="20">
        <v>7283</v>
      </c>
      <c r="M184" s="20">
        <v>3461.73</v>
      </c>
      <c r="N184" s="20">
        <v>19000</v>
      </c>
      <c r="O184" s="20">
        <f>VLOOKUP(A184,TB!A:F,3)</f>
        <v>1144.4100000000001</v>
      </c>
      <c r="P184" s="163">
        <f>N184</f>
        <v>19000</v>
      </c>
      <c r="Q184" s="160">
        <v>7500</v>
      </c>
      <c r="R184" s="233">
        <f>VLOOKUP(A184,TB!A:F,6)</f>
        <v>7500</v>
      </c>
      <c r="S184" s="233">
        <f t="shared" si="47"/>
        <v>0</v>
      </c>
    </row>
    <row r="185" spans="1:19" ht="15.75" customHeight="1" x14ac:dyDescent="0.25">
      <c r="A185" s="66" t="s">
        <v>743</v>
      </c>
      <c r="B185" s="66" t="s">
        <v>76</v>
      </c>
      <c r="C185" s="295"/>
      <c r="D185" s="160">
        <v>0</v>
      </c>
      <c r="E185" s="160" t="e">
        <f>D185*#REF!</f>
        <v>#REF!</v>
      </c>
      <c r="F185" s="160" t="e">
        <f>D185*#REF!</f>
        <v>#REF!</v>
      </c>
      <c r="G185" s="160" t="e">
        <f>(D185*#REF!)*#REF!</f>
        <v>#REF!</v>
      </c>
      <c r="H185" s="296">
        <f t="shared" si="44"/>
        <v>0</v>
      </c>
      <c r="I185" s="147" t="e">
        <f t="shared" si="45"/>
        <v>#REF!</v>
      </c>
      <c r="J185" s="97">
        <v>0</v>
      </c>
      <c r="K185" s="295"/>
      <c r="L185" s="20">
        <v>0</v>
      </c>
      <c r="M185" s="20">
        <v>1122</v>
      </c>
      <c r="N185" s="20">
        <v>1500</v>
      </c>
      <c r="O185" s="20">
        <f>VLOOKUP(A185,TB!A:F,3)</f>
        <v>1557.2</v>
      </c>
      <c r="P185" s="160">
        <f>O185/9*12</f>
        <v>2076.2666666666669</v>
      </c>
      <c r="Q185" s="160">
        <v>2000</v>
      </c>
      <c r="R185" s="233">
        <f>VLOOKUP(A185,TB!A:F,6)</f>
        <v>2000</v>
      </c>
      <c r="S185" s="233">
        <f t="shared" si="47"/>
        <v>0</v>
      </c>
    </row>
    <row r="186" spans="1:19" ht="15.75" customHeight="1" x14ac:dyDescent="0.25">
      <c r="A186" s="66" t="s">
        <v>744</v>
      </c>
      <c r="B186" s="66" t="s">
        <v>115</v>
      </c>
      <c r="C186" s="295"/>
      <c r="D186" s="160">
        <v>46</v>
      </c>
      <c r="E186" s="160" t="e">
        <f>D186*#REF!</f>
        <v>#REF!</v>
      </c>
      <c r="F186" s="160" t="e">
        <f>D186*#REF!</f>
        <v>#REF!</v>
      </c>
      <c r="G186" s="160" t="e">
        <f>(D186*#REF!)*#REF!</f>
        <v>#REF!</v>
      </c>
      <c r="H186" s="296">
        <f t="shared" si="44"/>
        <v>0</v>
      </c>
      <c r="I186" s="147" t="e">
        <f t="shared" si="45"/>
        <v>#REF!</v>
      </c>
      <c r="J186" s="97">
        <v>0</v>
      </c>
      <c r="K186" s="295"/>
      <c r="L186" s="20">
        <v>0</v>
      </c>
      <c r="M186" s="20">
        <v>831.97</v>
      </c>
      <c r="N186" s="20">
        <v>2500</v>
      </c>
      <c r="O186" s="20">
        <f>VLOOKUP(A186,TB!A:F,3)</f>
        <v>931.1</v>
      </c>
      <c r="P186" s="163">
        <f>N186</f>
        <v>2500</v>
      </c>
      <c r="Q186" s="160">
        <v>9000</v>
      </c>
      <c r="R186" s="233">
        <f>VLOOKUP(A186,TB!A:F,6)</f>
        <v>9000</v>
      </c>
      <c r="S186" s="233">
        <f t="shared" si="47"/>
        <v>0</v>
      </c>
    </row>
    <row r="187" spans="1:19" ht="15.75" customHeight="1" x14ac:dyDescent="0.25">
      <c r="A187" s="66" t="s">
        <v>745</v>
      </c>
      <c r="B187" s="66" t="s">
        <v>210</v>
      </c>
      <c r="C187" s="295"/>
      <c r="D187" s="160">
        <v>8742</v>
      </c>
      <c r="E187" s="160" t="e">
        <f>D187*#REF!</f>
        <v>#REF!</v>
      </c>
      <c r="F187" s="160" t="e">
        <f>D187*#REF!</f>
        <v>#REF!</v>
      </c>
      <c r="G187" s="160" t="e">
        <f>(D187*#REF!)*#REF!</f>
        <v>#REF!</v>
      </c>
      <c r="H187" s="296">
        <f t="shared" si="44"/>
        <v>0</v>
      </c>
      <c r="I187" s="147" t="e">
        <f t="shared" si="45"/>
        <v>#REF!</v>
      </c>
      <c r="J187" s="97">
        <v>0</v>
      </c>
      <c r="K187" s="295"/>
      <c r="L187" s="20">
        <v>13646</v>
      </c>
      <c r="M187" s="20">
        <v>0</v>
      </c>
      <c r="N187" s="20">
        <v>0</v>
      </c>
      <c r="O187" s="20">
        <f>VLOOKUP(A187,TB!A:F,3)</f>
        <v>0</v>
      </c>
      <c r="P187" s="160">
        <f>O187/9*12</f>
        <v>0</v>
      </c>
      <c r="Q187" s="160">
        <v>0</v>
      </c>
      <c r="R187" s="233">
        <f>VLOOKUP(A187,TB!A:F,6)</f>
        <v>0</v>
      </c>
      <c r="S187" s="233">
        <f t="shared" si="47"/>
        <v>0</v>
      </c>
    </row>
    <row r="188" spans="1:19" ht="15.75" customHeight="1" x14ac:dyDescent="0.25">
      <c r="A188" s="66" t="s">
        <v>746</v>
      </c>
      <c r="B188" s="66" t="s">
        <v>90</v>
      </c>
      <c r="C188" s="295"/>
      <c r="D188" s="160">
        <v>0</v>
      </c>
      <c r="E188" s="160" t="e">
        <f>D188*#REF!</f>
        <v>#REF!</v>
      </c>
      <c r="F188" s="160" t="e">
        <f>D188*#REF!</f>
        <v>#REF!</v>
      </c>
      <c r="G188" s="160" t="e">
        <f>(D188*#REF!)*#REF!</f>
        <v>#REF!</v>
      </c>
      <c r="H188" s="296">
        <f t="shared" si="44"/>
        <v>0</v>
      </c>
      <c r="I188" s="147" t="e">
        <f t="shared" si="45"/>
        <v>#REF!</v>
      </c>
      <c r="J188" s="97">
        <v>0</v>
      </c>
      <c r="K188" s="295"/>
      <c r="L188" s="20">
        <v>0</v>
      </c>
      <c r="M188" s="20">
        <v>2337</v>
      </c>
      <c r="N188" s="20">
        <v>2500</v>
      </c>
      <c r="O188" s="20">
        <f>VLOOKUP(A188,TB!A:F,3)</f>
        <v>310</v>
      </c>
      <c r="P188" s="163">
        <f>N188</f>
        <v>2500</v>
      </c>
      <c r="Q188" s="160">
        <v>2500</v>
      </c>
      <c r="R188" s="233">
        <f>VLOOKUP(A188,TB!A:F,6)</f>
        <v>2500</v>
      </c>
      <c r="S188" s="233">
        <f t="shared" si="47"/>
        <v>0</v>
      </c>
    </row>
    <row r="189" spans="1:19" ht="15.75" customHeight="1" x14ac:dyDescent="0.25">
      <c r="A189" s="66" t="s">
        <v>747</v>
      </c>
      <c r="B189" s="66" t="s">
        <v>502</v>
      </c>
      <c r="C189" s="295"/>
      <c r="D189" s="160">
        <v>1202</v>
      </c>
      <c r="E189" s="160" t="e">
        <f>D189*#REF!</f>
        <v>#REF!</v>
      </c>
      <c r="F189" s="160" t="e">
        <f>D189*#REF!</f>
        <v>#REF!</v>
      </c>
      <c r="G189" s="160" t="e">
        <f>(D189*#REF!)*#REF!</f>
        <v>#REF!</v>
      </c>
      <c r="H189" s="296">
        <f t="shared" si="44"/>
        <v>0</v>
      </c>
      <c r="I189" s="147" t="e">
        <f t="shared" si="45"/>
        <v>#REF!</v>
      </c>
      <c r="J189" s="97">
        <v>0</v>
      </c>
      <c r="K189" s="295"/>
      <c r="L189" s="20">
        <v>1568</v>
      </c>
      <c r="M189" s="20">
        <v>154.22</v>
      </c>
      <c r="N189" s="20">
        <v>0</v>
      </c>
      <c r="O189" s="20">
        <f>VLOOKUP(A189,TB!A:F,3)</f>
        <v>0</v>
      </c>
      <c r="P189" s="160">
        <f t="shared" ref="P189:P190" si="48">O189/9*12</f>
        <v>0</v>
      </c>
      <c r="Q189" s="160">
        <v>0</v>
      </c>
      <c r="R189" s="233">
        <f>VLOOKUP(A189,TB!A:F,6)</f>
        <v>0</v>
      </c>
      <c r="S189" s="233">
        <f t="shared" si="47"/>
        <v>0</v>
      </c>
    </row>
    <row r="190" spans="1:19" ht="15.75" customHeight="1" x14ac:dyDescent="0.25">
      <c r="A190" s="66" t="s">
        <v>748</v>
      </c>
      <c r="B190" s="66" t="s">
        <v>92</v>
      </c>
      <c r="C190" s="295"/>
      <c r="D190" s="160">
        <v>0</v>
      </c>
      <c r="E190" s="160" t="e">
        <f>D190*#REF!</f>
        <v>#REF!</v>
      </c>
      <c r="F190" s="160" t="e">
        <f>D190*#REF!</f>
        <v>#REF!</v>
      </c>
      <c r="G190" s="160" t="e">
        <f>(D190*#REF!)*#REF!</f>
        <v>#REF!</v>
      </c>
      <c r="H190" s="296">
        <f t="shared" si="44"/>
        <v>0</v>
      </c>
      <c r="I190" s="147" t="e">
        <f t="shared" si="45"/>
        <v>#REF!</v>
      </c>
      <c r="J190" s="97">
        <v>0</v>
      </c>
      <c r="K190" s="295"/>
      <c r="L190" s="20">
        <v>1089</v>
      </c>
      <c r="M190" s="20">
        <v>0</v>
      </c>
      <c r="N190" s="20">
        <v>0</v>
      </c>
      <c r="O190" s="20">
        <f>VLOOKUP(A190,TB!A:F,3)</f>
        <v>0</v>
      </c>
      <c r="P190" s="160">
        <f t="shared" si="48"/>
        <v>0</v>
      </c>
      <c r="Q190" s="160">
        <v>0</v>
      </c>
      <c r="R190" s="233">
        <f>VLOOKUP(A190,TB!A:F,6)</f>
        <v>0</v>
      </c>
      <c r="S190" s="233">
        <f t="shared" si="47"/>
        <v>0</v>
      </c>
    </row>
    <row r="191" spans="1:19" ht="15.75" customHeight="1" x14ac:dyDescent="0.25">
      <c r="A191" s="74" t="s">
        <v>749</v>
      </c>
      <c r="B191" s="75"/>
      <c r="C191" s="299"/>
      <c r="D191" s="189">
        <f t="shared" ref="D191:G191" si="49">SUM(D180:D190)</f>
        <v>164176</v>
      </c>
      <c r="E191" s="189" t="e">
        <f t="shared" si="49"/>
        <v>#REF!</v>
      </c>
      <c r="F191" s="189" t="e">
        <f t="shared" si="49"/>
        <v>#REF!</v>
      </c>
      <c r="G191" s="189" t="e">
        <f t="shared" si="49"/>
        <v>#REF!</v>
      </c>
      <c r="H191" s="300">
        <f t="shared" si="44"/>
        <v>0</v>
      </c>
      <c r="I191" s="189" t="e">
        <f t="shared" si="45"/>
        <v>#REF!</v>
      </c>
      <c r="J191" s="301">
        <v>0</v>
      </c>
      <c r="K191" s="299"/>
      <c r="L191" s="77">
        <f t="shared" ref="L191:S191" si="50">SUM(L180:L190)</f>
        <v>214078</v>
      </c>
      <c r="M191" s="77">
        <f t="shared" si="50"/>
        <v>198912.52000000002</v>
      </c>
      <c r="N191" s="77">
        <f t="shared" si="50"/>
        <v>492131</v>
      </c>
      <c r="O191" s="77">
        <f t="shared" si="50"/>
        <v>299606.03999999998</v>
      </c>
      <c r="P191" s="189">
        <f t="shared" si="50"/>
        <v>410438.59566666663</v>
      </c>
      <c r="Q191" s="189">
        <f t="shared" si="50"/>
        <v>503400</v>
      </c>
      <c r="R191" s="77">
        <f t="shared" si="50"/>
        <v>503400</v>
      </c>
      <c r="S191" s="77">
        <f t="shared" si="50"/>
        <v>0</v>
      </c>
    </row>
    <row r="192" spans="1:19" ht="15.75" customHeight="1" x14ac:dyDescent="0.2">
      <c r="C192" s="287"/>
      <c r="K192" s="287"/>
      <c r="L192" s="54"/>
      <c r="M192" s="54"/>
      <c r="N192" s="54"/>
      <c r="O192" s="54"/>
      <c r="P192" s="54"/>
      <c r="Q192" s="54"/>
      <c r="R192" s="81"/>
      <c r="S192" s="81"/>
    </row>
    <row r="193" spans="1:29" ht="15.75" customHeight="1" x14ac:dyDescent="0.2">
      <c r="A193" s="69" t="s">
        <v>184</v>
      </c>
      <c r="C193" s="287"/>
      <c r="K193" s="287"/>
      <c r="L193" s="54"/>
      <c r="M193" s="54"/>
      <c r="N193" s="54"/>
      <c r="O193" s="54"/>
      <c r="P193" s="54"/>
      <c r="Q193" s="54"/>
      <c r="R193" s="81"/>
      <c r="S193" s="81"/>
    </row>
    <row r="194" spans="1:29" ht="15.75" customHeight="1" x14ac:dyDescent="0.25">
      <c r="A194" s="51" t="s">
        <v>750</v>
      </c>
      <c r="B194" s="51" t="s">
        <v>751</v>
      </c>
      <c r="C194" s="307"/>
      <c r="D194" s="147">
        <v>-79616</v>
      </c>
      <c r="E194" s="160" t="e">
        <f>D194*#REF!</f>
        <v>#REF!</v>
      </c>
      <c r="F194" s="160" t="e">
        <f>D194*#REF!</f>
        <v>#REF!</v>
      </c>
      <c r="G194" s="160" t="e">
        <f>(D194*#REF!)*#REF!</f>
        <v>#REF!</v>
      </c>
      <c r="H194" s="296">
        <f t="shared" ref="H194:H195" si="51">IFERROR(((Q194-G194)/G194),0)</f>
        <v>0</v>
      </c>
      <c r="I194" s="147" t="e">
        <f t="shared" ref="I194:I195" si="52">Q194-G194</f>
        <v>#REF!</v>
      </c>
      <c r="J194" s="97">
        <v>0</v>
      </c>
      <c r="K194" s="307"/>
      <c r="L194" s="54">
        <v>-79616</v>
      </c>
      <c r="M194" s="54">
        <v>-83037.02</v>
      </c>
      <c r="N194" s="54">
        <v>-96000</v>
      </c>
      <c r="O194" s="20">
        <f>VLOOKUP(A194,TB!A:F,3)</f>
        <v>-89879.01</v>
      </c>
      <c r="P194" s="308">
        <f>N194</f>
        <v>-96000</v>
      </c>
      <c r="Q194" s="54">
        <v>-84000</v>
      </c>
      <c r="R194" s="233">
        <f>VLOOKUP(A194,TB!A:F,6)</f>
        <v>-84000</v>
      </c>
      <c r="S194" s="233">
        <f>Q194-R194</f>
        <v>0</v>
      </c>
    </row>
    <row r="195" spans="1:29" ht="15.75" customHeight="1" x14ac:dyDescent="0.2">
      <c r="A195" s="239" t="s">
        <v>189</v>
      </c>
      <c r="B195" s="75"/>
      <c r="C195" s="299"/>
      <c r="D195" s="189">
        <f t="shared" ref="D195:G195" si="53">SUM(D194)</f>
        <v>-79616</v>
      </c>
      <c r="E195" s="189" t="e">
        <f t="shared" si="53"/>
        <v>#REF!</v>
      </c>
      <c r="F195" s="189" t="e">
        <f t="shared" si="53"/>
        <v>#REF!</v>
      </c>
      <c r="G195" s="189" t="e">
        <f t="shared" si="53"/>
        <v>#REF!</v>
      </c>
      <c r="H195" s="300">
        <f t="shared" si="51"/>
        <v>0</v>
      </c>
      <c r="I195" s="189" t="e">
        <f t="shared" si="52"/>
        <v>#REF!</v>
      </c>
      <c r="J195" s="189">
        <f>SUM(J194)</f>
        <v>0</v>
      </c>
      <c r="K195" s="299"/>
      <c r="L195" s="77">
        <f t="shared" ref="L195:S195" si="54">SUM(L194)</f>
        <v>-79616</v>
      </c>
      <c r="M195" s="77">
        <f t="shared" si="54"/>
        <v>-83037.02</v>
      </c>
      <c r="N195" s="77">
        <f t="shared" si="54"/>
        <v>-96000</v>
      </c>
      <c r="O195" s="77">
        <f t="shared" si="54"/>
        <v>-89879.01</v>
      </c>
      <c r="P195" s="189">
        <f t="shared" si="54"/>
        <v>-96000</v>
      </c>
      <c r="Q195" s="189">
        <f t="shared" si="54"/>
        <v>-84000</v>
      </c>
      <c r="R195" s="77">
        <f t="shared" si="54"/>
        <v>-84000</v>
      </c>
      <c r="S195" s="77">
        <f t="shared" si="54"/>
        <v>0</v>
      </c>
    </row>
    <row r="196" spans="1:29" ht="15.75" customHeight="1" x14ac:dyDescent="0.2">
      <c r="C196" s="287"/>
      <c r="K196" s="287"/>
      <c r="L196" s="54"/>
      <c r="M196" s="54"/>
      <c r="N196" s="54"/>
      <c r="O196" s="54"/>
      <c r="P196" s="54"/>
      <c r="Q196" s="54"/>
      <c r="R196" s="81"/>
      <c r="S196" s="81"/>
    </row>
    <row r="197" spans="1:29" ht="15.75" customHeight="1" x14ac:dyDescent="0.2">
      <c r="A197" s="69" t="s">
        <v>190</v>
      </c>
      <c r="B197" s="51"/>
      <c r="C197" s="309"/>
      <c r="D197" s="193">
        <f t="shared" ref="D197:G197" si="55">D191+D195</f>
        <v>84560</v>
      </c>
      <c r="E197" s="193" t="e">
        <f t="shared" si="55"/>
        <v>#REF!</v>
      </c>
      <c r="F197" s="193" t="e">
        <f t="shared" si="55"/>
        <v>#REF!</v>
      </c>
      <c r="G197" s="193" t="e">
        <f t="shared" si="55"/>
        <v>#REF!</v>
      </c>
      <c r="H197" s="310">
        <f>IFERROR(((Q197-G197)/G197),0)</f>
        <v>0</v>
      </c>
      <c r="I197" s="193" t="e">
        <f>Q197-G197</f>
        <v>#REF!</v>
      </c>
      <c r="J197" s="193">
        <f>J191+J195</f>
        <v>0</v>
      </c>
      <c r="K197" s="309"/>
      <c r="L197" s="245">
        <f t="shared" ref="L197:S197" si="56">L191+L195</f>
        <v>134462</v>
      </c>
      <c r="M197" s="245">
        <f t="shared" si="56"/>
        <v>115875.50000000001</v>
      </c>
      <c r="N197" s="245">
        <f t="shared" si="56"/>
        <v>396131</v>
      </c>
      <c r="O197" s="245">
        <f t="shared" si="56"/>
        <v>209727.02999999997</v>
      </c>
      <c r="P197" s="193">
        <f t="shared" si="56"/>
        <v>314438.59566666663</v>
      </c>
      <c r="Q197" s="193">
        <f t="shared" si="56"/>
        <v>419400</v>
      </c>
      <c r="R197" s="245">
        <f t="shared" si="56"/>
        <v>419400</v>
      </c>
      <c r="S197" s="245">
        <f t="shared" si="56"/>
        <v>0</v>
      </c>
      <c r="V197" s="56"/>
      <c r="W197" s="56"/>
      <c r="X197" s="56"/>
      <c r="Y197" s="56"/>
      <c r="Z197" s="56"/>
      <c r="AA197" s="56"/>
      <c r="AB197" s="56"/>
      <c r="AC197" s="56"/>
    </row>
    <row r="198" spans="1:29" ht="15.75" customHeight="1" x14ac:dyDescent="0.2">
      <c r="C198" s="287"/>
      <c r="K198" s="287"/>
    </row>
    <row r="199" spans="1:29" ht="15.75" customHeight="1" x14ac:dyDescent="0.2">
      <c r="C199" s="288"/>
      <c r="K199" s="288"/>
      <c r="L199" s="173" t="e">
        <f t="shared" ref="L199:R199" si="57">#REF!</f>
        <v>#REF!</v>
      </c>
      <c r="M199" s="173" t="e">
        <f t="shared" si="57"/>
        <v>#REF!</v>
      </c>
      <c r="N199" s="173" t="e">
        <f t="shared" si="57"/>
        <v>#REF!</v>
      </c>
      <c r="O199" s="173" t="e">
        <f t="shared" si="57"/>
        <v>#REF!</v>
      </c>
      <c r="P199" s="173" t="e">
        <f t="shared" si="57"/>
        <v>#REF!</v>
      </c>
      <c r="Q199" s="173" t="e">
        <f t="shared" si="57"/>
        <v>#REF!</v>
      </c>
      <c r="R199" s="173" t="e">
        <f t="shared" si="57"/>
        <v>#REF!</v>
      </c>
    </row>
    <row r="200" spans="1:29" ht="15.75" customHeight="1" x14ac:dyDescent="0.2">
      <c r="C200" s="289"/>
      <c r="K200" s="289"/>
      <c r="L200" s="63">
        <f t="shared" ref="L200:R200" si="58">L197</f>
        <v>134462</v>
      </c>
      <c r="M200" s="63">
        <f t="shared" si="58"/>
        <v>115875.50000000001</v>
      </c>
      <c r="N200" s="63">
        <f t="shared" si="58"/>
        <v>396131</v>
      </c>
      <c r="O200" s="63">
        <f t="shared" si="58"/>
        <v>209727.02999999997</v>
      </c>
      <c r="P200" s="63">
        <f t="shared" si="58"/>
        <v>314438.59566666663</v>
      </c>
      <c r="Q200" s="63">
        <f t="shared" si="58"/>
        <v>419400</v>
      </c>
      <c r="R200" s="63">
        <f t="shared" si="58"/>
        <v>419400</v>
      </c>
    </row>
    <row r="201" spans="1:29" ht="15.75" customHeight="1" x14ac:dyDescent="0.2">
      <c r="C201" s="287"/>
      <c r="K201" s="287"/>
    </row>
    <row r="202" spans="1:29" ht="15.75" customHeight="1" x14ac:dyDescent="0.2">
      <c r="C202" s="287"/>
      <c r="K202" s="287"/>
    </row>
    <row r="203" spans="1:29" ht="15.75" customHeight="1" x14ac:dyDescent="0.2">
      <c r="C203" s="287"/>
      <c r="K203" s="287"/>
    </row>
    <row r="204" spans="1:29" ht="15.75" customHeight="1" x14ac:dyDescent="0.2">
      <c r="C204" s="287"/>
      <c r="K204" s="287"/>
    </row>
    <row r="205" spans="1:29" ht="15.75" customHeight="1" x14ac:dyDescent="0.2">
      <c r="C205" s="287"/>
      <c r="K205" s="287"/>
    </row>
    <row r="206" spans="1:29" ht="15.75" customHeight="1" x14ac:dyDescent="0.2">
      <c r="C206" s="287"/>
      <c r="K206" s="287"/>
    </row>
    <row r="207" spans="1:29" ht="15.75" customHeight="1" x14ac:dyDescent="0.2">
      <c r="C207" s="287"/>
      <c r="K207" s="287"/>
    </row>
    <row r="208" spans="1:29" ht="15.75" customHeight="1" x14ac:dyDescent="0.2">
      <c r="C208" s="287"/>
      <c r="K208" s="287"/>
    </row>
    <row r="209" spans="3:11" ht="15.75" customHeight="1" x14ac:dyDescent="0.2">
      <c r="C209" s="287"/>
      <c r="K209" s="287"/>
    </row>
    <row r="210" spans="3:11" ht="15.75" customHeight="1" x14ac:dyDescent="0.2">
      <c r="C210" s="287"/>
      <c r="K210" s="287"/>
    </row>
    <row r="211" spans="3:11" ht="15.75" customHeight="1" x14ac:dyDescent="0.2">
      <c r="C211" s="287"/>
      <c r="K211" s="287"/>
    </row>
    <row r="212" spans="3:11" ht="15.75" customHeight="1" x14ac:dyDescent="0.2">
      <c r="C212" s="287"/>
      <c r="K212" s="287"/>
    </row>
    <row r="213" spans="3:11" ht="15.75" customHeight="1" x14ac:dyDescent="0.2">
      <c r="C213" s="287"/>
      <c r="K213" s="287"/>
    </row>
    <row r="214" spans="3:11" ht="15.75" customHeight="1" x14ac:dyDescent="0.2">
      <c r="C214" s="287"/>
      <c r="K214" s="287"/>
    </row>
    <row r="215" spans="3:11" ht="15.75" customHeight="1" x14ac:dyDescent="0.2">
      <c r="C215" s="287"/>
      <c r="K215" s="287"/>
    </row>
    <row r="216" spans="3:11" ht="15.75" customHeight="1" x14ac:dyDescent="0.2">
      <c r="C216" s="287"/>
      <c r="K216" s="287"/>
    </row>
    <row r="217" spans="3:11" ht="15.75" customHeight="1" x14ac:dyDescent="0.2">
      <c r="C217" s="287"/>
      <c r="K217" s="287"/>
    </row>
    <row r="218" spans="3:11" ht="15.75" customHeight="1" x14ac:dyDescent="0.2">
      <c r="C218" s="287"/>
      <c r="K218" s="287"/>
    </row>
    <row r="219" spans="3:11" ht="15.75" customHeight="1" x14ac:dyDescent="0.2">
      <c r="C219" s="287"/>
      <c r="K219" s="287"/>
    </row>
    <row r="220" spans="3:11" ht="15.75" customHeight="1" x14ac:dyDescent="0.2">
      <c r="C220" s="287"/>
      <c r="K220" s="287"/>
    </row>
    <row r="221" spans="3:11" ht="15.75" customHeight="1" x14ac:dyDescent="0.2">
      <c r="C221" s="287"/>
      <c r="K221" s="287"/>
    </row>
    <row r="222" spans="3:11" ht="15.75" customHeight="1" x14ac:dyDescent="0.2">
      <c r="C222" s="287"/>
      <c r="K222" s="287"/>
    </row>
    <row r="223" spans="3:11" ht="15.75" customHeight="1" x14ac:dyDescent="0.2">
      <c r="C223" s="287"/>
      <c r="K223" s="287"/>
    </row>
    <row r="224" spans="3:11" ht="15.75" customHeight="1" x14ac:dyDescent="0.2">
      <c r="C224" s="287"/>
      <c r="K224" s="287"/>
    </row>
    <row r="225" spans="3:11" ht="15.75" customHeight="1" x14ac:dyDescent="0.2">
      <c r="C225" s="287"/>
      <c r="K225" s="287"/>
    </row>
    <row r="226" spans="3:11" ht="15.75" customHeight="1" x14ac:dyDescent="0.2">
      <c r="C226" s="287"/>
      <c r="K226" s="287"/>
    </row>
    <row r="227" spans="3:11" ht="15.75" customHeight="1" x14ac:dyDescent="0.2">
      <c r="C227" s="287"/>
      <c r="K227" s="287"/>
    </row>
    <row r="228" spans="3:11" ht="15.75" customHeight="1" x14ac:dyDescent="0.2">
      <c r="C228" s="287"/>
      <c r="K228" s="287"/>
    </row>
    <row r="229" spans="3:11" ht="15.75" customHeight="1" x14ac:dyDescent="0.2">
      <c r="C229" s="287"/>
      <c r="K229" s="287"/>
    </row>
    <row r="230" spans="3:11" ht="15.75" customHeight="1" x14ac:dyDescent="0.2">
      <c r="C230" s="287"/>
      <c r="K230" s="287"/>
    </row>
    <row r="231" spans="3:11" ht="15.75" customHeight="1" x14ac:dyDescent="0.2">
      <c r="C231" s="287"/>
      <c r="K231" s="287"/>
    </row>
    <row r="232" spans="3:11" ht="15.75" customHeight="1" x14ac:dyDescent="0.2">
      <c r="C232" s="287"/>
      <c r="K232" s="287"/>
    </row>
    <row r="233" spans="3:11" ht="15.75" customHeight="1" x14ac:dyDescent="0.2">
      <c r="C233" s="287"/>
      <c r="K233" s="287"/>
    </row>
    <row r="234" spans="3:11" ht="15.75" customHeight="1" x14ac:dyDescent="0.2">
      <c r="C234" s="287"/>
      <c r="K234" s="287"/>
    </row>
    <row r="235" spans="3:11" ht="15.75" customHeight="1" x14ac:dyDescent="0.2">
      <c r="C235" s="287"/>
      <c r="K235" s="287"/>
    </row>
    <row r="236" spans="3:11" ht="15.75" customHeight="1" x14ac:dyDescent="0.2">
      <c r="C236" s="287"/>
      <c r="K236" s="287"/>
    </row>
    <row r="237" spans="3:11" ht="15.75" customHeight="1" x14ac:dyDescent="0.2">
      <c r="C237" s="287"/>
      <c r="K237" s="287"/>
    </row>
    <row r="238" spans="3:11" ht="15.75" customHeight="1" x14ac:dyDescent="0.2">
      <c r="C238" s="287"/>
      <c r="K238" s="287"/>
    </row>
    <row r="239" spans="3:11" ht="15.75" customHeight="1" x14ac:dyDescent="0.2">
      <c r="C239" s="287"/>
      <c r="K239" s="287"/>
    </row>
    <row r="240" spans="3:11" ht="15.75" customHeight="1" x14ac:dyDescent="0.2">
      <c r="C240" s="287"/>
      <c r="K240" s="287"/>
    </row>
    <row r="241" spans="1:19" ht="15.75" customHeight="1" x14ac:dyDescent="0.2">
      <c r="C241" s="287"/>
      <c r="K241" s="287"/>
    </row>
    <row r="242" spans="1:19" ht="15.75" customHeight="1" x14ac:dyDescent="0.2">
      <c r="C242" s="287"/>
      <c r="K242" s="287"/>
    </row>
    <row r="243" spans="1:19" ht="15.75" customHeight="1" x14ac:dyDescent="0.2">
      <c r="C243" s="287"/>
      <c r="K243" s="287"/>
    </row>
    <row r="244" spans="1:19" ht="15.75" customHeight="1" x14ac:dyDescent="0.2">
      <c r="C244" s="287"/>
      <c r="K244" s="287"/>
    </row>
    <row r="245" spans="1:19" ht="15.75" customHeight="1" x14ac:dyDescent="0.2">
      <c r="C245" s="287"/>
      <c r="K245" s="287"/>
    </row>
    <row r="246" spans="1:19" ht="15.75" customHeight="1" x14ac:dyDescent="0.2">
      <c r="C246" s="287"/>
      <c r="K246" s="287"/>
    </row>
    <row r="247" spans="1:19" ht="15.75" customHeight="1" x14ac:dyDescent="0.2">
      <c r="C247" s="287"/>
      <c r="K247" s="287"/>
    </row>
    <row r="248" spans="1:19" ht="15.75" customHeight="1" x14ac:dyDescent="0.2">
      <c r="C248" s="287"/>
      <c r="K248" s="287"/>
    </row>
    <row r="249" spans="1:19" ht="15.75" customHeight="1" x14ac:dyDescent="0.2">
      <c r="C249" s="287"/>
      <c r="K249" s="287"/>
    </row>
    <row r="250" spans="1:19" ht="15.75" customHeight="1" x14ac:dyDescent="0.2">
      <c r="A250" s="3" t="s">
        <v>50</v>
      </c>
      <c r="B250" s="3" t="s">
        <v>51</v>
      </c>
      <c r="C250" s="292"/>
      <c r="D250" s="99" t="s">
        <v>52</v>
      </c>
      <c r="E250" s="100" t="s">
        <v>53</v>
      </c>
      <c r="F250" s="100" t="s">
        <v>54</v>
      </c>
      <c r="G250" s="100" t="s">
        <v>55</v>
      </c>
      <c r="H250" s="24" t="s">
        <v>56</v>
      </c>
      <c r="I250" s="24" t="s">
        <v>57</v>
      </c>
      <c r="J250" s="101" t="s">
        <v>58</v>
      </c>
      <c r="K250" s="292"/>
      <c r="L250" s="3" t="s">
        <v>59</v>
      </c>
      <c r="M250" s="3" t="s">
        <v>60</v>
      </c>
      <c r="N250" s="3" t="s">
        <v>61</v>
      </c>
      <c r="O250" s="3" t="s">
        <v>62</v>
      </c>
      <c r="P250" s="293" t="s">
        <v>541</v>
      </c>
      <c r="Q250" s="293" t="s">
        <v>64</v>
      </c>
      <c r="R250" s="293" t="s">
        <v>65</v>
      </c>
      <c r="S250" s="293" t="s">
        <v>586</v>
      </c>
    </row>
    <row r="251" spans="1:19" ht="15.75" customHeight="1" x14ac:dyDescent="0.25">
      <c r="A251" s="565" t="s">
        <v>752</v>
      </c>
      <c r="B251" s="566"/>
      <c r="C251" s="311"/>
      <c r="D251" s="66"/>
      <c r="E251" s="65"/>
      <c r="F251" s="65"/>
      <c r="G251" s="275"/>
      <c r="H251" s="234"/>
      <c r="K251" s="311"/>
      <c r="L251" s="65"/>
      <c r="M251" s="165"/>
      <c r="N251" s="65"/>
      <c r="O251" s="165"/>
      <c r="P251" s="157"/>
      <c r="Q251" s="157"/>
      <c r="R251" s="275"/>
      <c r="S251" s="275"/>
    </row>
    <row r="252" spans="1:19" ht="15.75" customHeight="1" x14ac:dyDescent="0.25">
      <c r="A252" s="66" t="s">
        <v>753</v>
      </c>
      <c r="B252" s="66" t="s">
        <v>68</v>
      </c>
      <c r="C252" s="295"/>
      <c r="D252" s="160">
        <v>0</v>
      </c>
      <c r="E252" s="160" t="e">
        <f>D252*#REF!</f>
        <v>#REF!</v>
      </c>
      <c r="F252" s="160" t="e">
        <f>D252*#REF!</f>
        <v>#REF!</v>
      </c>
      <c r="G252" s="160" t="e">
        <f>(D252*#REF!)*#REF!</f>
        <v>#REF!</v>
      </c>
      <c r="H252" s="296">
        <f t="shared" ref="H252:H270" si="59">IFERROR(((Q252-G252)/G252),0)</f>
        <v>0</v>
      </c>
      <c r="I252" s="147" t="e">
        <f t="shared" ref="I252:I270" si="60">Q252-G252</f>
        <v>#REF!</v>
      </c>
      <c r="J252" s="97">
        <v>0</v>
      </c>
      <c r="K252" s="295"/>
      <c r="L252" s="20">
        <v>131453</v>
      </c>
      <c r="M252" s="20">
        <v>159816.60999999999</v>
      </c>
      <c r="N252" s="20">
        <v>204830</v>
      </c>
      <c r="O252" s="20">
        <f>VLOOKUP(A252,TB!A:F,3)</f>
        <v>145154.47</v>
      </c>
      <c r="P252" s="160">
        <f t="shared" ref="P252:P256" si="61">O252/20*26</f>
        <v>188700.81099999999</v>
      </c>
      <c r="Q252" s="160">
        <v>219200</v>
      </c>
      <c r="R252" s="233">
        <f>VLOOKUP(A252,TB!A:F,6)</f>
        <v>219200</v>
      </c>
      <c r="S252" s="233">
        <f t="shared" ref="S252:S269" si="62">Q252-R252</f>
        <v>0</v>
      </c>
    </row>
    <row r="253" spans="1:19" ht="15.75" customHeight="1" x14ac:dyDescent="0.25">
      <c r="A253" s="66" t="s">
        <v>754</v>
      </c>
      <c r="B253" s="66" t="s">
        <v>70</v>
      </c>
      <c r="C253" s="295"/>
      <c r="D253" s="160">
        <v>0</v>
      </c>
      <c r="E253" s="160" t="e">
        <f>D253*#REF!</f>
        <v>#REF!</v>
      </c>
      <c r="F253" s="160" t="e">
        <f>D253*#REF!</f>
        <v>#REF!</v>
      </c>
      <c r="G253" s="160" t="e">
        <f>(D253*#REF!)*#REF!</f>
        <v>#REF!</v>
      </c>
      <c r="H253" s="296">
        <f t="shared" si="59"/>
        <v>0</v>
      </c>
      <c r="I253" s="147" t="e">
        <f t="shared" si="60"/>
        <v>#REF!</v>
      </c>
      <c r="J253" s="97">
        <v>0</v>
      </c>
      <c r="K253" s="295"/>
      <c r="L253" s="20">
        <v>1473</v>
      </c>
      <c r="M253" s="20">
        <v>4448.6099999999997</v>
      </c>
      <c r="N253" s="20">
        <v>6500</v>
      </c>
      <c r="O253" s="20">
        <f>VLOOKUP(A253,TB!A:F,3)</f>
        <v>3562.59</v>
      </c>
      <c r="P253" s="160">
        <f t="shared" si="61"/>
        <v>4631.3670000000002</v>
      </c>
      <c r="Q253" s="160">
        <v>6500</v>
      </c>
      <c r="R253" s="233">
        <f>VLOOKUP(A253,TB!A:F,6)</f>
        <v>6500</v>
      </c>
      <c r="S253" s="233">
        <f t="shared" si="62"/>
        <v>0</v>
      </c>
    </row>
    <row r="254" spans="1:19" ht="15.75" customHeight="1" x14ac:dyDescent="0.25">
      <c r="A254" s="66" t="s">
        <v>755</v>
      </c>
      <c r="B254" s="66" t="s">
        <v>132</v>
      </c>
      <c r="C254" s="295"/>
      <c r="D254" s="160">
        <v>0</v>
      </c>
      <c r="E254" s="160" t="e">
        <f>D254*#REF!</f>
        <v>#REF!</v>
      </c>
      <c r="F254" s="160" t="e">
        <f>D254*#REF!</f>
        <v>#REF!</v>
      </c>
      <c r="G254" s="160" t="e">
        <f>(D254*#REF!)*#REF!</f>
        <v>#REF!</v>
      </c>
      <c r="H254" s="296">
        <f t="shared" si="59"/>
        <v>0</v>
      </c>
      <c r="I254" s="147" t="e">
        <f t="shared" si="60"/>
        <v>#REF!</v>
      </c>
      <c r="J254" s="97">
        <v>0</v>
      </c>
      <c r="K254" s="295"/>
      <c r="L254" s="20">
        <v>78724</v>
      </c>
      <c r="M254" s="20">
        <v>71576.3</v>
      </c>
      <c r="N254" s="20">
        <v>64498</v>
      </c>
      <c r="O254" s="20">
        <f>VLOOKUP(A254,TB!A:F,3)</f>
        <v>49197.13</v>
      </c>
      <c r="P254" s="160">
        <f t="shared" si="61"/>
        <v>63956.269</v>
      </c>
      <c r="Q254" s="160">
        <v>86000</v>
      </c>
      <c r="R254" s="233">
        <f>VLOOKUP(A254,TB!A:F,6)</f>
        <v>86000</v>
      </c>
      <c r="S254" s="233">
        <f t="shared" si="62"/>
        <v>0</v>
      </c>
    </row>
    <row r="255" spans="1:19" ht="15.75" customHeight="1" x14ac:dyDescent="0.25">
      <c r="A255" s="66" t="s">
        <v>756</v>
      </c>
      <c r="B255" s="66" t="s">
        <v>108</v>
      </c>
      <c r="C255" s="295"/>
      <c r="D255" s="160">
        <v>0</v>
      </c>
      <c r="E255" s="160" t="e">
        <f>D255*#REF!</f>
        <v>#REF!</v>
      </c>
      <c r="F255" s="160" t="e">
        <f>D255*#REF!</f>
        <v>#REF!</v>
      </c>
      <c r="G255" s="160" t="e">
        <f>(D255*#REF!)*#REF!</f>
        <v>#REF!</v>
      </c>
      <c r="H255" s="296">
        <f t="shared" si="59"/>
        <v>0</v>
      </c>
      <c r="I255" s="147" t="e">
        <f t="shared" si="60"/>
        <v>#REF!</v>
      </c>
      <c r="J255" s="97">
        <v>0</v>
      </c>
      <c r="K255" s="295"/>
      <c r="L255" s="20">
        <v>0</v>
      </c>
      <c r="M255" s="20">
        <v>0</v>
      </c>
      <c r="N255" s="20">
        <v>0</v>
      </c>
      <c r="O255" s="20">
        <f>VLOOKUP(A255,TB!A:F,3)</f>
        <v>49197.13</v>
      </c>
      <c r="P255" s="160">
        <f t="shared" si="61"/>
        <v>63956.269</v>
      </c>
      <c r="Q255" s="160">
        <v>0</v>
      </c>
      <c r="R255" s="233">
        <v>0</v>
      </c>
      <c r="S255" s="233">
        <f t="shared" si="62"/>
        <v>0</v>
      </c>
    </row>
    <row r="256" spans="1:19" ht="15.75" customHeight="1" x14ac:dyDescent="0.25">
      <c r="A256" s="66" t="s">
        <v>757</v>
      </c>
      <c r="B256" s="66" t="s">
        <v>72</v>
      </c>
      <c r="C256" s="295"/>
      <c r="D256" s="160">
        <v>0</v>
      </c>
      <c r="E256" s="160" t="e">
        <f>D256*#REF!</f>
        <v>#REF!</v>
      </c>
      <c r="F256" s="160" t="e">
        <f>D256*#REF!</f>
        <v>#REF!</v>
      </c>
      <c r="G256" s="160" t="e">
        <f>(D256*#REF!)*#REF!</f>
        <v>#REF!</v>
      </c>
      <c r="H256" s="296">
        <f t="shared" si="59"/>
        <v>0</v>
      </c>
      <c r="I256" s="147" t="e">
        <f t="shared" si="60"/>
        <v>#REF!</v>
      </c>
      <c r="J256" s="97">
        <v>0</v>
      </c>
      <c r="K256" s="295"/>
      <c r="L256" s="20">
        <v>71360</v>
      </c>
      <c r="M256" s="20">
        <v>79982.98</v>
      </c>
      <c r="N256" s="20">
        <v>99908</v>
      </c>
      <c r="O256" s="20">
        <f>VLOOKUP(A256,TB!A:F,3)</f>
        <v>70541.740000000005</v>
      </c>
      <c r="P256" s="160">
        <f t="shared" si="61"/>
        <v>91704.262000000017</v>
      </c>
      <c r="Q256" s="160">
        <v>109600</v>
      </c>
      <c r="R256" s="233">
        <f>VLOOKUP(A256,TB!A:F,6)</f>
        <v>109600</v>
      </c>
      <c r="S256" s="233">
        <f t="shared" si="62"/>
        <v>0</v>
      </c>
    </row>
    <row r="257" spans="1:19" ht="15.75" customHeight="1" x14ac:dyDescent="0.25">
      <c r="A257" s="66" t="s">
        <v>758</v>
      </c>
      <c r="B257" s="66" t="s">
        <v>74</v>
      </c>
      <c r="C257" s="295"/>
      <c r="D257" s="160">
        <v>0</v>
      </c>
      <c r="E257" s="160" t="e">
        <f>D257*#REF!</f>
        <v>#REF!</v>
      </c>
      <c r="F257" s="160" t="e">
        <f>D257*#REF!</f>
        <v>#REF!</v>
      </c>
      <c r="G257" s="160" t="e">
        <f>(D257*#REF!)*#REF!</f>
        <v>#REF!</v>
      </c>
      <c r="H257" s="296">
        <f t="shared" si="59"/>
        <v>0</v>
      </c>
      <c r="I257" s="147" t="e">
        <f t="shared" si="60"/>
        <v>#REF!</v>
      </c>
      <c r="J257" s="97">
        <v>0</v>
      </c>
      <c r="K257" s="295"/>
      <c r="L257" s="20">
        <v>147</v>
      </c>
      <c r="M257" s="20">
        <v>0</v>
      </c>
      <c r="N257" s="20">
        <v>500</v>
      </c>
      <c r="O257" s="20">
        <f>VLOOKUP(A257,TB!A:F,3)</f>
        <v>0</v>
      </c>
      <c r="P257" s="163">
        <f t="shared" ref="P257:P261" si="63">N257</f>
        <v>500</v>
      </c>
      <c r="Q257" s="160">
        <v>500</v>
      </c>
      <c r="R257" s="233">
        <f>VLOOKUP(A257,TB!A:F,6)</f>
        <v>500</v>
      </c>
      <c r="S257" s="233">
        <f t="shared" si="62"/>
        <v>0</v>
      </c>
    </row>
    <row r="258" spans="1:19" ht="15.75" customHeight="1" x14ac:dyDescent="0.25">
      <c r="A258" s="66" t="s">
        <v>759</v>
      </c>
      <c r="B258" s="66" t="s">
        <v>76</v>
      </c>
      <c r="C258" s="295"/>
      <c r="D258" s="160">
        <v>0</v>
      </c>
      <c r="E258" s="160" t="e">
        <f>D258*#REF!</f>
        <v>#REF!</v>
      </c>
      <c r="F258" s="160" t="e">
        <f>D258*#REF!</f>
        <v>#REF!</v>
      </c>
      <c r="G258" s="160" t="e">
        <f>(D258*#REF!)*#REF!</f>
        <v>#REF!</v>
      </c>
      <c r="H258" s="296">
        <f t="shared" si="59"/>
        <v>0</v>
      </c>
      <c r="I258" s="147" t="e">
        <f t="shared" si="60"/>
        <v>#REF!</v>
      </c>
      <c r="J258" s="97">
        <v>0</v>
      </c>
      <c r="K258" s="295"/>
      <c r="L258" s="20">
        <v>0</v>
      </c>
      <c r="M258" s="20">
        <v>0</v>
      </c>
      <c r="N258" s="20">
        <v>1000</v>
      </c>
      <c r="O258" s="20">
        <f>VLOOKUP(A258,TB!A:F,3)</f>
        <v>0</v>
      </c>
      <c r="P258" s="163">
        <f t="shared" si="63"/>
        <v>1000</v>
      </c>
      <c r="Q258" s="160">
        <v>500</v>
      </c>
      <c r="R258" s="233">
        <f>VLOOKUP(A258,TB!A:F,6)</f>
        <v>500</v>
      </c>
      <c r="S258" s="233">
        <f t="shared" si="62"/>
        <v>0</v>
      </c>
    </row>
    <row r="259" spans="1:19" ht="15.75" customHeight="1" x14ac:dyDescent="0.25">
      <c r="A259" s="66" t="s">
        <v>760</v>
      </c>
      <c r="B259" s="66" t="s">
        <v>80</v>
      </c>
      <c r="C259" s="295"/>
      <c r="D259" s="160">
        <v>0</v>
      </c>
      <c r="E259" s="160" t="e">
        <f>D259*#REF!</f>
        <v>#REF!</v>
      </c>
      <c r="F259" s="160" t="e">
        <f>D259*#REF!</f>
        <v>#REF!</v>
      </c>
      <c r="G259" s="160" t="e">
        <f>(D259*#REF!)*#REF!</f>
        <v>#REF!</v>
      </c>
      <c r="H259" s="296">
        <f t="shared" si="59"/>
        <v>0</v>
      </c>
      <c r="I259" s="147" t="e">
        <f t="shared" si="60"/>
        <v>#REF!</v>
      </c>
      <c r="J259" s="97">
        <v>0</v>
      </c>
      <c r="K259" s="295"/>
      <c r="L259" s="20">
        <v>5600</v>
      </c>
      <c r="M259" s="20">
        <v>1585.54</v>
      </c>
      <c r="N259" s="20">
        <v>3000</v>
      </c>
      <c r="O259" s="20">
        <f>VLOOKUP(A259,TB!A:F,3)</f>
        <v>2074.5</v>
      </c>
      <c r="P259" s="163">
        <f t="shared" si="63"/>
        <v>3000</v>
      </c>
      <c r="Q259" s="160">
        <v>3010</v>
      </c>
      <c r="R259" s="233">
        <f>VLOOKUP(A259,TB!A:F,6)</f>
        <v>3010</v>
      </c>
      <c r="S259" s="233">
        <f t="shared" si="62"/>
        <v>0</v>
      </c>
    </row>
    <row r="260" spans="1:19" ht="15.75" customHeight="1" x14ac:dyDescent="0.25">
      <c r="A260" s="66" t="s">
        <v>761</v>
      </c>
      <c r="B260" s="66" t="s">
        <v>82</v>
      </c>
      <c r="C260" s="295"/>
      <c r="D260" s="160">
        <v>0</v>
      </c>
      <c r="E260" s="160" t="e">
        <f>D260*#REF!</f>
        <v>#REF!</v>
      </c>
      <c r="F260" s="160" t="e">
        <f>D260*#REF!</f>
        <v>#REF!</v>
      </c>
      <c r="G260" s="160" t="e">
        <f>(D260*#REF!)*#REF!</f>
        <v>#REF!</v>
      </c>
      <c r="H260" s="296">
        <f t="shared" si="59"/>
        <v>0</v>
      </c>
      <c r="I260" s="147" t="e">
        <f t="shared" si="60"/>
        <v>#REF!</v>
      </c>
      <c r="J260" s="97">
        <v>0</v>
      </c>
      <c r="K260" s="295"/>
      <c r="L260" s="20">
        <v>21054</v>
      </c>
      <c r="M260" s="20">
        <v>65665.67</v>
      </c>
      <c r="N260" s="20">
        <v>64000</v>
      </c>
      <c r="O260" s="20">
        <f>VLOOKUP(A260,TB!A:F,3)</f>
        <v>25390.87</v>
      </c>
      <c r="P260" s="163">
        <f t="shared" si="63"/>
        <v>64000</v>
      </c>
      <c r="Q260" s="160">
        <v>30000</v>
      </c>
      <c r="R260" s="233">
        <f>VLOOKUP(A260,TB!A:F,6)</f>
        <v>30000</v>
      </c>
      <c r="S260" s="233">
        <f t="shared" si="62"/>
        <v>0</v>
      </c>
    </row>
    <row r="261" spans="1:19" ht="15.75" customHeight="1" x14ac:dyDescent="0.25">
      <c r="A261" s="66" t="s">
        <v>762</v>
      </c>
      <c r="B261" s="66" t="s">
        <v>115</v>
      </c>
      <c r="C261" s="295"/>
      <c r="D261" s="160">
        <v>0</v>
      </c>
      <c r="E261" s="160" t="e">
        <f>D261*#REF!</f>
        <v>#REF!</v>
      </c>
      <c r="F261" s="160" t="e">
        <f>D261*#REF!</f>
        <v>#REF!</v>
      </c>
      <c r="G261" s="160" t="e">
        <f>(D261*#REF!)*#REF!</f>
        <v>#REF!</v>
      </c>
      <c r="H261" s="296">
        <f t="shared" si="59"/>
        <v>0</v>
      </c>
      <c r="I261" s="147" t="e">
        <f t="shared" si="60"/>
        <v>#REF!</v>
      </c>
      <c r="J261" s="97">
        <v>0</v>
      </c>
      <c r="K261" s="295"/>
      <c r="L261" s="20">
        <v>16320</v>
      </c>
      <c r="M261" s="20">
        <v>8172.88</v>
      </c>
      <c r="N261" s="20">
        <v>35225</v>
      </c>
      <c r="O261" s="20">
        <f>VLOOKUP(A261,TB!A:F,3)</f>
        <v>16637.16</v>
      </c>
      <c r="P261" s="160">
        <f t="shared" si="63"/>
        <v>35225</v>
      </c>
      <c r="Q261" s="160">
        <v>15389</v>
      </c>
      <c r="R261" s="233">
        <f>VLOOKUP(A261,TB!A:F,6)</f>
        <v>15388.51</v>
      </c>
      <c r="S261" s="233">
        <f t="shared" si="62"/>
        <v>0.48999999999978172</v>
      </c>
    </row>
    <row r="262" spans="1:19" ht="15.75" customHeight="1" x14ac:dyDescent="0.25">
      <c r="A262" s="66" t="s">
        <v>763</v>
      </c>
      <c r="B262" s="66" t="s">
        <v>84</v>
      </c>
      <c r="C262" s="295"/>
      <c r="D262" s="160">
        <v>0</v>
      </c>
      <c r="E262" s="160" t="e">
        <f>D262*#REF!</f>
        <v>#REF!</v>
      </c>
      <c r="F262" s="160" t="e">
        <f>D262*#REF!</f>
        <v>#REF!</v>
      </c>
      <c r="G262" s="160" t="e">
        <f>(D262*#REF!)*#REF!</f>
        <v>#REF!</v>
      </c>
      <c r="H262" s="296">
        <f t="shared" si="59"/>
        <v>0</v>
      </c>
      <c r="I262" s="147" t="e">
        <f t="shared" si="60"/>
        <v>#REF!</v>
      </c>
      <c r="J262" s="97">
        <v>0</v>
      </c>
      <c r="K262" s="295"/>
      <c r="L262" s="20">
        <v>182</v>
      </c>
      <c r="M262" s="20">
        <v>0</v>
      </c>
      <c r="N262" s="20">
        <v>0</v>
      </c>
      <c r="O262" s="20">
        <f>VLOOKUP(A262,TB!A:F,3)</f>
        <v>0</v>
      </c>
      <c r="P262" s="160">
        <f t="shared" ref="P262:P263" si="64">O262/9*12</f>
        <v>0</v>
      </c>
      <c r="Q262" s="160">
        <v>0</v>
      </c>
      <c r="R262" s="233">
        <f>VLOOKUP(A262,TB!A:F,6)</f>
        <v>0</v>
      </c>
      <c r="S262" s="233">
        <f t="shared" si="62"/>
        <v>0</v>
      </c>
    </row>
    <row r="263" spans="1:19" ht="15.75" customHeight="1" x14ac:dyDescent="0.25">
      <c r="A263" s="66" t="s">
        <v>764</v>
      </c>
      <c r="B263" s="66" t="s">
        <v>210</v>
      </c>
      <c r="C263" s="295"/>
      <c r="D263" s="160">
        <v>0</v>
      </c>
      <c r="E263" s="160" t="e">
        <f>D263*#REF!</f>
        <v>#REF!</v>
      </c>
      <c r="F263" s="160" t="e">
        <f>D263*#REF!</f>
        <v>#REF!</v>
      </c>
      <c r="G263" s="160" t="e">
        <f>(D263*#REF!)*#REF!</f>
        <v>#REF!</v>
      </c>
      <c r="H263" s="296">
        <f t="shared" si="59"/>
        <v>0</v>
      </c>
      <c r="I263" s="147" t="e">
        <f t="shared" si="60"/>
        <v>#REF!</v>
      </c>
      <c r="J263" s="97">
        <v>0</v>
      </c>
      <c r="K263" s="295"/>
      <c r="L263" s="20">
        <v>848</v>
      </c>
      <c r="M263" s="20">
        <v>0</v>
      </c>
      <c r="N263" s="20">
        <v>0</v>
      </c>
      <c r="O263" s="20">
        <f>VLOOKUP(A263,TB!A:F,3)</f>
        <v>0</v>
      </c>
      <c r="P263" s="160">
        <f t="shared" si="64"/>
        <v>0</v>
      </c>
      <c r="Q263" s="160">
        <v>0</v>
      </c>
      <c r="R263" s="233">
        <f>VLOOKUP(A263,TB!A:F,6)</f>
        <v>0</v>
      </c>
      <c r="S263" s="233">
        <f t="shared" si="62"/>
        <v>0</v>
      </c>
    </row>
    <row r="264" spans="1:19" ht="15.75" customHeight="1" x14ac:dyDescent="0.25">
      <c r="A264" s="66" t="s">
        <v>765</v>
      </c>
      <c r="B264" s="66" t="s">
        <v>86</v>
      </c>
      <c r="C264" s="295"/>
      <c r="D264" s="160">
        <v>0</v>
      </c>
      <c r="E264" s="160" t="e">
        <f>D264*#REF!</f>
        <v>#REF!</v>
      </c>
      <c r="F264" s="160" t="e">
        <f>D264*#REF!</f>
        <v>#REF!</v>
      </c>
      <c r="G264" s="160" t="e">
        <f>(D264*#REF!)*#REF!</f>
        <v>#REF!</v>
      </c>
      <c r="H264" s="296">
        <f t="shared" si="59"/>
        <v>0</v>
      </c>
      <c r="I264" s="147" t="e">
        <f t="shared" si="60"/>
        <v>#REF!</v>
      </c>
      <c r="J264" s="97">
        <v>0</v>
      </c>
      <c r="K264" s="295"/>
      <c r="L264" s="20">
        <v>0</v>
      </c>
      <c r="M264" s="20">
        <v>0</v>
      </c>
      <c r="N264" s="20">
        <v>80000</v>
      </c>
      <c r="O264" s="20">
        <f>VLOOKUP(A264,TB!A:F,3)</f>
        <v>29194</v>
      </c>
      <c r="P264" s="163">
        <f t="shared" ref="P264:P268" si="65">N264</f>
        <v>80000</v>
      </c>
      <c r="Q264" s="160">
        <v>45040</v>
      </c>
      <c r="R264" s="233">
        <f>VLOOKUP(A264,TB!A:F,6)</f>
        <v>45040</v>
      </c>
      <c r="S264" s="233">
        <f t="shared" si="62"/>
        <v>0</v>
      </c>
    </row>
    <row r="265" spans="1:19" ht="15.75" customHeight="1" x14ac:dyDescent="0.25">
      <c r="A265" s="66" t="s">
        <v>766</v>
      </c>
      <c r="B265" s="66" t="s">
        <v>88</v>
      </c>
      <c r="C265" s="295"/>
      <c r="D265" s="160">
        <v>0</v>
      </c>
      <c r="E265" s="160" t="e">
        <f>D265*#REF!</f>
        <v>#REF!</v>
      </c>
      <c r="F265" s="160" t="e">
        <f>D265*#REF!</f>
        <v>#REF!</v>
      </c>
      <c r="G265" s="160" t="e">
        <f>(D265*#REF!)*#REF!</f>
        <v>#REF!</v>
      </c>
      <c r="H265" s="296">
        <f t="shared" si="59"/>
        <v>0</v>
      </c>
      <c r="I265" s="147" t="e">
        <f t="shared" si="60"/>
        <v>#REF!</v>
      </c>
      <c r="J265" s="97">
        <v>0</v>
      </c>
      <c r="K265" s="295"/>
      <c r="L265" s="20">
        <v>0</v>
      </c>
      <c r="M265" s="20">
        <v>524</v>
      </c>
      <c r="N265" s="20">
        <v>2000</v>
      </c>
      <c r="O265" s="20">
        <f>VLOOKUP(A265,TB!A:F,3)</f>
        <v>402</v>
      </c>
      <c r="P265" s="163">
        <f t="shared" si="65"/>
        <v>2000</v>
      </c>
      <c r="Q265" s="160">
        <v>1000</v>
      </c>
      <c r="R265" s="233">
        <f>VLOOKUP(A265,TB!A:F,6)</f>
        <v>1000</v>
      </c>
      <c r="S265" s="233">
        <f t="shared" si="62"/>
        <v>0</v>
      </c>
    </row>
    <row r="266" spans="1:19" ht="15.75" customHeight="1" x14ac:dyDescent="0.25">
      <c r="A266" s="66" t="s">
        <v>767</v>
      </c>
      <c r="B266" s="66" t="s">
        <v>90</v>
      </c>
      <c r="C266" s="295"/>
      <c r="D266" s="160">
        <v>0</v>
      </c>
      <c r="E266" s="160" t="e">
        <f>D266*#REF!</f>
        <v>#REF!</v>
      </c>
      <c r="F266" s="160" t="e">
        <f>D266*#REF!</f>
        <v>#REF!</v>
      </c>
      <c r="G266" s="160" t="e">
        <f>(D266*#REF!)*#REF!</f>
        <v>#REF!</v>
      </c>
      <c r="H266" s="296">
        <f t="shared" si="59"/>
        <v>0</v>
      </c>
      <c r="I266" s="147" t="e">
        <f t="shared" si="60"/>
        <v>#REF!</v>
      </c>
      <c r="J266" s="97">
        <v>0</v>
      </c>
      <c r="K266" s="295"/>
      <c r="L266" s="20">
        <v>0</v>
      </c>
      <c r="M266" s="20">
        <v>99.84</v>
      </c>
      <c r="N266" s="20">
        <v>3000</v>
      </c>
      <c r="O266" s="20">
        <f>VLOOKUP(A266,TB!A:F,3)</f>
        <v>0</v>
      </c>
      <c r="P266" s="163">
        <f t="shared" si="65"/>
        <v>3000</v>
      </c>
      <c r="Q266" s="160">
        <v>3000</v>
      </c>
      <c r="R266" s="233">
        <f>VLOOKUP(A266,TB!A:F,6)</f>
        <v>3000</v>
      </c>
      <c r="S266" s="233">
        <f t="shared" si="62"/>
        <v>0</v>
      </c>
    </row>
    <row r="267" spans="1:19" ht="15.75" customHeight="1" x14ac:dyDescent="0.25">
      <c r="A267" s="66" t="s">
        <v>768</v>
      </c>
      <c r="B267" s="66" t="s">
        <v>252</v>
      </c>
      <c r="C267" s="295"/>
      <c r="D267" s="160">
        <v>0</v>
      </c>
      <c r="E267" s="160" t="e">
        <f>D267*#REF!</f>
        <v>#REF!</v>
      </c>
      <c r="F267" s="160" t="e">
        <f>D267*#REF!</f>
        <v>#REF!</v>
      </c>
      <c r="G267" s="160" t="e">
        <f>(D267*#REF!)*#REF!</f>
        <v>#REF!</v>
      </c>
      <c r="H267" s="296">
        <f t="shared" si="59"/>
        <v>0</v>
      </c>
      <c r="I267" s="147" t="e">
        <f t="shared" si="60"/>
        <v>#REF!</v>
      </c>
      <c r="J267" s="97">
        <v>0</v>
      </c>
      <c r="K267" s="295"/>
      <c r="L267" s="20">
        <v>22206</v>
      </c>
      <c r="M267" s="20">
        <v>20420.349999999999</v>
      </c>
      <c r="N267" s="20">
        <v>25000</v>
      </c>
      <c r="O267" s="20">
        <f>VLOOKUP(A267,TB!A:F,3)</f>
        <v>19418.7</v>
      </c>
      <c r="P267" s="163">
        <f t="shared" si="65"/>
        <v>25000</v>
      </c>
      <c r="Q267" s="160">
        <v>34900</v>
      </c>
      <c r="R267" s="233">
        <f>VLOOKUP(A267,TB!A:F,6)</f>
        <v>34900</v>
      </c>
      <c r="S267" s="233">
        <f t="shared" si="62"/>
        <v>0</v>
      </c>
    </row>
    <row r="268" spans="1:19" ht="15.75" customHeight="1" x14ac:dyDescent="0.25">
      <c r="A268" s="66" t="s">
        <v>769</v>
      </c>
      <c r="B268" s="66" t="s">
        <v>502</v>
      </c>
      <c r="C268" s="295"/>
      <c r="D268" s="160">
        <v>0</v>
      </c>
      <c r="E268" s="160" t="e">
        <f>D268*#REF!</f>
        <v>#REF!</v>
      </c>
      <c r="F268" s="160" t="e">
        <f>D268*#REF!</f>
        <v>#REF!</v>
      </c>
      <c r="G268" s="160" t="e">
        <f>(D268*#REF!)*#REF!</f>
        <v>#REF!</v>
      </c>
      <c r="H268" s="296">
        <f t="shared" si="59"/>
        <v>0</v>
      </c>
      <c r="I268" s="147" t="e">
        <f t="shared" si="60"/>
        <v>#REF!</v>
      </c>
      <c r="J268" s="97">
        <v>0</v>
      </c>
      <c r="K268" s="295"/>
      <c r="L268" s="20">
        <v>1132</v>
      </c>
      <c r="M268" s="20">
        <v>2029.31</v>
      </c>
      <c r="N268" s="20">
        <v>6000</v>
      </c>
      <c r="O268" s="20">
        <f>VLOOKUP(A268,TB!A:F,3)</f>
        <v>2312.7600000000002</v>
      </c>
      <c r="P268" s="163">
        <f t="shared" si="65"/>
        <v>6000</v>
      </c>
      <c r="Q268" s="160">
        <v>5400</v>
      </c>
      <c r="R268" s="233">
        <f>VLOOKUP(A268,TB!A:F,6)</f>
        <v>5400</v>
      </c>
      <c r="S268" s="233">
        <f t="shared" si="62"/>
        <v>0</v>
      </c>
    </row>
    <row r="269" spans="1:19" ht="15.75" customHeight="1" x14ac:dyDescent="0.25">
      <c r="A269" s="66" t="s">
        <v>770</v>
      </c>
      <c r="B269" s="66" t="s">
        <v>92</v>
      </c>
      <c r="C269" s="295"/>
      <c r="D269" s="160">
        <v>0</v>
      </c>
      <c r="E269" s="160" t="e">
        <f>D269*#REF!</f>
        <v>#REF!</v>
      </c>
      <c r="F269" s="160" t="e">
        <f>D269*#REF!</f>
        <v>#REF!</v>
      </c>
      <c r="G269" s="160" t="e">
        <f>(D269*#REF!)*#REF!</f>
        <v>#REF!</v>
      </c>
      <c r="H269" s="296">
        <f t="shared" si="59"/>
        <v>0</v>
      </c>
      <c r="I269" s="147" t="e">
        <f t="shared" si="60"/>
        <v>#REF!</v>
      </c>
      <c r="J269" s="97">
        <v>0</v>
      </c>
      <c r="K269" s="295"/>
      <c r="L269" s="20">
        <v>4327</v>
      </c>
      <c r="M269" s="20">
        <v>0</v>
      </c>
      <c r="N269" s="20">
        <v>0</v>
      </c>
      <c r="O269" s="20">
        <f>VLOOKUP(A269,TB!A:F,3)</f>
        <v>0</v>
      </c>
      <c r="P269" s="160">
        <f>O269/9*12</f>
        <v>0</v>
      </c>
      <c r="Q269" s="160">
        <v>0</v>
      </c>
      <c r="R269" s="233">
        <f>VLOOKUP(A269,TB!A:F,6)</f>
        <v>0</v>
      </c>
      <c r="S269" s="233">
        <f t="shared" si="62"/>
        <v>0</v>
      </c>
    </row>
    <row r="270" spans="1:19" ht="15.75" customHeight="1" x14ac:dyDescent="0.25">
      <c r="A270" s="74" t="s">
        <v>771</v>
      </c>
      <c r="B270" s="75"/>
      <c r="C270" s="299"/>
      <c r="D270" s="189">
        <f t="shared" ref="D270:G270" si="66">SUM(D252:D269)</f>
        <v>0</v>
      </c>
      <c r="E270" s="189" t="e">
        <f t="shared" si="66"/>
        <v>#REF!</v>
      </c>
      <c r="F270" s="189" t="e">
        <f t="shared" si="66"/>
        <v>#REF!</v>
      </c>
      <c r="G270" s="189" t="e">
        <f t="shared" si="66"/>
        <v>#REF!</v>
      </c>
      <c r="H270" s="300">
        <f t="shared" si="59"/>
        <v>0</v>
      </c>
      <c r="I270" s="189" t="e">
        <f t="shared" si="60"/>
        <v>#REF!</v>
      </c>
      <c r="J270" s="301">
        <f>SUM(J252:J269)</f>
        <v>0</v>
      </c>
      <c r="K270" s="299"/>
      <c r="L270" s="77">
        <f t="shared" ref="L270:S270" si="67">SUM(L252:L269)</f>
        <v>354826</v>
      </c>
      <c r="M270" s="77">
        <f t="shared" si="67"/>
        <v>414322.08999999991</v>
      </c>
      <c r="N270" s="77">
        <f t="shared" si="67"/>
        <v>595461</v>
      </c>
      <c r="O270" s="77">
        <f t="shared" si="67"/>
        <v>413083.05</v>
      </c>
      <c r="P270" s="189">
        <f t="shared" si="67"/>
        <v>632673.978</v>
      </c>
      <c r="Q270" s="189">
        <f t="shared" si="67"/>
        <v>560039</v>
      </c>
      <c r="R270" s="77">
        <f t="shared" si="67"/>
        <v>560038.51</v>
      </c>
      <c r="S270" s="77">
        <f t="shared" si="67"/>
        <v>0.48999999999978172</v>
      </c>
    </row>
    <row r="271" spans="1:19" ht="15.75" customHeight="1" x14ac:dyDescent="0.2">
      <c r="C271" s="287"/>
      <c r="K271" s="287"/>
      <c r="L271" s="54"/>
      <c r="M271" s="54"/>
      <c r="N271" s="54"/>
      <c r="O271" s="54"/>
      <c r="P271" s="54"/>
      <c r="Q271" s="54"/>
      <c r="R271" s="81"/>
      <c r="S271" s="81"/>
    </row>
    <row r="272" spans="1:19" ht="15.75" customHeight="1" x14ac:dyDescent="0.25">
      <c r="A272" s="66" t="s">
        <v>772</v>
      </c>
      <c r="B272" s="66" t="s">
        <v>99</v>
      </c>
      <c r="C272" s="295"/>
      <c r="D272" s="160">
        <v>0</v>
      </c>
      <c r="E272" s="160" t="e">
        <f>D272*#REF!</f>
        <v>#REF!</v>
      </c>
      <c r="F272" s="160" t="e">
        <f>D272*#REF!</f>
        <v>#REF!</v>
      </c>
      <c r="G272" s="160" t="e">
        <f>(D272*#REF!)*#REF!</f>
        <v>#REF!</v>
      </c>
      <c r="H272" s="296">
        <f t="shared" ref="H272:H273" si="68">IFERROR(((Q272-G272)/G272),0)</f>
        <v>0</v>
      </c>
      <c r="I272" s="147" t="e">
        <f t="shared" ref="I272:I273" si="69">Q272-G272</f>
        <v>#REF!</v>
      </c>
      <c r="J272" s="97">
        <v>0</v>
      </c>
      <c r="K272" s="295"/>
      <c r="L272" s="20">
        <v>0</v>
      </c>
      <c r="M272" s="20">
        <v>13843</v>
      </c>
      <c r="N272" s="20">
        <v>0</v>
      </c>
      <c r="O272" s="20">
        <f>VLOOKUP(A272,TB!A:F,3)</f>
        <v>0</v>
      </c>
      <c r="P272" s="160">
        <f>O272</f>
        <v>0</v>
      </c>
      <c r="Q272" s="160">
        <v>0</v>
      </c>
      <c r="R272" s="233">
        <f>VLOOKUP(A272,TB!A:F,6)</f>
        <v>0</v>
      </c>
      <c r="S272" s="233">
        <f>Q272-R272</f>
        <v>0</v>
      </c>
    </row>
    <row r="273" spans="1:29" ht="15.75" customHeight="1" x14ac:dyDescent="0.25">
      <c r="A273" s="74" t="s">
        <v>771</v>
      </c>
      <c r="B273" s="75"/>
      <c r="C273" s="299"/>
      <c r="D273" s="189">
        <f t="shared" ref="D273:G273" si="70">SUM(D272)</f>
        <v>0</v>
      </c>
      <c r="E273" s="189" t="e">
        <f t="shared" si="70"/>
        <v>#REF!</v>
      </c>
      <c r="F273" s="189" t="e">
        <f t="shared" si="70"/>
        <v>#REF!</v>
      </c>
      <c r="G273" s="189" t="e">
        <f t="shared" si="70"/>
        <v>#REF!</v>
      </c>
      <c r="H273" s="300">
        <f t="shared" si="68"/>
        <v>0</v>
      </c>
      <c r="I273" s="189" t="e">
        <f t="shared" si="69"/>
        <v>#REF!</v>
      </c>
      <c r="J273" s="301">
        <v>0</v>
      </c>
      <c r="K273" s="299"/>
      <c r="L273" s="77">
        <f t="shared" ref="L273:S273" si="71">SUM(L272)</f>
        <v>0</v>
      </c>
      <c r="M273" s="77">
        <f t="shared" si="71"/>
        <v>13843</v>
      </c>
      <c r="N273" s="77">
        <f t="shared" si="71"/>
        <v>0</v>
      </c>
      <c r="O273" s="77">
        <f t="shared" si="71"/>
        <v>0</v>
      </c>
      <c r="P273" s="189">
        <f t="shared" si="71"/>
        <v>0</v>
      </c>
      <c r="Q273" s="189">
        <f t="shared" si="71"/>
        <v>0</v>
      </c>
      <c r="R273" s="77">
        <f t="shared" si="71"/>
        <v>0</v>
      </c>
      <c r="S273" s="77">
        <f t="shared" si="71"/>
        <v>0</v>
      </c>
    </row>
    <row r="274" spans="1:29" ht="15.75" customHeight="1" x14ac:dyDescent="0.2">
      <c r="C274" s="287"/>
      <c r="K274" s="287"/>
      <c r="R274" s="83"/>
      <c r="S274" s="83"/>
    </row>
    <row r="275" spans="1:29" ht="15.75" customHeight="1" x14ac:dyDescent="0.25">
      <c r="A275" s="74" t="s">
        <v>773</v>
      </c>
      <c r="B275" s="305"/>
      <c r="C275" s="306"/>
      <c r="D275" s="189">
        <f t="shared" ref="D275:G275" si="72">D270+D273</f>
        <v>0</v>
      </c>
      <c r="E275" s="189" t="e">
        <f t="shared" si="72"/>
        <v>#REF!</v>
      </c>
      <c r="F275" s="189" t="e">
        <f t="shared" si="72"/>
        <v>#REF!</v>
      </c>
      <c r="G275" s="189" t="e">
        <f t="shared" si="72"/>
        <v>#REF!</v>
      </c>
      <c r="H275" s="300">
        <f>IFERROR(((Q275-G275)/G275),0)</f>
        <v>0</v>
      </c>
      <c r="I275" s="189" t="e">
        <f>Q275-G275</f>
        <v>#REF!</v>
      </c>
      <c r="J275" s="301">
        <v>0</v>
      </c>
      <c r="K275" s="306"/>
      <c r="L275" s="77">
        <f t="shared" ref="L275:S275" si="73">L270+L273</f>
        <v>354826</v>
      </c>
      <c r="M275" s="77">
        <f t="shared" si="73"/>
        <v>428165.08999999991</v>
      </c>
      <c r="N275" s="77">
        <f t="shared" si="73"/>
        <v>595461</v>
      </c>
      <c r="O275" s="77">
        <f t="shared" si="73"/>
        <v>413083.05</v>
      </c>
      <c r="P275" s="189">
        <f t="shared" si="73"/>
        <v>632673.978</v>
      </c>
      <c r="Q275" s="189">
        <f t="shared" si="73"/>
        <v>560039</v>
      </c>
      <c r="R275" s="77">
        <f t="shared" si="73"/>
        <v>560038.51</v>
      </c>
      <c r="S275" s="77">
        <f t="shared" si="73"/>
        <v>0.48999999999978172</v>
      </c>
    </row>
    <row r="276" spans="1:29" ht="15.75" customHeight="1" x14ac:dyDescent="0.2">
      <c r="C276" s="287"/>
      <c r="K276" s="287"/>
      <c r="R276" s="83"/>
      <c r="S276" s="83"/>
    </row>
    <row r="277" spans="1:29" ht="15.75" customHeight="1" x14ac:dyDescent="0.2">
      <c r="A277" s="69" t="s">
        <v>184</v>
      </c>
      <c r="C277" s="287"/>
      <c r="K277" s="287"/>
      <c r="R277" s="83"/>
      <c r="S277" s="83"/>
    </row>
    <row r="278" spans="1:29" ht="15.75" customHeight="1" x14ac:dyDescent="0.25">
      <c r="A278" s="51" t="s">
        <v>774</v>
      </c>
      <c r="B278" s="51" t="s">
        <v>775</v>
      </c>
      <c r="C278" s="307"/>
      <c r="D278" s="147">
        <v>0</v>
      </c>
      <c r="E278" s="160" t="e">
        <f>D278*#REF!</f>
        <v>#REF!</v>
      </c>
      <c r="F278" s="160" t="e">
        <f>D278*#REF!</f>
        <v>#REF!</v>
      </c>
      <c r="G278" s="160" t="e">
        <f>(D278*#REF!)*#REF!</f>
        <v>#REF!</v>
      </c>
      <c r="H278" s="296">
        <f t="shared" ref="H278:H279" si="74">IFERROR(((Q278-G278)/G278),0)</f>
        <v>0</v>
      </c>
      <c r="I278" s="147" t="e">
        <f t="shared" ref="I278:I279" si="75">Q278-G278</f>
        <v>#REF!</v>
      </c>
      <c r="J278" s="97">
        <v>0</v>
      </c>
      <c r="K278" s="307"/>
      <c r="L278" s="54">
        <v>-34570</v>
      </c>
      <c r="M278" s="54">
        <v>-63463.63</v>
      </c>
      <c r="N278" s="54">
        <v>-91000</v>
      </c>
      <c r="O278" s="20">
        <f>VLOOKUP(A278,TB!A:F,3)</f>
        <v>-45306.36</v>
      </c>
      <c r="P278" s="308">
        <f>N278</f>
        <v>-91000</v>
      </c>
      <c r="Q278" s="54">
        <v>-90000</v>
      </c>
      <c r="R278" s="233">
        <f>VLOOKUP(A278,TB!A:F,6)</f>
        <v>-90000</v>
      </c>
      <c r="S278" s="233">
        <f>Q278-R278</f>
        <v>0</v>
      </c>
    </row>
    <row r="279" spans="1:29" ht="15.75" customHeight="1" x14ac:dyDescent="0.2">
      <c r="A279" s="239" t="s">
        <v>189</v>
      </c>
      <c r="B279" s="75"/>
      <c r="C279" s="299"/>
      <c r="D279" s="189">
        <f t="shared" ref="D279:G279" si="76">SUM(D278)</f>
        <v>0</v>
      </c>
      <c r="E279" s="189" t="e">
        <f t="shared" si="76"/>
        <v>#REF!</v>
      </c>
      <c r="F279" s="189" t="e">
        <f t="shared" si="76"/>
        <v>#REF!</v>
      </c>
      <c r="G279" s="189" t="e">
        <f t="shared" si="76"/>
        <v>#REF!</v>
      </c>
      <c r="H279" s="300">
        <f t="shared" si="74"/>
        <v>0</v>
      </c>
      <c r="I279" s="189" t="e">
        <f t="shared" si="75"/>
        <v>#REF!</v>
      </c>
      <c r="J279" s="189">
        <f>SUM(J278)</f>
        <v>0</v>
      </c>
      <c r="K279" s="299"/>
      <c r="L279" s="77">
        <f t="shared" ref="L279:S279" si="77">SUM(L278)</f>
        <v>-34570</v>
      </c>
      <c r="M279" s="77">
        <f t="shared" si="77"/>
        <v>-63463.63</v>
      </c>
      <c r="N279" s="77">
        <f t="shared" si="77"/>
        <v>-91000</v>
      </c>
      <c r="O279" s="77">
        <f t="shared" si="77"/>
        <v>-45306.36</v>
      </c>
      <c r="P279" s="189">
        <f t="shared" si="77"/>
        <v>-91000</v>
      </c>
      <c r="Q279" s="189">
        <f t="shared" si="77"/>
        <v>-90000</v>
      </c>
      <c r="R279" s="77">
        <f t="shared" si="77"/>
        <v>-90000</v>
      </c>
      <c r="S279" s="77">
        <f t="shared" si="77"/>
        <v>0</v>
      </c>
    </row>
    <row r="280" spans="1:29" ht="15.75" customHeight="1" x14ac:dyDescent="0.2">
      <c r="C280" s="287"/>
      <c r="K280" s="287"/>
      <c r="R280" s="83"/>
      <c r="S280" s="83"/>
    </row>
    <row r="281" spans="1:29" ht="15.75" customHeight="1" x14ac:dyDescent="0.2">
      <c r="A281" s="69" t="s">
        <v>190</v>
      </c>
      <c r="B281" s="51"/>
      <c r="C281" s="309"/>
      <c r="D281" s="193">
        <f t="shared" ref="D281:G281" si="78">D275+D279</f>
        <v>0</v>
      </c>
      <c r="E281" s="193" t="e">
        <f t="shared" si="78"/>
        <v>#REF!</v>
      </c>
      <c r="F281" s="193" t="e">
        <f t="shared" si="78"/>
        <v>#REF!</v>
      </c>
      <c r="G281" s="193" t="e">
        <f t="shared" si="78"/>
        <v>#REF!</v>
      </c>
      <c r="H281" s="310">
        <f>IFERROR(((Q281-G281)/G281),0)</f>
        <v>0</v>
      </c>
      <c r="I281" s="193" t="e">
        <f>Q281-G281</f>
        <v>#REF!</v>
      </c>
      <c r="J281" s="193">
        <f>J279+J273+J270</f>
        <v>0</v>
      </c>
      <c r="K281" s="309"/>
      <c r="L281" s="245">
        <f t="shared" ref="L281:S281" si="79">L275+L279</f>
        <v>320256</v>
      </c>
      <c r="M281" s="245">
        <f t="shared" si="79"/>
        <v>364701.4599999999</v>
      </c>
      <c r="N281" s="245">
        <f t="shared" si="79"/>
        <v>504461</v>
      </c>
      <c r="O281" s="245">
        <f t="shared" si="79"/>
        <v>367776.69</v>
      </c>
      <c r="P281" s="193">
        <f t="shared" si="79"/>
        <v>541673.978</v>
      </c>
      <c r="Q281" s="193">
        <f t="shared" si="79"/>
        <v>470039</v>
      </c>
      <c r="R281" s="245">
        <f t="shared" si="79"/>
        <v>470038.51</v>
      </c>
      <c r="S281" s="245">
        <f t="shared" si="79"/>
        <v>0.48999999999978172</v>
      </c>
      <c r="V281" s="56"/>
      <c r="W281" s="56"/>
      <c r="X281" s="56"/>
      <c r="Y281" s="56"/>
      <c r="Z281" s="56"/>
      <c r="AA281" s="56"/>
      <c r="AB281" s="56"/>
      <c r="AC281" s="56"/>
    </row>
    <row r="282" spans="1:29" ht="15.75" customHeight="1" x14ac:dyDescent="0.2">
      <c r="C282" s="287"/>
      <c r="K282" s="287"/>
      <c r="R282" s="83"/>
      <c r="S282" s="83"/>
    </row>
    <row r="283" spans="1:29" ht="15.75" customHeight="1" x14ac:dyDescent="0.2">
      <c r="C283" s="287"/>
      <c r="K283" s="287"/>
    </row>
    <row r="284" spans="1:29" ht="15.75" customHeight="1" x14ac:dyDescent="0.2">
      <c r="C284" s="288"/>
      <c r="K284" s="288"/>
      <c r="L284" s="199" t="e">
        <f t="shared" ref="L284:R284" si="80">#REF!</f>
        <v>#REF!</v>
      </c>
      <c r="M284" s="199" t="e">
        <f t="shared" si="80"/>
        <v>#REF!</v>
      </c>
      <c r="N284" s="199" t="e">
        <f t="shared" si="80"/>
        <v>#REF!</v>
      </c>
      <c r="O284" s="199" t="e">
        <f t="shared" si="80"/>
        <v>#REF!</v>
      </c>
      <c r="P284" s="199" t="e">
        <f t="shared" si="80"/>
        <v>#REF!</v>
      </c>
      <c r="Q284" s="199" t="e">
        <f t="shared" si="80"/>
        <v>#REF!</v>
      </c>
      <c r="R284" s="173" t="e">
        <f t="shared" si="80"/>
        <v>#REF!</v>
      </c>
    </row>
    <row r="285" spans="1:29" ht="15.75" customHeight="1" x14ac:dyDescent="0.2">
      <c r="C285" s="289"/>
      <c r="K285" s="289"/>
      <c r="L285" s="290">
        <f t="shared" ref="L285:R285" si="81">L281</f>
        <v>320256</v>
      </c>
      <c r="M285" s="290">
        <f t="shared" si="81"/>
        <v>364701.4599999999</v>
      </c>
      <c r="N285" s="290">
        <f t="shared" si="81"/>
        <v>504461</v>
      </c>
      <c r="O285" s="290">
        <f t="shared" si="81"/>
        <v>367776.69</v>
      </c>
      <c r="P285" s="290">
        <f t="shared" si="81"/>
        <v>541673.978</v>
      </c>
      <c r="Q285" s="290">
        <f t="shared" si="81"/>
        <v>470039</v>
      </c>
      <c r="R285" s="291">
        <f t="shared" si="81"/>
        <v>470038.51</v>
      </c>
    </row>
    <row r="286" spans="1:29" ht="15.75" customHeight="1" x14ac:dyDescent="0.2">
      <c r="C286" s="287"/>
      <c r="K286" s="287"/>
    </row>
    <row r="287" spans="1:29" ht="15.75" customHeight="1" x14ac:dyDescent="0.2">
      <c r="C287" s="287"/>
      <c r="K287" s="287"/>
    </row>
    <row r="288" spans="1:29" ht="15.75" customHeight="1" x14ac:dyDescent="0.2">
      <c r="C288" s="287"/>
      <c r="K288" s="287"/>
    </row>
    <row r="289" spans="3:11" ht="15.75" customHeight="1" x14ac:dyDescent="0.2">
      <c r="C289" s="287"/>
      <c r="K289" s="287"/>
    </row>
    <row r="290" spans="3:11" ht="15.75" customHeight="1" x14ac:dyDescent="0.2">
      <c r="C290" s="287"/>
      <c r="K290" s="287"/>
    </row>
    <row r="291" spans="3:11" ht="15.75" customHeight="1" x14ac:dyDescent="0.2">
      <c r="C291" s="287"/>
      <c r="K291" s="287"/>
    </row>
    <row r="292" spans="3:11" ht="15.75" customHeight="1" x14ac:dyDescent="0.2">
      <c r="C292" s="287"/>
      <c r="K292" s="287"/>
    </row>
    <row r="293" spans="3:11" ht="15.75" customHeight="1" x14ac:dyDescent="0.2">
      <c r="C293" s="287"/>
      <c r="K293" s="287"/>
    </row>
    <row r="294" spans="3:11" ht="15.75" customHeight="1" x14ac:dyDescent="0.2">
      <c r="C294" s="287"/>
      <c r="K294" s="287"/>
    </row>
    <row r="295" spans="3:11" ht="15.75" customHeight="1" x14ac:dyDescent="0.2">
      <c r="C295" s="287"/>
      <c r="K295" s="287"/>
    </row>
    <row r="296" spans="3:11" ht="15.75" customHeight="1" x14ac:dyDescent="0.2">
      <c r="C296" s="287"/>
      <c r="K296" s="287"/>
    </row>
    <row r="297" spans="3:11" ht="15.75" customHeight="1" x14ac:dyDescent="0.2">
      <c r="C297" s="287"/>
      <c r="K297" s="287"/>
    </row>
    <row r="298" spans="3:11" ht="15.75" customHeight="1" x14ac:dyDescent="0.2">
      <c r="C298" s="287"/>
      <c r="K298" s="287"/>
    </row>
    <row r="299" spans="3:11" ht="15.75" customHeight="1" x14ac:dyDescent="0.2">
      <c r="C299" s="287"/>
      <c r="K299" s="287"/>
    </row>
    <row r="300" spans="3:11" ht="15.75" customHeight="1" x14ac:dyDescent="0.2">
      <c r="C300" s="287"/>
      <c r="K300" s="287"/>
    </row>
    <row r="301" spans="3:11" ht="15.75" customHeight="1" x14ac:dyDescent="0.2">
      <c r="C301" s="287"/>
      <c r="K301" s="287"/>
    </row>
    <row r="302" spans="3:11" ht="15.75" customHeight="1" x14ac:dyDescent="0.2">
      <c r="C302" s="287"/>
      <c r="K302" s="287"/>
    </row>
    <row r="303" spans="3:11" ht="15.75" customHeight="1" x14ac:dyDescent="0.2">
      <c r="C303" s="287"/>
      <c r="K303" s="287"/>
    </row>
    <row r="304" spans="3:11" ht="15.75" customHeight="1" x14ac:dyDescent="0.2">
      <c r="C304" s="287"/>
      <c r="K304" s="287"/>
    </row>
    <row r="305" spans="3:11" ht="15.75" customHeight="1" x14ac:dyDescent="0.2">
      <c r="C305" s="287"/>
      <c r="K305" s="287"/>
    </row>
    <row r="306" spans="3:11" ht="15.75" customHeight="1" x14ac:dyDescent="0.2">
      <c r="C306" s="287"/>
      <c r="K306" s="287"/>
    </row>
    <row r="307" spans="3:11" ht="15.75" customHeight="1" x14ac:dyDescent="0.2">
      <c r="C307" s="287"/>
      <c r="K307" s="287"/>
    </row>
    <row r="308" spans="3:11" ht="15.75" customHeight="1" x14ac:dyDescent="0.2">
      <c r="C308" s="287"/>
      <c r="K308" s="287"/>
    </row>
    <row r="309" spans="3:11" ht="15.75" customHeight="1" x14ac:dyDescent="0.2">
      <c r="C309" s="287"/>
      <c r="K309" s="287"/>
    </row>
    <row r="310" spans="3:11" ht="15.75" customHeight="1" x14ac:dyDescent="0.2">
      <c r="C310" s="287"/>
      <c r="K310" s="287"/>
    </row>
    <row r="311" spans="3:11" ht="15.75" customHeight="1" x14ac:dyDescent="0.2">
      <c r="C311" s="287"/>
      <c r="K311" s="287"/>
    </row>
    <row r="312" spans="3:11" ht="15.75" customHeight="1" x14ac:dyDescent="0.2">
      <c r="C312" s="287"/>
      <c r="K312" s="287"/>
    </row>
    <row r="313" spans="3:11" ht="15.75" customHeight="1" x14ac:dyDescent="0.2">
      <c r="C313" s="287"/>
      <c r="K313" s="287"/>
    </row>
    <row r="314" spans="3:11" ht="15.75" customHeight="1" x14ac:dyDescent="0.2">
      <c r="C314" s="287"/>
      <c r="K314" s="287"/>
    </row>
    <row r="315" spans="3:11" ht="15.75" customHeight="1" x14ac:dyDescent="0.2">
      <c r="C315" s="287"/>
      <c r="K315" s="287"/>
    </row>
    <row r="316" spans="3:11" ht="15.75" customHeight="1" x14ac:dyDescent="0.2">
      <c r="C316" s="287"/>
      <c r="K316" s="287"/>
    </row>
    <row r="317" spans="3:11" ht="15.75" customHeight="1" x14ac:dyDescent="0.2">
      <c r="C317" s="287"/>
      <c r="K317" s="287"/>
    </row>
    <row r="318" spans="3:11" ht="15.75" customHeight="1" x14ac:dyDescent="0.2">
      <c r="C318" s="287"/>
      <c r="K318" s="287"/>
    </row>
    <row r="319" spans="3:11" ht="15.75" customHeight="1" x14ac:dyDescent="0.2">
      <c r="C319" s="287"/>
      <c r="K319" s="287"/>
    </row>
    <row r="320" spans="3:11" ht="15.75" customHeight="1" x14ac:dyDescent="0.2">
      <c r="C320" s="287"/>
      <c r="K320" s="287"/>
    </row>
    <row r="321" spans="3:11" ht="15.75" customHeight="1" x14ac:dyDescent="0.2">
      <c r="C321" s="287"/>
      <c r="K321" s="287"/>
    </row>
    <row r="322" spans="3:11" ht="15.75" customHeight="1" x14ac:dyDescent="0.2">
      <c r="C322" s="287"/>
      <c r="K322" s="287"/>
    </row>
    <row r="323" spans="3:11" ht="15.75" customHeight="1" x14ac:dyDescent="0.2">
      <c r="C323" s="287"/>
      <c r="K323" s="287"/>
    </row>
    <row r="324" spans="3:11" ht="15.75" customHeight="1" x14ac:dyDescent="0.2">
      <c r="C324" s="287"/>
      <c r="K324" s="287"/>
    </row>
    <row r="325" spans="3:11" ht="15.75" customHeight="1" x14ac:dyDescent="0.2">
      <c r="C325" s="287"/>
      <c r="K325" s="287"/>
    </row>
    <row r="326" spans="3:11" ht="15.75" customHeight="1" x14ac:dyDescent="0.2">
      <c r="C326" s="287"/>
      <c r="K326" s="287"/>
    </row>
    <row r="327" spans="3:11" ht="15.75" customHeight="1" x14ac:dyDescent="0.2">
      <c r="C327" s="287"/>
      <c r="K327" s="287"/>
    </row>
    <row r="328" spans="3:11" ht="15.75" customHeight="1" x14ac:dyDescent="0.2">
      <c r="C328" s="287"/>
      <c r="K328" s="287"/>
    </row>
    <row r="329" spans="3:11" ht="15.75" customHeight="1" x14ac:dyDescent="0.2">
      <c r="C329" s="287"/>
      <c r="K329" s="287"/>
    </row>
    <row r="330" spans="3:11" ht="15.75" customHeight="1" x14ac:dyDescent="0.2">
      <c r="C330" s="287"/>
      <c r="K330" s="287"/>
    </row>
    <row r="331" spans="3:11" ht="15.75" customHeight="1" x14ac:dyDescent="0.2">
      <c r="C331" s="287"/>
      <c r="K331" s="287"/>
    </row>
    <row r="332" spans="3:11" ht="15.75" customHeight="1" x14ac:dyDescent="0.2">
      <c r="C332" s="287"/>
      <c r="K332" s="287"/>
    </row>
    <row r="333" spans="3:11" ht="15.75" customHeight="1" x14ac:dyDescent="0.2">
      <c r="C333" s="287"/>
      <c r="K333" s="287"/>
    </row>
    <row r="334" spans="3:11" ht="15.75" customHeight="1" x14ac:dyDescent="0.2">
      <c r="C334" s="287"/>
      <c r="K334" s="287"/>
    </row>
    <row r="335" spans="3:11" ht="15.75" customHeight="1" x14ac:dyDescent="0.2">
      <c r="C335" s="287"/>
      <c r="K335" s="287"/>
    </row>
    <row r="336" spans="3:11" ht="15.75" customHeight="1" x14ac:dyDescent="0.2">
      <c r="C336" s="287"/>
      <c r="K336" s="287"/>
    </row>
    <row r="337" spans="1:19" ht="15.75" customHeight="1" x14ac:dyDescent="0.2">
      <c r="C337" s="287"/>
      <c r="K337" s="287"/>
    </row>
    <row r="338" spans="1:19" ht="15.75" customHeight="1" x14ac:dyDescent="0.2">
      <c r="A338" s="3" t="s">
        <v>50</v>
      </c>
      <c r="B338" s="3" t="s">
        <v>51</v>
      </c>
      <c r="C338" s="292"/>
      <c r="D338" s="99" t="s">
        <v>52</v>
      </c>
      <c r="E338" s="100" t="s">
        <v>53</v>
      </c>
      <c r="F338" s="100" t="s">
        <v>54</v>
      </c>
      <c r="G338" s="100" t="s">
        <v>55</v>
      </c>
      <c r="H338" s="24" t="s">
        <v>56</v>
      </c>
      <c r="I338" s="24" t="s">
        <v>57</v>
      </c>
      <c r="J338" s="101" t="s">
        <v>58</v>
      </c>
      <c r="K338" s="292"/>
      <c r="L338" s="3" t="s">
        <v>59</v>
      </c>
      <c r="M338" s="3" t="s">
        <v>60</v>
      </c>
      <c r="N338" s="3" t="s">
        <v>61</v>
      </c>
      <c r="O338" s="3" t="s">
        <v>62</v>
      </c>
      <c r="P338" s="293" t="s">
        <v>541</v>
      </c>
      <c r="Q338" s="293" t="s">
        <v>64</v>
      </c>
      <c r="R338" s="293" t="s">
        <v>65</v>
      </c>
      <c r="S338" s="293" t="s">
        <v>586</v>
      </c>
    </row>
    <row r="339" spans="1:19" ht="15.75" customHeight="1" x14ac:dyDescent="0.25">
      <c r="A339" s="565" t="s">
        <v>776</v>
      </c>
      <c r="B339" s="566"/>
      <c r="C339" s="566"/>
      <c r="D339" s="566"/>
      <c r="E339" s="566"/>
      <c r="F339" s="65"/>
      <c r="G339" s="275"/>
      <c r="H339" s="234"/>
      <c r="L339" s="65"/>
      <c r="M339" s="165"/>
      <c r="N339" s="65"/>
      <c r="O339" s="165"/>
      <c r="P339" s="157"/>
      <c r="Q339" s="157"/>
      <c r="R339" s="275"/>
      <c r="S339" s="275"/>
    </row>
    <row r="340" spans="1:19" ht="15.75" customHeight="1" x14ac:dyDescent="0.25">
      <c r="A340" s="66" t="s">
        <v>777</v>
      </c>
      <c r="B340" s="66" t="s">
        <v>68</v>
      </c>
      <c r="C340" s="295"/>
      <c r="D340" s="160">
        <v>61497</v>
      </c>
      <c r="E340" s="160" t="e">
        <f>D340*#REF!</f>
        <v>#REF!</v>
      </c>
      <c r="F340" s="160" t="e">
        <f>D340*#REF!</f>
        <v>#REF!</v>
      </c>
      <c r="G340" s="160" t="e">
        <f>(D340*#REF!)*#REF!</f>
        <v>#REF!</v>
      </c>
      <c r="H340" s="296">
        <f t="shared" ref="H340:H359" si="82">IFERROR(((Q340-G340)/G340),0)</f>
        <v>0</v>
      </c>
      <c r="I340" s="147" t="e">
        <f t="shared" ref="I340:I359" si="83">Q340-G340</f>
        <v>#REF!</v>
      </c>
      <c r="J340" s="97">
        <v>0</v>
      </c>
      <c r="K340" s="295"/>
      <c r="L340" s="20">
        <v>72451</v>
      </c>
      <c r="M340" s="20">
        <v>73886.2</v>
      </c>
      <c r="N340" s="20">
        <v>78302</v>
      </c>
      <c r="O340" s="20">
        <f>VLOOKUP(A340,TB!A:F,3)</f>
        <v>59240.800000000003</v>
      </c>
      <c r="P340" s="160">
        <f t="shared" ref="P340:P343" si="84">O340/20*26</f>
        <v>77013.039999999994</v>
      </c>
      <c r="Q340" s="160">
        <v>85200</v>
      </c>
      <c r="R340" s="233">
        <f>VLOOKUP(A340,TB!A:F,6)</f>
        <v>85200</v>
      </c>
      <c r="S340" s="233">
        <f t="shared" ref="S340:S358" si="85">Q340-R340</f>
        <v>0</v>
      </c>
    </row>
    <row r="341" spans="1:19" ht="15.75" customHeight="1" x14ac:dyDescent="0.25">
      <c r="A341" s="66" t="s">
        <v>778</v>
      </c>
      <c r="B341" s="66" t="s">
        <v>70</v>
      </c>
      <c r="C341" s="295"/>
      <c r="D341" s="160">
        <v>0</v>
      </c>
      <c r="E341" s="160" t="e">
        <f>D341*#REF!</f>
        <v>#REF!</v>
      </c>
      <c r="F341" s="160" t="e">
        <f>D341*#REF!</f>
        <v>#REF!</v>
      </c>
      <c r="G341" s="160" t="e">
        <f>(D341*#REF!)*#REF!</f>
        <v>#REF!</v>
      </c>
      <c r="H341" s="296">
        <f t="shared" si="82"/>
        <v>0</v>
      </c>
      <c r="I341" s="147" t="e">
        <f t="shared" si="83"/>
        <v>#REF!</v>
      </c>
      <c r="J341" s="97">
        <v>0</v>
      </c>
      <c r="K341" s="295"/>
      <c r="L341" s="20">
        <v>0</v>
      </c>
      <c r="M341" s="20">
        <v>0</v>
      </c>
      <c r="N341" s="20">
        <v>4000</v>
      </c>
      <c r="O341" s="20">
        <f>VLOOKUP(A341,TB!A:F,3)</f>
        <v>0</v>
      </c>
      <c r="P341" s="160">
        <f t="shared" si="84"/>
        <v>0</v>
      </c>
      <c r="Q341" s="160">
        <v>4000</v>
      </c>
      <c r="R341" s="233">
        <f>VLOOKUP(A341,TB!A:F,6)</f>
        <v>4000</v>
      </c>
      <c r="S341" s="233">
        <f t="shared" si="85"/>
        <v>0</v>
      </c>
    </row>
    <row r="342" spans="1:19" ht="15.75" customHeight="1" x14ac:dyDescent="0.25">
      <c r="A342" s="66" t="s">
        <v>779</v>
      </c>
      <c r="B342" s="66" t="s">
        <v>132</v>
      </c>
      <c r="C342" s="295"/>
      <c r="D342" s="160">
        <v>0</v>
      </c>
      <c r="E342" s="160" t="e">
        <f>D342*#REF!</f>
        <v>#REF!</v>
      </c>
      <c r="F342" s="160" t="e">
        <f>D342*#REF!</f>
        <v>#REF!</v>
      </c>
      <c r="G342" s="160" t="e">
        <f>(D342*#REF!)*#REF!</f>
        <v>#REF!</v>
      </c>
      <c r="H342" s="296">
        <f t="shared" si="82"/>
        <v>0</v>
      </c>
      <c r="I342" s="147" t="e">
        <f t="shared" si="83"/>
        <v>#REF!</v>
      </c>
      <c r="J342" s="97">
        <v>0</v>
      </c>
      <c r="K342" s="295"/>
      <c r="L342" s="20">
        <v>0</v>
      </c>
      <c r="M342" s="20">
        <v>18381.5</v>
      </c>
      <c r="N342" s="20">
        <v>24371</v>
      </c>
      <c r="O342" s="20">
        <f>VLOOKUP(A342,TB!A:F,3)</f>
        <v>1430</v>
      </c>
      <c r="P342" s="160">
        <f t="shared" si="84"/>
        <v>1859</v>
      </c>
      <c r="Q342" s="160">
        <v>26000</v>
      </c>
      <c r="R342" s="233">
        <f>VLOOKUP(A342,TB!A:F,6)</f>
        <v>26000</v>
      </c>
      <c r="S342" s="233">
        <f t="shared" si="85"/>
        <v>0</v>
      </c>
    </row>
    <row r="343" spans="1:19" ht="15.75" customHeight="1" x14ac:dyDescent="0.25">
      <c r="A343" s="66" t="s">
        <v>780</v>
      </c>
      <c r="B343" s="66" t="s">
        <v>72</v>
      </c>
      <c r="C343" s="295"/>
      <c r="D343" s="160">
        <v>33572</v>
      </c>
      <c r="E343" s="160" t="e">
        <f>D343*#REF!</f>
        <v>#REF!</v>
      </c>
      <c r="F343" s="160" t="e">
        <f>D343*#REF!</f>
        <v>#REF!</v>
      </c>
      <c r="G343" s="160" t="e">
        <f>(D343*#REF!)*#REF!</f>
        <v>#REF!</v>
      </c>
      <c r="H343" s="296">
        <f t="shared" si="82"/>
        <v>0</v>
      </c>
      <c r="I343" s="147" t="e">
        <f t="shared" si="83"/>
        <v>#REF!</v>
      </c>
      <c r="J343" s="97">
        <v>0</v>
      </c>
      <c r="K343" s="295"/>
      <c r="L343" s="20">
        <v>39206</v>
      </c>
      <c r="M343" s="20">
        <v>46854.55</v>
      </c>
      <c r="N343" s="20">
        <v>55321</v>
      </c>
      <c r="O343" s="20">
        <f>VLOOKUP(A343,TB!A:F,3)</f>
        <v>33161.879999999997</v>
      </c>
      <c r="P343" s="160">
        <f t="shared" si="84"/>
        <v>43110.443999999996</v>
      </c>
      <c r="Q343" s="160">
        <v>50300</v>
      </c>
      <c r="R343" s="233">
        <f>VLOOKUP(A343,TB!A:F,6)</f>
        <v>50300</v>
      </c>
      <c r="S343" s="233">
        <f t="shared" si="85"/>
        <v>0</v>
      </c>
    </row>
    <row r="344" spans="1:19" ht="15.75" customHeight="1" x14ac:dyDescent="0.25">
      <c r="A344" s="66" t="s">
        <v>781</v>
      </c>
      <c r="B344" s="66" t="s">
        <v>74</v>
      </c>
      <c r="C344" s="295"/>
      <c r="D344" s="160">
        <v>789</v>
      </c>
      <c r="E344" s="160" t="e">
        <f>D344*#REF!</f>
        <v>#REF!</v>
      </c>
      <c r="F344" s="160" t="e">
        <f>D344*#REF!</f>
        <v>#REF!</v>
      </c>
      <c r="G344" s="160" t="e">
        <f>(D344*#REF!)*#REF!</f>
        <v>#REF!</v>
      </c>
      <c r="H344" s="296">
        <f t="shared" si="82"/>
        <v>0</v>
      </c>
      <c r="I344" s="147" t="e">
        <f t="shared" si="83"/>
        <v>#REF!</v>
      </c>
      <c r="J344" s="97">
        <v>0</v>
      </c>
      <c r="K344" s="295"/>
      <c r="L344" s="20">
        <v>279</v>
      </c>
      <c r="M344" s="20">
        <v>439</v>
      </c>
      <c r="N344" s="20">
        <v>2500</v>
      </c>
      <c r="O344" s="20">
        <f>VLOOKUP(A344,TB!A:F,3)</f>
        <v>80</v>
      </c>
      <c r="P344" s="163">
        <f t="shared" ref="P344:P345" si="86">N344</f>
        <v>2500</v>
      </c>
      <c r="Q344" s="160">
        <v>1000</v>
      </c>
      <c r="R344" s="233">
        <f>VLOOKUP(A344,TB!A:F,6)</f>
        <v>1000</v>
      </c>
      <c r="S344" s="233">
        <f t="shared" si="85"/>
        <v>0</v>
      </c>
    </row>
    <row r="345" spans="1:19" ht="15.75" customHeight="1" x14ac:dyDescent="0.25">
      <c r="A345" s="66" t="s">
        <v>782</v>
      </c>
      <c r="B345" s="66" t="s">
        <v>76</v>
      </c>
      <c r="C345" s="295"/>
      <c r="D345" s="160">
        <v>113</v>
      </c>
      <c r="E345" s="160" t="e">
        <f>D345*#REF!</f>
        <v>#REF!</v>
      </c>
      <c r="F345" s="160" t="e">
        <f>D345*#REF!</f>
        <v>#REF!</v>
      </c>
      <c r="G345" s="160" t="e">
        <f>(D345*#REF!)*#REF!</f>
        <v>#REF!</v>
      </c>
      <c r="H345" s="296">
        <f t="shared" si="82"/>
        <v>0</v>
      </c>
      <c r="I345" s="147" t="e">
        <f t="shared" si="83"/>
        <v>#REF!</v>
      </c>
      <c r="J345" s="97">
        <v>0</v>
      </c>
      <c r="K345" s="295"/>
      <c r="L345" s="20">
        <v>0</v>
      </c>
      <c r="M345" s="20">
        <v>1177</v>
      </c>
      <c r="N345" s="20">
        <v>3500</v>
      </c>
      <c r="O345" s="20">
        <f>VLOOKUP(A345,TB!A:F,3)</f>
        <v>143.81</v>
      </c>
      <c r="P345" s="163">
        <f t="shared" si="86"/>
        <v>3500</v>
      </c>
      <c r="Q345" s="160">
        <v>3500</v>
      </c>
      <c r="R345" s="233">
        <f>VLOOKUP(A345,TB!A:F,6)</f>
        <v>3500</v>
      </c>
      <c r="S345" s="233">
        <f t="shared" si="85"/>
        <v>0</v>
      </c>
    </row>
    <row r="346" spans="1:19" ht="15.75" customHeight="1" x14ac:dyDescent="0.25">
      <c r="A346" s="66" t="s">
        <v>783</v>
      </c>
      <c r="B346" s="66" t="s">
        <v>80</v>
      </c>
      <c r="C346" s="295"/>
      <c r="D346" s="160">
        <v>465</v>
      </c>
      <c r="E346" s="160" t="e">
        <f>D346*#REF!</f>
        <v>#REF!</v>
      </c>
      <c r="F346" s="160" t="e">
        <f>D346*#REF!</f>
        <v>#REF!</v>
      </c>
      <c r="G346" s="160" t="e">
        <f>(D346*#REF!)*#REF!</f>
        <v>#REF!</v>
      </c>
      <c r="H346" s="296">
        <f t="shared" si="82"/>
        <v>0</v>
      </c>
      <c r="I346" s="147" t="e">
        <f t="shared" si="83"/>
        <v>#REF!</v>
      </c>
      <c r="J346" s="97">
        <v>0</v>
      </c>
      <c r="K346" s="295"/>
      <c r="L346" s="20">
        <v>0</v>
      </c>
      <c r="M346" s="20">
        <v>566.62</v>
      </c>
      <c r="N346" s="20">
        <v>1000</v>
      </c>
      <c r="O346" s="20">
        <f>VLOOKUP(A346,TB!A:F,3)</f>
        <v>1146.07</v>
      </c>
      <c r="P346" s="163">
        <f>O346/9*12</f>
        <v>1528.0933333333332</v>
      </c>
      <c r="Q346" s="160">
        <v>1500</v>
      </c>
      <c r="R346" s="233">
        <f>VLOOKUP(A346,TB!A:F,6)</f>
        <v>1500</v>
      </c>
      <c r="S346" s="233">
        <f t="shared" si="85"/>
        <v>0</v>
      </c>
    </row>
    <row r="347" spans="1:19" ht="15.75" customHeight="1" x14ac:dyDescent="0.25">
      <c r="A347" s="66" t="s">
        <v>784</v>
      </c>
      <c r="B347" s="66" t="s">
        <v>82</v>
      </c>
      <c r="C347" s="295"/>
      <c r="D347" s="160">
        <v>2844</v>
      </c>
      <c r="E347" s="160" t="e">
        <f>D347*#REF!</f>
        <v>#REF!</v>
      </c>
      <c r="F347" s="160" t="e">
        <f>D347*#REF!</f>
        <v>#REF!</v>
      </c>
      <c r="G347" s="160" t="e">
        <f>(D347*#REF!)*#REF!</f>
        <v>#REF!</v>
      </c>
      <c r="H347" s="296">
        <f t="shared" si="82"/>
        <v>0</v>
      </c>
      <c r="I347" s="147" t="e">
        <f t="shared" si="83"/>
        <v>#REF!</v>
      </c>
      <c r="J347" s="97">
        <v>0</v>
      </c>
      <c r="K347" s="295"/>
      <c r="L347" s="20">
        <v>3392</v>
      </c>
      <c r="M347" s="20">
        <v>1304.6300000000001</v>
      </c>
      <c r="N347" s="20">
        <v>3500</v>
      </c>
      <c r="O347" s="20">
        <f>VLOOKUP(A347,TB!A:F,3)</f>
        <v>1332.57</v>
      </c>
      <c r="P347" s="163">
        <f t="shared" ref="P347:P348" si="87">N347</f>
        <v>3500</v>
      </c>
      <c r="Q347" s="160">
        <v>3500</v>
      </c>
      <c r="R347" s="233">
        <f>VLOOKUP(A347,TB!A:F,6)</f>
        <v>3500</v>
      </c>
      <c r="S347" s="233">
        <f t="shared" si="85"/>
        <v>0</v>
      </c>
    </row>
    <row r="348" spans="1:19" ht="15.75" customHeight="1" x14ac:dyDescent="0.25">
      <c r="A348" s="66" t="s">
        <v>785</v>
      </c>
      <c r="B348" s="66" t="s">
        <v>115</v>
      </c>
      <c r="C348" s="295"/>
      <c r="D348" s="160">
        <v>4763</v>
      </c>
      <c r="E348" s="160" t="e">
        <f>D348*#REF!</f>
        <v>#REF!</v>
      </c>
      <c r="F348" s="160" t="e">
        <f>D348*#REF!</f>
        <v>#REF!</v>
      </c>
      <c r="G348" s="160" t="e">
        <f>(D348*#REF!)*#REF!</f>
        <v>#REF!</v>
      </c>
      <c r="H348" s="296">
        <f t="shared" si="82"/>
        <v>0</v>
      </c>
      <c r="I348" s="147" t="e">
        <f t="shared" si="83"/>
        <v>#REF!</v>
      </c>
      <c r="J348" s="97">
        <v>0</v>
      </c>
      <c r="K348" s="295"/>
      <c r="L348" s="20">
        <v>7121</v>
      </c>
      <c r="M348" s="20">
        <v>1621.04</v>
      </c>
      <c r="N348" s="20">
        <v>29000</v>
      </c>
      <c r="O348" s="20">
        <f>VLOOKUP(A348,TB!A:F,3)</f>
        <v>2144.17</v>
      </c>
      <c r="P348" s="163">
        <f t="shared" si="87"/>
        <v>29000</v>
      </c>
      <c r="Q348" s="160">
        <v>29000</v>
      </c>
      <c r="R348" s="233">
        <f>VLOOKUP(A348,TB!A:F,6)</f>
        <v>29000</v>
      </c>
      <c r="S348" s="233">
        <f t="shared" si="85"/>
        <v>0</v>
      </c>
    </row>
    <row r="349" spans="1:19" ht="15.75" customHeight="1" x14ac:dyDescent="0.25">
      <c r="A349" s="66" t="s">
        <v>786</v>
      </c>
      <c r="B349" s="66" t="s">
        <v>787</v>
      </c>
      <c r="C349" s="295"/>
      <c r="D349" s="160">
        <v>0</v>
      </c>
      <c r="E349" s="160" t="e">
        <f>D349*#REF!</f>
        <v>#REF!</v>
      </c>
      <c r="F349" s="160" t="e">
        <f>D349*#REF!</f>
        <v>#REF!</v>
      </c>
      <c r="G349" s="160" t="e">
        <f>(D349*#REF!)*#REF!</f>
        <v>#REF!</v>
      </c>
      <c r="H349" s="296">
        <f t="shared" si="82"/>
        <v>0</v>
      </c>
      <c r="I349" s="147" t="e">
        <f t="shared" si="83"/>
        <v>#REF!</v>
      </c>
      <c r="J349" s="97">
        <v>0</v>
      </c>
      <c r="K349" s="295"/>
      <c r="L349" s="20">
        <v>0</v>
      </c>
      <c r="M349" s="20">
        <v>0</v>
      </c>
      <c r="N349" s="20">
        <v>0</v>
      </c>
      <c r="O349" s="20">
        <f>VLOOKUP(A349,TB!A:F,3)</f>
        <v>2144.17</v>
      </c>
      <c r="P349" s="160">
        <f>O349/9*12</f>
        <v>2858.8933333333334</v>
      </c>
      <c r="Q349" s="160">
        <v>0</v>
      </c>
      <c r="R349" s="233">
        <v>0</v>
      </c>
      <c r="S349" s="233">
        <f t="shared" si="85"/>
        <v>0</v>
      </c>
    </row>
    <row r="350" spans="1:19" ht="15.75" customHeight="1" x14ac:dyDescent="0.25">
      <c r="A350" s="66" t="s">
        <v>788</v>
      </c>
      <c r="B350" s="66" t="s">
        <v>84</v>
      </c>
      <c r="C350" s="295"/>
      <c r="D350" s="160">
        <v>1105</v>
      </c>
      <c r="E350" s="160" t="e">
        <f>D350*#REF!</f>
        <v>#REF!</v>
      </c>
      <c r="F350" s="160" t="e">
        <f>D350*#REF!</f>
        <v>#REF!</v>
      </c>
      <c r="G350" s="160" t="e">
        <f>(D350*#REF!)*#REF!</f>
        <v>#REF!</v>
      </c>
      <c r="H350" s="296">
        <f t="shared" si="82"/>
        <v>0</v>
      </c>
      <c r="I350" s="147" t="e">
        <f t="shared" si="83"/>
        <v>#REF!</v>
      </c>
      <c r="J350" s="97">
        <v>0</v>
      </c>
      <c r="K350" s="295"/>
      <c r="L350" s="20">
        <v>11244</v>
      </c>
      <c r="M350" s="20">
        <v>9050.2900000000009</v>
      </c>
      <c r="N350" s="20">
        <v>12000</v>
      </c>
      <c r="O350" s="20">
        <f>VLOOKUP(A350,TB!A:F,3)</f>
        <v>9329.19</v>
      </c>
      <c r="P350" s="163">
        <f>N350</f>
        <v>12000</v>
      </c>
      <c r="Q350" s="160">
        <v>13000</v>
      </c>
      <c r="R350" s="233">
        <f>VLOOKUP(A350,TB!A:F,6)</f>
        <v>13000</v>
      </c>
      <c r="S350" s="233">
        <f t="shared" si="85"/>
        <v>0</v>
      </c>
    </row>
    <row r="351" spans="1:19" ht="15.75" customHeight="1" x14ac:dyDescent="0.25">
      <c r="A351" s="66" t="s">
        <v>789</v>
      </c>
      <c r="B351" s="66" t="s">
        <v>210</v>
      </c>
      <c r="C351" s="295"/>
      <c r="D351" s="160">
        <v>9253</v>
      </c>
      <c r="E351" s="160" t="e">
        <f>D351*#REF!</f>
        <v>#REF!</v>
      </c>
      <c r="F351" s="160" t="e">
        <f>D351*#REF!</f>
        <v>#REF!</v>
      </c>
      <c r="G351" s="160" t="e">
        <f>(D351*#REF!)*#REF!</f>
        <v>#REF!</v>
      </c>
      <c r="H351" s="296">
        <f t="shared" si="82"/>
        <v>0</v>
      </c>
      <c r="I351" s="147" t="e">
        <f t="shared" si="83"/>
        <v>#REF!</v>
      </c>
      <c r="J351" s="97">
        <v>0</v>
      </c>
      <c r="K351" s="295"/>
      <c r="L351" s="20">
        <v>10417</v>
      </c>
      <c r="M351" s="20">
        <v>971.55</v>
      </c>
      <c r="N351" s="20">
        <v>0</v>
      </c>
      <c r="O351" s="20">
        <f>VLOOKUP(A351,TB!A:F,3)</f>
        <v>0</v>
      </c>
      <c r="P351" s="160">
        <f>O351/9*12</f>
        <v>0</v>
      </c>
      <c r="Q351" s="160">
        <v>0</v>
      </c>
      <c r="R351" s="233">
        <f>VLOOKUP(A351,TB!A:F,6)</f>
        <v>0</v>
      </c>
      <c r="S351" s="233">
        <f t="shared" si="85"/>
        <v>0</v>
      </c>
    </row>
    <row r="352" spans="1:19" ht="15.75" customHeight="1" x14ac:dyDescent="0.25">
      <c r="A352" s="66" t="s">
        <v>790</v>
      </c>
      <c r="B352" s="66" t="s">
        <v>88</v>
      </c>
      <c r="C352" s="295"/>
      <c r="D352" s="160">
        <v>0</v>
      </c>
      <c r="E352" s="160" t="e">
        <f>D352*#REF!</f>
        <v>#REF!</v>
      </c>
      <c r="F352" s="160" t="e">
        <f>D352*#REF!</f>
        <v>#REF!</v>
      </c>
      <c r="G352" s="160" t="e">
        <f>(D352*#REF!)*#REF!</f>
        <v>#REF!</v>
      </c>
      <c r="H352" s="296">
        <f t="shared" si="82"/>
        <v>0</v>
      </c>
      <c r="I352" s="147" t="e">
        <f t="shared" si="83"/>
        <v>#REF!</v>
      </c>
      <c r="J352" s="97">
        <v>0</v>
      </c>
      <c r="K352" s="295"/>
      <c r="L352" s="20">
        <v>0</v>
      </c>
      <c r="M352" s="20">
        <v>0</v>
      </c>
      <c r="N352" s="20">
        <v>1500</v>
      </c>
      <c r="O352" s="20">
        <f>VLOOKUP(A352,TB!A:F,3)</f>
        <v>0</v>
      </c>
      <c r="P352" s="163">
        <f>N352</f>
        <v>1500</v>
      </c>
      <c r="Q352" s="160">
        <v>2500</v>
      </c>
      <c r="R352" s="233">
        <f>VLOOKUP(A352,TB!A:F,6)</f>
        <v>2500</v>
      </c>
      <c r="S352" s="233">
        <f t="shared" si="85"/>
        <v>0</v>
      </c>
    </row>
    <row r="353" spans="1:19" ht="15.75" customHeight="1" x14ac:dyDescent="0.25">
      <c r="A353" s="66" t="s">
        <v>791</v>
      </c>
      <c r="B353" s="66" t="s">
        <v>90</v>
      </c>
      <c r="C353" s="295"/>
      <c r="D353" s="160">
        <v>1516</v>
      </c>
      <c r="E353" s="160" t="e">
        <f>D353*#REF!</f>
        <v>#REF!</v>
      </c>
      <c r="F353" s="160" t="e">
        <f>D353*#REF!</f>
        <v>#REF!</v>
      </c>
      <c r="G353" s="160" t="e">
        <f>(D353*#REF!)*#REF!</f>
        <v>#REF!</v>
      </c>
      <c r="H353" s="296">
        <f t="shared" si="82"/>
        <v>0</v>
      </c>
      <c r="I353" s="147" t="e">
        <f t="shared" si="83"/>
        <v>#REF!</v>
      </c>
      <c r="J353" s="97">
        <v>0</v>
      </c>
      <c r="K353" s="295"/>
      <c r="L353" s="20">
        <v>264</v>
      </c>
      <c r="M353" s="20">
        <v>1044.95</v>
      </c>
      <c r="N353" s="20">
        <v>2800</v>
      </c>
      <c r="O353" s="20">
        <f>VLOOKUP(A353,TB!A:F,3)</f>
        <v>3116.11</v>
      </c>
      <c r="P353" s="160">
        <f>O353/9*12</f>
        <v>4154.8133333333335</v>
      </c>
      <c r="Q353" s="160">
        <v>2800</v>
      </c>
      <c r="R353" s="233">
        <f>VLOOKUP(A353,TB!A:F,6)</f>
        <v>2800</v>
      </c>
      <c r="S353" s="233">
        <f t="shared" si="85"/>
        <v>0</v>
      </c>
    </row>
    <row r="354" spans="1:19" ht="15.75" customHeight="1" x14ac:dyDescent="0.25">
      <c r="A354" s="66" t="s">
        <v>792</v>
      </c>
      <c r="B354" s="66" t="s">
        <v>252</v>
      </c>
      <c r="C354" s="295"/>
      <c r="D354" s="160">
        <v>951</v>
      </c>
      <c r="E354" s="160" t="e">
        <f>D354*#REF!</f>
        <v>#REF!</v>
      </c>
      <c r="F354" s="160" t="e">
        <f>D354*#REF!</f>
        <v>#REF!</v>
      </c>
      <c r="G354" s="160" t="e">
        <f>(D354*#REF!)*#REF!</f>
        <v>#REF!</v>
      </c>
      <c r="H354" s="296">
        <f t="shared" si="82"/>
        <v>0</v>
      </c>
      <c r="I354" s="147" t="e">
        <f t="shared" si="83"/>
        <v>#REF!</v>
      </c>
      <c r="J354" s="97">
        <v>0</v>
      </c>
      <c r="K354" s="295"/>
      <c r="L354" s="20">
        <v>0</v>
      </c>
      <c r="M354" s="20">
        <v>945.56</v>
      </c>
      <c r="N354" s="20">
        <v>1000</v>
      </c>
      <c r="O354" s="20">
        <f>VLOOKUP(A354,TB!A:F,3)</f>
        <v>69</v>
      </c>
      <c r="P354" s="163">
        <f>N354</f>
        <v>1000</v>
      </c>
      <c r="Q354" s="160">
        <v>1000</v>
      </c>
      <c r="R354" s="233">
        <f>VLOOKUP(A354,TB!A:F,6)</f>
        <v>1000</v>
      </c>
      <c r="S354" s="233">
        <f t="shared" si="85"/>
        <v>0</v>
      </c>
    </row>
    <row r="355" spans="1:19" ht="15.75" customHeight="1" x14ac:dyDescent="0.25">
      <c r="A355" s="66" t="s">
        <v>793</v>
      </c>
      <c r="B355" s="66" t="s">
        <v>466</v>
      </c>
      <c r="C355" s="295"/>
      <c r="D355" s="160">
        <v>0</v>
      </c>
      <c r="E355" s="160" t="e">
        <f>D355*#REF!</f>
        <v>#REF!</v>
      </c>
      <c r="F355" s="160" t="e">
        <f>D355*#REF!</f>
        <v>#REF!</v>
      </c>
      <c r="G355" s="160" t="e">
        <f>(D355*#REF!)*#REF!</f>
        <v>#REF!</v>
      </c>
      <c r="H355" s="296">
        <f t="shared" si="82"/>
        <v>0</v>
      </c>
      <c r="I355" s="147" t="e">
        <f t="shared" si="83"/>
        <v>#REF!</v>
      </c>
      <c r="J355" s="97">
        <v>0</v>
      </c>
      <c r="K355" s="295"/>
      <c r="L355" s="20">
        <v>152800</v>
      </c>
      <c r="M355" s="20">
        <v>0</v>
      </c>
      <c r="N355" s="20">
        <v>0</v>
      </c>
      <c r="O355" s="20">
        <f>VLOOKUP(A355,TB!A:F,3)</f>
        <v>0</v>
      </c>
      <c r="P355" s="160">
        <f>O355/9*12</f>
        <v>0</v>
      </c>
      <c r="Q355" s="160">
        <v>0</v>
      </c>
      <c r="R355" s="233">
        <f>VLOOKUP(A355,TB!A:F,6)</f>
        <v>0</v>
      </c>
      <c r="S355" s="233">
        <f t="shared" si="85"/>
        <v>0</v>
      </c>
    </row>
    <row r="356" spans="1:19" ht="15.75" customHeight="1" x14ac:dyDescent="0.25">
      <c r="A356" s="66" t="s">
        <v>794</v>
      </c>
      <c r="B356" s="66" t="s">
        <v>502</v>
      </c>
      <c r="C356" s="295"/>
      <c r="D356" s="160">
        <v>0</v>
      </c>
      <c r="E356" s="160" t="e">
        <f>D356*#REF!</f>
        <v>#REF!</v>
      </c>
      <c r="F356" s="160" t="e">
        <f>D356*#REF!</f>
        <v>#REF!</v>
      </c>
      <c r="G356" s="160" t="e">
        <f>(D356*#REF!)*#REF!</f>
        <v>#REF!</v>
      </c>
      <c r="H356" s="296">
        <f t="shared" si="82"/>
        <v>0</v>
      </c>
      <c r="I356" s="147" t="e">
        <f t="shared" si="83"/>
        <v>#REF!</v>
      </c>
      <c r="J356" s="97">
        <v>0</v>
      </c>
      <c r="K356" s="295"/>
      <c r="L356" s="20">
        <v>694</v>
      </c>
      <c r="M356" s="20">
        <v>35.39</v>
      </c>
      <c r="N356" s="20">
        <v>1000</v>
      </c>
      <c r="O356" s="20">
        <f>VLOOKUP(A356,TB!A:F,3)</f>
        <v>232.96</v>
      </c>
      <c r="P356" s="163">
        <f t="shared" ref="P356:P358" si="88">N356</f>
        <v>1000</v>
      </c>
      <c r="Q356" s="160">
        <v>1000</v>
      </c>
      <c r="R356" s="233">
        <f>VLOOKUP(A356,TB!A:F,6)</f>
        <v>1000</v>
      </c>
      <c r="S356" s="233">
        <f t="shared" si="85"/>
        <v>0</v>
      </c>
    </row>
    <row r="357" spans="1:19" ht="15.75" customHeight="1" x14ac:dyDescent="0.25">
      <c r="A357" s="66" t="s">
        <v>795</v>
      </c>
      <c r="B357" s="66" t="s">
        <v>92</v>
      </c>
      <c r="C357" s="295"/>
      <c r="D357" s="160">
        <v>0</v>
      </c>
      <c r="E357" s="160" t="e">
        <f>D357*#REF!</f>
        <v>#REF!</v>
      </c>
      <c r="F357" s="160" t="e">
        <f>D357*#REF!</f>
        <v>#REF!</v>
      </c>
      <c r="G357" s="160" t="e">
        <f>(D357*#REF!)*#REF!</f>
        <v>#REF!</v>
      </c>
      <c r="H357" s="296">
        <f t="shared" si="82"/>
        <v>0</v>
      </c>
      <c r="I357" s="147" t="e">
        <f t="shared" si="83"/>
        <v>#REF!</v>
      </c>
      <c r="J357" s="97">
        <v>0</v>
      </c>
      <c r="K357" s="295"/>
      <c r="L357" s="20">
        <v>682</v>
      </c>
      <c r="M357" s="20">
        <v>0</v>
      </c>
      <c r="N357" s="20">
        <v>700</v>
      </c>
      <c r="O357" s="20">
        <f>VLOOKUP(A357,TB!A:F,3)</f>
        <v>0</v>
      </c>
      <c r="P357" s="163">
        <f t="shared" si="88"/>
        <v>700</v>
      </c>
      <c r="Q357" s="160">
        <v>1000</v>
      </c>
      <c r="R357" s="233">
        <f>VLOOKUP(A357,TB!A:F,6)</f>
        <v>1000</v>
      </c>
      <c r="S357" s="233">
        <f t="shared" si="85"/>
        <v>0</v>
      </c>
    </row>
    <row r="358" spans="1:19" ht="15.75" customHeight="1" x14ac:dyDescent="0.25">
      <c r="A358" s="66" t="s">
        <v>796</v>
      </c>
      <c r="B358" s="66" t="s">
        <v>797</v>
      </c>
      <c r="C358" s="295"/>
      <c r="D358" s="160">
        <v>4998</v>
      </c>
      <c r="E358" s="160" t="e">
        <f>D358*#REF!</f>
        <v>#REF!</v>
      </c>
      <c r="F358" s="160" t="e">
        <f>D358*#REF!</f>
        <v>#REF!</v>
      </c>
      <c r="G358" s="160" t="e">
        <f>(D358*#REF!)*#REF!</f>
        <v>#REF!</v>
      </c>
      <c r="H358" s="296">
        <f t="shared" si="82"/>
        <v>0</v>
      </c>
      <c r="I358" s="147" t="e">
        <f t="shared" si="83"/>
        <v>#REF!</v>
      </c>
      <c r="J358" s="97">
        <v>0</v>
      </c>
      <c r="K358" s="295"/>
      <c r="L358" s="20">
        <v>3448</v>
      </c>
      <c r="M358" s="20">
        <v>4249.41</v>
      </c>
      <c r="N358" s="20">
        <v>8000</v>
      </c>
      <c r="O358" s="20">
        <f>VLOOKUP(A358,TB!A:F,3)</f>
        <v>4490.03</v>
      </c>
      <c r="P358" s="163">
        <f t="shared" si="88"/>
        <v>8000</v>
      </c>
      <c r="Q358" s="160">
        <v>8000</v>
      </c>
      <c r="R358" s="233">
        <f>VLOOKUP(A358,TB!A:F,6)</f>
        <v>8000</v>
      </c>
      <c r="S358" s="233">
        <f t="shared" si="85"/>
        <v>0</v>
      </c>
    </row>
    <row r="359" spans="1:19" ht="15.75" customHeight="1" x14ac:dyDescent="0.25">
      <c r="A359" s="74" t="s">
        <v>798</v>
      </c>
      <c r="B359" s="75"/>
      <c r="C359" s="299"/>
      <c r="D359" s="189">
        <f t="shared" ref="D359:G359" si="89">SUM(D340:D358)</f>
        <v>121866</v>
      </c>
      <c r="E359" s="189" t="e">
        <f t="shared" si="89"/>
        <v>#REF!</v>
      </c>
      <c r="F359" s="189" t="e">
        <f t="shared" si="89"/>
        <v>#REF!</v>
      </c>
      <c r="G359" s="189" t="e">
        <f t="shared" si="89"/>
        <v>#REF!</v>
      </c>
      <c r="H359" s="300">
        <f t="shared" si="82"/>
        <v>0</v>
      </c>
      <c r="I359" s="189" t="e">
        <f t="shared" si="83"/>
        <v>#REF!</v>
      </c>
      <c r="J359" s="301">
        <f>SUM(J340:J358)</f>
        <v>0</v>
      </c>
      <c r="K359" s="299"/>
      <c r="L359" s="77">
        <f t="shared" ref="L359:S359" si="90">SUM(L340:L358)</f>
        <v>301998</v>
      </c>
      <c r="M359" s="77">
        <f t="shared" si="90"/>
        <v>160527.69000000003</v>
      </c>
      <c r="N359" s="77">
        <f t="shared" si="90"/>
        <v>228494</v>
      </c>
      <c r="O359" s="77">
        <f t="shared" si="90"/>
        <v>118060.76000000001</v>
      </c>
      <c r="P359" s="189">
        <f t="shared" si="90"/>
        <v>193224.28399999999</v>
      </c>
      <c r="Q359" s="189">
        <f t="shared" si="90"/>
        <v>233300</v>
      </c>
      <c r="R359" s="77">
        <f t="shared" si="90"/>
        <v>233300</v>
      </c>
      <c r="S359" s="77">
        <f t="shared" si="90"/>
        <v>0</v>
      </c>
    </row>
    <row r="360" spans="1:19" ht="15.75" customHeight="1" x14ac:dyDescent="0.2">
      <c r="C360" s="287"/>
      <c r="K360" s="287"/>
      <c r="L360" s="54"/>
      <c r="M360" s="54"/>
      <c r="N360" s="54"/>
      <c r="O360" s="54"/>
      <c r="P360" s="54"/>
      <c r="Q360" s="54"/>
      <c r="R360" s="83"/>
      <c r="S360" s="83"/>
    </row>
    <row r="361" spans="1:19" ht="15.75" customHeight="1" x14ac:dyDescent="0.2">
      <c r="A361" s="69" t="s">
        <v>184</v>
      </c>
      <c r="C361" s="287"/>
      <c r="K361" s="287"/>
      <c r="L361" s="54"/>
      <c r="M361" s="54"/>
      <c r="N361" s="54"/>
      <c r="O361" s="54"/>
      <c r="P361" s="54"/>
      <c r="Q361" s="54"/>
      <c r="R361" s="83"/>
      <c r="S361" s="83"/>
    </row>
    <row r="362" spans="1:19" ht="15.75" customHeight="1" x14ac:dyDescent="0.25">
      <c r="A362" s="51" t="s">
        <v>799</v>
      </c>
      <c r="B362" s="51" t="s">
        <v>800</v>
      </c>
      <c r="C362" s="307"/>
      <c r="D362" s="147">
        <v>-23243</v>
      </c>
      <c r="E362" s="160" t="e">
        <f>D362*#REF!</f>
        <v>#REF!</v>
      </c>
      <c r="F362" s="160" t="e">
        <f>D362*#REF!</f>
        <v>#REF!</v>
      </c>
      <c r="G362" s="160" t="e">
        <f>(D362*#REF!)*#REF!</f>
        <v>#REF!</v>
      </c>
      <c r="H362" s="296">
        <f t="shared" ref="H362:H363" si="91">IFERROR(((Q362-G362)/G362),0)</f>
        <v>0</v>
      </c>
      <c r="I362" s="147" t="e">
        <f t="shared" ref="I362:I363" si="92">Q362-G362</f>
        <v>#REF!</v>
      </c>
      <c r="J362" s="97">
        <v>0</v>
      </c>
      <c r="K362" s="307"/>
      <c r="L362" s="54">
        <v>0</v>
      </c>
      <c r="M362" s="54">
        <v>0</v>
      </c>
      <c r="N362" s="54">
        <v>0</v>
      </c>
      <c r="O362" s="20">
        <v>0</v>
      </c>
      <c r="P362" s="54"/>
      <c r="Q362" s="54">
        <v>0</v>
      </c>
      <c r="R362" s="81">
        <v>0</v>
      </c>
      <c r="S362" s="233">
        <f>Q362-R362</f>
        <v>0</v>
      </c>
    </row>
    <row r="363" spans="1:19" ht="15.75" customHeight="1" x14ac:dyDescent="0.2">
      <c r="A363" s="239" t="s">
        <v>189</v>
      </c>
      <c r="B363" s="75"/>
      <c r="C363" s="299"/>
      <c r="D363" s="189">
        <f t="shared" ref="D363:G363" si="93">SUM(D362)</f>
        <v>-23243</v>
      </c>
      <c r="E363" s="189" t="e">
        <f t="shared" si="93"/>
        <v>#REF!</v>
      </c>
      <c r="F363" s="189" t="e">
        <f t="shared" si="93"/>
        <v>#REF!</v>
      </c>
      <c r="G363" s="189" t="e">
        <f t="shared" si="93"/>
        <v>#REF!</v>
      </c>
      <c r="H363" s="300">
        <f t="shared" si="91"/>
        <v>0</v>
      </c>
      <c r="I363" s="189" t="e">
        <f t="shared" si="92"/>
        <v>#REF!</v>
      </c>
      <c r="J363" s="189">
        <f>SUM(J362)</f>
        <v>0</v>
      </c>
      <c r="K363" s="299"/>
      <c r="L363" s="77">
        <f t="shared" ref="L363:S363" si="94">SUM(L362)</f>
        <v>0</v>
      </c>
      <c r="M363" s="77">
        <f t="shared" si="94"/>
        <v>0</v>
      </c>
      <c r="N363" s="77">
        <f t="shared" si="94"/>
        <v>0</v>
      </c>
      <c r="O363" s="77">
        <f t="shared" si="94"/>
        <v>0</v>
      </c>
      <c r="P363" s="189">
        <f t="shared" si="94"/>
        <v>0</v>
      </c>
      <c r="Q363" s="189">
        <f t="shared" si="94"/>
        <v>0</v>
      </c>
      <c r="R363" s="77">
        <f t="shared" si="94"/>
        <v>0</v>
      </c>
      <c r="S363" s="77">
        <f t="shared" si="94"/>
        <v>0</v>
      </c>
    </row>
    <row r="364" spans="1:19" ht="15.75" customHeight="1" x14ac:dyDescent="0.2">
      <c r="C364" s="287"/>
      <c r="K364" s="287"/>
      <c r="L364" s="54"/>
      <c r="M364" s="54"/>
      <c r="N364" s="54"/>
      <c r="O364" s="54"/>
      <c r="P364" s="54"/>
      <c r="Q364" s="54"/>
      <c r="R364" s="83"/>
      <c r="S364" s="83"/>
    </row>
    <row r="365" spans="1:19" ht="15.75" customHeight="1" x14ac:dyDescent="0.2">
      <c r="A365" s="69" t="s">
        <v>190</v>
      </c>
      <c r="B365" s="51"/>
      <c r="C365" s="309"/>
      <c r="D365" s="193">
        <f t="shared" ref="D365:G365" si="95">D359+D363</f>
        <v>98623</v>
      </c>
      <c r="E365" s="193" t="e">
        <f t="shared" si="95"/>
        <v>#REF!</v>
      </c>
      <c r="F365" s="193" t="e">
        <f t="shared" si="95"/>
        <v>#REF!</v>
      </c>
      <c r="G365" s="193" t="e">
        <f t="shared" si="95"/>
        <v>#REF!</v>
      </c>
      <c r="H365" s="310">
        <f>IFERROR(((Q365-G365)/G365),0)</f>
        <v>0</v>
      </c>
      <c r="I365" s="193" t="e">
        <f>Q365-G365</f>
        <v>#REF!</v>
      </c>
      <c r="J365" s="193">
        <f>J363+J359+J356</f>
        <v>0</v>
      </c>
      <c r="K365" s="309"/>
      <c r="L365" s="245">
        <f t="shared" ref="L365:S365" si="96">L359+L363</f>
        <v>301998</v>
      </c>
      <c r="M365" s="245">
        <f t="shared" si="96"/>
        <v>160527.69000000003</v>
      </c>
      <c r="N365" s="245">
        <f t="shared" si="96"/>
        <v>228494</v>
      </c>
      <c r="O365" s="245">
        <f t="shared" si="96"/>
        <v>118060.76000000001</v>
      </c>
      <c r="P365" s="193">
        <f t="shared" si="96"/>
        <v>193224.28399999999</v>
      </c>
      <c r="Q365" s="193">
        <f t="shared" si="96"/>
        <v>233300</v>
      </c>
      <c r="R365" s="245">
        <f t="shared" si="96"/>
        <v>233300</v>
      </c>
      <c r="S365" s="245">
        <f t="shared" si="96"/>
        <v>0</v>
      </c>
    </row>
    <row r="366" spans="1:19" ht="15.75" customHeight="1" x14ac:dyDescent="0.2">
      <c r="C366" s="287"/>
      <c r="K366" s="287"/>
      <c r="L366" s="62"/>
      <c r="M366" s="62"/>
      <c r="N366" s="62"/>
      <c r="O366" s="62"/>
      <c r="P366" s="62"/>
      <c r="Q366" s="62"/>
      <c r="R366" s="62"/>
    </row>
    <row r="367" spans="1:19" ht="15.75" customHeight="1" x14ac:dyDescent="0.2">
      <c r="C367" s="288"/>
      <c r="K367" s="288"/>
      <c r="L367" s="199" t="e">
        <f t="shared" ref="L367:R367" si="97">#REF!</f>
        <v>#REF!</v>
      </c>
      <c r="M367" s="199" t="e">
        <f t="shared" si="97"/>
        <v>#REF!</v>
      </c>
      <c r="N367" s="199" t="e">
        <f t="shared" si="97"/>
        <v>#REF!</v>
      </c>
      <c r="O367" s="199" t="e">
        <f t="shared" si="97"/>
        <v>#REF!</v>
      </c>
      <c r="P367" s="199" t="e">
        <f t="shared" si="97"/>
        <v>#REF!</v>
      </c>
      <c r="Q367" s="199" t="e">
        <f t="shared" si="97"/>
        <v>#REF!</v>
      </c>
      <c r="R367" s="173" t="e">
        <f t="shared" si="97"/>
        <v>#REF!</v>
      </c>
    </row>
    <row r="368" spans="1:19" ht="15.75" customHeight="1" x14ac:dyDescent="0.2">
      <c r="C368" s="289"/>
      <c r="K368" s="289"/>
      <c r="L368" s="290">
        <f t="shared" ref="L368:R368" si="98">L365</f>
        <v>301998</v>
      </c>
      <c r="M368" s="290">
        <f t="shared" si="98"/>
        <v>160527.69000000003</v>
      </c>
      <c r="N368" s="290">
        <f t="shared" si="98"/>
        <v>228494</v>
      </c>
      <c r="O368" s="290">
        <f t="shared" si="98"/>
        <v>118060.76000000001</v>
      </c>
      <c r="P368" s="290">
        <f t="shared" si="98"/>
        <v>193224.28399999999</v>
      </c>
      <c r="Q368" s="290">
        <f t="shared" si="98"/>
        <v>233300</v>
      </c>
      <c r="R368" s="291">
        <f t="shared" si="98"/>
        <v>233300</v>
      </c>
    </row>
    <row r="369" spans="3:11" ht="15.75" customHeight="1" x14ac:dyDescent="0.2">
      <c r="C369" s="287"/>
      <c r="K369" s="287"/>
    </row>
    <row r="370" spans="3:11" ht="15.75" customHeight="1" x14ac:dyDescent="0.2">
      <c r="C370" s="287"/>
      <c r="K370" s="287"/>
    </row>
    <row r="371" spans="3:11" ht="15.75" customHeight="1" x14ac:dyDescent="0.2">
      <c r="C371" s="287"/>
      <c r="K371" s="287"/>
    </row>
    <row r="372" spans="3:11" ht="15.75" customHeight="1" x14ac:dyDescent="0.2">
      <c r="C372" s="287"/>
      <c r="K372" s="287"/>
    </row>
    <row r="373" spans="3:11" ht="15.75" customHeight="1" x14ac:dyDescent="0.2">
      <c r="C373" s="287"/>
      <c r="K373" s="287"/>
    </row>
    <row r="374" spans="3:11" ht="15.75" customHeight="1" x14ac:dyDescent="0.2">
      <c r="C374" s="287"/>
      <c r="K374" s="287"/>
    </row>
    <row r="375" spans="3:11" ht="15.75" customHeight="1" x14ac:dyDescent="0.2">
      <c r="C375" s="287"/>
      <c r="K375" s="287"/>
    </row>
    <row r="376" spans="3:11" ht="15.75" customHeight="1" x14ac:dyDescent="0.2">
      <c r="C376" s="287"/>
      <c r="K376" s="287"/>
    </row>
    <row r="377" spans="3:11" ht="15.75" customHeight="1" x14ac:dyDescent="0.2">
      <c r="C377" s="287"/>
      <c r="K377" s="287"/>
    </row>
    <row r="378" spans="3:11" ht="15.75" customHeight="1" x14ac:dyDescent="0.2">
      <c r="C378" s="287"/>
      <c r="K378" s="287"/>
    </row>
    <row r="379" spans="3:11" ht="15.75" customHeight="1" x14ac:dyDescent="0.2">
      <c r="C379" s="287"/>
      <c r="K379" s="287"/>
    </row>
    <row r="380" spans="3:11" ht="15.75" customHeight="1" x14ac:dyDescent="0.2">
      <c r="C380" s="287"/>
      <c r="K380" s="287"/>
    </row>
    <row r="381" spans="3:11" ht="15.75" customHeight="1" x14ac:dyDescent="0.2">
      <c r="C381" s="287"/>
      <c r="K381" s="287"/>
    </row>
    <row r="382" spans="3:11" ht="15.75" customHeight="1" x14ac:dyDescent="0.2">
      <c r="C382" s="287"/>
      <c r="K382" s="287"/>
    </row>
    <row r="383" spans="3:11" ht="15.75" customHeight="1" x14ac:dyDescent="0.2">
      <c r="C383" s="287"/>
      <c r="K383" s="287"/>
    </row>
    <row r="384" spans="3:11" ht="15.75" customHeight="1" x14ac:dyDescent="0.2">
      <c r="C384" s="287"/>
      <c r="K384" s="287"/>
    </row>
    <row r="385" spans="3:11" ht="15.75" customHeight="1" x14ac:dyDescent="0.2">
      <c r="C385" s="287"/>
      <c r="K385" s="287"/>
    </row>
    <row r="386" spans="3:11" ht="15.75" customHeight="1" x14ac:dyDescent="0.2">
      <c r="C386" s="287"/>
      <c r="K386" s="287"/>
    </row>
    <row r="387" spans="3:11" ht="15.75" customHeight="1" x14ac:dyDescent="0.2">
      <c r="C387" s="287"/>
      <c r="K387" s="287"/>
    </row>
    <row r="388" spans="3:11" ht="15.75" customHeight="1" x14ac:dyDescent="0.2">
      <c r="C388" s="287"/>
      <c r="K388" s="287"/>
    </row>
    <row r="389" spans="3:11" ht="15.75" customHeight="1" x14ac:dyDescent="0.2">
      <c r="C389" s="287"/>
      <c r="K389" s="287"/>
    </row>
    <row r="390" spans="3:11" ht="15.75" customHeight="1" x14ac:dyDescent="0.2">
      <c r="C390" s="287"/>
      <c r="K390" s="287"/>
    </row>
    <row r="391" spans="3:11" ht="15.75" customHeight="1" x14ac:dyDescent="0.2">
      <c r="C391" s="287"/>
      <c r="K391" s="287"/>
    </row>
    <row r="392" spans="3:11" ht="15.75" customHeight="1" x14ac:dyDescent="0.2">
      <c r="C392" s="287"/>
      <c r="K392" s="287"/>
    </row>
    <row r="393" spans="3:11" ht="15.75" customHeight="1" x14ac:dyDescent="0.2">
      <c r="C393" s="287"/>
      <c r="K393" s="287"/>
    </row>
    <row r="394" spans="3:11" ht="15.75" customHeight="1" x14ac:dyDescent="0.2">
      <c r="C394" s="287"/>
      <c r="K394" s="287"/>
    </row>
    <row r="395" spans="3:11" ht="15.75" customHeight="1" x14ac:dyDescent="0.2">
      <c r="C395" s="287"/>
      <c r="K395" s="287"/>
    </row>
    <row r="396" spans="3:11" ht="15.75" customHeight="1" x14ac:dyDescent="0.2">
      <c r="C396" s="287"/>
      <c r="K396" s="287"/>
    </row>
    <row r="397" spans="3:11" ht="15.75" customHeight="1" x14ac:dyDescent="0.2">
      <c r="C397" s="287"/>
      <c r="K397" s="287"/>
    </row>
    <row r="398" spans="3:11" ht="15.75" customHeight="1" x14ac:dyDescent="0.2">
      <c r="C398" s="287"/>
      <c r="K398" s="287"/>
    </row>
    <row r="399" spans="3:11" ht="15.75" customHeight="1" x14ac:dyDescent="0.2">
      <c r="C399" s="287"/>
      <c r="K399" s="287"/>
    </row>
    <row r="400" spans="3:11" ht="15.75" customHeight="1" x14ac:dyDescent="0.2">
      <c r="C400" s="287"/>
      <c r="K400" s="287"/>
    </row>
    <row r="401" spans="3:11" ht="15.75" customHeight="1" x14ac:dyDescent="0.2">
      <c r="C401" s="287"/>
      <c r="K401" s="287"/>
    </row>
    <row r="402" spans="3:11" ht="15.75" customHeight="1" x14ac:dyDescent="0.2">
      <c r="C402" s="287"/>
      <c r="K402" s="287"/>
    </row>
    <row r="403" spans="3:11" ht="15.75" customHeight="1" x14ac:dyDescent="0.2">
      <c r="C403" s="287"/>
      <c r="K403" s="287"/>
    </row>
    <row r="404" spans="3:11" ht="15.75" customHeight="1" x14ac:dyDescent="0.2">
      <c r="C404" s="287"/>
      <c r="K404" s="287"/>
    </row>
    <row r="405" spans="3:11" ht="15.75" customHeight="1" x14ac:dyDescent="0.2">
      <c r="C405" s="287"/>
      <c r="K405" s="287"/>
    </row>
    <row r="406" spans="3:11" ht="15.75" customHeight="1" x14ac:dyDescent="0.2">
      <c r="C406" s="287"/>
      <c r="K406" s="287"/>
    </row>
    <row r="407" spans="3:11" ht="15.75" customHeight="1" x14ac:dyDescent="0.2">
      <c r="C407" s="287"/>
      <c r="K407" s="287"/>
    </row>
    <row r="408" spans="3:11" ht="15.75" customHeight="1" x14ac:dyDescent="0.2">
      <c r="C408" s="287"/>
      <c r="K408" s="287"/>
    </row>
    <row r="409" spans="3:11" ht="15.75" customHeight="1" x14ac:dyDescent="0.2">
      <c r="C409" s="287"/>
      <c r="K409" s="287"/>
    </row>
    <row r="410" spans="3:11" ht="15.75" customHeight="1" x14ac:dyDescent="0.2">
      <c r="C410" s="287"/>
      <c r="K410" s="287"/>
    </row>
    <row r="411" spans="3:11" ht="15.75" customHeight="1" x14ac:dyDescent="0.2">
      <c r="C411" s="287"/>
      <c r="K411" s="287"/>
    </row>
    <row r="412" spans="3:11" ht="15.75" customHeight="1" x14ac:dyDescent="0.2">
      <c r="C412" s="287"/>
      <c r="K412" s="287"/>
    </row>
    <row r="413" spans="3:11" ht="15.75" customHeight="1" x14ac:dyDescent="0.2">
      <c r="C413" s="287"/>
      <c r="K413" s="287"/>
    </row>
    <row r="414" spans="3:11" ht="15.75" customHeight="1" x14ac:dyDescent="0.2">
      <c r="C414" s="287"/>
      <c r="K414" s="287"/>
    </row>
    <row r="415" spans="3:11" ht="15.75" customHeight="1" x14ac:dyDescent="0.2">
      <c r="C415" s="287"/>
      <c r="K415" s="287"/>
    </row>
    <row r="416" spans="3:11" ht="15.75" customHeight="1" x14ac:dyDescent="0.2">
      <c r="C416" s="287"/>
      <c r="K416" s="287"/>
    </row>
    <row r="417" spans="3:11" ht="15.75" customHeight="1" x14ac:dyDescent="0.2">
      <c r="C417" s="287"/>
      <c r="K417" s="287"/>
    </row>
    <row r="418" spans="3:11" ht="15.75" customHeight="1" x14ac:dyDescent="0.2">
      <c r="C418" s="287"/>
      <c r="K418" s="287"/>
    </row>
    <row r="419" spans="3:11" ht="15.75" customHeight="1" x14ac:dyDescent="0.2">
      <c r="C419" s="287"/>
      <c r="K419" s="287"/>
    </row>
    <row r="420" spans="3:11" ht="15.75" customHeight="1" x14ac:dyDescent="0.2">
      <c r="C420" s="287"/>
      <c r="K420" s="287"/>
    </row>
    <row r="421" spans="3:11" ht="15.75" customHeight="1" x14ac:dyDescent="0.2">
      <c r="C421" s="287"/>
      <c r="K421" s="287"/>
    </row>
    <row r="422" spans="3:11" ht="15.75" customHeight="1" x14ac:dyDescent="0.2">
      <c r="C422" s="287"/>
      <c r="K422" s="287"/>
    </row>
    <row r="423" spans="3:11" ht="15.75" customHeight="1" x14ac:dyDescent="0.2">
      <c r="C423" s="287"/>
      <c r="K423" s="287"/>
    </row>
    <row r="424" spans="3:11" ht="15.75" customHeight="1" x14ac:dyDescent="0.2">
      <c r="C424" s="287"/>
      <c r="K424" s="287"/>
    </row>
    <row r="425" spans="3:11" ht="15.75" customHeight="1" x14ac:dyDescent="0.2">
      <c r="C425" s="287"/>
      <c r="K425" s="287"/>
    </row>
    <row r="426" spans="3:11" ht="15.75" customHeight="1" x14ac:dyDescent="0.2">
      <c r="C426" s="287"/>
      <c r="K426" s="287"/>
    </row>
    <row r="427" spans="3:11" ht="15.75" customHeight="1" x14ac:dyDescent="0.2">
      <c r="C427" s="287"/>
      <c r="K427" s="287"/>
    </row>
    <row r="428" spans="3:11" ht="15.75" customHeight="1" x14ac:dyDescent="0.2">
      <c r="C428" s="287"/>
      <c r="K428" s="287"/>
    </row>
    <row r="429" spans="3:11" ht="15.75" customHeight="1" x14ac:dyDescent="0.2">
      <c r="C429" s="287"/>
      <c r="K429" s="287"/>
    </row>
    <row r="430" spans="3:11" ht="15.75" customHeight="1" x14ac:dyDescent="0.2">
      <c r="C430" s="287"/>
      <c r="K430" s="287"/>
    </row>
    <row r="431" spans="3:11" ht="15.75" customHeight="1" x14ac:dyDescent="0.2">
      <c r="C431" s="287"/>
      <c r="K431" s="287"/>
    </row>
    <row r="432" spans="3:11" ht="15.75" customHeight="1" x14ac:dyDescent="0.2">
      <c r="C432" s="287"/>
      <c r="K432" s="287"/>
    </row>
    <row r="433" spans="3:11" ht="15.75" customHeight="1" x14ac:dyDescent="0.2">
      <c r="C433" s="287"/>
      <c r="K433" s="287"/>
    </row>
    <row r="434" spans="3:11" ht="15.75" customHeight="1" x14ac:dyDescent="0.2">
      <c r="C434" s="287"/>
      <c r="K434" s="287"/>
    </row>
    <row r="435" spans="3:11" ht="15.75" customHeight="1" x14ac:dyDescent="0.2">
      <c r="C435" s="287"/>
      <c r="K435" s="287"/>
    </row>
    <row r="436" spans="3:11" ht="15.75" customHeight="1" x14ac:dyDescent="0.2">
      <c r="C436" s="287"/>
      <c r="K436" s="287"/>
    </row>
    <row r="437" spans="3:11" ht="15.75" customHeight="1" x14ac:dyDescent="0.2">
      <c r="C437" s="287"/>
      <c r="K437" s="287"/>
    </row>
    <row r="438" spans="3:11" ht="15.75" customHeight="1" x14ac:dyDescent="0.2">
      <c r="C438" s="287"/>
      <c r="K438" s="287"/>
    </row>
    <row r="439" spans="3:11" ht="15.75" customHeight="1" x14ac:dyDescent="0.2">
      <c r="C439" s="287"/>
      <c r="K439" s="287"/>
    </row>
    <row r="440" spans="3:11" ht="15.75" customHeight="1" x14ac:dyDescent="0.2">
      <c r="C440" s="287"/>
      <c r="K440" s="287"/>
    </row>
    <row r="441" spans="3:11" ht="15.75" customHeight="1" x14ac:dyDescent="0.2">
      <c r="C441" s="287"/>
      <c r="K441" s="287"/>
    </row>
    <row r="442" spans="3:11" ht="15.75" customHeight="1" x14ac:dyDescent="0.2">
      <c r="C442" s="287"/>
      <c r="K442" s="287"/>
    </row>
    <row r="443" spans="3:11" ht="15.75" customHeight="1" x14ac:dyDescent="0.2">
      <c r="C443" s="287"/>
      <c r="K443" s="287"/>
    </row>
    <row r="444" spans="3:11" ht="15.75" customHeight="1" x14ac:dyDescent="0.2">
      <c r="C444" s="287"/>
      <c r="K444" s="287"/>
    </row>
    <row r="445" spans="3:11" ht="15.75" customHeight="1" x14ac:dyDescent="0.2">
      <c r="C445" s="287"/>
      <c r="K445" s="287"/>
    </row>
    <row r="446" spans="3:11" ht="15.75" customHeight="1" x14ac:dyDescent="0.2">
      <c r="C446" s="287"/>
      <c r="K446" s="287"/>
    </row>
    <row r="447" spans="3:11" ht="15.75" customHeight="1" x14ac:dyDescent="0.2">
      <c r="C447" s="287"/>
      <c r="K447" s="287"/>
    </row>
    <row r="448" spans="3:11" ht="15.75" customHeight="1" x14ac:dyDescent="0.2">
      <c r="C448" s="287"/>
      <c r="K448" s="287"/>
    </row>
    <row r="449" spans="3:11" ht="15.75" customHeight="1" x14ac:dyDescent="0.2">
      <c r="C449" s="287"/>
      <c r="K449" s="287"/>
    </row>
    <row r="450" spans="3:11" ht="15.75" customHeight="1" x14ac:dyDescent="0.2">
      <c r="C450" s="287"/>
      <c r="K450" s="287"/>
    </row>
    <row r="451" spans="3:11" ht="15.75" customHeight="1" x14ac:dyDescent="0.2">
      <c r="C451" s="287"/>
      <c r="K451" s="287"/>
    </row>
    <row r="452" spans="3:11" ht="15.75" customHeight="1" x14ac:dyDescent="0.2">
      <c r="C452" s="287"/>
      <c r="K452" s="287"/>
    </row>
    <row r="453" spans="3:11" ht="15.75" customHeight="1" x14ac:dyDescent="0.2">
      <c r="C453" s="287"/>
      <c r="K453" s="287"/>
    </row>
    <row r="454" spans="3:11" ht="15.75" customHeight="1" x14ac:dyDescent="0.2">
      <c r="C454" s="287"/>
      <c r="K454" s="287"/>
    </row>
    <row r="455" spans="3:11" ht="15.75" customHeight="1" x14ac:dyDescent="0.2">
      <c r="C455" s="287"/>
      <c r="K455" s="287"/>
    </row>
    <row r="456" spans="3:11" ht="15.75" customHeight="1" x14ac:dyDescent="0.2">
      <c r="C456" s="287"/>
      <c r="K456" s="287"/>
    </row>
    <row r="457" spans="3:11" ht="15.75" customHeight="1" x14ac:dyDescent="0.2">
      <c r="C457" s="287"/>
      <c r="K457" s="287"/>
    </row>
    <row r="458" spans="3:11" ht="15.75" customHeight="1" x14ac:dyDescent="0.2">
      <c r="C458" s="287"/>
      <c r="K458" s="287"/>
    </row>
    <row r="459" spans="3:11" ht="15.75" customHeight="1" x14ac:dyDescent="0.2">
      <c r="C459" s="287"/>
      <c r="K459" s="287"/>
    </row>
    <row r="460" spans="3:11" ht="15.75" customHeight="1" x14ac:dyDescent="0.2">
      <c r="C460" s="287"/>
      <c r="K460" s="287"/>
    </row>
    <row r="461" spans="3:11" ht="15.75" customHeight="1" x14ac:dyDescent="0.2">
      <c r="C461" s="287"/>
      <c r="K461" s="287"/>
    </row>
    <row r="462" spans="3:11" ht="15.75" customHeight="1" x14ac:dyDescent="0.2">
      <c r="C462" s="287"/>
      <c r="K462" s="287"/>
    </row>
    <row r="463" spans="3:11" ht="15.75" customHeight="1" x14ac:dyDescent="0.2">
      <c r="C463" s="287"/>
      <c r="K463" s="287"/>
    </row>
    <row r="464" spans="3:11" ht="15.75" customHeight="1" x14ac:dyDescent="0.2">
      <c r="C464" s="287"/>
      <c r="K464" s="287"/>
    </row>
    <row r="465" spans="3:11" ht="15.75" customHeight="1" x14ac:dyDescent="0.2">
      <c r="C465" s="287"/>
      <c r="K465" s="287"/>
    </row>
    <row r="466" spans="3:11" ht="15.75" customHeight="1" x14ac:dyDescent="0.2">
      <c r="C466" s="287"/>
      <c r="K466" s="287"/>
    </row>
    <row r="467" spans="3:11" ht="15.75" customHeight="1" x14ac:dyDescent="0.2">
      <c r="C467" s="287"/>
      <c r="K467" s="287"/>
    </row>
    <row r="468" spans="3:11" ht="15.75" customHeight="1" x14ac:dyDescent="0.2">
      <c r="C468" s="287"/>
      <c r="K468" s="287"/>
    </row>
    <row r="469" spans="3:11" ht="15.75" customHeight="1" x14ac:dyDescent="0.2">
      <c r="C469" s="287"/>
      <c r="K469" s="287"/>
    </row>
    <row r="470" spans="3:11" ht="15.75" customHeight="1" x14ac:dyDescent="0.2">
      <c r="C470" s="287"/>
      <c r="K470" s="287"/>
    </row>
    <row r="471" spans="3:11" ht="15.75" customHeight="1" x14ac:dyDescent="0.2">
      <c r="C471" s="287"/>
      <c r="K471" s="287"/>
    </row>
    <row r="472" spans="3:11" ht="15.75" customHeight="1" x14ac:dyDescent="0.2">
      <c r="C472" s="287"/>
      <c r="K472" s="287"/>
    </row>
    <row r="473" spans="3:11" ht="15.75" customHeight="1" x14ac:dyDescent="0.2">
      <c r="C473" s="287"/>
      <c r="K473" s="287"/>
    </row>
    <row r="474" spans="3:11" ht="15.75" customHeight="1" x14ac:dyDescent="0.2">
      <c r="C474" s="287"/>
      <c r="K474" s="287"/>
    </row>
    <row r="475" spans="3:11" ht="15.75" customHeight="1" x14ac:dyDescent="0.2">
      <c r="C475" s="287"/>
      <c r="K475" s="287"/>
    </row>
    <row r="476" spans="3:11" ht="15.75" customHeight="1" x14ac:dyDescent="0.2">
      <c r="C476" s="287"/>
      <c r="K476" s="287"/>
    </row>
    <row r="477" spans="3:11" ht="15.75" customHeight="1" x14ac:dyDescent="0.2">
      <c r="C477" s="287"/>
      <c r="K477" s="287"/>
    </row>
    <row r="478" spans="3:11" ht="15.75" customHeight="1" x14ac:dyDescent="0.2">
      <c r="C478" s="287"/>
      <c r="K478" s="287"/>
    </row>
    <row r="479" spans="3:11" ht="15.75" customHeight="1" x14ac:dyDescent="0.2">
      <c r="C479" s="287"/>
      <c r="K479" s="287"/>
    </row>
    <row r="480" spans="3:11" ht="15.75" customHeight="1" x14ac:dyDescent="0.2">
      <c r="C480" s="287"/>
      <c r="K480" s="287"/>
    </row>
    <row r="481" spans="3:11" ht="15.75" customHeight="1" x14ac:dyDescent="0.2">
      <c r="C481" s="287"/>
      <c r="K481" s="287"/>
    </row>
    <row r="482" spans="3:11" ht="15.75" customHeight="1" x14ac:dyDescent="0.2">
      <c r="C482" s="287"/>
      <c r="K482" s="287"/>
    </row>
    <row r="483" spans="3:11" ht="15.75" customHeight="1" x14ac:dyDescent="0.2">
      <c r="C483" s="287"/>
      <c r="K483" s="287"/>
    </row>
    <row r="484" spans="3:11" ht="15.75" customHeight="1" x14ac:dyDescent="0.2">
      <c r="C484" s="287"/>
      <c r="K484" s="287"/>
    </row>
    <row r="485" spans="3:11" ht="15.75" customHeight="1" x14ac:dyDescent="0.2">
      <c r="C485" s="287"/>
      <c r="K485" s="287"/>
    </row>
    <row r="486" spans="3:11" ht="15.75" customHeight="1" x14ac:dyDescent="0.2">
      <c r="C486" s="287"/>
      <c r="K486" s="287"/>
    </row>
    <row r="487" spans="3:11" ht="15.75" customHeight="1" x14ac:dyDescent="0.2">
      <c r="C487" s="287"/>
      <c r="K487" s="287"/>
    </row>
    <row r="488" spans="3:11" ht="15.75" customHeight="1" x14ac:dyDescent="0.2">
      <c r="C488" s="287"/>
      <c r="K488" s="287"/>
    </row>
    <row r="489" spans="3:11" ht="15.75" customHeight="1" x14ac:dyDescent="0.2">
      <c r="C489" s="287"/>
      <c r="K489" s="287"/>
    </row>
    <row r="490" spans="3:11" ht="15.75" customHeight="1" x14ac:dyDescent="0.2">
      <c r="C490" s="287"/>
      <c r="K490" s="287"/>
    </row>
    <row r="491" spans="3:11" ht="15.75" customHeight="1" x14ac:dyDescent="0.2">
      <c r="C491" s="287"/>
      <c r="K491" s="287"/>
    </row>
    <row r="492" spans="3:11" ht="15.75" customHeight="1" x14ac:dyDescent="0.2">
      <c r="C492" s="287"/>
      <c r="K492" s="287"/>
    </row>
    <row r="493" spans="3:11" ht="15.75" customHeight="1" x14ac:dyDescent="0.2">
      <c r="C493" s="287"/>
      <c r="K493" s="287"/>
    </row>
    <row r="494" spans="3:11" ht="15.75" customHeight="1" x14ac:dyDescent="0.2">
      <c r="C494" s="287"/>
      <c r="K494" s="287"/>
    </row>
    <row r="495" spans="3:11" ht="15.75" customHeight="1" x14ac:dyDescent="0.2">
      <c r="C495" s="287"/>
      <c r="K495" s="287"/>
    </row>
    <row r="496" spans="3:11" ht="15.75" customHeight="1" x14ac:dyDescent="0.2">
      <c r="C496" s="287"/>
      <c r="K496" s="287"/>
    </row>
    <row r="497" spans="3:11" ht="15.75" customHeight="1" x14ac:dyDescent="0.2">
      <c r="C497" s="287"/>
      <c r="K497" s="287"/>
    </row>
    <row r="498" spans="3:11" ht="15.75" customHeight="1" x14ac:dyDescent="0.2">
      <c r="C498" s="287"/>
      <c r="K498" s="287"/>
    </row>
    <row r="499" spans="3:11" ht="15.75" customHeight="1" x14ac:dyDescent="0.2">
      <c r="C499" s="287"/>
      <c r="K499" s="287"/>
    </row>
    <row r="500" spans="3:11" ht="15.75" customHeight="1" x14ac:dyDescent="0.2">
      <c r="C500" s="287"/>
      <c r="K500" s="287"/>
    </row>
    <row r="501" spans="3:11" ht="15.75" customHeight="1" x14ac:dyDescent="0.2">
      <c r="C501" s="287"/>
      <c r="K501" s="287"/>
    </row>
    <row r="502" spans="3:11" ht="15.75" customHeight="1" x14ac:dyDescent="0.2">
      <c r="C502" s="287"/>
      <c r="K502" s="287"/>
    </row>
    <row r="503" spans="3:11" ht="15.75" customHeight="1" x14ac:dyDescent="0.2">
      <c r="C503" s="287"/>
      <c r="K503" s="287"/>
    </row>
    <row r="504" spans="3:11" ht="15.75" customHeight="1" x14ac:dyDescent="0.2">
      <c r="C504" s="287"/>
      <c r="K504" s="287"/>
    </row>
    <row r="505" spans="3:11" ht="15.75" customHeight="1" x14ac:dyDescent="0.2">
      <c r="C505" s="287"/>
      <c r="K505" s="287"/>
    </row>
    <row r="506" spans="3:11" ht="15.75" customHeight="1" x14ac:dyDescent="0.2">
      <c r="C506" s="287"/>
      <c r="K506" s="287"/>
    </row>
    <row r="507" spans="3:11" ht="15.75" customHeight="1" x14ac:dyDescent="0.2">
      <c r="C507" s="287"/>
      <c r="K507" s="287"/>
    </row>
    <row r="508" spans="3:11" ht="15.75" customHeight="1" x14ac:dyDescent="0.2">
      <c r="C508" s="287"/>
      <c r="K508" s="287"/>
    </row>
    <row r="509" spans="3:11" ht="15.75" customHeight="1" x14ac:dyDescent="0.2">
      <c r="C509" s="287"/>
      <c r="K509" s="287"/>
    </row>
    <row r="510" spans="3:11" ht="15.75" customHeight="1" x14ac:dyDescent="0.2">
      <c r="C510" s="287"/>
      <c r="K510" s="287"/>
    </row>
    <row r="511" spans="3:11" ht="15.75" customHeight="1" x14ac:dyDescent="0.2">
      <c r="C511" s="287"/>
      <c r="K511" s="287"/>
    </row>
    <row r="512" spans="3:11" ht="15.75" customHeight="1" x14ac:dyDescent="0.2">
      <c r="C512" s="287"/>
      <c r="K512" s="287"/>
    </row>
    <row r="513" spans="3:11" ht="15.75" customHeight="1" x14ac:dyDescent="0.2">
      <c r="C513" s="287"/>
      <c r="K513" s="287"/>
    </row>
    <row r="514" spans="3:11" ht="15.75" customHeight="1" x14ac:dyDescent="0.2">
      <c r="C514" s="287"/>
      <c r="K514" s="287"/>
    </row>
    <row r="515" spans="3:11" ht="15.75" customHeight="1" x14ac:dyDescent="0.2">
      <c r="C515" s="287"/>
      <c r="K515" s="287"/>
    </row>
    <row r="516" spans="3:11" ht="15.75" customHeight="1" x14ac:dyDescent="0.2">
      <c r="C516" s="287"/>
      <c r="K516" s="287"/>
    </row>
    <row r="517" spans="3:11" ht="15.75" customHeight="1" x14ac:dyDescent="0.2">
      <c r="C517" s="287"/>
      <c r="K517" s="287"/>
    </row>
    <row r="518" spans="3:11" ht="15.75" customHeight="1" x14ac:dyDescent="0.2">
      <c r="C518" s="287"/>
      <c r="K518" s="287"/>
    </row>
    <row r="519" spans="3:11" ht="15.75" customHeight="1" x14ac:dyDescent="0.2">
      <c r="C519" s="287"/>
      <c r="K519" s="287"/>
    </row>
    <row r="520" spans="3:11" ht="15.75" customHeight="1" x14ac:dyDescent="0.2">
      <c r="C520" s="287"/>
      <c r="K520" s="287"/>
    </row>
    <row r="521" spans="3:11" ht="15.75" customHeight="1" x14ac:dyDescent="0.2">
      <c r="C521" s="287"/>
      <c r="K521" s="287"/>
    </row>
    <row r="522" spans="3:11" ht="15.75" customHeight="1" x14ac:dyDescent="0.2">
      <c r="C522" s="287"/>
      <c r="K522" s="287"/>
    </row>
    <row r="523" spans="3:11" ht="15.75" customHeight="1" x14ac:dyDescent="0.2">
      <c r="C523" s="287"/>
      <c r="K523" s="287"/>
    </row>
    <row r="524" spans="3:11" ht="15.75" customHeight="1" x14ac:dyDescent="0.2">
      <c r="C524" s="287"/>
      <c r="K524" s="287"/>
    </row>
    <row r="525" spans="3:11" ht="15.75" customHeight="1" x14ac:dyDescent="0.2">
      <c r="C525" s="287"/>
      <c r="K525" s="287"/>
    </row>
    <row r="526" spans="3:11" ht="15.75" customHeight="1" x14ac:dyDescent="0.2">
      <c r="C526" s="287"/>
      <c r="K526" s="287"/>
    </row>
    <row r="527" spans="3:11" ht="15.75" customHeight="1" x14ac:dyDescent="0.2">
      <c r="C527" s="287"/>
      <c r="K527" s="287"/>
    </row>
    <row r="528" spans="3:11" ht="15.75" customHeight="1" x14ac:dyDescent="0.2">
      <c r="C528" s="287"/>
      <c r="K528" s="287"/>
    </row>
    <row r="529" spans="3:11" ht="15.75" customHeight="1" x14ac:dyDescent="0.2">
      <c r="C529" s="287"/>
      <c r="K529" s="287"/>
    </row>
    <row r="530" spans="3:11" ht="15.75" customHeight="1" x14ac:dyDescent="0.2">
      <c r="C530" s="287"/>
      <c r="K530" s="287"/>
    </row>
    <row r="531" spans="3:11" ht="15.75" customHeight="1" x14ac:dyDescent="0.2">
      <c r="C531" s="287"/>
      <c r="K531" s="287"/>
    </row>
    <row r="532" spans="3:11" ht="15.75" customHeight="1" x14ac:dyDescent="0.2">
      <c r="C532" s="287"/>
      <c r="K532" s="287"/>
    </row>
    <row r="533" spans="3:11" ht="15.75" customHeight="1" x14ac:dyDescent="0.2">
      <c r="C533" s="287"/>
      <c r="K533" s="287"/>
    </row>
    <row r="534" spans="3:11" ht="15.75" customHeight="1" x14ac:dyDescent="0.2">
      <c r="C534" s="287"/>
      <c r="K534" s="287"/>
    </row>
    <row r="535" spans="3:11" ht="15.75" customHeight="1" x14ac:dyDescent="0.2">
      <c r="C535" s="287"/>
      <c r="K535" s="287"/>
    </row>
    <row r="536" spans="3:11" ht="15.75" customHeight="1" x14ac:dyDescent="0.2">
      <c r="C536" s="287"/>
      <c r="K536" s="287"/>
    </row>
    <row r="537" spans="3:11" ht="15.75" customHeight="1" x14ac:dyDescent="0.2">
      <c r="C537" s="287"/>
      <c r="K537" s="287"/>
    </row>
    <row r="538" spans="3:11" ht="15.75" customHeight="1" x14ac:dyDescent="0.2">
      <c r="C538" s="287"/>
      <c r="K538" s="287"/>
    </row>
    <row r="539" spans="3:11" ht="15.75" customHeight="1" x14ac:dyDescent="0.2">
      <c r="C539" s="287"/>
      <c r="K539" s="287"/>
    </row>
    <row r="540" spans="3:11" ht="15.75" customHeight="1" x14ac:dyDescent="0.2">
      <c r="C540" s="287"/>
      <c r="K540" s="287"/>
    </row>
    <row r="541" spans="3:11" ht="15.75" customHeight="1" x14ac:dyDescent="0.2">
      <c r="C541" s="287"/>
      <c r="K541" s="287"/>
    </row>
    <row r="542" spans="3:11" ht="15.75" customHeight="1" x14ac:dyDescent="0.2">
      <c r="C542" s="287"/>
      <c r="K542" s="287"/>
    </row>
    <row r="543" spans="3:11" ht="15.75" customHeight="1" x14ac:dyDescent="0.2">
      <c r="C543" s="287"/>
      <c r="K543" s="287"/>
    </row>
    <row r="544" spans="3:11" ht="15.75" customHeight="1" x14ac:dyDescent="0.2">
      <c r="C544" s="287"/>
      <c r="K544" s="287"/>
    </row>
    <row r="545" spans="3:11" ht="15.75" customHeight="1" x14ac:dyDescent="0.2">
      <c r="C545" s="287"/>
      <c r="K545" s="287"/>
    </row>
    <row r="546" spans="3:11" ht="15.75" customHeight="1" x14ac:dyDescent="0.2">
      <c r="C546" s="287"/>
      <c r="K546" s="287"/>
    </row>
    <row r="547" spans="3:11" ht="15.75" customHeight="1" x14ac:dyDescent="0.2">
      <c r="C547" s="287"/>
      <c r="K547" s="287"/>
    </row>
    <row r="548" spans="3:11" ht="15.75" customHeight="1" x14ac:dyDescent="0.2">
      <c r="C548" s="287"/>
      <c r="K548" s="287"/>
    </row>
    <row r="549" spans="3:11" ht="15.75" customHeight="1" x14ac:dyDescent="0.2">
      <c r="C549" s="287"/>
      <c r="K549" s="287"/>
    </row>
    <row r="550" spans="3:11" ht="15.75" customHeight="1" x14ac:dyDescent="0.2">
      <c r="C550" s="287"/>
      <c r="K550" s="287"/>
    </row>
    <row r="551" spans="3:11" ht="15.75" customHeight="1" x14ac:dyDescent="0.2">
      <c r="C551" s="287"/>
      <c r="K551" s="287"/>
    </row>
    <row r="552" spans="3:11" ht="15.75" customHeight="1" x14ac:dyDescent="0.2">
      <c r="C552" s="287"/>
      <c r="K552" s="287"/>
    </row>
    <row r="553" spans="3:11" ht="15.75" customHeight="1" x14ac:dyDescent="0.2">
      <c r="C553" s="287"/>
      <c r="K553" s="287"/>
    </row>
    <row r="554" spans="3:11" ht="15.75" customHeight="1" x14ac:dyDescent="0.2">
      <c r="C554" s="287"/>
      <c r="K554" s="287"/>
    </row>
    <row r="555" spans="3:11" ht="15.75" customHeight="1" x14ac:dyDescent="0.2">
      <c r="C555" s="287"/>
      <c r="K555" s="287"/>
    </row>
    <row r="556" spans="3:11" ht="15.75" customHeight="1" x14ac:dyDescent="0.2">
      <c r="C556" s="287"/>
      <c r="K556" s="287"/>
    </row>
    <row r="557" spans="3:11" ht="15.75" customHeight="1" x14ac:dyDescent="0.2">
      <c r="C557" s="287"/>
      <c r="K557" s="287"/>
    </row>
    <row r="558" spans="3:11" ht="15.75" customHeight="1" x14ac:dyDescent="0.2">
      <c r="C558" s="287"/>
      <c r="K558" s="287"/>
    </row>
    <row r="559" spans="3:11" ht="15.75" customHeight="1" x14ac:dyDescent="0.2">
      <c r="C559" s="287"/>
      <c r="K559" s="287"/>
    </row>
    <row r="560" spans="3:11" ht="15.75" customHeight="1" x14ac:dyDescent="0.2">
      <c r="C560" s="287"/>
      <c r="K560" s="287"/>
    </row>
    <row r="561" spans="3:11" ht="15.75" customHeight="1" x14ac:dyDescent="0.2">
      <c r="C561" s="287"/>
      <c r="K561" s="287"/>
    </row>
    <row r="562" spans="3:11" ht="15.75" customHeight="1" x14ac:dyDescent="0.2">
      <c r="C562" s="287"/>
      <c r="K562" s="287"/>
    </row>
    <row r="563" spans="3:11" ht="15.75" customHeight="1" x14ac:dyDescent="0.2">
      <c r="C563" s="287"/>
      <c r="K563" s="287"/>
    </row>
    <row r="564" spans="3:11" ht="15.75" customHeight="1" x14ac:dyDescent="0.2">
      <c r="C564" s="287"/>
      <c r="K564" s="287"/>
    </row>
    <row r="565" spans="3:11" ht="15.75" customHeight="1" x14ac:dyDescent="0.2">
      <c r="C565" s="287"/>
      <c r="K565" s="287"/>
    </row>
    <row r="566" spans="3:11" ht="15.75" customHeight="1" x14ac:dyDescent="0.2">
      <c r="C566" s="287"/>
      <c r="K566" s="287"/>
    </row>
    <row r="567" spans="3:11" ht="15.75" customHeight="1" x14ac:dyDescent="0.2">
      <c r="C567" s="287"/>
      <c r="K567" s="287"/>
    </row>
    <row r="568" spans="3:11" ht="15.75" customHeight="1" x14ac:dyDescent="0.2">
      <c r="C568" s="287"/>
      <c r="K568" s="287"/>
    </row>
    <row r="569" spans="3:11" ht="15.75" customHeight="1" x14ac:dyDescent="0.2"/>
    <row r="570" spans="3:11" ht="15.75" customHeight="1" x14ac:dyDescent="0.2"/>
    <row r="571" spans="3:11" ht="15.75" customHeight="1" x14ac:dyDescent="0.2"/>
    <row r="572" spans="3:11" ht="15.75" customHeight="1" x14ac:dyDescent="0.2"/>
    <row r="573" spans="3:11" ht="15.75" customHeight="1" x14ac:dyDescent="0.2"/>
    <row r="574" spans="3:11" ht="15.75" customHeight="1" x14ac:dyDescent="0.2"/>
    <row r="575" spans="3:11" ht="15.75" customHeight="1" x14ac:dyDescent="0.2"/>
    <row r="576" spans="3:11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</sheetData>
  <mergeCells count="5">
    <mergeCell ref="A1:D1"/>
    <mergeCell ref="A110:B110"/>
    <mergeCell ref="A179:D179"/>
    <mergeCell ref="A251:B251"/>
    <mergeCell ref="A339:E339"/>
  </mergeCells>
  <conditionalFormatting sqref="H3:H29 H31:H33 H35 H38:H52 H112:H116 H119 H180:H191 H194 H252:H270 H272:H273 H275 H278 H340:H359 H362">
    <cfRule type="cellIs" dxfId="15" priority="1" operator="lessThan">
      <formula>0</formula>
    </cfRule>
  </conditionalFormatting>
  <printOptions horizontalCentered="1" verticalCentered="1"/>
  <pageMargins left="0.25" right="0.25" top="0.75" bottom="0.75" header="0.3" footer="0.3"/>
  <pageSetup scale="87" fitToHeight="0" orientation="landscape" r:id="rId1"/>
  <headerFooter>
    <oddHeader>&amp;A</oddHeader>
    <oddFooter>Page &amp;P of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sqref="A1:B1"/>
    </sheetView>
  </sheetViews>
  <sheetFormatPr defaultColWidth="12.5703125" defaultRowHeight="15" customHeight="1" outlineLevelCol="1" x14ac:dyDescent="0.2"/>
  <cols>
    <col min="2" max="2" width="40" customWidth="1"/>
    <col min="3" max="3" width="3.42578125" hidden="1" customWidth="1" outlineLevel="1"/>
    <col min="4" max="10" width="0.140625" hidden="1" customWidth="1" outlineLevel="1"/>
    <col min="11" max="11" width="3.42578125" hidden="1" customWidth="1" outlineLevel="1"/>
    <col min="12" max="12" width="12.5703125" collapsed="1"/>
    <col min="13" max="13" width="14.85546875" customWidth="1"/>
    <col min="22" max="22" width="3.140625" customWidth="1"/>
  </cols>
  <sheetData>
    <row r="1" spans="1:19" ht="30.75" customHeight="1" x14ac:dyDescent="0.35">
      <c r="A1" s="567" t="s">
        <v>880</v>
      </c>
      <c r="B1" s="558"/>
      <c r="C1" s="324"/>
      <c r="D1" s="103"/>
      <c r="E1" s="265"/>
      <c r="F1" s="265"/>
      <c r="G1" s="315"/>
      <c r="H1" s="211"/>
      <c r="I1" s="5"/>
      <c r="J1" s="5"/>
      <c r="K1" s="324"/>
      <c r="L1" s="265"/>
      <c r="M1" s="314"/>
      <c r="N1" s="265"/>
      <c r="O1" s="314"/>
      <c r="P1" s="266"/>
      <c r="Q1" s="266"/>
      <c r="R1" s="315"/>
      <c r="S1" s="315"/>
    </row>
    <row r="2" spans="1:19" ht="48" customHeight="1" x14ac:dyDescent="0.2">
      <c r="A2" s="3" t="s">
        <v>50</v>
      </c>
      <c r="B2" s="3" t="s">
        <v>51</v>
      </c>
      <c r="C2" s="292"/>
      <c r="D2" s="99" t="s">
        <v>52</v>
      </c>
      <c r="E2" s="100" t="s">
        <v>53</v>
      </c>
      <c r="F2" s="100" t="s">
        <v>54</v>
      </c>
      <c r="G2" s="100" t="s">
        <v>55</v>
      </c>
      <c r="H2" s="24" t="s">
        <v>56</v>
      </c>
      <c r="I2" s="24" t="s">
        <v>57</v>
      </c>
      <c r="J2" s="101" t="s">
        <v>58</v>
      </c>
      <c r="K2" s="292"/>
      <c r="L2" s="3" t="s">
        <v>59</v>
      </c>
      <c r="M2" s="3" t="s">
        <v>60</v>
      </c>
      <c r="N2" s="3" t="s">
        <v>61</v>
      </c>
      <c r="O2" s="3" t="s">
        <v>62</v>
      </c>
      <c r="P2" s="293" t="s">
        <v>541</v>
      </c>
      <c r="Q2" s="293" t="s">
        <v>64</v>
      </c>
      <c r="R2" s="293" t="s">
        <v>65</v>
      </c>
      <c r="S2" s="293" t="s">
        <v>66</v>
      </c>
    </row>
    <row r="3" spans="1:19" ht="15.75" customHeight="1" x14ac:dyDescent="0.25">
      <c r="A3" s="103" t="s">
        <v>737</v>
      </c>
      <c r="B3" s="103" t="s">
        <v>68</v>
      </c>
      <c r="C3" s="280"/>
      <c r="D3" s="142">
        <v>104878</v>
      </c>
      <c r="E3" s="142" t="e">
        <f>D3*#REF!</f>
        <v>#REF!</v>
      </c>
      <c r="F3" s="142" t="e">
        <f>D3*#REF!</f>
        <v>#REF!</v>
      </c>
      <c r="G3" s="142" t="e">
        <f>(D3*#REF!)*#REF!</f>
        <v>#REF!</v>
      </c>
      <c r="H3" s="33">
        <f t="shared" ref="H3:H14" si="0">IFERROR(((Q3-G3)/G3),0)</f>
        <v>0</v>
      </c>
      <c r="I3" s="16" t="e">
        <f t="shared" ref="I3:I14" si="1">Q3-G3</f>
        <v>#REF!</v>
      </c>
      <c r="J3" s="18">
        <v>0</v>
      </c>
      <c r="K3" s="280"/>
      <c r="L3" s="216">
        <v>134117</v>
      </c>
      <c r="M3" s="216">
        <v>122614.05</v>
      </c>
      <c r="N3" s="216">
        <v>290931</v>
      </c>
      <c r="O3" s="216">
        <f>VLOOKUP(A3,TB!A:F,3)</f>
        <v>192571.31</v>
      </c>
      <c r="P3" s="142">
        <f t="shared" ref="P3:P6" si="2">O3/20*26</f>
        <v>250342.70300000001</v>
      </c>
      <c r="Q3" s="142">
        <v>313000</v>
      </c>
      <c r="R3" s="281">
        <f>VLOOKUP(A3,TB!A:F,6)</f>
        <v>313000</v>
      </c>
      <c r="S3" s="281">
        <f t="shared" ref="S3:S13" si="3">Q3-R3</f>
        <v>0</v>
      </c>
    </row>
    <row r="4" spans="1:19" ht="15.75" customHeight="1" x14ac:dyDescent="0.25">
      <c r="A4" s="103" t="s">
        <v>738</v>
      </c>
      <c r="B4" s="103" t="s">
        <v>70</v>
      </c>
      <c r="C4" s="280"/>
      <c r="D4" s="142">
        <v>1517</v>
      </c>
      <c r="E4" s="142" t="e">
        <f>D4*#REF!</f>
        <v>#REF!</v>
      </c>
      <c r="F4" s="142" t="e">
        <f>D4*#REF!</f>
        <v>#REF!</v>
      </c>
      <c r="G4" s="142" t="e">
        <f>(D4*#REF!)*#REF!</f>
        <v>#REF!</v>
      </c>
      <c r="H4" s="33">
        <f t="shared" si="0"/>
        <v>0</v>
      </c>
      <c r="I4" s="16" t="e">
        <f t="shared" si="1"/>
        <v>#REF!</v>
      </c>
      <c r="J4" s="18">
        <v>0</v>
      </c>
      <c r="K4" s="280"/>
      <c r="L4" s="216">
        <v>4044</v>
      </c>
      <c r="M4" s="216">
        <v>6586.39</v>
      </c>
      <c r="N4" s="216">
        <v>6500</v>
      </c>
      <c r="O4" s="216">
        <f>VLOOKUP(A4,TB!A:F,3)</f>
        <v>7421.51</v>
      </c>
      <c r="P4" s="142">
        <f t="shared" si="2"/>
        <v>9647.9630000000016</v>
      </c>
      <c r="Q4" s="142">
        <v>8800</v>
      </c>
      <c r="R4" s="281">
        <f>VLOOKUP(A4,TB!A:F,6)</f>
        <v>8800</v>
      </c>
      <c r="S4" s="281">
        <f t="shared" si="3"/>
        <v>0</v>
      </c>
    </row>
    <row r="5" spans="1:19" ht="15.75" customHeight="1" x14ac:dyDescent="0.25">
      <c r="A5" s="103" t="s">
        <v>739</v>
      </c>
      <c r="B5" s="103" t="s">
        <v>72</v>
      </c>
      <c r="C5" s="280"/>
      <c r="D5" s="142">
        <v>37761</v>
      </c>
      <c r="E5" s="142" t="e">
        <f>D5*#REF!</f>
        <v>#REF!</v>
      </c>
      <c r="F5" s="142" t="e">
        <f>D5*#REF!</f>
        <v>#REF!</v>
      </c>
      <c r="G5" s="142" t="e">
        <f>(D5*#REF!)*#REF!</f>
        <v>#REF!</v>
      </c>
      <c r="H5" s="33">
        <f t="shared" si="0"/>
        <v>0</v>
      </c>
      <c r="I5" s="16" t="e">
        <f t="shared" si="1"/>
        <v>#REF!</v>
      </c>
      <c r="J5" s="18">
        <v>0</v>
      </c>
      <c r="K5" s="280"/>
      <c r="L5" s="216">
        <v>51348</v>
      </c>
      <c r="M5" s="216">
        <v>60632.49</v>
      </c>
      <c r="N5" s="216">
        <v>166400</v>
      </c>
      <c r="O5" s="216">
        <f>VLOOKUP(A5,TB!A:F,3)</f>
        <v>95391.6</v>
      </c>
      <c r="P5" s="142">
        <f t="shared" si="2"/>
        <v>124009.08</v>
      </c>
      <c r="Q5" s="142">
        <v>157800</v>
      </c>
      <c r="R5" s="281">
        <f>VLOOKUP(A5,TB!A:F,6)</f>
        <v>157800</v>
      </c>
      <c r="S5" s="281">
        <f t="shared" si="3"/>
        <v>0</v>
      </c>
    </row>
    <row r="6" spans="1:19" ht="15.75" customHeight="1" x14ac:dyDescent="0.25">
      <c r="A6" s="103" t="s">
        <v>740</v>
      </c>
      <c r="B6" s="103" t="s">
        <v>451</v>
      </c>
      <c r="C6" s="280"/>
      <c r="D6" s="142">
        <v>480</v>
      </c>
      <c r="E6" s="142" t="e">
        <f>D6*#REF!</f>
        <v>#REF!</v>
      </c>
      <c r="F6" s="142" t="e">
        <f>D6*#REF!</f>
        <v>#REF!</v>
      </c>
      <c r="G6" s="142" t="e">
        <f>(D6*#REF!)*#REF!</f>
        <v>#REF!</v>
      </c>
      <c r="H6" s="33">
        <f t="shared" si="0"/>
        <v>0</v>
      </c>
      <c r="I6" s="16" t="e">
        <f t="shared" si="1"/>
        <v>#REF!</v>
      </c>
      <c r="J6" s="18">
        <v>0</v>
      </c>
      <c r="K6" s="280"/>
      <c r="L6" s="216">
        <v>983</v>
      </c>
      <c r="M6" s="216">
        <v>1172.67</v>
      </c>
      <c r="N6" s="216">
        <v>2800</v>
      </c>
      <c r="O6" s="216">
        <f>VLOOKUP(A6,TB!A:F,3)</f>
        <v>278.91000000000003</v>
      </c>
      <c r="P6" s="142">
        <f t="shared" si="2"/>
        <v>362.58300000000003</v>
      </c>
      <c r="Q6" s="142">
        <v>2800</v>
      </c>
      <c r="R6" s="281">
        <f>VLOOKUP(A6,TB!A:F,6)</f>
        <v>2800</v>
      </c>
      <c r="S6" s="281">
        <f t="shared" si="3"/>
        <v>0</v>
      </c>
    </row>
    <row r="7" spans="1:19" ht="15.75" customHeight="1" x14ac:dyDescent="0.25">
      <c r="A7" s="103" t="s">
        <v>741</v>
      </c>
      <c r="B7" s="103" t="s">
        <v>742</v>
      </c>
      <c r="C7" s="280"/>
      <c r="D7" s="142">
        <v>9550</v>
      </c>
      <c r="E7" s="142" t="e">
        <f>D7*#REF!</f>
        <v>#REF!</v>
      </c>
      <c r="F7" s="142" t="e">
        <f>D7*#REF!</f>
        <v>#REF!</v>
      </c>
      <c r="G7" s="142" t="e">
        <f>(D7*#REF!)*#REF!</f>
        <v>#REF!</v>
      </c>
      <c r="H7" s="33">
        <f t="shared" si="0"/>
        <v>0</v>
      </c>
      <c r="I7" s="16" t="e">
        <f t="shared" si="1"/>
        <v>#REF!</v>
      </c>
      <c r="J7" s="18">
        <v>0</v>
      </c>
      <c r="K7" s="280"/>
      <c r="L7" s="216">
        <v>7283</v>
      </c>
      <c r="M7" s="216">
        <v>3461.73</v>
      </c>
      <c r="N7" s="216">
        <v>19000</v>
      </c>
      <c r="O7" s="216">
        <f>VLOOKUP(A7,TB!A:F,3)</f>
        <v>1144.4100000000001</v>
      </c>
      <c r="P7" s="272">
        <f>N7</f>
        <v>19000</v>
      </c>
      <c r="Q7" s="142">
        <v>7500</v>
      </c>
      <c r="R7" s="281">
        <f>VLOOKUP(A7,TB!A:F,6)</f>
        <v>7500</v>
      </c>
      <c r="S7" s="281">
        <f t="shared" si="3"/>
        <v>0</v>
      </c>
    </row>
    <row r="8" spans="1:19" ht="15.75" customHeight="1" x14ac:dyDescent="0.25">
      <c r="A8" s="103" t="s">
        <v>743</v>
      </c>
      <c r="B8" s="103" t="s">
        <v>76</v>
      </c>
      <c r="C8" s="280"/>
      <c r="D8" s="142">
        <v>0</v>
      </c>
      <c r="E8" s="142" t="e">
        <f>D8*#REF!</f>
        <v>#REF!</v>
      </c>
      <c r="F8" s="142" t="e">
        <f>D8*#REF!</f>
        <v>#REF!</v>
      </c>
      <c r="G8" s="142" t="e">
        <f>(D8*#REF!)*#REF!</f>
        <v>#REF!</v>
      </c>
      <c r="H8" s="33">
        <f t="shared" si="0"/>
        <v>0</v>
      </c>
      <c r="I8" s="16" t="e">
        <f t="shared" si="1"/>
        <v>#REF!</v>
      </c>
      <c r="J8" s="18">
        <v>0</v>
      </c>
      <c r="K8" s="280"/>
      <c r="L8" s="216">
        <v>0</v>
      </c>
      <c r="M8" s="216">
        <v>1122</v>
      </c>
      <c r="N8" s="216">
        <v>1500</v>
      </c>
      <c r="O8" s="216">
        <f>VLOOKUP(A8,TB!A:F,3)</f>
        <v>1557.2</v>
      </c>
      <c r="P8" s="142">
        <f>O8/9*12</f>
        <v>2076.2666666666669</v>
      </c>
      <c r="Q8" s="142">
        <v>2000</v>
      </c>
      <c r="R8" s="281">
        <f>VLOOKUP(A8,TB!A:F,6)</f>
        <v>2000</v>
      </c>
      <c r="S8" s="281">
        <f t="shared" si="3"/>
        <v>0</v>
      </c>
    </row>
    <row r="9" spans="1:19" ht="15.75" customHeight="1" x14ac:dyDescent="0.25">
      <c r="A9" s="103" t="s">
        <v>744</v>
      </c>
      <c r="B9" s="103" t="s">
        <v>115</v>
      </c>
      <c r="C9" s="280"/>
      <c r="D9" s="142">
        <v>46</v>
      </c>
      <c r="E9" s="142" t="e">
        <f>D9*#REF!</f>
        <v>#REF!</v>
      </c>
      <c r="F9" s="142" t="e">
        <f>D9*#REF!</f>
        <v>#REF!</v>
      </c>
      <c r="G9" s="142" t="e">
        <f>(D9*#REF!)*#REF!</f>
        <v>#REF!</v>
      </c>
      <c r="H9" s="33">
        <f t="shared" si="0"/>
        <v>0</v>
      </c>
      <c r="I9" s="16" t="e">
        <f t="shared" si="1"/>
        <v>#REF!</v>
      </c>
      <c r="J9" s="18">
        <v>0</v>
      </c>
      <c r="K9" s="280"/>
      <c r="L9" s="216">
        <v>0</v>
      </c>
      <c r="M9" s="216">
        <v>831.97</v>
      </c>
      <c r="N9" s="216">
        <v>2500</v>
      </c>
      <c r="O9" s="216">
        <f>VLOOKUP(A9,TB!A:F,3)</f>
        <v>931.1</v>
      </c>
      <c r="P9" s="272">
        <f>N9</f>
        <v>2500</v>
      </c>
      <c r="Q9" s="142">
        <v>9000</v>
      </c>
      <c r="R9" s="281">
        <f>VLOOKUP(A9,TB!A:F,6)</f>
        <v>9000</v>
      </c>
      <c r="S9" s="281">
        <f t="shared" si="3"/>
        <v>0</v>
      </c>
    </row>
    <row r="10" spans="1:19" ht="15.75" customHeight="1" x14ac:dyDescent="0.25">
      <c r="A10" s="103" t="s">
        <v>745</v>
      </c>
      <c r="B10" s="103" t="s">
        <v>210</v>
      </c>
      <c r="C10" s="280"/>
      <c r="D10" s="142">
        <v>8742</v>
      </c>
      <c r="E10" s="142" t="e">
        <f>D10*#REF!</f>
        <v>#REF!</v>
      </c>
      <c r="F10" s="142" t="e">
        <f>D10*#REF!</f>
        <v>#REF!</v>
      </c>
      <c r="G10" s="142" t="e">
        <f>(D10*#REF!)*#REF!</f>
        <v>#REF!</v>
      </c>
      <c r="H10" s="33">
        <f t="shared" si="0"/>
        <v>0</v>
      </c>
      <c r="I10" s="16" t="e">
        <f t="shared" si="1"/>
        <v>#REF!</v>
      </c>
      <c r="J10" s="18">
        <v>0</v>
      </c>
      <c r="K10" s="280"/>
      <c r="L10" s="216">
        <v>13646</v>
      </c>
      <c r="M10" s="216">
        <v>0</v>
      </c>
      <c r="N10" s="216">
        <v>0</v>
      </c>
      <c r="O10" s="216">
        <f>VLOOKUP(A10,TB!A:F,3)</f>
        <v>0</v>
      </c>
      <c r="P10" s="142">
        <f>O10/9*12</f>
        <v>0</v>
      </c>
      <c r="Q10" s="142">
        <v>0</v>
      </c>
      <c r="R10" s="281">
        <f>VLOOKUP(A10,TB!A:F,6)</f>
        <v>0</v>
      </c>
      <c r="S10" s="281">
        <f t="shared" si="3"/>
        <v>0</v>
      </c>
    </row>
    <row r="11" spans="1:19" ht="15.75" customHeight="1" x14ac:dyDescent="0.25">
      <c r="A11" s="103" t="s">
        <v>746</v>
      </c>
      <c r="B11" s="103" t="s">
        <v>90</v>
      </c>
      <c r="C11" s="280"/>
      <c r="D11" s="142">
        <v>0</v>
      </c>
      <c r="E11" s="142" t="e">
        <f>D11*#REF!</f>
        <v>#REF!</v>
      </c>
      <c r="F11" s="142" t="e">
        <f>D11*#REF!</f>
        <v>#REF!</v>
      </c>
      <c r="G11" s="142" t="e">
        <f>(D11*#REF!)*#REF!</f>
        <v>#REF!</v>
      </c>
      <c r="H11" s="33">
        <f t="shared" si="0"/>
        <v>0</v>
      </c>
      <c r="I11" s="16" t="e">
        <f t="shared" si="1"/>
        <v>#REF!</v>
      </c>
      <c r="J11" s="18">
        <v>0</v>
      </c>
      <c r="K11" s="280"/>
      <c r="L11" s="216">
        <v>0</v>
      </c>
      <c r="M11" s="216">
        <v>2337</v>
      </c>
      <c r="N11" s="216">
        <v>2500</v>
      </c>
      <c r="O11" s="216">
        <f>VLOOKUP(A11,TB!A:F,3)</f>
        <v>310</v>
      </c>
      <c r="P11" s="272">
        <f>N11</f>
        <v>2500</v>
      </c>
      <c r="Q11" s="142">
        <v>2500</v>
      </c>
      <c r="R11" s="281">
        <f>VLOOKUP(A11,TB!A:F,6)</f>
        <v>2500</v>
      </c>
      <c r="S11" s="281">
        <f t="shared" si="3"/>
        <v>0</v>
      </c>
    </row>
    <row r="12" spans="1:19" ht="15.75" customHeight="1" x14ac:dyDescent="0.25">
      <c r="A12" s="103" t="s">
        <v>747</v>
      </c>
      <c r="B12" s="103" t="s">
        <v>502</v>
      </c>
      <c r="C12" s="280"/>
      <c r="D12" s="142">
        <v>1202</v>
      </c>
      <c r="E12" s="142" t="e">
        <f>D12*#REF!</f>
        <v>#REF!</v>
      </c>
      <c r="F12" s="142" t="e">
        <f>D12*#REF!</f>
        <v>#REF!</v>
      </c>
      <c r="G12" s="142" t="e">
        <f>(D12*#REF!)*#REF!</f>
        <v>#REF!</v>
      </c>
      <c r="H12" s="33">
        <f t="shared" si="0"/>
        <v>0</v>
      </c>
      <c r="I12" s="16" t="e">
        <f t="shared" si="1"/>
        <v>#REF!</v>
      </c>
      <c r="J12" s="18">
        <v>0</v>
      </c>
      <c r="K12" s="280"/>
      <c r="L12" s="216">
        <v>1568</v>
      </c>
      <c r="M12" s="216">
        <v>154.22</v>
      </c>
      <c r="N12" s="216">
        <v>0</v>
      </c>
      <c r="O12" s="216">
        <f>VLOOKUP(A12,TB!A:F,3)</f>
        <v>0</v>
      </c>
      <c r="P12" s="142">
        <f t="shared" ref="P12:P13" si="4">O12/9*12</f>
        <v>0</v>
      </c>
      <c r="Q12" s="142">
        <v>0</v>
      </c>
      <c r="R12" s="281">
        <f>VLOOKUP(A12,TB!A:F,6)</f>
        <v>0</v>
      </c>
      <c r="S12" s="281">
        <f t="shared" si="3"/>
        <v>0</v>
      </c>
    </row>
    <row r="13" spans="1:19" ht="15.75" customHeight="1" x14ac:dyDescent="0.25">
      <c r="A13" s="103" t="s">
        <v>748</v>
      </c>
      <c r="B13" s="103" t="s">
        <v>92</v>
      </c>
      <c r="C13" s="280"/>
      <c r="D13" s="142">
        <v>0</v>
      </c>
      <c r="E13" s="142" t="e">
        <f>D13*#REF!</f>
        <v>#REF!</v>
      </c>
      <c r="F13" s="142" t="e">
        <f>D13*#REF!</f>
        <v>#REF!</v>
      </c>
      <c r="G13" s="142" t="e">
        <f>(D13*#REF!)*#REF!</f>
        <v>#REF!</v>
      </c>
      <c r="H13" s="33">
        <f t="shared" si="0"/>
        <v>0</v>
      </c>
      <c r="I13" s="16" t="e">
        <f t="shared" si="1"/>
        <v>#REF!</v>
      </c>
      <c r="J13" s="18">
        <v>0</v>
      </c>
      <c r="K13" s="280"/>
      <c r="L13" s="216">
        <v>1089</v>
      </c>
      <c r="M13" s="216">
        <v>0</v>
      </c>
      <c r="N13" s="216">
        <v>0</v>
      </c>
      <c r="O13" s="216">
        <f>VLOOKUP(A13,TB!A:F,3)</f>
        <v>0</v>
      </c>
      <c r="P13" s="142">
        <f t="shared" si="4"/>
        <v>0</v>
      </c>
      <c r="Q13" s="142">
        <v>0</v>
      </c>
      <c r="R13" s="281">
        <f>VLOOKUP(A13,TB!A:F,6)</f>
        <v>0</v>
      </c>
      <c r="S13" s="281">
        <f t="shared" si="3"/>
        <v>0</v>
      </c>
    </row>
    <row r="14" spans="1:19" ht="15.75" customHeight="1" x14ac:dyDescent="0.25">
      <c r="A14" s="47" t="s">
        <v>749</v>
      </c>
      <c r="B14" s="48"/>
      <c r="C14" s="282"/>
      <c r="D14" s="50">
        <f t="shared" ref="D14:G14" si="5">SUM(D3:D13)</f>
        <v>164176</v>
      </c>
      <c r="E14" s="50" t="e">
        <f t="shared" si="5"/>
        <v>#REF!</v>
      </c>
      <c r="F14" s="50" t="e">
        <f t="shared" si="5"/>
        <v>#REF!</v>
      </c>
      <c r="G14" s="50" t="e">
        <f t="shared" si="5"/>
        <v>#REF!</v>
      </c>
      <c r="H14" s="42">
        <f t="shared" si="0"/>
        <v>0</v>
      </c>
      <c r="I14" s="50" t="e">
        <f t="shared" si="1"/>
        <v>#REF!</v>
      </c>
      <c r="J14" s="283">
        <v>0</v>
      </c>
      <c r="K14" s="282"/>
      <c r="L14" s="12">
        <f t="shared" ref="L14:S14" si="6">SUM(L3:L13)</f>
        <v>214078</v>
      </c>
      <c r="M14" s="12">
        <f t="shared" si="6"/>
        <v>198912.52000000002</v>
      </c>
      <c r="N14" s="12">
        <f t="shared" si="6"/>
        <v>492131</v>
      </c>
      <c r="O14" s="12">
        <f t="shared" si="6"/>
        <v>299606.03999999998</v>
      </c>
      <c r="P14" s="50">
        <f t="shared" si="6"/>
        <v>410438.59566666663</v>
      </c>
      <c r="Q14" s="50">
        <f t="shared" si="6"/>
        <v>503400</v>
      </c>
      <c r="R14" s="12">
        <f t="shared" si="6"/>
        <v>503400</v>
      </c>
      <c r="S14" s="12">
        <f t="shared" si="6"/>
        <v>0</v>
      </c>
    </row>
    <row r="15" spans="1:19" ht="15.75" customHeight="1" x14ac:dyDescent="0.2">
      <c r="A15" s="5"/>
      <c r="B15" s="5"/>
      <c r="C15" s="284"/>
      <c r="D15" s="5"/>
      <c r="E15" s="5"/>
      <c r="F15" s="5"/>
      <c r="G15" s="5"/>
      <c r="H15" s="5"/>
      <c r="I15" s="5"/>
      <c r="J15" s="5"/>
      <c r="K15" s="284"/>
      <c r="L15" s="7"/>
      <c r="M15" s="7"/>
      <c r="N15" s="7"/>
      <c r="O15" s="7"/>
      <c r="P15" s="7"/>
      <c r="Q15" s="7"/>
      <c r="R15" s="213"/>
      <c r="S15" s="213"/>
    </row>
    <row r="16" spans="1:19" ht="15.75" customHeight="1" x14ac:dyDescent="0.2">
      <c r="A16" s="11" t="s">
        <v>184</v>
      </c>
      <c r="B16" s="5"/>
      <c r="C16" s="284"/>
      <c r="D16" s="5"/>
      <c r="E16" s="5"/>
      <c r="F16" s="5"/>
      <c r="G16" s="5"/>
      <c r="H16" s="5"/>
      <c r="I16" s="5"/>
      <c r="J16" s="5"/>
      <c r="K16" s="284"/>
      <c r="L16" s="7"/>
      <c r="M16" s="7"/>
      <c r="N16" s="7"/>
      <c r="O16" s="7"/>
      <c r="P16" s="7"/>
      <c r="Q16" s="7"/>
      <c r="R16" s="213"/>
      <c r="S16" s="213"/>
    </row>
    <row r="17" spans="1:29" ht="15.75" customHeight="1" x14ac:dyDescent="0.25">
      <c r="A17" s="6" t="s">
        <v>750</v>
      </c>
      <c r="B17" s="6" t="s">
        <v>751</v>
      </c>
      <c r="C17" s="285"/>
      <c r="D17" s="16">
        <v>-79616</v>
      </c>
      <c r="E17" s="142" t="e">
        <f>D17*#REF!</f>
        <v>#REF!</v>
      </c>
      <c r="F17" s="142" t="e">
        <f>D17*#REF!</f>
        <v>#REF!</v>
      </c>
      <c r="G17" s="142" t="e">
        <f>(D17*#REF!)*#REF!</f>
        <v>#REF!</v>
      </c>
      <c r="H17" s="33">
        <f t="shared" ref="H17:H18" si="7">IFERROR(((Q17-G17)/G17),0)</f>
        <v>0</v>
      </c>
      <c r="I17" s="16" t="e">
        <f t="shared" ref="I17:I18" si="8">Q17-G17</f>
        <v>#REF!</v>
      </c>
      <c r="J17" s="18">
        <v>0</v>
      </c>
      <c r="K17" s="285"/>
      <c r="L17" s="7">
        <v>-79616</v>
      </c>
      <c r="M17" s="7">
        <v>-83037.02</v>
      </c>
      <c r="N17" s="7">
        <v>-96000</v>
      </c>
      <c r="O17" s="216">
        <f>VLOOKUP(A17,TB!A:F,3)</f>
        <v>-89879.01</v>
      </c>
      <c r="P17" s="322">
        <f>N17</f>
        <v>-96000</v>
      </c>
      <c r="Q17" s="7">
        <v>-84000</v>
      </c>
      <c r="R17" s="281">
        <f>VLOOKUP(A17,TB!A:F,6)</f>
        <v>-84000</v>
      </c>
      <c r="S17" s="281">
        <f>Q17-R17</f>
        <v>0</v>
      </c>
    </row>
    <row r="18" spans="1:29" ht="15.75" customHeight="1" x14ac:dyDescent="0.2">
      <c r="A18" s="11" t="s">
        <v>189</v>
      </c>
      <c r="B18" s="48"/>
      <c r="C18" s="282"/>
      <c r="D18" s="50">
        <f t="shared" ref="D18:G18" si="9">SUM(D17)</f>
        <v>-79616</v>
      </c>
      <c r="E18" s="50" t="e">
        <f t="shared" si="9"/>
        <v>#REF!</v>
      </c>
      <c r="F18" s="50" t="e">
        <f t="shared" si="9"/>
        <v>#REF!</v>
      </c>
      <c r="G18" s="50" t="e">
        <f t="shared" si="9"/>
        <v>#REF!</v>
      </c>
      <c r="H18" s="42">
        <f t="shared" si="7"/>
        <v>0</v>
      </c>
      <c r="I18" s="50" t="e">
        <f t="shared" si="8"/>
        <v>#REF!</v>
      </c>
      <c r="J18" s="50">
        <f>SUM(J17)</f>
        <v>0</v>
      </c>
      <c r="K18" s="282"/>
      <c r="L18" s="12">
        <f t="shared" ref="L18:S18" si="10">SUM(L17)</f>
        <v>-79616</v>
      </c>
      <c r="M18" s="12">
        <f t="shared" si="10"/>
        <v>-83037.02</v>
      </c>
      <c r="N18" s="12">
        <f t="shared" si="10"/>
        <v>-96000</v>
      </c>
      <c r="O18" s="12">
        <f t="shared" si="10"/>
        <v>-89879.01</v>
      </c>
      <c r="P18" s="50">
        <f t="shared" si="10"/>
        <v>-96000</v>
      </c>
      <c r="Q18" s="50">
        <f t="shared" si="10"/>
        <v>-84000</v>
      </c>
      <c r="R18" s="12">
        <f t="shared" si="10"/>
        <v>-84000</v>
      </c>
      <c r="S18" s="12">
        <f t="shared" si="10"/>
        <v>0</v>
      </c>
    </row>
    <row r="19" spans="1:29" ht="15.75" customHeight="1" x14ac:dyDescent="0.2">
      <c r="A19" s="5"/>
      <c r="B19" s="5"/>
      <c r="C19" s="284"/>
      <c r="D19" s="5"/>
      <c r="E19" s="5"/>
      <c r="F19" s="5"/>
      <c r="G19" s="5"/>
      <c r="H19" s="5"/>
      <c r="I19" s="5"/>
      <c r="J19" s="5"/>
      <c r="K19" s="284"/>
      <c r="L19" s="7"/>
      <c r="M19" s="7"/>
      <c r="N19" s="7"/>
      <c r="O19" s="7"/>
      <c r="P19" s="7"/>
      <c r="Q19" s="7"/>
      <c r="R19" s="213"/>
      <c r="S19" s="213"/>
    </row>
    <row r="20" spans="1:29" ht="15.75" customHeight="1" x14ac:dyDescent="0.2">
      <c r="A20" s="11" t="s">
        <v>190</v>
      </c>
      <c r="B20" s="6"/>
      <c r="C20" s="286"/>
      <c r="D20" s="178">
        <f t="shared" ref="D20:G20" si="11">D14+D18</f>
        <v>84560</v>
      </c>
      <c r="E20" s="178" t="e">
        <f t="shared" si="11"/>
        <v>#REF!</v>
      </c>
      <c r="F20" s="178" t="e">
        <f t="shared" si="11"/>
        <v>#REF!</v>
      </c>
      <c r="G20" s="178" t="e">
        <f t="shared" si="11"/>
        <v>#REF!</v>
      </c>
      <c r="H20" s="273">
        <f>IFERROR(((Q20-G20)/G20),0)</f>
        <v>0</v>
      </c>
      <c r="I20" s="178" t="e">
        <f>Q20-G20</f>
        <v>#REF!</v>
      </c>
      <c r="J20" s="178">
        <f>J14+J18</f>
        <v>0</v>
      </c>
      <c r="K20" s="286"/>
      <c r="L20" s="227">
        <f t="shared" ref="L20:S20" si="12">L14+L18</f>
        <v>134462</v>
      </c>
      <c r="M20" s="227">
        <f t="shared" si="12"/>
        <v>115875.50000000001</v>
      </c>
      <c r="N20" s="227">
        <f t="shared" si="12"/>
        <v>396131</v>
      </c>
      <c r="O20" s="227">
        <f t="shared" si="12"/>
        <v>209727.02999999997</v>
      </c>
      <c r="P20" s="178">
        <f t="shared" si="12"/>
        <v>314438.59566666663</v>
      </c>
      <c r="Q20" s="178">
        <f t="shared" si="12"/>
        <v>419400</v>
      </c>
      <c r="R20" s="227">
        <f t="shared" si="12"/>
        <v>419400</v>
      </c>
      <c r="S20" s="227">
        <f t="shared" si="12"/>
        <v>0</v>
      </c>
      <c r="V20" s="56"/>
      <c r="W20" s="56"/>
      <c r="X20" s="56"/>
      <c r="Y20" s="56"/>
      <c r="Z20" s="56"/>
      <c r="AA20" s="56"/>
      <c r="AB20" s="56"/>
      <c r="AC20" s="56"/>
    </row>
    <row r="21" spans="1:29" ht="15.75" customHeight="1" x14ac:dyDescent="0.2">
      <c r="C21" s="287"/>
      <c r="K21" s="287"/>
    </row>
    <row r="22" spans="1:29" ht="15.75" customHeight="1" x14ac:dyDescent="0.2">
      <c r="C22" s="288"/>
      <c r="K22" s="288"/>
      <c r="L22" s="173" t="e">
        <f t="shared" ref="L22:R22" si="13">#REF!</f>
        <v>#REF!</v>
      </c>
      <c r="M22" s="173" t="e">
        <f t="shared" si="13"/>
        <v>#REF!</v>
      </c>
      <c r="N22" s="173" t="e">
        <f t="shared" si="13"/>
        <v>#REF!</v>
      </c>
      <c r="O22" s="173" t="e">
        <f t="shared" si="13"/>
        <v>#REF!</v>
      </c>
      <c r="P22" s="173" t="e">
        <f t="shared" si="13"/>
        <v>#REF!</v>
      </c>
      <c r="Q22" s="173" t="e">
        <f t="shared" si="13"/>
        <v>#REF!</v>
      </c>
      <c r="R22" s="173" t="e">
        <f t="shared" si="13"/>
        <v>#REF!</v>
      </c>
    </row>
    <row r="23" spans="1:29" ht="15.75" customHeight="1" x14ac:dyDescent="0.2">
      <c r="C23" s="289"/>
      <c r="K23" s="289"/>
      <c r="L23" s="63">
        <f t="shared" ref="L23:R23" si="14">L20</f>
        <v>134462</v>
      </c>
      <c r="M23" s="63">
        <f t="shared" si="14"/>
        <v>115875.50000000001</v>
      </c>
      <c r="N23" s="63">
        <f t="shared" si="14"/>
        <v>396131</v>
      </c>
      <c r="O23" s="63">
        <f t="shared" si="14"/>
        <v>209727.02999999997</v>
      </c>
      <c r="P23" s="63">
        <f t="shared" si="14"/>
        <v>314438.59566666663</v>
      </c>
      <c r="Q23" s="63">
        <f t="shared" si="14"/>
        <v>419400</v>
      </c>
      <c r="R23" s="63">
        <f t="shared" si="14"/>
        <v>419400</v>
      </c>
    </row>
    <row r="24" spans="1:29" ht="15.75" customHeight="1" x14ac:dyDescent="0.2">
      <c r="C24" s="287"/>
      <c r="K24" s="287"/>
    </row>
    <row r="25" spans="1:29" ht="15.75" customHeight="1" x14ac:dyDescent="0.2">
      <c r="C25" s="287"/>
      <c r="K25" s="287"/>
    </row>
    <row r="26" spans="1:29" ht="15.75" customHeight="1" x14ac:dyDescent="0.2">
      <c r="C26" s="287"/>
      <c r="K26" s="287"/>
    </row>
    <row r="27" spans="1:29" ht="15.75" customHeight="1" x14ac:dyDescent="0.2">
      <c r="C27" s="287"/>
      <c r="K27" s="287"/>
    </row>
    <row r="28" spans="1:29" ht="15.75" customHeight="1" x14ac:dyDescent="0.2">
      <c r="C28" s="287"/>
      <c r="K28" s="287"/>
    </row>
    <row r="29" spans="1:29" ht="15.75" customHeight="1" x14ac:dyDescent="0.2">
      <c r="C29" s="287"/>
      <c r="K29" s="287"/>
    </row>
    <row r="30" spans="1:29" ht="15.75" customHeight="1" x14ac:dyDescent="0.2">
      <c r="C30" s="287"/>
      <c r="K30" s="287"/>
    </row>
    <row r="31" spans="1:29" ht="15.75" customHeight="1" x14ac:dyDescent="0.2">
      <c r="C31" s="287"/>
      <c r="K31" s="287"/>
    </row>
    <row r="32" spans="1:29" ht="15.75" customHeight="1" x14ac:dyDescent="0.2">
      <c r="C32" s="287"/>
      <c r="K32" s="287"/>
    </row>
    <row r="33" spans="3:11" ht="15.75" customHeight="1" x14ac:dyDescent="0.2">
      <c r="C33" s="287"/>
      <c r="K33" s="287"/>
    </row>
    <row r="34" spans="3:11" ht="15.75" customHeight="1" x14ac:dyDescent="0.2">
      <c r="C34" s="287"/>
      <c r="K34" s="287"/>
    </row>
    <row r="35" spans="3:11" ht="15.75" customHeight="1" x14ac:dyDescent="0.2">
      <c r="C35" s="287"/>
      <c r="K35" s="287"/>
    </row>
    <row r="36" spans="3:11" ht="15.75" customHeight="1" x14ac:dyDescent="0.2">
      <c r="C36" s="287"/>
      <c r="K36" s="287"/>
    </row>
    <row r="37" spans="3:11" ht="15.75" customHeight="1" x14ac:dyDescent="0.2">
      <c r="C37" s="287"/>
      <c r="K37" s="287"/>
    </row>
    <row r="38" spans="3:11" ht="15.75" customHeight="1" x14ac:dyDescent="0.2">
      <c r="C38" s="287"/>
      <c r="K38" s="287"/>
    </row>
    <row r="39" spans="3:11" ht="15.75" customHeight="1" x14ac:dyDescent="0.2">
      <c r="C39" s="287"/>
      <c r="K39" s="287"/>
    </row>
    <row r="40" spans="3:11" ht="15.75" customHeight="1" x14ac:dyDescent="0.2">
      <c r="C40" s="287"/>
      <c r="K40" s="287"/>
    </row>
    <row r="41" spans="3:11" ht="15.75" customHeight="1" x14ac:dyDescent="0.2">
      <c r="C41" s="287"/>
      <c r="K41" s="287"/>
    </row>
    <row r="42" spans="3:11" ht="15.75" customHeight="1" x14ac:dyDescent="0.2">
      <c r="C42" s="287"/>
      <c r="K42" s="287"/>
    </row>
    <row r="43" spans="3:11" ht="15.75" customHeight="1" x14ac:dyDescent="0.2">
      <c r="C43" s="287"/>
      <c r="K43" s="287"/>
    </row>
    <row r="44" spans="3:11" ht="15.75" customHeight="1" x14ac:dyDescent="0.2">
      <c r="C44" s="287"/>
      <c r="K44" s="287"/>
    </row>
    <row r="45" spans="3:11" ht="15.75" customHeight="1" x14ac:dyDescent="0.2">
      <c r="C45" s="287"/>
      <c r="K45" s="287"/>
    </row>
    <row r="46" spans="3:11" ht="15.75" customHeight="1" x14ac:dyDescent="0.2">
      <c r="C46" s="287"/>
      <c r="K46" s="287"/>
    </row>
    <row r="47" spans="3:11" ht="15.75" customHeight="1" x14ac:dyDescent="0.2">
      <c r="C47" s="287"/>
      <c r="K47" s="287"/>
    </row>
    <row r="48" spans="3:11" ht="15.75" customHeight="1" x14ac:dyDescent="0.2">
      <c r="C48" s="287"/>
      <c r="K48" s="287"/>
    </row>
    <row r="49" spans="3:11" ht="15.75" customHeight="1" x14ac:dyDescent="0.2">
      <c r="C49" s="287"/>
      <c r="K49" s="287"/>
    </row>
    <row r="50" spans="3:11" ht="15.75" customHeight="1" x14ac:dyDescent="0.2">
      <c r="C50" s="287"/>
      <c r="K50" s="287"/>
    </row>
    <row r="51" spans="3:11" ht="15.75" customHeight="1" x14ac:dyDescent="0.2">
      <c r="C51" s="287"/>
      <c r="K51" s="287"/>
    </row>
    <row r="52" spans="3:11" ht="15.75" customHeight="1" x14ac:dyDescent="0.2">
      <c r="C52" s="287"/>
      <c r="K52" s="287"/>
    </row>
    <row r="53" spans="3:11" ht="15.75" customHeight="1" x14ac:dyDescent="0.2">
      <c r="C53" s="287"/>
      <c r="K53" s="287"/>
    </row>
    <row r="54" spans="3:11" ht="15.75" customHeight="1" x14ac:dyDescent="0.2">
      <c r="C54" s="287"/>
      <c r="K54" s="287"/>
    </row>
    <row r="55" spans="3:11" ht="15.75" customHeight="1" x14ac:dyDescent="0.2">
      <c r="C55" s="287"/>
      <c r="K55" s="287"/>
    </row>
    <row r="56" spans="3:11" ht="15.75" customHeight="1" x14ac:dyDescent="0.2">
      <c r="C56" s="287"/>
      <c r="K56" s="287"/>
    </row>
    <row r="57" spans="3:11" ht="15.75" customHeight="1" x14ac:dyDescent="0.2">
      <c r="C57" s="287"/>
      <c r="K57" s="287"/>
    </row>
    <row r="58" spans="3:11" ht="15.75" customHeight="1" x14ac:dyDescent="0.2">
      <c r="C58" s="287"/>
      <c r="K58" s="287"/>
    </row>
    <row r="59" spans="3:11" ht="15.75" customHeight="1" x14ac:dyDescent="0.2">
      <c r="C59" s="287"/>
      <c r="K59" s="287"/>
    </row>
    <row r="60" spans="3:11" ht="15.75" customHeight="1" x14ac:dyDescent="0.2">
      <c r="C60" s="287"/>
      <c r="K60" s="287"/>
    </row>
    <row r="61" spans="3:11" ht="15.75" customHeight="1" x14ac:dyDescent="0.2">
      <c r="C61" s="287"/>
      <c r="K61" s="287"/>
    </row>
    <row r="62" spans="3:11" ht="15.75" customHeight="1" x14ac:dyDescent="0.2">
      <c r="C62" s="287"/>
      <c r="K62" s="287"/>
    </row>
    <row r="63" spans="3:11" ht="15.75" customHeight="1" x14ac:dyDescent="0.2">
      <c r="C63" s="287"/>
      <c r="K63" s="287"/>
    </row>
    <row r="64" spans="3:11" ht="15.75" customHeight="1" x14ac:dyDescent="0.2">
      <c r="C64" s="287"/>
      <c r="K64" s="287"/>
    </row>
    <row r="65" spans="1:19" ht="15.75" customHeight="1" x14ac:dyDescent="0.2">
      <c r="C65" s="287"/>
      <c r="K65" s="287"/>
    </row>
    <row r="66" spans="1:19" ht="15.75" customHeight="1" x14ac:dyDescent="0.2">
      <c r="C66" s="287"/>
      <c r="K66" s="287"/>
    </row>
    <row r="67" spans="1:19" ht="15.75" customHeight="1" x14ac:dyDescent="0.2">
      <c r="C67" s="287"/>
      <c r="K67" s="287"/>
    </row>
    <row r="68" spans="1:19" ht="15.75" customHeight="1" x14ac:dyDescent="0.2">
      <c r="C68" s="287"/>
      <c r="K68" s="287"/>
    </row>
    <row r="69" spans="1:19" ht="15.75" customHeight="1" x14ac:dyDescent="0.2">
      <c r="C69" s="287"/>
      <c r="K69" s="287"/>
    </row>
    <row r="70" spans="1:19" ht="15.75" customHeight="1" x14ac:dyDescent="0.2">
      <c r="C70" s="287"/>
      <c r="K70" s="287"/>
    </row>
    <row r="71" spans="1:19" ht="15.75" customHeight="1" x14ac:dyDescent="0.2">
      <c r="C71" s="287"/>
      <c r="K71" s="287"/>
    </row>
    <row r="72" spans="1:19" ht="15.75" customHeight="1" x14ac:dyDescent="0.2">
      <c r="C72" s="287"/>
      <c r="K72" s="287"/>
    </row>
    <row r="73" spans="1:19" ht="15.75" customHeight="1" x14ac:dyDescent="0.2">
      <c r="A73" s="3" t="s">
        <v>50</v>
      </c>
      <c r="B73" s="3" t="s">
        <v>51</v>
      </c>
      <c r="C73" s="292"/>
      <c r="D73" s="99" t="s">
        <v>52</v>
      </c>
      <c r="E73" s="100" t="s">
        <v>53</v>
      </c>
      <c r="F73" s="100" t="s">
        <v>54</v>
      </c>
      <c r="G73" s="100" t="s">
        <v>55</v>
      </c>
      <c r="H73" s="24" t="s">
        <v>56</v>
      </c>
      <c r="I73" s="24" t="s">
        <v>57</v>
      </c>
      <c r="J73" s="101" t="s">
        <v>58</v>
      </c>
      <c r="K73" s="292"/>
      <c r="L73" s="3" t="s">
        <v>59</v>
      </c>
      <c r="M73" s="3" t="s">
        <v>60</v>
      </c>
      <c r="N73" s="3" t="s">
        <v>61</v>
      </c>
      <c r="O73" s="3" t="s">
        <v>62</v>
      </c>
      <c r="P73" s="293" t="s">
        <v>541</v>
      </c>
      <c r="Q73" s="293" t="s">
        <v>64</v>
      </c>
      <c r="R73" s="293" t="s">
        <v>65</v>
      </c>
      <c r="S73" s="293" t="s">
        <v>586</v>
      </c>
    </row>
    <row r="74" spans="1:19" ht="15.75" customHeight="1" x14ac:dyDescent="0.25">
      <c r="A74" s="565" t="s">
        <v>752</v>
      </c>
      <c r="B74" s="566"/>
      <c r="C74" s="311"/>
      <c r="D74" s="66"/>
      <c r="E74" s="65"/>
      <c r="F74" s="65"/>
      <c r="G74" s="275"/>
      <c r="H74" s="234"/>
      <c r="K74" s="311"/>
      <c r="L74" s="65"/>
      <c r="M74" s="165"/>
      <c r="N74" s="65"/>
      <c r="O74" s="165"/>
      <c r="P74" s="157"/>
      <c r="Q74" s="157"/>
      <c r="R74" s="275"/>
      <c r="S74" s="275"/>
    </row>
    <row r="75" spans="1:19" ht="15.75" customHeight="1" x14ac:dyDescent="0.25">
      <c r="A75" s="66" t="s">
        <v>753</v>
      </c>
      <c r="B75" s="66" t="s">
        <v>68</v>
      </c>
      <c r="C75" s="295"/>
      <c r="D75" s="160">
        <v>0</v>
      </c>
      <c r="E75" s="160" t="e">
        <f>D75*#REF!</f>
        <v>#REF!</v>
      </c>
      <c r="F75" s="160" t="e">
        <f>D75*#REF!</f>
        <v>#REF!</v>
      </c>
      <c r="G75" s="160" t="e">
        <f>(D75*#REF!)*#REF!</f>
        <v>#REF!</v>
      </c>
      <c r="H75" s="296">
        <f t="shared" ref="H75:H93" si="15">IFERROR(((Q75-G75)/G75),0)</f>
        <v>0</v>
      </c>
      <c r="I75" s="147" t="e">
        <f t="shared" ref="I75:I93" si="16">Q75-G75</f>
        <v>#REF!</v>
      </c>
      <c r="J75" s="97">
        <v>0</v>
      </c>
      <c r="K75" s="295"/>
      <c r="L75" s="20">
        <v>131453</v>
      </c>
      <c r="M75" s="20">
        <v>159816.60999999999</v>
      </c>
      <c r="N75" s="20">
        <v>204830</v>
      </c>
      <c r="O75" s="20">
        <f>VLOOKUP(A75,TB!A:F,3)</f>
        <v>145154.47</v>
      </c>
      <c r="P75" s="160">
        <f t="shared" ref="P75:P79" si="17">O75/20*26</f>
        <v>188700.81099999999</v>
      </c>
      <c r="Q75" s="160">
        <v>219200</v>
      </c>
      <c r="R75" s="233">
        <f>VLOOKUP(A75,TB!A:F,6)</f>
        <v>219200</v>
      </c>
      <c r="S75" s="233">
        <f t="shared" ref="S75:S92" si="18">Q75-R75</f>
        <v>0</v>
      </c>
    </row>
    <row r="76" spans="1:19" ht="15.75" customHeight="1" x14ac:dyDescent="0.25">
      <c r="A76" s="66" t="s">
        <v>754</v>
      </c>
      <c r="B76" s="66" t="s">
        <v>70</v>
      </c>
      <c r="C76" s="295"/>
      <c r="D76" s="160">
        <v>0</v>
      </c>
      <c r="E76" s="160" t="e">
        <f>D76*#REF!</f>
        <v>#REF!</v>
      </c>
      <c r="F76" s="160" t="e">
        <f>D76*#REF!</f>
        <v>#REF!</v>
      </c>
      <c r="G76" s="160" t="e">
        <f>(D76*#REF!)*#REF!</f>
        <v>#REF!</v>
      </c>
      <c r="H76" s="296">
        <f t="shared" si="15"/>
        <v>0</v>
      </c>
      <c r="I76" s="147" t="e">
        <f t="shared" si="16"/>
        <v>#REF!</v>
      </c>
      <c r="J76" s="97">
        <v>0</v>
      </c>
      <c r="K76" s="295"/>
      <c r="L76" s="20">
        <v>1473</v>
      </c>
      <c r="M76" s="20">
        <v>4448.6099999999997</v>
      </c>
      <c r="N76" s="20">
        <v>6500</v>
      </c>
      <c r="O76" s="20">
        <f>VLOOKUP(A76,TB!A:F,3)</f>
        <v>3562.59</v>
      </c>
      <c r="P76" s="160">
        <f t="shared" si="17"/>
        <v>4631.3670000000002</v>
      </c>
      <c r="Q76" s="160">
        <v>6500</v>
      </c>
      <c r="R76" s="233">
        <f>VLOOKUP(A76,TB!A:F,6)</f>
        <v>6500</v>
      </c>
      <c r="S76" s="233">
        <f t="shared" si="18"/>
        <v>0</v>
      </c>
    </row>
    <row r="77" spans="1:19" ht="15.75" customHeight="1" x14ac:dyDescent="0.25">
      <c r="A77" s="66" t="s">
        <v>755</v>
      </c>
      <c r="B77" s="66" t="s">
        <v>132</v>
      </c>
      <c r="C77" s="295"/>
      <c r="D77" s="160">
        <v>0</v>
      </c>
      <c r="E77" s="160" t="e">
        <f>D77*#REF!</f>
        <v>#REF!</v>
      </c>
      <c r="F77" s="160" t="e">
        <f>D77*#REF!</f>
        <v>#REF!</v>
      </c>
      <c r="G77" s="160" t="e">
        <f>(D77*#REF!)*#REF!</f>
        <v>#REF!</v>
      </c>
      <c r="H77" s="296">
        <f t="shared" si="15"/>
        <v>0</v>
      </c>
      <c r="I77" s="147" t="e">
        <f t="shared" si="16"/>
        <v>#REF!</v>
      </c>
      <c r="J77" s="97">
        <v>0</v>
      </c>
      <c r="K77" s="295"/>
      <c r="L77" s="20">
        <v>78724</v>
      </c>
      <c r="M77" s="20">
        <v>71576.3</v>
      </c>
      <c r="N77" s="20">
        <v>64498</v>
      </c>
      <c r="O77" s="20">
        <f>VLOOKUP(A77,TB!A:F,3)</f>
        <v>49197.13</v>
      </c>
      <c r="P77" s="160">
        <f t="shared" si="17"/>
        <v>63956.269</v>
      </c>
      <c r="Q77" s="160">
        <v>86000</v>
      </c>
      <c r="R77" s="233">
        <f>VLOOKUP(A77,TB!A:F,6)</f>
        <v>86000</v>
      </c>
      <c r="S77" s="233">
        <f t="shared" si="18"/>
        <v>0</v>
      </c>
    </row>
    <row r="78" spans="1:19" ht="15.75" customHeight="1" x14ac:dyDescent="0.25">
      <c r="A78" s="66" t="s">
        <v>756</v>
      </c>
      <c r="B78" s="66" t="s">
        <v>108</v>
      </c>
      <c r="C78" s="295"/>
      <c r="D78" s="160">
        <v>0</v>
      </c>
      <c r="E78" s="160" t="e">
        <f>D78*#REF!</f>
        <v>#REF!</v>
      </c>
      <c r="F78" s="160" t="e">
        <f>D78*#REF!</f>
        <v>#REF!</v>
      </c>
      <c r="G78" s="160" t="e">
        <f>(D78*#REF!)*#REF!</f>
        <v>#REF!</v>
      </c>
      <c r="H78" s="296">
        <f t="shared" si="15"/>
        <v>0</v>
      </c>
      <c r="I78" s="147" t="e">
        <f t="shared" si="16"/>
        <v>#REF!</v>
      </c>
      <c r="J78" s="97">
        <v>0</v>
      </c>
      <c r="K78" s="295"/>
      <c r="L78" s="20">
        <v>0</v>
      </c>
      <c r="M78" s="20">
        <v>0</v>
      </c>
      <c r="N78" s="20">
        <v>0</v>
      </c>
      <c r="O78" s="20">
        <f>VLOOKUP(A78,TB!A:F,3)</f>
        <v>49197.13</v>
      </c>
      <c r="P78" s="160">
        <f t="shared" si="17"/>
        <v>63956.269</v>
      </c>
      <c r="Q78" s="160">
        <v>0</v>
      </c>
      <c r="R78" s="233">
        <v>0</v>
      </c>
      <c r="S78" s="233">
        <f t="shared" si="18"/>
        <v>0</v>
      </c>
    </row>
    <row r="79" spans="1:19" ht="15.75" customHeight="1" x14ac:dyDescent="0.25">
      <c r="A79" s="66" t="s">
        <v>757</v>
      </c>
      <c r="B79" s="66" t="s">
        <v>72</v>
      </c>
      <c r="C79" s="295"/>
      <c r="D79" s="160">
        <v>0</v>
      </c>
      <c r="E79" s="160" t="e">
        <f>D79*#REF!</f>
        <v>#REF!</v>
      </c>
      <c r="F79" s="160" t="e">
        <f>D79*#REF!</f>
        <v>#REF!</v>
      </c>
      <c r="G79" s="160" t="e">
        <f>(D79*#REF!)*#REF!</f>
        <v>#REF!</v>
      </c>
      <c r="H79" s="296">
        <f t="shared" si="15"/>
        <v>0</v>
      </c>
      <c r="I79" s="147" t="e">
        <f t="shared" si="16"/>
        <v>#REF!</v>
      </c>
      <c r="J79" s="97">
        <v>0</v>
      </c>
      <c r="K79" s="295"/>
      <c r="L79" s="20">
        <v>71360</v>
      </c>
      <c r="M79" s="20">
        <v>79982.98</v>
      </c>
      <c r="N79" s="20">
        <v>99908</v>
      </c>
      <c r="O79" s="20">
        <f>VLOOKUP(A79,TB!A:F,3)</f>
        <v>70541.740000000005</v>
      </c>
      <c r="P79" s="160">
        <f t="shared" si="17"/>
        <v>91704.262000000017</v>
      </c>
      <c r="Q79" s="160">
        <v>109600</v>
      </c>
      <c r="R79" s="233">
        <f>VLOOKUP(A79,TB!A:F,6)</f>
        <v>109600</v>
      </c>
      <c r="S79" s="233">
        <f t="shared" si="18"/>
        <v>0</v>
      </c>
    </row>
    <row r="80" spans="1:19" ht="15.75" customHeight="1" x14ac:dyDescent="0.25">
      <c r="A80" s="66" t="s">
        <v>758</v>
      </c>
      <c r="B80" s="66" t="s">
        <v>74</v>
      </c>
      <c r="C80" s="295"/>
      <c r="D80" s="160">
        <v>0</v>
      </c>
      <c r="E80" s="160" t="e">
        <f>D80*#REF!</f>
        <v>#REF!</v>
      </c>
      <c r="F80" s="160" t="e">
        <f>D80*#REF!</f>
        <v>#REF!</v>
      </c>
      <c r="G80" s="160" t="e">
        <f>(D80*#REF!)*#REF!</f>
        <v>#REF!</v>
      </c>
      <c r="H80" s="296">
        <f t="shared" si="15"/>
        <v>0</v>
      </c>
      <c r="I80" s="147" t="e">
        <f t="shared" si="16"/>
        <v>#REF!</v>
      </c>
      <c r="J80" s="97">
        <v>0</v>
      </c>
      <c r="K80" s="295"/>
      <c r="L80" s="20">
        <v>147</v>
      </c>
      <c r="M80" s="20">
        <v>0</v>
      </c>
      <c r="N80" s="20">
        <v>500</v>
      </c>
      <c r="O80" s="20">
        <f>VLOOKUP(A80,TB!A:F,3)</f>
        <v>0</v>
      </c>
      <c r="P80" s="163">
        <f t="shared" ref="P80:P84" si="19">N80</f>
        <v>500</v>
      </c>
      <c r="Q80" s="160">
        <v>500</v>
      </c>
      <c r="R80" s="233">
        <f>VLOOKUP(A80,TB!A:F,6)</f>
        <v>500</v>
      </c>
      <c r="S80" s="233">
        <f t="shared" si="18"/>
        <v>0</v>
      </c>
    </row>
    <row r="81" spans="1:19" ht="15.75" customHeight="1" x14ac:dyDescent="0.25">
      <c r="A81" s="66" t="s">
        <v>759</v>
      </c>
      <c r="B81" s="66" t="s">
        <v>76</v>
      </c>
      <c r="C81" s="295"/>
      <c r="D81" s="160">
        <v>0</v>
      </c>
      <c r="E81" s="160" t="e">
        <f>D81*#REF!</f>
        <v>#REF!</v>
      </c>
      <c r="F81" s="160" t="e">
        <f>D81*#REF!</f>
        <v>#REF!</v>
      </c>
      <c r="G81" s="160" t="e">
        <f>(D81*#REF!)*#REF!</f>
        <v>#REF!</v>
      </c>
      <c r="H81" s="296">
        <f t="shared" si="15"/>
        <v>0</v>
      </c>
      <c r="I81" s="147" t="e">
        <f t="shared" si="16"/>
        <v>#REF!</v>
      </c>
      <c r="J81" s="97">
        <v>0</v>
      </c>
      <c r="K81" s="295"/>
      <c r="L81" s="20">
        <v>0</v>
      </c>
      <c r="M81" s="20">
        <v>0</v>
      </c>
      <c r="N81" s="20">
        <v>1000</v>
      </c>
      <c r="O81" s="20">
        <f>VLOOKUP(A81,TB!A:F,3)</f>
        <v>0</v>
      </c>
      <c r="P81" s="163">
        <f t="shared" si="19"/>
        <v>1000</v>
      </c>
      <c r="Q81" s="160">
        <v>500</v>
      </c>
      <c r="R81" s="233">
        <f>VLOOKUP(A81,TB!A:F,6)</f>
        <v>500</v>
      </c>
      <c r="S81" s="233">
        <f t="shared" si="18"/>
        <v>0</v>
      </c>
    </row>
    <row r="82" spans="1:19" ht="15.75" customHeight="1" x14ac:dyDescent="0.25">
      <c r="A82" s="66" t="s">
        <v>760</v>
      </c>
      <c r="B82" s="66" t="s">
        <v>80</v>
      </c>
      <c r="C82" s="295"/>
      <c r="D82" s="160">
        <v>0</v>
      </c>
      <c r="E82" s="160" t="e">
        <f>D82*#REF!</f>
        <v>#REF!</v>
      </c>
      <c r="F82" s="160" t="e">
        <f>D82*#REF!</f>
        <v>#REF!</v>
      </c>
      <c r="G82" s="160" t="e">
        <f>(D82*#REF!)*#REF!</f>
        <v>#REF!</v>
      </c>
      <c r="H82" s="296">
        <f t="shared" si="15"/>
        <v>0</v>
      </c>
      <c r="I82" s="147" t="e">
        <f t="shared" si="16"/>
        <v>#REF!</v>
      </c>
      <c r="J82" s="97">
        <v>0</v>
      </c>
      <c r="K82" s="295"/>
      <c r="L82" s="20">
        <v>5600</v>
      </c>
      <c r="M82" s="20">
        <v>1585.54</v>
      </c>
      <c r="N82" s="20">
        <v>3000</v>
      </c>
      <c r="O82" s="20">
        <f>VLOOKUP(A82,TB!A:F,3)</f>
        <v>2074.5</v>
      </c>
      <c r="P82" s="163">
        <f t="shared" si="19"/>
        <v>3000</v>
      </c>
      <c r="Q82" s="160">
        <v>3010</v>
      </c>
      <c r="R82" s="233">
        <f>VLOOKUP(A82,TB!A:F,6)</f>
        <v>3010</v>
      </c>
      <c r="S82" s="233">
        <f t="shared" si="18"/>
        <v>0</v>
      </c>
    </row>
    <row r="83" spans="1:19" ht="15.75" customHeight="1" x14ac:dyDescent="0.25">
      <c r="A83" s="66" t="s">
        <v>761</v>
      </c>
      <c r="B83" s="66" t="s">
        <v>82</v>
      </c>
      <c r="C83" s="295"/>
      <c r="D83" s="160">
        <v>0</v>
      </c>
      <c r="E83" s="160" t="e">
        <f>D83*#REF!</f>
        <v>#REF!</v>
      </c>
      <c r="F83" s="160" t="e">
        <f>D83*#REF!</f>
        <v>#REF!</v>
      </c>
      <c r="G83" s="160" t="e">
        <f>(D83*#REF!)*#REF!</f>
        <v>#REF!</v>
      </c>
      <c r="H83" s="296">
        <f t="shared" si="15"/>
        <v>0</v>
      </c>
      <c r="I83" s="147" t="e">
        <f t="shared" si="16"/>
        <v>#REF!</v>
      </c>
      <c r="J83" s="97">
        <v>0</v>
      </c>
      <c r="K83" s="295"/>
      <c r="L83" s="20">
        <v>21054</v>
      </c>
      <c r="M83" s="20">
        <v>65665.67</v>
      </c>
      <c r="N83" s="20">
        <v>64000</v>
      </c>
      <c r="O83" s="20">
        <f>VLOOKUP(A83,TB!A:F,3)</f>
        <v>25390.87</v>
      </c>
      <c r="P83" s="163">
        <f t="shared" si="19"/>
        <v>64000</v>
      </c>
      <c r="Q83" s="160">
        <v>30000</v>
      </c>
      <c r="R83" s="233">
        <f>VLOOKUP(A83,TB!A:F,6)</f>
        <v>30000</v>
      </c>
      <c r="S83" s="233">
        <f t="shared" si="18"/>
        <v>0</v>
      </c>
    </row>
    <row r="84" spans="1:19" ht="15.75" customHeight="1" x14ac:dyDescent="0.25">
      <c r="A84" s="66" t="s">
        <v>762</v>
      </c>
      <c r="B84" s="66" t="s">
        <v>115</v>
      </c>
      <c r="C84" s="295"/>
      <c r="D84" s="160">
        <v>0</v>
      </c>
      <c r="E84" s="160" t="e">
        <f>D84*#REF!</f>
        <v>#REF!</v>
      </c>
      <c r="F84" s="160" t="e">
        <f>D84*#REF!</f>
        <v>#REF!</v>
      </c>
      <c r="G84" s="160" t="e">
        <f>(D84*#REF!)*#REF!</f>
        <v>#REF!</v>
      </c>
      <c r="H84" s="296">
        <f t="shared" si="15"/>
        <v>0</v>
      </c>
      <c r="I84" s="147" t="e">
        <f t="shared" si="16"/>
        <v>#REF!</v>
      </c>
      <c r="J84" s="97">
        <v>0</v>
      </c>
      <c r="K84" s="295"/>
      <c r="L84" s="20">
        <v>16320</v>
      </c>
      <c r="M84" s="20">
        <v>8172.88</v>
      </c>
      <c r="N84" s="20">
        <v>35225</v>
      </c>
      <c r="O84" s="20">
        <f>VLOOKUP(A84,TB!A:F,3)</f>
        <v>16637.16</v>
      </c>
      <c r="P84" s="160">
        <f t="shared" si="19"/>
        <v>35225</v>
      </c>
      <c r="Q84" s="160">
        <v>15389</v>
      </c>
      <c r="R84" s="233">
        <f>VLOOKUP(A84,TB!A:F,6)</f>
        <v>15388.51</v>
      </c>
      <c r="S84" s="233">
        <f t="shared" si="18"/>
        <v>0.48999999999978172</v>
      </c>
    </row>
    <row r="85" spans="1:19" ht="15.75" customHeight="1" x14ac:dyDescent="0.25">
      <c r="A85" s="66" t="s">
        <v>763</v>
      </c>
      <c r="B85" s="66" t="s">
        <v>84</v>
      </c>
      <c r="C85" s="295"/>
      <c r="D85" s="160">
        <v>0</v>
      </c>
      <c r="E85" s="160" t="e">
        <f>D85*#REF!</f>
        <v>#REF!</v>
      </c>
      <c r="F85" s="160" t="e">
        <f>D85*#REF!</f>
        <v>#REF!</v>
      </c>
      <c r="G85" s="160" t="e">
        <f>(D85*#REF!)*#REF!</f>
        <v>#REF!</v>
      </c>
      <c r="H85" s="296">
        <f t="shared" si="15"/>
        <v>0</v>
      </c>
      <c r="I85" s="147" t="e">
        <f t="shared" si="16"/>
        <v>#REF!</v>
      </c>
      <c r="J85" s="97">
        <v>0</v>
      </c>
      <c r="K85" s="295"/>
      <c r="L85" s="20">
        <v>182</v>
      </c>
      <c r="M85" s="20">
        <v>0</v>
      </c>
      <c r="N85" s="20">
        <v>0</v>
      </c>
      <c r="O85" s="20">
        <f>VLOOKUP(A85,TB!A:F,3)</f>
        <v>0</v>
      </c>
      <c r="P85" s="160">
        <f t="shared" ref="P85:P86" si="20">O85/9*12</f>
        <v>0</v>
      </c>
      <c r="Q85" s="160">
        <v>0</v>
      </c>
      <c r="R85" s="233">
        <f>VLOOKUP(A85,TB!A:F,6)</f>
        <v>0</v>
      </c>
      <c r="S85" s="233">
        <f t="shared" si="18"/>
        <v>0</v>
      </c>
    </row>
    <row r="86" spans="1:19" ht="15.75" customHeight="1" x14ac:dyDescent="0.25">
      <c r="A86" s="66" t="s">
        <v>764</v>
      </c>
      <c r="B86" s="66" t="s">
        <v>210</v>
      </c>
      <c r="C86" s="295"/>
      <c r="D86" s="160">
        <v>0</v>
      </c>
      <c r="E86" s="160" t="e">
        <f>D86*#REF!</f>
        <v>#REF!</v>
      </c>
      <c r="F86" s="160" t="e">
        <f>D86*#REF!</f>
        <v>#REF!</v>
      </c>
      <c r="G86" s="160" t="e">
        <f>(D86*#REF!)*#REF!</f>
        <v>#REF!</v>
      </c>
      <c r="H86" s="296">
        <f t="shared" si="15"/>
        <v>0</v>
      </c>
      <c r="I86" s="147" t="e">
        <f t="shared" si="16"/>
        <v>#REF!</v>
      </c>
      <c r="J86" s="97">
        <v>0</v>
      </c>
      <c r="K86" s="295"/>
      <c r="L86" s="20">
        <v>848</v>
      </c>
      <c r="M86" s="20">
        <v>0</v>
      </c>
      <c r="N86" s="20">
        <v>0</v>
      </c>
      <c r="O86" s="20">
        <f>VLOOKUP(A86,TB!A:F,3)</f>
        <v>0</v>
      </c>
      <c r="P86" s="160">
        <f t="shared" si="20"/>
        <v>0</v>
      </c>
      <c r="Q86" s="160">
        <v>0</v>
      </c>
      <c r="R86" s="233">
        <f>VLOOKUP(A86,TB!A:F,6)</f>
        <v>0</v>
      </c>
      <c r="S86" s="233">
        <f t="shared" si="18"/>
        <v>0</v>
      </c>
    </row>
    <row r="87" spans="1:19" ht="15.75" customHeight="1" x14ac:dyDescent="0.25">
      <c r="A87" s="66" t="s">
        <v>765</v>
      </c>
      <c r="B87" s="66" t="s">
        <v>86</v>
      </c>
      <c r="C87" s="295"/>
      <c r="D87" s="160">
        <v>0</v>
      </c>
      <c r="E87" s="160" t="e">
        <f>D87*#REF!</f>
        <v>#REF!</v>
      </c>
      <c r="F87" s="160" t="e">
        <f>D87*#REF!</f>
        <v>#REF!</v>
      </c>
      <c r="G87" s="160" t="e">
        <f>(D87*#REF!)*#REF!</f>
        <v>#REF!</v>
      </c>
      <c r="H87" s="296">
        <f t="shared" si="15"/>
        <v>0</v>
      </c>
      <c r="I87" s="147" t="e">
        <f t="shared" si="16"/>
        <v>#REF!</v>
      </c>
      <c r="J87" s="97">
        <v>0</v>
      </c>
      <c r="K87" s="295"/>
      <c r="L87" s="20">
        <v>0</v>
      </c>
      <c r="M87" s="20">
        <v>0</v>
      </c>
      <c r="N87" s="20">
        <v>80000</v>
      </c>
      <c r="O87" s="20">
        <f>VLOOKUP(A87,TB!A:F,3)</f>
        <v>29194</v>
      </c>
      <c r="P87" s="163">
        <f t="shared" ref="P87:P91" si="21">N87</f>
        <v>80000</v>
      </c>
      <c r="Q87" s="160">
        <v>45040</v>
      </c>
      <c r="R87" s="233">
        <f>VLOOKUP(A87,TB!A:F,6)</f>
        <v>45040</v>
      </c>
      <c r="S87" s="233">
        <f t="shared" si="18"/>
        <v>0</v>
      </c>
    </row>
    <row r="88" spans="1:19" ht="15.75" customHeight="1" x14ac:dyDescent="0.25">
      <c r="A88" s="66" t="s">
        <v>766</v>
      </c>
      <c r="B88" s="66" t="s">
        <v>88</v>
      </c>
      <c r="C88" s="295"/>
      <c r="D88" s="160">
        <v>0</v>
      </c>
      <c r="E88" s="160" t="e">
        <f>D88*#REF!</f>
        <v>#REF!</v>
      </c>
      <c r="F88" s="160" t="e">
        <f>D88*#REF!</f>
        <v>#REF!</v>
      </c>
      <c r="G88" s="160" t="e">
        <f>(D88*#REF!)*#REF!</f>
        <v>#REF!</v>
      </c>
      <c r="H88" s="296">
        <f t="shared" si="15"/>
        <v>0</v>
      </c>
      <c r="I88" s="147" t="e">
        <f t="shared" si="16"/>
        <v>#REF!</v>
      </c>
      <c r="J88" s="97">
        <v>0</v>
      </c>
      <c r="K88" s="295"/>
      <c r="L88" s="20">
        <v>0</v>
      </c>
      <c r="M88" s="20">
        <v>524</v>
      </c>
      <c r="N88" s="20">
        <v>2000</v>
      </c>
      <c r="O88" s="20">
        <f>VLOOKUP(A88,TB!A:F,3)</f>
        <v>402</v>
      </c>
      <c r="P88" s="163">
        <f t="shared" si="21"/>
        <v>2000</v>
      </c>
      <c r="Q88" s="160">
        <v>1000</v>
      </c>
      <c r="R88" s="233">
        <f>VLOOKUP(A88,TB!A:F,6)</f>
        <v>1000</v>
      </c>
      <c r="S88" s="233">
        <f t="shared" si="18"/>
        <v>0</v>
      </c>
    </row>
    <row r="89" spans="1:19" ht="15.75" customHeight="1" x14ac:dyDescent="0.25">
      <c r="A89" s="66" t="s">
        <v>767</v>
      </c>
      <c r="B89" s="66" t="s">
        <v>90</v>
      </c>
      <c r="C89" s="295"/>
      <c r="D89" s="160">
        <v>0</v>
      </c>
      <c r="E89" s="160" t="e">
        <f>D89*#REF!</f>
        <v>#REF!</v>
      </c>
      <c r="F89" s="160" t="e">
        <f>D89*#REF!</f>
        <v>#REF!</v>
      </c>
      <c r="G89" s="160" t="e">
        <f>(D89*#REF!)*#REF!</f>
        <v>#REF!</v>
      </c>
      <c r="H89" s="296">
        <f t="shared" si="15"/>
        <v>0</v>
      </c>
      <c r="I89" s="147" t="e">
        <f t="shared" si="16"/>
        <v>#REF!</v>
      </c>
      <c r="J89" s="97">
        <v>0</v>
      </c>
      <c r="K89" s="295"/>
      <c r="L89" s="20">
        <v>0</v>
      </c>
      <c r="M89" s="20">
        <v>99.84</v>
      </c>
      <c r="N89" s="20">
        <v>3000</v>
      </c>
      <c r="O89" s="20">
        <f>VLOOKUP(A89,TB!A:F,3)</f>
        <v>0</v>
      </c>
      <c r="P89" s="163">
        <f t="shared" si="21"/>
        <v>3000</v>
      </c>
      <c r="Q89" s="160">
        <v>3000</v>
      </c>
      <c r="R89" s="233">
        <f>VLOOKUP(A89,TB!A:F,6)</f>
        <v>3000</v>
      </c>
      <c r="S89" s="233">
        <f t="shared" si="18"/>
        <v>0</v>
      </c>
    </row>
    <row r="90" spans="1:19" ht="15.75" customHeight="1" x14ac:dyDescent="0.25">
      <c r="A90" s="66" t="s">
        <v>768</v>
      </c>
      <c r="B90" s="66" t="s">
        <v>252</v>
      </c>
      <c r="C90" s="295"/>
      <c r="D90" s="160">
        <v>0</v>
      </c>
      <c r="E90" s="160" t="e">
        <f>D90*#REF!</f>
        <v>#REF!</v>
      </c>
      <c r="F90" s="160" t="e">
        <f>D90*#REF!</f>
        <v>#REF!</v>
      </c>
      <c r="G90" s="160" t="e">
        <f>(D90*#REF!)*#REF!</f>
        <v>#REF!</v>
      </c>
      <c r="H90" s="296">
        <f t="shared" si="15"/>
        <v>0</v>
      </c>
      <c r="I90" s="147" t="e">
        <f t="shared" si="16"/>
        <v>#REF!</v>
      </c>
      <c r="J90" s="97">
        <v>0</v>
      </c>
      <c r="K90" s="295"/>
      <c r="L90" s="20">
        <v>22206</v>
      </c>
      <c r="M90" s="20">
        <v>20420.349999999999</v>
      </c>
      <c r="N90" s="20">
        <v>25000</v>
      </c>
      <c r="O90" s="20">
        <f>VLOOKUP(A90,TB!A:F,3)</f>
        <v>19418.7</v>
      </c>
      <c r="P90" s="163">
        <f t="shared" si="21"/>
        <v>25000</v>
      </c>
      <c r="Q90" s="160">
        <v>34900</v>
      </c>
      <c r="R90" s="233">
        <f>VLOOKUP(A90,TB!A:F,6)</f>
        <v>34900</v>
      </c>
      <c r="S90" s="233">
        <f t="shared" si="18"/>
        <v>0</v>
      </c>
    </row>
    <row r="91" spans="1:19" ht="15.75" customHeight="1" x14ac:dyDescent="0.25">
      <c r="A91" s="66" t="s">
        <v>769</v>
      </c>
      <c r="B91" s="66" t="s">
        <v>502</v>
      </c>
      <c r="C91" s="295"/>
      <c r="D91" s="160">
        <v>0</v>
      </c>
      <c r="E91" s="160" t="e">
        <f>D91*#REF!</f>
        <v>#REF!</v>
      </c>
      <c r="F91" s="160" t="e">
        <f>D91*#REF!</f>
        <v>#REF!</v>
      </c>
      <c r="G91" s="160" t="e">
        <f>(D91*#REF!)*#REF!</f>
        <v>#REF!</v>
      </c>
      <c r="H91" s="296">
        <f t="shared" si="15"/>
        <v>0</v>
      </c>
      <c r="I91" s="147" t="e">
        <f t="shared" si="16"/>
        <v>#REF!</v>
      </c>
      <c r="J91" s="97">
        <v>0</v>
      </c>
      <c r="K91" s="295"/>
      <c r="L91" s="20">
        <v>1132</v>
      </c>
      <c r="M91" s="20">
        <v>2029.31</v>
      </c>
      <c r="N91" s="20">
        <v>6000</v>
      </c>
      <c r="O91" s="20">
        <f>VLOOKUP(A91,TB!A:F,3)</f>
        <v>2312.7600000000002</v>
      </c>
      <c r="P91" s="163">
        <f t="shared" si="21"/>
        <v>6000</v>
      </c>
      <c r="Q91" s="160">
        <v>5400</v>
      </c>
      <c r="R91" s="233">
        <f>VLOOKUP(A91,TB!A:F,6)</f>
        <v>5400</v>
      </c>
      <c r="S91" s="233">
        <f t="shared" si="18"/>
        <v>0</v>
      </c>
    </row>
    <row r="92" spans="1:19" ht="15.75" customHeight="1" x14ac:dyDescent="0.25">
      <c r="A92" s="66" t="s">
        <v>770</v>
      </c>
      <c r="B92" s="66" t="s">
        <v>92</v>
      </c>
      <c r="C92" s="295"/>
      <c r="D92" s="160">
        <v>0</v>
      </c>
      <c r="E92" s="160" t="e">
        <f>D92*#REF!</f>
        <v>#REF!</v>
      </c>
      <c r="F92" s="160" t="e">
        <f>D92*#REF!</f>
        <v>#REF!</v>
      </c>
      <c r="G92" s="160" t="e">
        <f>(D92*#REF!)*#REF!</f>
        <v>#REF!</v>
      </c>
      <c r="H92" s="296">
        <f t="shared" si="15"/>
        <v>0</v>
      </c>
      <c r="I92" s="147" t="e">
        <f t="shared" si="16"/>
        <v>#REF!</v>
      </c>
      <c r="J92" s="97">
        <v>0</v>
      </c>
      <c r="K92" s="295"/>
      <c r="L92" s="20">
        <v>4327</v>
      </c>
      <c r="M92" s="20">
        <v>0</v>
      </c>
      <c r="N92" s="20">
        <v>0</v>
      </c>
      <c r="O92" s="20">
        <f>VLOOKUP(A92,TB!A:F,3)</f>
        <v>0</v>
      </c>
      <c r="P92" s="160">
        <f>O92/9*12</f>
        <v>0</v>
      </c>
      <c r="Q92" s="160">
        <v>0</v>
      </c>
      <c r="R92" s="233">
        <f>VLOOKUP(A92,TB!A:F,6)</f>
        <v>0</v>
      </c>
      <c r="S92" s="233">
        <f t="shared" si="18"/>
        <v>0</v>
      </c>
    </row>
    <row r="93" spans="1:19" ht="15.75" customHeight="1" x14ac:dyDescent="0.25">
      <c r="A93" s="74" t="s">
        <v>771</v>
      </c>
      <c r="B93" s="75"/>
      <c r="C93" s="299"/>
      <c r="D93" s="189">
        <f t="shared" ref="D93:G93" si="22">SUM(D75:D92)</f>
        <v>0</v>
      </c>
      <c r="E93" s="189" t="e">
        <f t="shared" si="22"/>
        <v>#REF!</v>
      </c>
      <c r="F93" s="189" t="e">
        <f t="shared" si="22"/>
        <v>#REF!</v>
      </c>
      <c r="G93" s="189" t="e">
        <f t="shared" si="22"/>
        <v>#REF!</v>
      </c>
      <c r="H93" s="300">
        <f t="shared" si="15"/>
        <v>0</v>
      </c>
      <c r="I93" s="189" t="e">
        <f t="shared" si="16"/>
        <v>#REF!</v>
      </c>
      <c r="J93" s="301">
        <f>SUM(J75:J92)</f>
        <v>0</v>
      </c>
      <c r="K93" s="299"/>
      <c r="L93" s="77">
        <f t="shared" ref="L93:S93" si="23">SUM(L75:L92)</f>
        <v>354826</v>
      </c>
      <c r="M93" s="77">
        <f t="shared" si="23"/>
        <v>414322.08999999991</v>
      </c>
      <c r="N93" s="77">
        <f t="shared" si="23"/>
        <v>595461</v>
      </c>
      <c r="O93" s="77">
        <f t="shared" si="23"/>
        <v>413083.05</v>
      </c>
      <c r="P93" s="189">
        <f t="shared" si="23"/>
        <v>632673.978</v>
      </c>
      <c r="Q93" s="189">
        <f t="shared" si="23"/>
        <v>560039</v>
      </c>
      <c r="R93" s="77">
        <f t="shared" si="23"/>
        <v>560038.51</v>
      </c>
      <c r="S93" s="77">
        <f t="shared" si="23"/>
        <v>0.48999999999978172</v>
      </c>
    </row>
    <row r="94" spans="1:19" ht="15.75" customHeight="1" x14ac:dyDescent="0.2">
      <c r="C94" s="287"/>
      <c r="K94" s="287"/>
      <c r="L94" s="54"/>
      <c r="M94" s="54"/>
      <c r="N94" s="54"/>
      <c r="O94" s="54"/>
      <c r="P94" s="54"/>
      <c r="Q94" s="54"/>
      <c r="R94" s="81"/>
      <c r="S94" s="81"/>
    </row>
    <row r="95" spans="1:19" ht="15.75" customHeight="1" x14ac:dyDescent="0.25">
      <c r="A95" s="66" t="s">
        <v>772</v>
      </c>
      <c r="B95" s="66" t="s">
        <v>99</v>
      </c>
      <c r="C95" s="295"/>
      <c r="D95" s="160">
        <v>0</v>
      </c>
      <c r="E95" s="160" t="e">
        <f>D95*#REF!</f>
        <v>#REF!</v>
      </c>
      <c r="F95" s="160" t="e">
        <f>D95*#REF!</f>
        <v>#REF!</v>
      </c>
      <c r="G95" s="160" t="e">
        <f>(D95*#REF!)*#REF!</f>
        <v>#REF!</v>
      </c>
      <c r="H95" s="296">
        <f t="shared" ref="H95:H96" si="24">IFERROR(((Q95-G95)/G95),0)</f>
        <v>0</v>
      </c>
      <c r="I95" s="147" t="e">
        <f t="shared" ref="I95:I96" si="25">Q95-G95</f>
        <v>#REF!</v>
      </c>
      <c r="J95" s="97">
        <v>0</v>
      </c>
      <c r="K95" s="295"/>
      <c r="L95" s="20">
        <v>0</v>
      </c>
      <c r="M95" s="20">
        <v>13843</v>
      </c>
      <c r="N95" s="20">
        <v>0</v>
      </c>
      <c r="O95" s="20">
        <f>VLOOKUP(A95,TB!A:F,3)</f>
        <v>0</v>
      </c>
      <c r="P95" s="160">
        <f>O95</f>
        <v>0</v>
      </c>
      <c r="Q95" s="160">
        <v>0</v>
      </c>
      <c r="R95" s="233">
        <f>VLOOKUP(A95,TB!A:F,6)</f>
        <v>0</v>
      </c>
      <c r="S95" s="233">
        <f>Q95-R95</f>
        <v>0</v>
      </c>
    </row>
    <row r="96" spans="1:19" ht="15.75" customHeight="1" x14ac:dyDescent="0.25">
      <c r="A96" s="74" t="s">
        <v>771</v>
      </c>
      <c r="B96" s="75"/>
      <c r="C96" s="299"/>
      <c r="D96" s="189">
        <f t="shared" ref="D96:G96" si="26">SUM(D95)</f>
        <v>0</v>
      </c>
      <c r="E96" s="189" t="e">
        <f t="shared" si="26"/>
        <v>#REF!</v>
      </c>
      <c r="F96" s="189" t="e">
        <f t="shared" si="26"/>
        <v>#REF!</v>
      </c>
      <c r="G96" s="189" t="e">
        <f t="shared" si="26"/>
        <v>#REF!</v>
      </c>
      <c r="H96" s="300">
        <f t="shared" si="24"/>
        <v>0</v>
      </c>
      <c r="I96" s="189" t="e">
        <f t="shared" si="25"/>
        <v>#REF!</v>
      </c>
      <c r="J96" s="301">
        <v>0</v>
      </c>
      <c r="K96" s="299"/>
      <c r="L96" s="77">
        <f t="shared" ref="L96:S96" si="27">SUM(L95)</f>
        <v>0</v>
      </c>
      <c r="M96" s="77">
        <f t="shared" si="27"/>
        <v>13843</v>
      </c>
      <c r="N96" s="77">
        <f t="shared" si="27"/>
        <v>0</v>
      </c>
      <c r="O96" s="77">
        <f t="shared" si="27"/>
        <v>0</v>
      </c>
      <c r="P96" s="189">
        <f t="shared" si="27"/>
        <v>0</v>
      </c>
      <c r="Q96" s="189">
        <f t="shared" si="27"/>
        <v>0</v>
      </c>
      <c r="R96" s="77">
        <f t="shared" si="27"/>
        <v>0</v>
      </c>
      <c r="S96" s="77">
        <f t="shared" si="27"/>
        <v>0</v>
      </c>
    </row>
    <row r="97" spans="1:29" ht="15.75" customHeight="1" x14ac:dyDescent="0.2">
      <c r="C97" s="287"/>
      <c r="K97" s="287"/>
      <c r="R97" s="83"/>
      <c r="S97" s="83"/>
    </row>
    <row r="98" spans="1:29" ht="15.75" customHeight="1" x14ac:dyDescent="0.25">
      <c r="A98" s="74" t="s">
        <v>773</v>
      </c>
      <c r="B98" s="305"/>
      <c r="C98" s="306"/>
      <c r="D98" s="189">
        <f t="shared" ref="D98:G98" si="28">D93+D96</f>
        <v>0</v>
      </c>
      <c r="E98" s="189" t="e">
        <f t="shared" si="28"/>
        <v>#REF!</v>
      </c>
      <c r="F98" s="189" t="e">
        <f t="shared" si="28"/>
        <v>#REF!</v>
      </c>
      <c r="G98" s="189" t="e">
        <f t="shared" si="28"/>
        <v>#REF!</v>
      </c>
      <c r="H98" s="300">
        <f>IFERROR(((Q98-G98)/G98),0)</f>
        <v>0</v>
      </c>
      <c r="I98" s="189" t="e">
        <f>Q98-G98</f>
        <v>#REF!</v>
      </c>
      <c r="J98" s="301">
        <v>0</v>
      </c>
      <c r="K98" s="306"/>
      <c r="L98" s="77">
        <f t="shared" ref="L98:S98" si="29">L93+L96</f>
        <v>354826</v>
      </c>
      <c r="M98" s="77">
        <f t="shared" si="29"/>
        <v>428165.08999999991</v>
      </c>
      <c r="N98" s="77">
        <f t="shared" si="29"/>
        <v>595461</v>
      </c>
      <c r="O98" s="77">
        <f t="shared" si="29"/>
        <v>413083.05</v>
      </c>
      <c r="P98" s="189">
        <f t="shared" si="29"/>
        <v>632673.978</v>
      </c>
      <c r="Q98" s="189">
        <f t="shared" si="29"/>
        <v>560039</v>
      </c>
      <c r="R98" s="77">
        <f t="shared" si="29"/>
        <v>560038.51</v>
      </c>
      <c r="S98" s="77">
        <f t="shared" si="29"/>
        <v>0.48999999999978172</v>
      </c>
    </row>
    <row r="99" spans="1:29" ht="15.75" customHeight="1" x14ac:dyDescent="0.2">
      <c r="C99" s="287"/>
      <c r="K99" s="287"/>
      <c r="R99" s="83"/>
      <c r="S99" s="83"/>
    </row>
    <row r="100" spans="1:29" ht="15.75" customHeight="1" x14ac:dyDescent="0.2">
      <c r="A100" s="69" t="s">
        <v>184</v>
      </c>
      <c r="C100" s="287"/>
      <c r="K100" s="287"/>
      <c r="R100" s="83"/>
      <c r="S100" s="83"/>
    </row>
    <row r="101" spans="1:29" ht="15.75" customHeight="1" x14ac:dyDescent="0.25">
      <c r="A101" s="51" t="s">
        <v>774</v>
      </c>
      <c r="B101" s="51" t="s">
        <v>775</v>
      </c>
      <c r="C101" s="307"/>
      <c r="D101" s="147">
        <v>0</v>
      </c>
      <c r="E101" s="160" t="e">
        <f>D101*#REF!</f>
        <v>#REF!</v>
      </c>
      <c r="F101" s="160" t="e">
        <f>D101*#REF!</f>
        <v>#REF!</v>
      </c>
      <c r="G101" s="160" t="e">
        <f>(D101*#REF!)*#REF!</f>
        <v>#REF!</v>
      </c>
      <c r="H101" s="296">
        <f t="shared" ref="H101:H102" si="30">IFERROR(((Q101-G101)/G101),0)</f>
        <v>0</v>
      </c>
      <c r="I101" s="147" t="e">
        <f t="shared" ref="I101:I102" si="31">Q101-G101</f>
        <v>#REF!</v>
      </c>
      <c r="J101" s="97">
        <v>0</v>
      </c>
      <c r="K101" s="307"/>
      <c r="L101" s="54">
        <v>-34570</v>
      </c>
      <c r="M101" s="54">
        <v>-63463.63</v>
      </c>
      <c r="N101" s="54">
        <v>-91000</v>
      </c>
      <c r="O101" s="20">
        <f>VLOOKUP(A101,TB!A:F,3)</f>
        <v>-45306.36</v>
      </c>
      <c r="P101" s="308">
        <f>N101</f>
        <v>-91000</v>
      </c>
      <c r="Q101" s="54">
        <v>-90000</v>
      </c>
      <c r="R101" s="233">
        <f>VLOOKUP(A101,TB!A:F,6)</f>
        <v>-90000</v>
      </c>
      <c r="S101" s="233">
        <f>Q101-R101</f>
        <v>0</v>
      </c>
    </row>
    <row r="102" spans="1:29" ht="15.75" customHeight="1" x14ac:dyDescent="0.2">
      <c r="A102" s="239" t="s">
        <v>189</v>
      </c>
      <c r="B102" s="75"/>
      <c r="C102" s="299"/>
      <c r="D102" s="189">
        <f t="shared" ref="D102:G102" si="32">SUM(D101)</f>
        <v>0</v>
      </c>
      <c r="E102" s="189" t="e">
        <f t="shared" si="32"/>
        <v>#REF!</v>
      </c>
      <c r="F102" s="189" t="e">
        <f t="shared" si="32"/>
        <v>#REF!</v>
      </c>
      <c r="G102" s="189" t="e">
        <f t="shared" si="32"/>
        <v>#REF!</v>
      </c>
      <c r="H102" s="300">
        <f t="shared" si="30"/>
        <v>0</v>
      </c>
      <c r="I102" s="189" t="e">
        <f t="shared" si="31"/>
        <v>#REF!</v>
      </c>
      <c r="J102" s="189">
        <f>SUM(J101)</f>
        <v>0</v>
      </c>
      <c r="K102" s="299"/>
      <c r="L102" s="77">
        <f t="shared" ref="L102:S102" si="33">SUM(L101)</f>
        <v>-34570</v>
      </c>
      <c r="M102" s="77">
        <f t="shared" si="33"/>
        <v>-63463.63</v>
      </c>
      <c r="N102" s="77">
        <f t="shared" si="33"/>
        <v>-91000</v>
      </c>
      <c r="O102" s="77">
        <f t="shared" si="33"/>
        <v>-45306.36</v>
      </c>
      <c r="P102" s="189">
        <f t="shared" si="33"/>
        <v>-91000</v>
      </c>
      <c r="Q102" s="189">
        <f t="shared" si="33"/>
        <v>-90000</v>
      </c>
      <c r="R102" s="77">
        <f t="shared" si="33"/>
        <v>-90000</v>
      </c>
      <c r="S102" s="77">
        <f t="shared" si="33"/>
        <v>0</v>
      </c>
    </row>
    <row r="103" spans="1:29" ht="15.75" customHeight="1" x14ac:dyDescent="0.2">
      <c r="C103" s="287"/>
      <c r="K103" s="287"/>
      <c r="R103" s="83"/>
      <c r="S103" s="83"/>
    </row>
    <row r="104" spans="1:29" ht="15.75" customHeight="1" x14ac:dyDescent="0.2">
      <c r="A104" s="69" t="s">
        <v>190</v>
      </c>
      <c r="B104" s="51"/>
      <c r="C104" s="309"/>
      <c r="D104" s="193">
        <f t="shared" ref="D104:G104" si="34">D98+D102</f>
        <v>0</v>
      </c>
      <c r="E104" s="193" t="e">
        <f t="shared" si="34"/>
        <v>#REF!</v>
      </c>
      <c r="F104" s="193" t="e">
        <f t="shared" si="34"/>
        <v>#REF!</v>
      </c>
      <c r="G104" s="193" t="e">
        <f t="shared" si="34"/>
        <v>#REF!</v>
      </c>
      <c r="H104" s="310">
        <f>IFERROR(((Q104-G104)/G104),0)</f>
        <v>0</v>
      </c>
      <c r="I104" s="193" t="e">
        <f>Q104-G104</f>
        <v>#REF!</v>
      </c>
      <c r="J104" s="193">
        <f>J102+J96+J93</f>
        <v>0</v>
      </c>
      <c r="K104" s="309"/>
      <c r="L104" s="245">
        <f t="shared" ref="L104:S104" si="35">L98+L102</f>
        <v>320256</v>
      </c>
      <c r="M104" s="245">
        <f t="shared" si="35"/>
        <v>364701.4599999999</v>
      </c>
      <c r="N104" s="245">
        <f t="shared" si="35"/>
        <v>504461</v>
      </c>
      <c r="O104" s="245">
        <f t="shared" si="35"/>
        <v>367776.69</v>
      </c>
      <c r="P104" s="193">
        <f t="shared" si="35"/>
        <v>541673.978</v>
      </c>
      <c r="Q104" s="193">
        <f t="shared" si="35"/>
        <v>470039</v>
      </c>
      <c r="R104" s="245">
        <f t="shared" si="35"/>
        <v>470038.51</v>
      </c>
      <c r="S104" s="245">
        <f t="shared" si="35"/>
        <v>0.48999999999978172</v>
      </c>
      <c r="V104" s="56"/>
      <c r="W104" s="56"/>
      <c r="X104" s="56"/>
      <c r="Y104" s="56"/>
      <c r="Z104" s="56"/>
      <c r="AA104" s="56"/>
      <c r="AB104" s="56"/>
      <c r="AC104" s="56"/>
    </row>
    <row r="105" spans="1:29" ht="15.75" customHeight="1" x14ac:dyDescent="0.2">
      <c r="C105" s="287"/>
      <c r="K105" s="287"/>
      <c r="R105" s="83"/>
      <c r="S105" s="83"/>
    </row>
    <row r="106" spans="1:29" ht="15.75" customHeight="1" x14ac:dyDescent="0.2">
      <c r="C106" s="287"/>
      <c r="K106" s="287"/>
    </row>
    <row r="107" spans="1:29" ht="15.75" customHeight="1" x14ac:dyDescent="0.2">
      <c r="C107" s="288"/>
      <c r="K107" s="288"/>
      <c r="L107" s="199" t="e">
        <f t="shared" ref="L107:R107" si="36">#REF!</f>
        <v>#REF!</v>
      </c>
      <c r="M107" s="199" t="e">
        <f t="shared" si="36"/>
        <v>#REF!</v>
      </c>
      <c r="N107" s="199" t="e">
        <f t="shared" si="36"/>
        <v>#REF!</v>
      </c>
      <c r="O107" s="199" t="e">
        <f t="shared" si="36"/>
        <v>#REF!</v>
      </c>
      <c r="P107" s="199" t="e">
        <f t="shared" si="36"/>
        <v>#REF!</v>
      </c>
      <c r="Q107" s="199" t="e">
        <f t="shared" si="36"/>
        <v>#REF!</v>
      </c>
      <c r="R107" s="173" t="e">
        <f t="shared" si="36"/>
        <v>#REF!</v>
      </c>
    </row>
    <row r="108" spans="1:29" ht="15.75" customHeight="1" x14ac:dyDescent="0.2">
      <c r="C108" s="289"/>
      <c r="K108" s="289"/>
      <c r="L108" s="290">
        <f t="shared" ref="L108:R108" si="37">L104</f>
        <v>320256</v>
      </c>
      <c r="M108" s="290">
        <f t="shared" si="37"/>
        <v>364701.4599999999</v>
      </c>
      <c r="N108" s="290">
        <f t="shared" si="37"/>
        <v>504461</v>
      </c>
      <c r="O108" s="290">
        <f t="shared" si="37"/>
        <v>367776.69</v>
      </c>
      <c r="P108" s="290">
        <f t="shared" si="37"/>
        <v>541673.978</v>
      </c>
      <c r="Q108" s="290">
        <f t="shared" si="37"/>
        <v>470039</v>
      </c>
      <c r="R108" s="291">
        <f t="shared" si="37"/>
        <v>470038.51</v>
      </c>
    </row>
    <row r="109" spans="1:29" ht="15.75" customHeight="1" x14ac:dyDescent="0.2">
      <c r="C109" s="287"/>
      <c r="K109" s="287"/>
    </row>
    <row r="110" spans="1:29" ht="15.75" customHeight="1" x14ac:dyDescent="0.2">
      <c r="C110" s="287"/>
      <c r="K110" s="287"/>
    </row>
    <row r="111" spans="1:29" ht="15.75" customHeight="1" x14ac:dyDescent="0.2">
      <c r="C111" s="287"/>
      <c r="K111" s="287"/>
    </row>
    <row r="112" spans="1:29" ht="15.75" customHeight="1" x14ac:dyDescent="0.2">
      <c r="C112" s="287"/>
      <c r="K112" s="287"/>
    </row>
    <row r="113" spans="3:11" ht="15.75" customHeight="1" x14ac:dyDescent="0.2">
      <c r="C113" s="287"/>
      <c r="K113" s="287"/>
    </row>
    <row r="114" spans="3:11" ht="15.75" customHeight="1" x14ac:dyDescent="0.2">
      <c r="C114" s="287"/>
      <c r="K114" s="287"/>
    </row>
    <row r="115" spans="3:11" ht="15.75" customHeight="1" x14ac:dyDescent="0.2">
      <c r="C115" s="287"/>
      <c r="K115" s="287"/>
    </row>
    <row r="116" spans="3:11" ht="15.75" customHeight="1" x14ac:dyDescent="0.2">
      <c r="C116" s="287"/>
      <c r="K116" s="287"/>
    </row>
    <row r="117" spans="3:11" ht="15.75" customHeight="1" x14ac:dyDescent="0.2">
      <c r="C117" s="287"/>
      <c r="K117" s="287"/>
    </row>
    <row r="118" spans="3:11" ht="15.75" customHeight="1" x14ac:dyDescent="0.2">
      <c r="C118" s="287"/>
      <c r="K118" s="287"/>
    </row>
    <row r="119" spans="3:11" ht="15.75" customHeight="1" x14ac:dyDescent="0.2">
      <c r="C119" s="287"/>
      <c r="K119" s="287"/>
    </row>
    <row r="120" spans="3:11" ht="15.75" customHeight="1" x14ac:dyDescent="0.2">
      <c r="C120" s="287"/>
      <c r="K120" s="287"/>
    </row>
    <row r="121" spans="3:11" ht="15.75" customHeight="1" x14ac:dyDescent="0.2">
      <c r="C121" s="287"/>
      <c r="K121" s="287"/>
    </row>
    <row r="122" spans="3:11" ht="15.75" customHeight="1" x14ac:dyDescent="0.2">
      <c r="C122" s="287"/>
      <c r="K122" s="287"/>
    </row>
    <row r="123" spans="3:11" ht="15.75" customHeight="1" x14ac:dyDescent="0.2">
      <c r="C123" s="287"/>
      <c r="K123" s="287"/>
    </row>
    <row r="124" spans="3:11" ht="15.75" customHeight="1" x14ac:dyDescent="0.2">
      <c r="C124" s="287"/>
      <c r="K124" s="287"/>
    </row>
    <row r="125" spans="3:11" ht="15.75" customHeight="1" x14ac:dyDescent="0.2">
      <c r="C125" s="287"/>
      <c r="K125" s="287"/>
    </row>
    <row r="126" spans="3:11" ht="15.75" customHeight="1" x14ac:dyDescent="0.2">
      <c r="C126" s="287"/>
      <c r="K126" s="287"/>
    </row>
    <row r="127" spans="3:11" ht="15.75" customHeight="1" x14ac:dyDescent="0.2">
      <c r="C127" s="287"/>
      <c r="K127" s="287"/>
    </row>
    <row r="128" spans="3:11" ht="15.75" customHeight="1" x14ac:dyDescent="0.2">
      <c r="C128" s="287"/>
      <c r="K128" s="287"/>
    </row>
    <row r="129" spans="3:11" ht="15.75" customHeight="1" x14ac:dyDescent="0.2">
      <c r="C129" s="287"/>
      <c r="K129" s="287"/>
    </row>
    <row r="130" spans="3:11" ht="15.75" customHeight="1" x14ac:dyDescent="0.2">
      <c r="C130" s="287"/>
      <c r="K130" s="287"/>
    </row>
    <row r="131" spans="3:11" ht="15.75" customHeight="1" x14ac:dyDescent="0.2">
      <c r="C131" s="287"/>
      <c r="K131" s="287"/>
    </row>
    <row r="132" spans="3:11" ht="15.75" customHeight="1" x14ac:dyDescent="0.2">
      <c r="C132" s="287"/>
      <c r="K132" s="287"/>
    </row>
    <row r="133" spans="3:11" ht="15.75" customHeight="1" x14ac:dyDescent="0.2">
      <c r="C133" s="287"/>
      <c r="K133" s="287"/>
    </row>
    <row r="134" spans="3:11" ht="15.75" customHeight="1" x14ac:dyDescent="0.2">
      <c r="C134" s="287"/>
      <c r="K134" s="287"/>
    </row>
    <row r="135" spans="3:11" ht="15.75" customHeight="1" x14ac:dyDescent="0.2">
      <c r="C135" s="287"/>
      <c r="K135" s="287"/>
    </row>
    <row r="136" spans="3:11" ht="15.75" customHeight="1" x14ac:dyDescent="0.2">
      <c r="C136" s="287"/>
      <c r="K136" s="287"/>
    </row>
    <row r="137" spans="3:11" ht="15.75" customHeight="1" x14ac:dyDescent="0.2">
      <c r="C137" s="287"/>
      <c r="K137" s="287"/>
    </row>
    <row r="138" spans="3:11" ht="15.75" customHeight="1" x14ac:dyDescent="0.2">
      <c r="C138" s="287"/>
      <c r="K138" s="287"/>
    </row>
    <row r="139" spans="3:11" ht="15.75" customHeight="1" x14ac:dyDescent="0.2">
      <c r="C139" s="287"/>
      <c r="K139" s="287"/>
    </row>
    <row r="140" spans="3:11" ht="15.75" customHeight="1" x14ac:dyDescent="0.2">
      <c r="C140" s="287"/>
      <c r="K140" s="287"/>
    </row>
    <row r="141" spans="3:11" ht="15.75" customHeight="1" x14ac:dyDescent="0.2">
      <c r="C141" s="287"/>
      <c r="K141" s="287"/>
    </row>
    <row r="142" spans="3:11" ht="15.75" customHeight="1" x14ac:dyDescent="0.2">
      <c r="C142" s="287"/>
      <c r="K142" s="287"/>
    </row>
    <row r="143" spans="3:11" ht="15.75" customHeight="1" x14ac:dyDescent="0.2">
      <c r="C143" s="287"/>
      <c r="K143" s="287"/>
    </row>
    <row r="144" spans="3:11" ht="15.75" customHeight="1" x14ac:dyDescent="0.2">
      <c r="C144" s="287"/>
      <c r="K144" s="287"/>
    </row>
    <row r="145" spans="3:11" ht="15.75" customHeight="1" x14ac:dyDescent="0.2">
      <c r="C145" s="287"/>
      <c r="K145" s="287"/>
    </row>
    <row r="146" spans="3:11" ht="15.75" customHeight="1" x14ac:dyDescent="0.2">
      <c r="C146" s="287"/>
      <c r="K146" s="287"/>
    </row>
    <row r="147" spans="3:11" ht="15.75" customHeight="1" x14ac:dyDescent="0.2">
      <c r="C147" s="287"/>
      <c r="K147" s="287"/>
    </row>
    <row r="148" spans="3:11" ht="15.75" customHeight="1" x14ac:dyDescent="0.2">
      <c r="C148" s="287"/>
      <c r="K148" s="287"/>
    </row>
    <row r="149" spans="3:11" ht="15.75" customHeight="1" x14ac:dyDescent="0.2">
      <c r="C149" s="287"/>
      <c r="K149" s="287"/>
    </row>
    <row r="150" spans="3:11" ht="15.75" customHeight="1" x14ac:dyDescent="0.2">
      <c r="C150" s="287"/>
      <c r="K150" s="287"/>
    </row>
    <row r="151" spans="3:11" ht="15.75" customHeight="1" x14ac:dyDescent="0.2">
      <c r="C151" s="287"/>
      <c r="K151" s="287"/>
    </row>
    <row r="152" spans="3:11" ht="15.75" customHeight="1" x14ac:dyDescent="0.2">
      <c r="C152" s="287"/>
      <c r="K152" s="287"/>
    </row>
    <row r="153" spans="3:11" ht="15.75" customHeight="1" x14ac:dyDescent="0.2">
      <c r="C153" s="287"/>
      <c r="K153" s="287"/>
    </row>
    <row r="154" spans="3:11" ht="15.75" customHeight="1" x14ac:dyDescent="0.2">
      <c r="C154" s="287"/>
      <c r="K154" s="287"/>
    </row>
    <row r="155" spans="3:11" ht="15.75" customHeight="1" x14ac:dyDescent="0.2">
      <c r="C155" s="287"/>
      <c r="K155" s="287"/>
    </row>
    <row r="156" spans="3:11" ht="15.75" customHeight="1" x14ac:dyDescent="0.2">
      <c r="C156" s="287"/>
      <c r="K156" s="287"/>
    </row>
    <row r="157" spans="3:11" ht="15.75" customHeight="1" x14ac:dyDescent="0.2">
      <c r="C157" s="287"/>
      <c r="K157" s="287"/>
    </row>
    <row r="158" spans="3:11" ht="15.75" customHeight="1" x14ac:dyDescent="0.2">
      <c r="C158" s="287"/>
      <c r="K158" s="287"/>
    </row>
    <row r="159" spans="3:11" ht="15.75" customHeight="1" x14ac:dyDescent="0.2">
      <c r="C159" s="287"/>
      <c r="K159" s="287"/>
    </row>
    <row r="160" spans="3:11" ht="15.75" customHeight="1" x14ac:dyDescent="0.2">
      <c r="C160" s="287"/>
      <c r="K160" s="287"/>
    </row>
    <row r="161" spans="1:19" ht="15.75" customHeight="1" x14ac:dyDescent="0.2">
      <c r="A161" s="3" t="s">
        <v>50</v>
      </c>
      <c r="B161" s="3" t="s">
        <v>51</v>
      </c>
      <c r="C161" s="292"/>
      <c r="D161" s="99" t="s">
        <v>52</v>
      </c>
      <c r="E161" s="100" t="s">
        <v>53</v>
      </c>
      <c r="F161" s="100" t="s">
        <v>54</v>
      </c>
      <c r="G161" s="100" t="s">
        <v>55</v>
      </c>
      <c r="H161" s="24" t="s">
        <v>56</v>
      </c>
      <c r="I161" s="24" t="s">
        <v>57</v>
      </c>
      <c r="J161" s="101" t="s">
        <v>58</v>
      </c>
      <c r="K161" s="292"/>
      <c r="L161" s="3" t="s">
        <v>59</v>
      </c>
      <c r="M161" s="3" t="s">
        <v>60</v>
      </c>
      <c r="N161" s="3" t="s">
        <v>61</v>
      </c>
      <c r="O161" s="3" t="s">
        <v>62</v>
      </c>
      <c r="P161" s="293" t="s">
        <v>541</v>
      </c>
      <c r="Q161" s="293" t="s">
        <v>64</v>
      </c>
      <c r="R161" s="293" t="s">
        <v>65</v>
      </c>
      <c r="S161" s="293" t="s">
        <v>586</v>
      </c>
    </row>
    <row r="162" spans="1:19" ht="15.75" customHeight="1" x14ac:dyDescent="0.25">
      <c r="A162" s="565" t="s">
        <v>776</v>
      </c>
      <c r="B162" s="566"/>
      <c r="C162" s="566"/>
      <c r="D162" s="566"/>
      <c r="E162" s="566"/>
      <c r="F162" s="65"/>
      <c r="G162" s="275"/>
      <c r="H162" s="234"/>
      <c r="L162" s="65"/>
      <c r="M162" s="165"/>
      <c r="N162" s="65"/>
      <c r="O162" s="165"/>
      <c r="P162" s="157"/>
      <c r="Q162" s="157"/>
      <c r="R162" s="275"/>
      <c r="S162" s="275"/>
    </row>
    <row r="163" spans="1:19" ht="15.75" customHeight="1" x14ac:dyDescent="0.25">
      <c r="A163" s="66" t="s">
        <v>777</v>
      </c>
      <c r="B163" s="66" t="s">
        <v>68</v>
      </c>
      <c r="C163" s="295"/>
      <c r="D163" s="160">
        <v>61497</v>
      </c>
      <c r="E163" s="160" t="e">
        <f>D163*#REF!</f>
        <v>#REF!</v>
      </c>
      <c r="F163" s="160" t="e">
        <f>D163*#REF!</f>
        <v>#REF!</v>
      </c>
      <c r="G163" s="160" t="e">
        <f>(D163*#REF!)*#REF!</f>
        <v>#REF!</v>
      </c>
      <c r="H163" s="296">
        <f t="shared" ref="H163:H182" si="38">IFERROR(((Q163-G163)/G163),0)</f>
        <v>0</v>
      </c>
      <c r="I163" s="147" t="e">
        <f t="shared" ref="I163:I182" si="39">Q163-G163</f>
        <v>#REF!</v>
      </c>
      <c r="J163" s="97">
        <v>0</v>
      </c>
      <c r="K163" s="295"/>
      <c r="L163" s="20">
        <v>72451</v>
      </c>
      <c r="M163" s="20">
        <v>73886.2</v>
      </c>
      <c r="N163" s="20">
        <v>78302</v>
      </c>
      <c r="O163" s="20">
        <f>VLOOKUP(A163,TB!A:F,3)</f>
        <v>59240.800000000003</v>
      </c>
      <c r="P163" s="160">
        <f t="shared" ref="P163:P166" si="40">O163/20*26</f>
        <v>77013.039999999994</v>
      </c>
      <c r="Q163" s="160">
        <v>85200</v>
      </c>
      <c r="R163" s="233">
        <f>VLOOKUP(A163,TB!A:F,6)</f>
        <v>85200</v>
      </c>
      <c r="S163" s="233">
        <f t="shared" ref="S163:S181" si="41">Q163-R163</f>
        <v>0</v>
      </c>
    </row>
    <row r="164" spans="1:19" ht="15.75" customHeight="1" x14ac:dyDescent="0.25">
      <c r="A164" s="66" t="s">
        <v>778</v>
      </c>
      <c r="B164" s="66" t="s">
        <v>70</v>
      </c>
      <c r="C164" s="295"/>
      <c r="D164" s="160">
        <v>0</v>
      </c>
      <c r="E164" s="160" t="e">
        <f>D164*#REF!</f>
        <v>#REF!</v>
      </c>
      <c r="F164" s="160" t="e">
        <f>D164*#REF!</f>
        <v>#REF!</v>
      </c>
      <c r="G164" s="160" t="e">
        <f>(D164*#REF!)*#REF!</f>
        <v>#REF!</v>
      </c>
      <c r="H164" s="296">
        <f t="shared" si="38"/>
        <v>0</v>
      </c>
      <c r="I164" s="147" t="e">
        <f t="shared" si="39"/>
        <v>#REF!</v>
      </c>
      <c r="J164" s="97">
        <v>0</v>
      </c>
      <c r="K164" s="295"/>
      <c r="L164" s="20">
        <v>0</v>
      </c>
      <c r="M164" s="20">
        <v>0</v>
      </c>
      <c r="N164" s="20">
        <v>4000</v>
      </c>
      <c r="O164" s="20">
        <f>VLOOKUP(A164,TB!A:F,3)</f>
        <v>0</v>
      </c>
      <c r="P164" s="160">
        <f t="shared" si="40"/>
        <v>0</v>
      </c>
      <c r="Q164" s="160">
        <v>4000</v>
      </c>
      <c r="R164" s="233">
        <f>VLOOKUP(A164,TB!A:F,6)</f>
        <v>4000</v>
      </c>
      <c r="S164" s="233">
        <f t="shared" si="41"/>
        <v>0</v>
      </c>
    </row>
    <row r="165" spans="1:19" ht="15.75" customHeight="1" x14ac:dyDescent="0.25">
      <c r="A165" s="66" t="s">
        <v>779</v>
      </c>
      <c r="B165" s="66" t="s">
        <v>132</v>
      </c>
      <c r="C165" s="295"/>
      <c r="D165" s="160">
        <v>0</v>
      </c>
      <c r="E165" s="160" t="e">
        <f>D165*#REF!</f>
        <v>#REF!</v>
      </c>
      <c r="F165" s="160" t="e">
        <f>D165*#REF!</f>
        <v>#REF!</v>
      </c>
      <c r="G165" s="160" t="e">
        <f>(D165*#REF!)*#REF!</f>
        <v>#REF!</v>
      </c>
      <c r="H165" s="296">
        <f t="shared" si="38"/>
        <v>0</v>
      </c>
      <c r="I165" s="147" t="e">
        <f t="shared" si="39"/>
        <v>#REF!</v>
      </c>
      <c r="J165" s="97">
        <v>0</v>
      </c>
      <c r="K165" s="295"/>
      <c r="L165" s="20">
        <v>0</v>
      </c>
      <c r="M165" s="20">
        <v>18381.5</v>
      </c>
      <c r="N165" s="20">
        <v>24371</v>
      </c>
      <c r="O165" s="20">
        <f>VLOOKUP(A165,TB!A:F,3)</f>
        <v>1430</v>
      </c>
      <c r="P165" s="160">
        <f t="shared" si="40"/>
        <v>1859</v>
      </c>
      <c r="Q165" s="160">
        <v>26000</v>
      </c>
      <c r="R165" s="233">
        <f>VLOOKUP(A165,TB!A:F,6)</f>
        <v>26000</v>
      </c>
      <c r="S165" s="233">
        <f t="shared" si="41"/>
        <v>0</v>
      </c>
    </row>
    <row r="166" spans="1:19" ht="15.75" customHeight="1" x14ac:dyDescent="0.25">
      <c r="A166" s="66" t="s">
        <v>780</v>
      </c>
      <c r="B166" s="66" t="s">
        <v>72</v>
      </c>
      <c r="C166" s="295"/>
      <c r="D166" s="160">
        <v>33572</v>
      </c>
      <c r="E166" s="160" t="e">
        <f>D166*#REF!</f>
        <v>#REF!</v>
      </c>
      <c r="F166" s="160" t="e">
        <f>D166*#REF!</f>
        <v>#REF!</v>
      </c>
      <c r="G166" s="160" t="e">
        <f>(D166*#REF!)*#REF!</f>
        <v>#REF!</v>
      </c>
      <c r="H166" s="296">
        <f t="shared" si="38"/>
        <v>0</v>
      </c>
      <c r="I166" s="147" t="e">
        <f t="shared" si="39"/>
        <v>#REF!</v>
      </c>
      <c r="J166" s="97">
        <v>0</v>
      </c>
      <c r="K166" s="295"/>
      <c r="L166" s="20">
        <v>39206</v>
      </c>
      <c r="M166" s="20">
        <v>46854.55</v>
      </c>
      <c r="N166" s="20">
        <v>55321</v>
      </c>
      <c r="O166" s="20">
        <f>VLOOKUP(A166,TB!A:F,3)</f>
        <v>33161.879999999997</v>
      </c>
      <c r="P166" s="160">
        <f t="shared" si="40"/>
        <v>43110.443999999996</v>
      </c>
      <c r="Q166" s="160">
        <v>50300</v>
      </c>
      <c r="R166" s="233">
        <f>VLOOKUP(A166,TB!A:F,6)</f>
        <v>50300</v>
      </c>
      <c r="S166" s="233">
        <f t="shared" si="41"/>
        <v>0</v>
      </c>
    </row>
    <row r="167" spans="1:19" ht="15.75" customHeight="1" x14ac:dyDescent="0.25">
      <c r="A167" s="66" t="s">
        <v>781</v>
      </c>
      <c r="B167" s="66" t="s">
        <v>74</v>
      </c>
      <c r="C167" s="295"/>
      <c r="D167" s="160">
        <v>789</v>
      </c>
      <c r="E167" s="160" t="e">
        <f>D167*#REF!</f>
        <v>#REF!</v>
      </c>
      <c r="F167" s="160" t="e">
        <f>D167*#REF!</f>
        <v>#REF!</v>
      </c>
      <c r="G167" s="160" t="e">
        <f>(D167*#REF!)*#REF!</f>
        <v>#REF!</v>
      </c>
      <c r="H167" s="296">
        <f t="shared" si="38"/>
        <v>0</v>
      </c>
      <c r="I167" s="147" t="e">
        <f t="shared" si="39"/>
        <v>#REF!</v>
      </c>
      <c r="J167" s="97">
        <v>0</v>
      </c>
      <c r="K167" s="295"/>
      <c r="L167" s="20">
        <v>279</v>
      </c>
      <c r="M167" s="20">
        <v>439</v>
      </c>
      <c r="N167" s="20">
        <v>2500</v>
      </c>
      <c r="O167" s="20">
        <f>VLOOKUP(A167,TB!A:F,3)</f>
        <v>80</v>
      </c>
      <c r="P167" s="163">
        <f t="shared" ref="P167:P168" si="42">N167</f>
        <v>2500</v>
      </c>
      <c r="Q167" s="160">
        <v>1000</v>
      </c>
      <c r="R167" s="233">
        <f>VLOOKUP(A167,TB!A:F,6)</f>
        <v>1000</v>
      </c>
      <c r="S167" s="233">
        <f t="shared" si="41"/>
        <v>0</v>
      </c>
    </row>
    <row r="168" spans="1:19" ht="15.75" customHeight="1" x14ac:dyDescent="0.25">
      <c r="A168" s="66" t="s">
        <v>782</v>
      </c>
      <c r="B168" s="66" t="s">
        <v>76</v>
      </c>
      <c r="C168" s="295"/>
      <c r="D168" s="160">
        <v>113</v>
      </c>
      <c r="E168" s="160" t="e">
        <f>D168*#REF!</f>
        <v>#REF!</v>
      </c>
      <c r="F168" s="160" t="e">
        <f>D168*#REF!</f>
        <v>#REF!</v>
      </c>
      <c r="G168" s="160" t="e">
        <f>(D168*#REF!)*#REF!</f>
        <v>#REF!</v>
      </c>
      <c r="H168" s="296">
        <f t="shared" si="38"/>
        <v>0</v>
      </c>
      <c r="I168" s="147" t="e">
        <f t="shared" si="39"/>
        <v>#REF!</v>
      </c>
      <c r="J168" s="97">
        <v>0</v>
      </c>
      <c r="K168" s="295"/>
      <c r="L168" s="20">
        <v>0</v>
      </c>
      <c r="M168" s="20">
        <v>1177</v>
      </c>
      <c r="N168" s="20">
        <v>3500</v>
      </c>
      <c r="O168" s="20">
        <f>VLOOKUP(A168,TB!A:F,3)</f>
        <v>143.81</v>
      </c>
      <c r="P168" s="163">
        <f t="shared" si="42"/>
        <v>3500</v>
      </c>
      <c r="Q168" s="160">
        <v>3500</v>
      </c>
      <c r="R168" s="233">
        <f>VLOOKUP(A168,TB!A:F,6)</f>
        <v>3500</v>
      </c>
      <c r="S168" s="233">
        <f t="shared" si="41"/>
        <v>0</v>
      </c>
    </row>
    <row r="169" spans="1:19" ht="15.75" customHeight="1" x14ac:dyDescent="0.25">
      <c r="A169" s="66" t="s">
        <v>783</v>
      </c>
      <c r="B169" s="66" t="s">
        <v>80</v>
      </c>
      <c r="C169" s="295"/>
      <c r="D169" s="160">
        <v>465</v>
      </c>
      <c r="E169" s="160" t="e">
        <f>D169*#REF!</f>
        <v>#REF!</v>
      </c>
      <c r="F169" s="160" t="e">
        <f>D169*#REF!</f>
        <v>#REF!</v>
      </c>
      <c r="G169" s="160" t="e">
        <f>(D169*#REF!)*#REF!</f>
        <v>#REF!</v>
      </c>
      <c r="H169" s="296">
        <f t="shared" si="38"/>
        <v>0</v>
      </c>
      <c r="I169" s="147" t="e">
        <f t="shared" si="39"/>
        <v>#REF!</v>
      </c>
      <c r="J169" s="97">
        <v>0</v>
      </c>
      <c r="K169" s="295"/>
      <c r="L169" s="20">
        <v>0</v>
      </c>
      <c r="M169" s="20">
        <v>566.62</v>
      </c>
      <c r="N169" s="20">
        <v>1000</v>
      </c>
      <c r="O169" s="20">
        <f>VLOOKUP(A169,TB!A:F,3)</f>
        <v>1146.07</v>
      </c>
      <c r="P169" s="163">
        <f>O169/9*12</f>
        <v>1528.0933333333332</v>
      </c>
      <c r="Q169" s="160">
        <v>1500</v>
      </c>
      <c r="R169" s="233">
        <f>VLOOKUP(A169,TB!A:F,6)</f>
        <v>1500</v>
      </c>
      <c r="S169" s="233">
        <f t="shared" si="41"/>
        <v>0</v>
      </c>
    </row>
    <row r="170" spans="1:19" ht="15.75" customHeight="1" x14ac:dyDescent="0.25">
      <c r="A170" s="66" t="s">
        <v>784</v>
      </c>
      <c r="B170" s="66" t="s">
        <v>82</v>
      </c>
      <c r="C170" s="295"/>
      <c r="D170" s="160">
        <v>2844</v>
      </c>
      <c r="E170" s="160" t="e">
        <f>D170*#REF!</f>
        <v>#REF!</v>
      </c>
      <c r="F170" s="160" t="e">
        <f>D170*#REF!</f>
        <v>#REF!</v>
      </c>
      <c r="G170" s="160" t="e">
        <f>(D170*#REF!)*#REF!</f>
        <v>#REF!</v>
      </c>
      <c r="H170" s="296">
        <f t="shared" si="38"/>
        <v>0</v>
      </c>
      <c r="I170" s="147" t="e">
        <f t="shared" si="39"/>
        <v>#REF!</v>
      </c>
      <c r="J170" s="97">
        <v>0</v>
      </c>
      <c r="K170" s="295"/>
      <c r="L170" s="20">
        <v>3392</v>
      </c>
      <c r="M170" s="20">
        <v>1304.6300000000001</v>
      </c>
      <c r="N170" s="20">
        <v>3500</v>
      </c>
      <c r="O170" s="20">
        <f>VLOOKUP(A170,TB!A:F,3)</f>
        <v>1332.57</v>
      </c>
      <c r="P170" s="163">
        <f t="shared" ref="P170:P171" si="43">N170</f>
        <v>3500</v>
      </c>
      <c r="Q170" s="160">
        <v>3500</v>
      </c>
      <c r="R170" s="233">
        <f>VLOOKUP(A170,TB!A:F,6)</f>
        <v>3500</v>
      </c>
      <c r="S170" s="233">
        <f t="shared" si="41"/>
        <v>0</v>
      </c>
    </row>
    <row r="171" spans="1:19" ht="15.75" customHeight="1" x14ac:dyDescent="0.25">
      <c r="A171" s="66" t="s">
        <v>785</v>
      </c>
      <c r="B171" s="66" t="s">
        <v>115</v>
      </c>
      <c r="C171" s="295"/>
      <c r="D171" s="160">
        <v>4763</v>
      </c>
      <c r="E171" s="160" t="e">
        <f>D171*#REF!</f>
        <v>#REF!</v>
      </c>
      <c r="F171" s="160" t="e">
        <f>D171*#REF!</f>
        <v>#REF!</v>
      </c>
      <c r="G171" s="160" t="e">
        <f>(D171*#REF!)*#REF!</f>
        <v>#REF!</v>
      </c>
      <c r="H171" s="296">
        <f t="shared" si="38"/>
        <v>0</v>
      </c>
      <c r="I171" s="147" t="e">
        <f t="shared" si="39"/>
        <v>#REF!</v>
      </c>
      <c r="J171" s="97">
        <v>0</v>
      </c>
      <c r="K171" s="295"/>
      <c r="L171" s="20">
        <v>7121</v>
      </c>
      <c r="M171" s="20">
        <v>1621.04</v>
      </c>
      <c r="N171" s="20">
        <v>29000</v>
      </c>
      <c r="O171" s="20">
        <f>VLOOKUP(A171,TB!A:F,3)</f>
        <v>2144.17</v>
      </c>
      <c r="P171" s="163">
        <f t="shared" si="43"/>
        <v>29000</v>
      </c>
      <c r="Q171" s="160">
        <v>29000</v>
      </c>
      <c r="R171" s="233">
        <f>VLOOKUP(A171,TB!A:F,6)</f>
        <v>29000</v>
      </c>
      <c r="S171" s="233">
        <f t="shared" si="41"/>
        <v>0</v>
      </c>
    </row>
    <row r="172" spans="1:19" ht="15.75" customHeight="1" x14ac:dyDescent="0.25">
      <c r="A172" s="66" t="s">
        <v>786</v>
      </c>
      <c r="B172" s="66" t="s">
        <v>787</v>
      </c>
      <c r="C172" s="295"/>
      <c r="D172" s="160">
        <v>0</v>
      </c>
      <c r="E172" s="160" t="e">
        <f>D172*#REF!</f>
        <v>#REF!</v>
      </c>
      <c r="F172" s="160" t="e">
        <f>D172*#REF!</f>
        <v>#REF!</v>
      </c>
      <c r="G172" s="160" t="e">
        <f>(D172*#REF!)*#REF!</f>
        <v>#REF!</v>
      </c>
      <c r="H172" s="296">
        <f t="shared" si="38"/>
        <v>0</v>
      </c>
      <c r="I172" s="147" t="e">
        <f t="shared" si="39"/>
        <v>#REF!</v>
      </c>
      <c r="J172" s="97">
        <v>0</v>
      </c>
      <c r="K172" s="295"/>
      <c r="L172" s="20">
        <v>0</v>
      </c>
      <c r="M172" s="20">
        <v>0</v>
      </c>
      <c r="N172" s="20">
        <v>0</v>
      </c>
      <c r="O172" s="20">
        <f>VLOOKUP(A172,TB!A:F,3)</f>
        <v>2144.17</v>
      </c>
      <c r="P172" s="160">
        <f>O172/9*12</f>
        <v>2858.8933333333334</v>
      </c>
      <c r="Q172" s="160">
        <v>0</v>
      </c>
      <c r="R172" s="233">
        <v>0</v>
      </c>
      <c r="S172" s="233">
        <f t="shared" si="41"/>
        <v>0</v>
      </c>
    </row>
    <row r="173" spans="1:19" ht="15.75" customHeight="1" x14ac:dyDescent="0.25">
      <c r="A173" s="66" t="s">
        <v>788</v>
      </c>
      <c r="B173" s="66" t="s">
        <v>84</v>
      </c>
      <c r="C173" s="295"/>
      <c r="D173" s="160">
        <v>1105</v>
      </c>
      <c r="E173" s="160" t="e">
        <f>D173*#REF!</f>
        <v>#REF!</v>
      </c>
      <c r="F173" s="160" t="e">
        <f>D173*#REF!</f>
        <v>#REF!</v>
      </c>
      <c r="G173" s="160" t="e">
        <f>(D173*#REF!)*#REF!</f>
        <v>#REF!</v>
      </c>
      <c r="H173" s="296">
        <f t="shared" si="38"/>
        <v>0</v>
      </c>
      <c r="I173" s="147" t="e">
        <f t="shared" si="39"/>
        <v>#REF!</v>
      </c>
      <c r="J173" s="97">
        <v>0</v>
      </c>
      <c r="K173" s="295"/>
      <c r="L173" s="20">
        <v>11244</v>
      </c>
      <c r="M173" s="20">
        <v>9050.2900000000009</v>
      </c>
      <c r="N173" s="20">
        <v>12000</v>
      </c>
      <c r="O173" s="20">
        <f>VLOOKUP(A173,TB!A:F,3)</f>
        <v>9329.19</v>
      </c>
      <c r="P173" s="163">
        <f>N173</f>
        <v>12000</v>
      </c>
      <c r="Q173" s="160">
        <v>13000</v>
      </c>
      <c r="R173" s="233">
        <f>VLOOKUP(A173,TB!A:F,6)</f>
        <v>13000</v>
      </c>
      <c r="S173" s="233">
        <f t="shared" si="41"/>
        <v>0</v>
      </c>
    </row>
    <row r="174" spans="1:19" ht="15.75" customHeight="1" x14ac:dyDescent="0.25">
      <c r="A174" s="66" t="s">
        <v>789</v>
      </c>
      <c r="B174" s="66" t="s">
        <v>210</v>
      </c>
      <c r="C174" s="295"/>
      <c r="D174" s="160">
        <v>9253</v>
      </c>
      <c r="E174" s="160" t="e">
        <f>D174*#REF!</f>
        <v>#REF!</v>
      </c>
      <c r="F174" s="160" t="e">
        <f>D174*#REF!</f>
        <v>#REF!</v>
      </c>
      <c r="G174" s="160" t="e">
        <f>(D174*#REF!)*#REF!</f>
        <v>#REF!</v>
      </c>
      <c r="H174" s="296">
        <f t="shared" si="38"/>
        <v>0</v>
      </c>
      <c r="I174" s="147" t="e">
        <f t="shared" si="39"/>
        <v>#REF!</v>
      </c>
      <c r="J174" s="97">
        <v>0</v>
      </c>
      <c r="K174" s="295"/>
      <c r="L174" s="20">
        <v>10417</v>
      </c>
      <c r="M174" s="20">
        <v>971.55</v>
      </c>
      <c r="N174" s="20">
        <v>0</v>
      </c>
      <c r="O174" s="20">
        <f>VLOOKUP(A174,TB!A:F,3)</f>
        <v>0</v>
      </c>
      <c r="P174" s="160">
        <f>O174/9*12</f>
        <v>0</v>
      </c>
      <c r="Q174" s="160">
        <v>0</v>
      </c>
      <c r="R174" s="233">
        <f>VLOOKUP(A174,TB!A:F,6)</f>
        <v>0</v>
      </c>
      <c r="S174" s="233">
        <f t="shared" si="41"/>
        <v>0</v>
      </c>
    </row>
    <row r="175" spans="1:19" ht="15.75" customHeight="1" x14ac:dyDescent="0.25">
      <c r="A175" s="66" t="s">
        <v>790</v>
      </c>
      <c r="B175" s="66" t="s">
        <v>88</v>
      </c>
      <c r="C175" s="295"/>
      <c r="D175" s="160">
        <v>0</v>
      </c>
      <c r="E175" s="160" t="e">
        <f>D175*#REF!</f>
        <v>#REF!</v>
      </c>
      <c r="F175" s="160" t="e">
        <f>D175*#REF!</f>
        <v>#REF!</v>
      </c>
      <c r="G175" s="160" t="e">
        <f>(D175*#REF!)*#REF!</f>
        <v>#REF!</v>
      </c>
      <c r="H175" s="296">
        <f t="shared" si="38"/>
        <v>0</v>
      </c>
      <c r="I175" s="147" t="e">
        <f t="shared" si="39"/>
        <v>#REF!</v>
      </c>
      <c r="J175" s="97">
        <v>0</v>
      </c>
      <c r="K175" s="295"/>
      <c r="L175" s="20">
        <v>0</v>
      </c>
      <c r="M175" s="20">
        <v>0</v>
      </c>
      <c r="N175" s="20">
        <v>1500</v>
      </c>
      <c r="O175" s="20">
        <f>VLOOKUP(A175,TB!A:F,3)</f>
        <v>0</v>
      </c>
      <c r="P175" s="163">
        <f>N175</f>
        <v>1500</v>
      </c>
      <c r="Q175" s="160">
        <v>2500</v>
      </c>
      <c r="R175" s="233">
        <f>VLOOKUP(A175,TB!A:F,6)</f>
        <v>2500</v>
      </c>
      <c r="S175" s="233">
        <f t="shared" si="41"/>
        <v>0</v>
      </c>
    </row>
    <row r="176" spans="1:19" ht="15.75" customHeight="1" x14ac:dyDescent="0.25">
      <c r="A176" s="66" t="s">
        <v>791</v>
      </c>
      <c r="B176" s="66" t="s">
        <v>90</v>
      </c>
      <c r="C176" s="295"/>
      <c r="D176" s="160">
        <v>1516</v>
      </c>
      <c r="E176" s="160" t="e">
        <f>D176*#REF!</f>
        <v>#REF!</v>
      </c>
      <c r="F176" s="160" t="e">
        <f>D176*#REF!</f>
        <v>#REF!</v>
      </c>
      <c r="G176" s="160" t="e">
        <f>(D176*#REF!)*#REF!</f>
        <v>#REF!</v>
      </c>
      <c r="H176" s="296">
        <f t="shared" si="38"/>
        <v>0</v>
      </c>
      <c r="I176" s="147" t="e">
        <f t="shared" si="39"/>
        <v>#REF!</v>
      </c>
      <c r="J176" s="97">
        <v>0</v>
      </c>
      <c r="K176" s="295"/>
      <c r="L176" s="20">
        <v>264</v>
      </c>
      <c r="M176" s="20">
        <v>1044.95</v>
      </c>
      <c r="N176" s="20">
        <v>2800</v>
      </c>
      <c r="O176" s="20">
        <f>VLOOKUP(A176,TB!A:F,3)</f>
        <v>3116.11</v>
      </c>
      <c r="P176" s="160">
        <f>O176/9*12</f>
        <v>4154.8133333333335</v>
      </c>
      <c r="Q176" s="160">
        <v>2800</v>
      </c>
      <c r="R176" s="233">
        <f>VLOOKUP(A176,TB!A:F,6)</f>
        <v>2800</v>
      </c>
      <c r="S176" s="233">
        <f t="shared" si="41"/>
        <v>0</v>
      </c>
    </row>
    <row r="177" spans="1:19" ht="15.75" customHeight="1" x14ac:dyDescent="0.25">
      <c r="A177" s="66" t="s">
        <v>792</v>
      </c>
      <c r="B177" s="66" t="s">
        <v>252</v>
      </c>
      <c r="C177" s="295"/>
      <c r="D177" s="160">
        <v>951</v>
      </c>
      <c r="E177" s="160" t="e">
        <f>D177*#REF!</f>
        <v>#REF!</v>
      </c>
      <c r="F177" s="160" t="e">
        <f>D177*#REF!</f>
        <v>#REF!</v>
      </c>
      <c r="G177" s="160" t="e">
        <f>(D177*#REF!)*#REF!</f>
        <v>#REF!</v>
      </c>
      <c r="H177" s="296">
        <f t="shared" si="38"/>
        <v>0</v>
      </c>
      <c r="I177" s="147" t="e">
        <f t="shared" si="39"/>
        <v>#REF!</v>
      </c>
      <c r="J177" s="97">
        <v>0</v>
      </c>
      <c r="K177" s="295"/>
      <c r="L177" s="20">
        <v>0</v>
      </c>
      <c r="M177" s="20">
        <v>945.56</v>
      </c>
      <c r="N177" s="20">
        <v>1000</v>
      </c>
      <c r="O177" s="20">
        <f>VLOOKUP(A177,TB!A:F,3)</f>
        <v>69</v>
      </c>
      <c r="P177" s="163">
        <f>N177</f>
        <v>1000</v>
      </c>
      <c r="Q177" s="160">
        <v>1000</v>
      </c>
      <c r="R177" s="233">
        <f>VLOOKUP(A177,TB!A:F,6)</f>
        <v>1000</v>
      </c>
      <c r="S177" s="233">
        <f t="shared" si="41"/>
        <v>0</v>
      </c>
    </row>
    <row r="178" spans="1:19" ht="15.75" customHeight="1" x14ac:dyDescent="0.25">
      <c r="A178" s="66" t="s">
        <v>793</v>
      </c>
      <c r="B178" s="66" t="s">
        <v>466</v>
      </c>
      <c r="C178" s="295"/>
      <c r="D178" s="160">
        <v>0</v>
      </c>
      <c r="E178" s="160" t="e">
        <f>D178*#REF!</f>
        <v>#REF!</v>
      </c>
      <c r="F178" s="160" t="e">
        <f>D178*#REF!</f>
        <v>#REF!</v>
      </c>
      <c r="G178" s="160" t="e">
        <f>(D178*#REF!)*#REF!</f>
        <v>#REF!</v>
      </c>
      <c r="H178" s="296">
        <f t="shared" si="38"/>
        <v>0</v>
      </c>
      <c r="I178" s="147" t="e">
        <f t="shared" si="39"/>
        <v>#REF!</v>
      </c>
      <c r="J178" s="97">
        <v>0</v>
      </c>
      <c r="K178" s="295"/>
      <c r="L178" s="20">
        <v>152800</v>
      </c>
      <c r="M178" s="20">
        <v>0</v>
      </c>
      <c r="N178" s="20">
        <v>0</v>
      </c>
      <c r="O178" s="20">
        <f>VLOOKUP(A178,TB!A:F,3)</f>
        <v>0</v>
      </c>
      <c r="P178" s="160">
        <f>O178/9*12</f>
        <v>0</v>
      </c>
      <c r="Q178" s="160">
        <v>0</v>
      </c>
      <c r="R178" s="233">
        <f>VLOOKUP(A178,TB!A:F,6)</f>
        <v>0</v>
      </c>
      <c r="S178" s="233">
        <f t="shared" si="41"/>
        <v>0</v>
      </c>
    </row>
    <row r="179" spans="1:19" ht="15.75" customHeight="1" x14ac:dyDescent="0.25">
      <c r="A179" s="66" t="s">
        <v>794</v>
      </c>
      <c r="B179" s="66" t="s">
        <v>502</v>
      </c>
      <c r="C179" s="295"/>
      <c r="D179" s="160">
        <v>0</v>
      </c>
      <c r="E179" s="160" t="e">
        <f>D179*#REF!</f>
        <v>#REF!</v>
      </c>
      <c r="F179" s="160" t="e">
        <f>D179*#REF!</f>
        <v>#REF!</v>
      </c>
      <c r="G179" s="160" t="e">
        <f>(D179*#REF!)*#REF!</f>
        <v>#REF!</v>
      </c>
      <c r="H179" s="296">
        <f t="shared" si="38"/>
        <v>0</v>
      </c>
      <c r="I179" s="147" t="e">
        <f t="shared" si="39"/>
        <v>#REF!</v>
      </c>
      <c r="J179" s="97">
        <v>0</v>
      </c>
      <c r="K179" s="295"/>
      <c r="L179" s="20">
        <v>694</v>
      </c>
      <c r="M179" s="20">
        <v>35.39</v>
      </c>
      <c r="N179" s="20">
        <v>1000</v>
      </c>
      <c r="O179" s="20">
        <f>VLOOKUP(A179,TB!A:F,3)</f>
        <v>232.96</v>
      </c>
      <c r="P179" s="163">
        <f t="shared" ref="P179:P181" si="44">N179</f>
        <v>1000</v>
      </c>
      <c r="Q179" s="160">
        <v>1000</v>
      </c>
      <c r="R179" s="233">
        <f>VLOOKUP(A179,TB!A:F,6)</f>
        <v>1000</v>
      </c>
      <c r="S179" s="233">
        <f t="shared" si="41"/>
        <v>0</v>
      </c>
    </row>
    <row r="180" spans="1:19" ht="15.75" customHeight="1" x14ac:dyDescent="0.25">
      <c r="A180" s="66" t="s">
        <v>795</v>
      </c>
      <c r="B180" s="66" t="s">
        <v>92</v>
      </c>
      <c r="C180" s="295"/>
      <c r="D180" s="160">
        <v>0</v>
      </c>
      <c r="E180" s="160" t="e">
        <f>D180*#REF!</f>
        <v>#REF!</v>
      </c>
      <c r="F180" s="160" t="e">
        <f>D180*#REF!</f>
        <v>#REF!</v>
      </c>
      <c r="G180" s="160" t="e">
        <f>(D180*#REF!)*#REF!</f>
        <v>#REF!</v>
      </c>
      <c r="H180" s="296">
        <f t="shared" si="38"/>
        <v>0</v>
      </c>
      <c r="I180" s="147" t="e">
        <f t="shared" si="39"/>
        <v>#REF!</v>
      </c>
      <c r="J180" s="97">
        <v>0</v>
      </c>
      <c r="K180" s="295"/>
      <c r="L180" s="20">
        <v>682</v>
      </c>
      <c r="M180" s="20">
        <v>0</v>
      </c>
      <c r="N180" s="20">
        <v>700</v>
      </c>
      <c r="O180" s="20">
        <f>VLOOKUP(A180,TB!A:F,3)</f>
        <v>0</v>
      </c>
      <c r="P180" s="163">
        <f t="shared" si="44"/>
        <v>700</v>
      </c>
      <c r="Q180" s="160">
        <v>1000</v>
      </c>
      <c r="R180" s="233">
        <f>VLOOKUP(A180,TB!A:F,6)</f>
        <v>1000</v>
      </c>
      <c r="S180" s="233">
        <f t="shared" si="41"/>
        <v>0</v>
      </c>
    </row>
    <row r="181" spans="1:19" ht="15.75" customHeight="1" x14ac:dyDescent="0.25">
      <c r="A181" s="66" t="s">
        <v>796</v>
      </c>
      <c r="B181" s="66" t="s">
        <v>797</v>
      </c>
      <c r="C181" s="295"/>
      <c r="D181" s="160">
        <v>4998</v>
      </c>
      <c r="E181" s="160" t="e">
        <f>D181*#REF!</f>
        <v>#REF!</v>
      </c>
      <c r="F181" s="160" t="e">
        <f>D181*#REF!</f>
        <v>#REF!</v>
      </c>
      <c r="G181" s="160" t="e">
        <f>(D181*#REF!)*#REF!</f>
        <v>#REF!</v>
      </c>
      <c r="H181" s="296">
        <f t="shared" si="38"/>
        <v>0</v>
      </c>
      <c r="I181" s="147" t="e">
        <f t="shared" si="39"/>
        <v>#REF!</v>
      </c>
      <c r="J181" s="97">
        <v>0</v>
      </c>
      <c r="K181" s="295"/>
      <c r="L181" s="20">
        <v>3448</v>
      </c>
      <c r="M181" s="20">
        <v>4249.41</v>
      </c>
      <c r="N181" s="20">
        <v>8000</v>
      </c>
      <c r="O181" s="20">
        <f>VLOOKUP(A181,TB!A:F,3)</f>
        <v>4490.03</v>
      </c>
      <c r="P181" s="163">
        <f t="shared" si="44"/>
        <v>8000</v>
      </c>
      <c r="Q181" s="160">
        <v>8000</v>
      </c>
      <c r="R181" s="233">
        <f>VLOOKUP(A181,TB!A:F,6)</f>
        <v>8000</v>
      </c>
      <c r="S181" s="233">
        <f t="shared" si="41"/>
        <v>0</v>
      </c>
    </row>
    <row r="182" spans="1:19" ht="15.75" customHeight="1" x14ac:dyDescent="0.25">
      <c r="A182" s="74" t="s">
        <v>798</v>
      </c>
      <c r="B182" s="75"/>
      <c r="C182" s="299"/>
      <c r="D182" s="189">
        <f t="shared" ref="D182:G182" si="45">SUM(D163:D181)</f>
        <v>121866</v>
      </c>
      <c r="E182" s="189" t="e">
        <f t="shared" si="45"/>
        <v>#REF!</v>
      </c>
      <c r="F182" s="189" t="e">
        <f t="shared" si="45"/>
        <v>#REF!</v>
      </c>
      <c r="G182" s="189" t="e">
        <f t="shared" si="45"/>
        <v>#REF!</v>
      </c>
      <c r="H182" s="300">
        <f t="shared" si="38"/>
        <v>0</v>
      </c>
      <c r="I182" s="189" t="e">
        <f t="shared" si="39"/>
        <v>#REF!</v>
      </c>
      <c r="J182" s="301">
        <f>SUM(J163:J181)</f>
        <v>0</v>
      </c>
      <c r="K182" s="299"/>
      <c r="L182" s="77">
        <f t="shared" ref="L182:S182" si="46">SUM(L163:L181)</f>
        <v>301998</v>
      </c>
      <c r="M182" s="77">
        <f t="shared" si="46"/>
        <v>160527.69000000003</v>
      </c>
      <c r="N182" s="77">
        <f t="shared" si="46"/>
        <v>228494</v>
      </c>
      <c r="O182" s="77">
        <f t="shared" si="46"/>
        <v>118060.76000000001</v>
      </c>
      <c r="P182" s="189">
        <f t="shared" si="46"/>
        <v>193224.28399999999</v>
      </c>
      <c r="Q182" s="189">
        <f t="shared" si="46"/>
        <v>233300</v>
      </c>
      <c r="R182" s="77">
        <f t="shared" si="46"/>
        <v>233300</v>
      </c>
      <c r="S182" s="77">
        <f t="shared" si="46"/>
        <v>0</v>
      </c>
    </row>
    <row r="183" spans="1:19" ht="15.75" customHeight="1" x14ac:dyDescent="0.2">
      <c r="C183" s="287"/>
      <c r="K183" s="287"/>
      <c r="L183" s="54"/>
      <c r="M183" s="54"/>
      <c r="N183" s="54"/>
      <c r="O183" s="54"/>
      <c r="P183" s="54"/>
      <c r="Q183" s="54"/>
      <c r="R183" s="83"/>
      <c r="S183" s="83"/>
    </row>
    <row r="184" spans="1:19" ht="15.75" customHeight="1" x14ac:dyDescent="0.2">
      <c r="A184" s="69" t="s">
        <v>184</v>
      </c>
      <c r="C184" s="287"/>
      <c r="K184" s="287"/>
      <c r="L184" s="54"/>
      <c r="M184" s="54"/>
      <c r="N184" s="54"/>
      <c r="O184" s="54"/>
      <c r="P184" s="54"/>
      <c r="Q184" s="54"/>
      <c r="R184" s="83"/>
      <c r="S184" s="83"/>
    </row>
    <row r="185" spans="1:19" ht="15.75" customHeight="1" x14ac:dyDescent="0.25">
      <c r="A185" s="51" t="s">
        <v>799</v>
      </c>
      <c r="B185" s="51" t="s">
        <v>800</v>
      </c>
      <c r="C185" s="307"/>
      <c r="D185" s="147">
        <v>-23243</v>
      </c>
      <c r="E185" s="160" t="e">
        <f>D185*#REF!</f>
        <v>#REF!</v>
      </c>
      <c r="F185" s="160" t="e">
        <f>D185*#REF!</f>
        <v>#REF!</v>
      </c>
      <c r="G185" s="160" t="e">
        <f>(D185*#REF!)*#REF!</f>
        <v>#REF!</v>
      </c>
      <c r="H185" s="296">
        <f t="shared" ref="H185:H186" si="47">IFERROR(((Q185-G185)/G185),0)</f>
        <v>0</v>
      </c>
      <c r="I185" s="147" t="e">
        <f t="shared" ref="I185:I186" si="48">Q185-G185</f>
        <v>#REF!</v>
      </c>
      <c r="J185" s="97">
        <v>0</v>
      </c>
      <c r="K185" s="307"/>
      <c r="L185" s="54">
        <v>0</v>
      </c>
      <c r="M185" s="54">
        <v>0</v>
      </c>
      <c r="N185" s="54">
        <v>0</v>
      </c>
      <c r="O185" s="20">
        <v>0</v>
      </c>
      <c r="P185" s="54"/>
      <c r="Q185" s="54">
        <v>0</v>
      </c>
      <c r="R185" s="81">
        <v>0</v>
      </c>
      <c r="S185" s="233">
        <f>Q185-R185</f>
        <v>0</v>
      </c>
    </row>
    <row r="186" spans="1:19" ht="15.75" customHeight="1" x14ac:dyDescent="0.2">
      <c r="A186" s="239" t="s">
        <v>189</v>
      </c>
      <c r="B186" s="75"/>
      <c r="C186" s="299"/>
      <c r="D186" s="189">
        <f t="shared" ref="D186:G186" si="49">SUM(D185)</f>
        <v>-23243</v>
      </c>
      <c r="E186" s="189" t="e">
        <f t="shared" si="49"/>
        <v>#REF!</v>
      </c>
      <c r="F186" s="189" t="e">
        <f t="shared" si="49"/>
        <v>#REF!</v>
      </c>
      <c r="G186" s="189" t="e">
        <f t="shared" si="49"/>
        <v>#REF!</v>
      </c>
      <c r="H186" s="300">
        <f t="shared" si="47"/>
        <v>0</v>
      </c>
      <c r="I186" s="189" t="e">
        <f t="shared" si="48"/>
        <v>#REF!</v>
      </c>
      <c r="J186" s="189">
        <f>SUM(J185)</f>
        <v>0</v>
      </c>
      <c r="K186" s="299"/>
      <c r="L186" s="77">
        <f t="shared" ref="L186:S186" si="50">SUM(L185)</f>
        <v>0</v>
      </c>
      <c r="M186" s="77">
        <f t="shared" si="50"/>
        <v>0</v>
      </c>
      <c r="N186" s="77">
        <f t="shared" si="50"/>
        <v>0</v>
      </c>
      <c r="O186" s="77">
        <f t="shared" si="50"/>
        <v>0</v>
      </c>
      <c r="P186" s="189">
        <f t="shared" si="50"/>
        <v>0</v>
      </c>
      <c r="Q186" s="189">
        <f t="shared" si="50"/>
        <v>0</v>
      </c>
      <c r="R186" s="77">
        <f t="shared" si="50"/>
        <v>0</v>
      </c>
      <c r="S186" s="77">
        <f t="shared" si="50"/>
        <v>0</v>
      </c>
    </row>
    <row r="187" spans="1:19" ht="15.75" customHeight="1" x14ac:dyDescent="0.2">
      <c r="C187" s="287"/>
      <c r="K187" s="287"/>
      <c r="L187" s="54"/>
      <c r="M187" s="54"/>
      <c r="N187" s="54"/>
      <c r="O187" s="54"/>
      <c r="P187" s="54"/>
      <c r="Q187" s="54"/>
      <c r="R187" s="83"/>
      <c r="S187" s="83"/>
    </row>
    <row r="188" spans="1:19" ht="15.75" customHeight="1" x14ac:dyDescent="0.2">
      <c r="A188" s="69" t="s">
        <v>190</v>
      </c>
      <c r="B188" s="51"/>
      <c r="C188" s="309"/>
      <c r="D188" s="193">
        <f t="shared" ref="D188:G188" si="51">D182+D186</f>
        <v>98623</v>
      </c>
      <c r="E188" s="193" t="e">
        <f t="shared" si="51"/>
        <v>#REF!</v>
      </c>
      <c r="F188" s="193" t="e">
        <f t="shared" si="51"/>
        <v>#REF!</v>
      </c>
      <c r="G188" s="193" t="e">
        <f t="shared" si="51"/>
        <v>#REF!</v>
      </c>
      <c r="H188" s="310">
        <f>IFERROR(((Q188-G188)/G188),0)</f>
        <v>0</v>
      </c>
      <c r="I188" s="193" t="e">
        <f>Q188-G188</f>
        <v>#REF!</v>
      </c>
      <c r="J188" s="193">
        <f>J186+J182+J179</f>
        <v>0</v>
      </c>
      <c r="K188" s="309"/>
      <c r="L188" s="245">
        <f t="shared" ref="L188:S188" si="52">L182+L186</f>
        <v>301998</v>
      </c>
      <c r="M188" s="245">
        <f t="shared" si="52"/>
        <v>160527.69000000003</v>
      </c>
      <c r="N188" s="245">
        <f t="shared" si="52"/>
        <v>228494</v>
      </c>
      <c r="O188" s="245">
        <f t="shared" si="52"/>
        <v>118060.76000000001</v>
      </c>
      <c r="P188" s="193">
        <f t="shared" si="52"/>
        <v>193224.28399999999</v>
      </c>
      <c r="Q188" s="193">
        <f t="shared" si="52"/>
        <v>233300</v>
      </c>
      <c r="R188" s="245">
        <f t="shared" si="52"/>
        <v>233300</v>
      </c>
      <c r="S188" s="245">
        <f t="shared" si="52"/>
        <v>0</v>
      </c>
    </row>
    <row r="189" spans="1:19" ht="15.75" customHeight="1" x14ac:dyDescent="0.2">
      <c r="C189" s="287"/>
      <c r="K189" s="287"/>
      <c r="L189" s="62"/>
      <c r="M189" s="62"/>
      <c r="N189" s="62"/>
      <c r="O189" s="62"/>
      <c r="P189" s="62"/>
      <c r="Q189" s="62"/>
      <c r="R189" s="62"/>
    </row>
    <row r="190" spans="1:19" ht="15.75" customHeight="1" x14ac:dyDescent="0.2">
      <c r="C190" s="288"/>
      <c r="K190" s="288"/>
      <c r="L190" s="199" t="e">
        <f t="shared" ref="L190:R190" si="53">#REF!</f>
        <v>#REF!</v>
      </c>
      <c r="M190" s="199" t="e">
        <f t="shared" si="53"/>
        <v>#REF!</v>
      </c>
      <c r="N190" s="199" t="e">
        <f t="shared" si="53"/>
        <v>#REF!</v>
      </c>
      <c r="O190" s="199" t="e">
        <f t="shared" si="53"/>
        <v>#REF!</v>
      </c>
      <c r="P190" s="199" t="e">
        <f t="shared" si="53"/>
        <v>#REF!</v>
      </c>
      <c r="Q190" s="199" t="e">
        <f t="shared" si="53"/>
        <v>#REF!</v>
      </c>
      <c r="R190" s="173" t="e">
        <f t="shared" si="53"/>
        <v>#REF!</v>
      </c>
    </row>
    <row r="191" spans="1:19" ht="15.75" customHeight="1" x14ac:dyDescent="0.2">
      <c r="C191" s="289"/>
      <c r="K191" s="289"/>
      <c r="L191" s="290">
        <f t="shared" ref="L191:R191" si="54">L188</f>
        <v>301998</v>
      </c>
      <c r="M191" s="290">
        <f t="shared" si="54"/>
        <v>160527.69000000003</v>
      </c>
      <c r="N191" s="290">
        <f t="shared" si="54"/>
        <v>228494</v>
      </c>
      <c r="O191" s="290">
        <f t="shared" si="54"/>
        <v>118060.76000000001</v>
      </c>
      <c r="P191" s="290">
        <f t="shared" si="54"/>
        <v>193224.28399999999</v>
      </c>
      <c r="Q191" s="290">
        <f t="shared" si="54"/>
        <v>233300</v>
      </c>
      <c r="R191" s="291">
        <f t="shared" si="54"/>
        <v>233300</v>
      </c>
    </row>
    <row r="192" spans="1:19" ht="15.75" customHeight="1" x14ac:dyDescent="0.2">
      <c r="C192" s="287"/>
      <c r="K192" s="287"/>
    </row>
    <row r="193" spans="3:11" ht="15.75" customHeight="1" x14ac:dyDescent="0.2">
      <c r="C193" s="287"/>
      <c r="K193" s="287"/>
    </row>
    <row r="194" spans="3:11" ht="15.75" customHeight="1" x14ac:dyDescent="0.2">
      <c r="C194" s="287"/>
      <c r="K194" s="287"/>
    </row>
    <row r="195" spans="3:11" ht="15.75" customHeight="1" x14ac:dyDescent="0.2">
      <c r="C195" s="287"/>
      <c r="K195" s="287"/>
    </row>
    <row r="196" spans="3:11" ht="15.75" customHeight="1" x14ac:dyDescent="0.2">
      <c r="C196" s="287"/>
      <c r="K196" s="287"/>
    </row>
    <row r="197" spans="3:11" ht="15.75" customHeight="1" x14ac:dyDescent="0.2">
      <c r="C197" s="287"/>
      <c r="K197" s="287"/>
    </row>
    <row r="198" spans="3:11" ht="15.75" customHeight="1" x14ac:dyDescent="0.2">
      <c r="C198" s="287"/>
      <c r="K198" s="287"/>
    </row>
    <row r="199" spans="3:11" ht="15.75" customHeight="1" x14ac:dyDescent="0.2">
      <c r="C199" s="287"/>
      <c r="K199" s="287"/>
    </row>
    <row r="200" spans="3:11" ht="15.75" customHeight="1" x14ac:dyDescent="0.2">
      <c r="C200" s="287"/>
      <c r="K200" s="287"/>
    </row>
    <row r="201" spans="3:11" ht="15.75" customHeight="1" x14ac:dyDescent="0.2">
      <c r="C201" s="287"/>
      <c r="K201" s="287"/>
    </row>
    <row r="202" spans="3:11" ht="15.75" customHeight="1" x14ac:dyDescent="0.2">
      <c r="C202" s="287"/>
      <c r="K202" s="287"/>
    </row>
    <row r="203" spans="3:11" ht="15.75" customHeight="1" x14ac:dyDescent="0.2">
      <c r="C203" s="287"/>
      <c r="K203" s="287"/>
    </row>
    <row r="204" spans="3:11" ht="15.75" customHeight="1" x14ac:dyDescent="0.2">
      <c r="C204" s="287"/>
      <c r="K204" s="287"/>
    </row>
    <row r="205" spans="3:11" ht="15.75" customHeight="1" x14ac:dyDescent="0.2">
      <c r="C205" s="287"/>
      <c r="K205" s="287"/>
    </row>
    <row r="206" spans="3:11" ht="15.75" customHeight="1" x14ac:dyDescent="0.2">
      <c r="C206" s="287"/>
      <c r="K206" s="287"/>
    </row>
    <row r="207" spans="3:11" ht="15.75" customHeight="1" x14ac:dyDescent="0.2">
      <c r="C207" s="287"/>
      <c r="K207" s="287"/>
    </row>
    <row r="208" spans="3:11" ht="15.75" customHeight="1" x14ac:dyDescent="0.2">
      <c r="C208" s="287"/>
      <c r="K208" s="287"/>
    </row>
    <row r="209" spans="3:11" ht="15.75" customHeight="1" x14ac:dyDescent="0.2">
      <c r="C209" s="287"/>
      <c r="K209" s="287"/>
    </row>
    <row r="210" spans="3:11" ht="15.75" customHeight="1" x14ac:dyDescent="0.2">
      <c r="C210" s="287"/>
      <c r="K210" s="287"/>
    </row>
    <row r="211" spans="3:11" ht="15.75" customHeight="1" x14ac:dyDescent="0.2">
      <c r="C211" s="287"/>
      <c r="K211" s="287"/>
    </row>
    <row r="212" spans="3:11" ht="15.75" customHeight="1" x14ac:dyDescent="0.2">
      <c r="C212" s="287"/>
      <c r="K212" s="287"/>
    </row>
    <row r="213" spans="3:11" ht="15.75" customHeight="1" x14ac:dyDescent="0.2">
      <c r="C213" s="287"/>
      <c r="K213" s="287"/>
    </row>
    <row r="214" spans="3:11" ht="15.75" customHeight="1" x14ac:dyDescent="0.2">
      <c r="C214" s="287"/>
      <c r="K214" s="287"/>
    </row>
    <row r="215" spans="3:11" ht="15.75" customHeight="1" x14ac:dyDescent="0.2">
      <c r="C215" s="287"/>
      <c r="K215" s="287"/>
    </row>
    <row r="216" spans="3:11" ht="15.75" customHeight="1" x14ac:dyDescent="0.2">
      <c r="C216" s="287"/>
      <c r="K216" s="287"/>
    </row>
    <row r="217" spans="3:11" ht="15.75" customHeight="1" x14ac:dyDescent="0.2">
      <c r="C217" s="287"/>
      <c r="K217" s="287"/>
    </row>
    <row r="218" spans="3:11" ht="15.75" customHeight="1" x14ac:dyDescent="0.2">
      <c r="C218" s="287"/>
      <c r="K218" s="287"/>
    </row>
    <row r="219" spans="3:11" ht="15.75" customHeight="1" x14ac:dyDescent="0.2">
      <c r="C219" s="287"/>
      <c r="K219" s="287"/>
    </row>
    <row r="220" spans="3:11" ht="15.75" customHeight="1" x14ac:dyDescent="0.2">
      <c r="C220" s="287"/>
      <c r="K220" s="287"/>
    </row>
    <row r="221" spans="3:11" ht="15.75" customHeight="1" x14ac:dyDescent="0.2">
      <c r="C221" s="287"/>
      <c r="K221" s="287"/>
    </row>
    <row r="222" spans="3:11" ht="15.75" customHeight="1" x14ac:dyDescent="0.2">
      <c r="C222" s="287"/>
      <c r="K222" s="287"/>
    </row>
    <row r="223" spans="3:11" ht="15.75" customHeight="1" x14ac:dyDescent="0.2">
      <c r="C223" s="287"/>
      <c r="K223" s="287"/>
    </row>
    <row r="224" spans="3:11" ht="15.75" customHeight="1" x14ac:dyDescent="0.2">
      <c r="C224" s="287"/>
      <c r="K224" s="287"/>
    </row>
    <row r="225" spans="3:11" ht="15.75" customHeight="1" x14ac:dyDescent="0.2">
      <c r="C225" s="287"/>
      <c r="K225" s="287"/>
    </row>
    <row r="226" spans="3:11" ht="15.75" customHeight="1" x14ac:dyDescent="0.2">
      <c r="C226" s="287"/>
      <c r="K226" s="287"/>
    </row>
    <row r="227" spans="3:11" ht="15.75" customHeight="1" x14ac:dyDescent="0.2">
      <c r="C227" s="287"/>
      <c r="K227" s="287"/>
    </row>
    <row r="228" spans="3:11" ht="15.75" customHeight="1" x14ac:dyDescent="0.2">
      <c r="C228" s="287"/>
      <c r="K228" s="287"/>
    </row>
    <row r="229" spans="3:11" ht="15.75" customHeight="1" x14ac:dyDescent="0.2">
      <c r="C229" s="287"/>
      <c r="K229" s="287"/>
    </row>
    <row r="230" spans="3:11" ht="15.75" customHeight="1" x14ac:dyDescent="0.2">
      <c r="C230" s="287"/>
      <c r="K230" s="287"/>
    </row>
    <row r="231" spans="3:11" ht="15.75" customHeight="1" x14ac:dyDescent="0.2">
      <c r="C231" s="287"/>
      <c r="K231" s="287"/>
    </row>
    <row r="232" spans="3:11" ht="15.75" customHeight="1" x14ac:dyDescent="0.2">
      <c r="C232" s="287"/>
      <c r="K232" s="287"/>
    </row>
    <row r="233" spans="3:11" ht="15.75" customHeight="1" x14ac:dyDescent="0.2">
      <c r="C233" s="287"/>
      <c r="K233" s="287"/>
    </row>
    <row r="234" spans="3:11" ht="15.75" customHeight="1" x14ac:dyDescent="0.2">
      <c r="C234" s="287"/>
      <c r="K234" s="287"/>
    </row>
    <row r="235" spans="3:11" ht="15.75" customHeight="1" x14ac:dyDescent="0.2">
      <c r="C235" s="287"/>
      <c r="K235" s="287"/>
    </row>
    <row r="236" spans="3:11" ht="15.75" customHeight="1" x14ac:dyDescent="0.2">
      <c r="C236" s="287"/>
      <c r="K236" s="287"/>
    </row>
    <row r="237" spans="3:11" ht="15.75" customHeight="1" x14ac:dyDescent="0.2">
      <c r="C237" s="287"/>
      <c r="K237" s="287"/>
    </row>
    <row r="238" spans="3:11" ht="15.75" customHeight="1" x14ac:dyDescent="0.2">
      <c r="C238" s="287"/>
      <c r="K238" s="287"/>
    </row>
    <row r="239" spans="3:11" ht="15.75" customHeight="1" x14ac:dyDescent="0.2">
      <c r="C239" s="287"/>
      <c r="K239" s="287"/>
    </row>
    <row r="240" spans="3:11" ht="15.75" customHeight="1" x14ac:dyDescent="0.2">
      <c r="C240" s="287"/>
      <c r="K240" s="287"/>
    </row>
    <row r="241" spans="3:11" ht="15.75" customHeight="1" x14ac:dyDescent="0.2">
      <c r="C241" s="287"/>
      <c r="K241" s="287"/>
    </row>
    <row r="242" spans="3:11" ht="15.75" customHeight="1" x14ac:dyDescent="0.2">
      <c r="C242" s="287"/>
      <c r="K242" s="287"/>
    </row>
    <row r="243" spans="3:11" ht="15.75" customHeight="1" x14ac:dyDescent="0.2">
      <c r="C243" s="287"/>
      <c r="K243" s="287"/>
    </row>
    <row r="244" spans="3:11" ht="15.75" customHeight="1" x14ac:dyDescent="0.2">
      <c r="C244" s="287"/>
      <c r="K244" s="287"/>
    </row>
    <row r="245" spans="3:11" ht="15.75" customHeight="1" x14ac:dyDescent="0.2">
      <c r="C245" s="287"/>
      <c r="K245" s="287"/>
    </row>
    <row r="246" spans="3:11" ht="15.75" customHeight="1" x14ac:dyDescent="0.2">
      <c r="C246" s="287"/>
      <c r="K246" s="287"/>
    </row>
    <row r="247" spans="3:11" ht="15.75" customHeight="1" x14ac:dyDescent="0.2">
      <c r="C247" s="287"/>
      <c r="K247" s="287"/>
    </row>
    <row r="248" spans="3:11" ht="15.75" customHeight="1" x14ac:dyDescent="0.2">
      <c r="C248" s="287"/>
      <c r="K248" s="287"/>
    </row>
    <row r="249" spans="3:11" ht="15.75" customHeight="1" x14ac:dyDescent="0.2">
      <c r="C249" s="287"/>
      <c r="K249" s="287"/>
    </row>
    <row r="250" spans="3:11" ht="15.75" customHeight="1" x14ac:dyDescent="0.2">
      <c r="C250" s="287"/>
      <c r="K250" s="287"/>
    </row>
    <row r="251" spans="3:11" ht="15.75" customHeight="1" x14ac:dyDescent="0.2">
      <c r="C251" s="287"/>
      <c r="K251" s="287"/>
    </row>
    <row r="252" spans="3:11" ht="15.75" customHeight="1" x14ac:dyDescent="0.2">
      <c r="C252" s="287"/>
      <c r="K252" s="287"/>
    </row>
    <row r="253" spans="3:11" ht="15.75" customHeight="1" x14ac:dyDescent="0.2">
      <c r="C253" s="287"/>
      <c r="K253" s="287"/>
    </row>
    <row r="254" spans="3:11" ht="15.75" customHeight="1" x14ac:dyDescent="0.2">
      <c r="C254" s="287"/>
      <c r="K254" s="287"/>
    </row>
    <row r="255" spans="3:11" ht="15.75" customHeight="1" x14ac:dyDescent="0.2">
      <c r="C255" s="287"/>
      <c r="K255" s="287"/>
    </row>
    <row r="256" spans="3:11" ht="15.75" customHeight="1" x14ac:dyDescent="0.2">
      <c r="C256" s="287"/>
      <c r="K256" s="287"/>
    </row>
    <row r="257" spans="3:11" ht="15.75" customHeight="1" x14ac:dyDescent="0.2">
      <c r="C257" s="287"/>
      <c r="K257" s="287"/>
    </row>
    <row r="258" spans="3:11" ht="15.75" customHeight="1" x14ac:dyDescent="0.2">
      <c r="C258" s="287"/>
      <c r="K258" s="287"/>
    </row>
    <row r="259" spans="3:11" ht="15.75" customHeight="1" x14ac:dyDescent="0.2">
      <c r="C259" s="287"/>
      <c r="K259" s="287"/>
    </row>
    <row r="260" spans="3:11" ht="15.75" customHeight="1" x14ac:dyDescent="0.2">
      <c r="C260" s="287"/>
      <c r="K260" s="287"/>
    </row>
    <row r="261" spans="3:11" ht="15.75" customHeight="1" x14ac:dyDescent="0.2">
      <c r="C261" s="287"/>
      <c r="K261" s="287"/>
    </row>
    <row r="262" spans="3:11" ht="15.75" customHeight="1" x14ac:dyDescent="0.2">
      <c r="C262" s="287"/>
      <c r="K262" s="287"/>
    </row>
    <row r="263" spans="3:11" ht="15.75" customHeight="1" x14ac:dyDescent="0.2">
      <c r="C263" s="287"/>
      <c r="K263" s="287"/>
    </row>
    <row r="264" spans="3:11" ht="15.75" customHeight="1" x14ac:dyDescent="0.2">
      <c r="C264" s="287"/>
      <c r="K264" s="287"/>
    </row>
    <row r="265" spans="3:11" ht="15.75" customHeight="1" x14ac:dyDescent="0.2">
      <c r="C265" s="287"/>
      <c r="K265" s="287"/>
    </row>
    <row r="266" spans="3:11" ht="15.75" customHeight="1" x14ac:dyDescent="0.2">
      <c r="C266" s="287"/>
      <c r="K266" s="287"/>
    </row>
    <row r="267" spans="3:11" ht="15.75" customHeight="1" x14ac:dyDescent="0.2">
      <c r="C267" s="287"/>
      <c r="K267" s="287"/>
    </row>
    <row r="268" spans="3:11" ht="15.75" customHeight="1" x14ac:dyDescent="0.2">
      <c r="C268" s="287"/>
      <c r="K268" s="287"/>
    </row>
    <row r="269" spans="3:11" ht="15.75" customHeight="1" x14ac:dyDescent="0.2">
      <c r="C269" s="287"/>
      <c r="K269" s="287"/>
    </row>
    <row r="270" spans="3:11" ht="15.75" customHeight="1" x14ac:dyDescent="0.2">
      <c r="C270" s="287"/>
      <c r="K270" s="287"/>
    </row>
    <row r="271" spans="3:11" ht="15.75" customHeight="1" x14ac:dyDescent="0.2">
      <c r="C271" s="287"/>
      <c r="K271" s="287"/>
    </row>
    <row r="272" spans="3:11" ht="15.75" customHeight="1" x14ac:dyDescent="0.2">
      <c r="C272" s="287"/>
      <c r="K272" s="287"/>
    </row>
    <row r="273" spans="3:11" ht="15.75" customHeight="1" x14ac:dyDescent="0.2">
      <c r="C273" s="287"/>
      <c r="K273" s="287"/>
    </row>
    <row r="274" spans="3:11" ht="15.75" customHeight="1" x14ac:dyDescent="0.2">
      <c r="C274" s="287"/>
      <c r="K274" s="287"/>
    </row>
    <row r="275" spans="3:11" ht="15.75" customHeight="1" x14ac:dyDescent="0.2">
      <c r="C275" s="287"/>
      <c r="K275" s="287"/>
    </row>
    <row r="276" spans="3:11" ht="15.75" customHeight="1" x14ac:dyDescent="0.2">
      <c r="C276" s="287"/>
      <c r="K276" s="287"/>
    </row>
    <row r="277" spans="3:11" ht="15.75" customHeight="1" x14ac:dyDescent="0.2">
      <c r="C277" s="287"/>
      <c r="K277" s="287"/>
    </row>
    <row r="278" spans="3:11" ht="15.75" customHeight="1" x14ac:dyDescent="0.2">
      <c r="C278" s="287"/>
      <c r="K278" s="287"/>
    </row>
    <row r="279" spans="3:11" ht="15.75" customHeight="1" x14ac:dyDescent="0.2">
      <c r="C279" s="287"/>
      <c r="K279" s="287"/>
    </row>
    <row r="280" spans="3:11" ht="15.75" customHeight="1" x14ac:dyDescent="0.2">
      <c r="C280" s="287"/>
      <c r="K280" s="287"/>
    </row>
    <row r="281" spans="3:11" ht="15.75" customHeight="1" x14ac:dyDescent="0.2">
      <c r="C281" s="287"/>
      <c r="K281" s="287"/>
    </row>
    <row r="282" spans="3:11" ht="15.75" customHeight="1" x14ac:dyDescent="0.2">
      <c r="C282" s="287"/>
      <c r="K282" s="287"/>
    </row>
    <row r="283" spans="3:11" ht="15.75" customHeight="1" x14ac:dyDescent="0.2">
      <c r="C283" s="287"/>
      <c r="K283" s="287"/>
    </row>
    <row r="284" spans="3:11" ht="15.75" customHeight="1" x14ac:dyDescent="0.2">
      <c r="C284" s="287"/>
      <c r="K284" s="287"/>
    </row>
    <row r="285" spans="3:11" ht="15.75" customHeight="1" x14ac:dyDescent="0.2">
      <c r="C285" s="287"/>
      <c r="K285" s="287"/>
    </row>
    <row r="286" spans="3:11" ht="15.75" customHeight="1" x14ac:dyDescent="0.2">
      <c r="C286" s="287"/>
      <c r="K286" s="287"/>
    </row>
    <row r="287" spans="3:11" ht="15.75" customHeight="1" x14ac:dyDescent="0.2">
      <c r="C287" s="287"/>
      <c r="K287" s="287"/>
    </row>
    <row r="288" spans="3:11" ht="15.75" customHeight="1" x14ac:dyDescent="0.2">
      <c r="C288" s="287"/>
      <c r="K288" s="287"/>
    </row>
    <row r="289" spans="3:11" ht="15.75" customHeight="1" x14ac:dyDescent="0.2">
      <c r="C289" s="287"/>
      <c r="K289" s="287"/>
    </row>
    <row r="290" spans="3:11" ht="15.75" customHeight="1" x14ac:dyDescent="0.2">
      <c r="C290" s="287"/>
      <c r="K290" s="287"/>
    </row>
    <row r="291" spans="3:11" ht="15.75" customHeight="1" x14ac:dyDescent="0.2">
      <c r="C291" s="287"/>
      <c r="K291" s="287"/>
    </row>
    <row r="292" spans="3:11" ht="15.75" customHeight="1" x14ac:dyDescent="0.2">
      <c r="C292" s="287"/>
      <c r="K292" s="287"/>
    </row>
    <row r="293" spans="3:11" ht="15.75" customHeight="1" x14ac:dyDescent="0.2">
      <c r="C293" s="287"/>
      <c r="K293" s="287"/>
    </row>
    <row r="294" spans="3:11" ht="15.75" customHeight="1" x14ac:dyDescent="0.2">
      <c r="C294" s="287"/>
      <c r="K294" s="287"/>
    </row>
    <row r="295" spans="3:11" ht="15.75" customHeight="1" x14ac:dyDescent="0.2">
      <c r="C295" s="287"/>
      <c r="K295" s="287"/>
    </row>
    <row r="296" spans="3:11" ht="15.75" customHeight="1" x14ac:dyDescent="0.2">
      <c r="C296" s="287"/>
      <c r="K296" s="287"/>
    </row>
    <row r="297" spans="3:11" ht="15.75" customHeight="1" x14ac:dyDescent="0.2">
      <c r="C297" s="287"/>
      <c r="K297" s="287"/>
    </row>
    <row r="298" spans="3:11" ht="15.75" customHeight="1" x14ac:dyDescent="0.2">
      <c r="C298" s="287"/>
      <c r="K298" s="287"/>
    </row>
    <row r="299" spans="3:11" ht="15.75" customHeight="1" x14ac:dyDescent="0.2">
      <c r="C299" s="287"/>
      <c r="K299" s="287"/>
    </row>
    <row r="300" spans="3:11" ht="15.75" customHeight="1" x14ac:dyDescent="0.2">
      <c r="C300" s="287"/>
      <c r="K300" s="287"/>
    </row>
    <row r="301" spans="3:11" ht="15.75" customHeight="1" x14ac:dyDescent="0.2">
      <c r="C301" s="287"/>
      <c r="K301" s="287"/>
    </row>
    <row r="302" spans="3:11" ht="15.75" customHeight="1" x14ac:dyDescent="0.2">
      <c r="C302" s="287"/>
      <c r="K302" s="287"/>
    </row>
    <row r="303" spans="3:11" ht="15.75" customHeight="1" x14ac:dyDescent="0.2">
      <c r="C303" s="287"/>
      <c r="K303" s="287"/>
    </row>
    <row r="304" spans="3:11" ht="15.75" customHeight="1" x14ac:dyDescent="0.2">
      <c r="C304" s="287"/>
      <c r="K304" s="287"/>
    </row>
    <row r="305" spans="3:11" ht="15.75" customHeight="1" x14ac:dyDescent="0.2">
      <c r="C305" s="287"/>
      <c r="K305" s="287"/>
    </row>
    <row r="306" spans="3:11" ht="15.75" customHeight="1" x14ac:dyDescent="0.2">
      <c r="C306" s="287"/>
      <c r="K306" s="287"/>
    </row>
    <row r="307" spans="3:11" ht="15.75" customHeight="1" x14ac:dyDescent="0.2">
      <c r="C307" s="287"/>
      <c r="K307" s="287"/>
    </row>
    <row r="308" spans="3:11" ht="15.75" customHeight="1" x14ac:dyDescent="0.2">
      <c r="C308" s="287"/>
      <c r="K308" s="287"/>
    </row>
    <row r="309" spans="3:11" ht="15.75" customHeight="1" x14ac:dyDescent="0.2">
      <c r="C309" s="287"/>
      <c r="K309" s="287"/>
    </row>
    <row r="310" spans="3:11" ht="15.75" customHeight="1" x14ac:dyDescent="0.2">
      <c r="C310" s="287"/>
      <c r="K310" s="287"/>
    </row>
    <row r="311" spans="3:11" ht="15.75" customHeight="1" x14ac:dyDescent="0.2">
      <c r="C311" s="287"/>
      <c r="K311" s="287"/>
    </row>
    <row r="312" spans="3:11" ht="15.75" customHeight="1" x14ac:dyDescent="0.2">
      <c r="C312" s="287"/>
      <c r="K312" s="287"/>
    </row>
    <row r="313" spans="3:11" ht="15.75" customHeight="1" x14ac:dyDescent="0.2">
      <c r="C313" s="287"/>
      <c r="K313" s="287"/>
    </row>
    <row r="314" spans="3:11" ht="15.75" customHeight="1" x14ac:dyDescent="0.2">
      <c r="C314" s="287"/>
      <c r="K314" s="287"/>
    </row>
    <row r="315" spans="3:11" ht="15.75" customHeight="1" x14ac:dyDescent="0.2">
      <c r="C315" s="287"/>
      <c r="K315" s="287"/>
    </row>
    <row r="316" spans="3:11" ht="15.75" customHeight="1" x14ac:dyDescent="0.2">
      <c r="C316" s="287"/>
      <c r="K316" s="287"/>
    </row>
    <row r="317" spans="3:11" ht="15.75" customHeight="1" x14ac:dyDescent="0.2">
      <c r="C317" s="287"/>
      <c r="K317" s="287"/>
    </row>
    <row r="318" spans="3:11" ht="15.75" customHeight="1" x14ac:dyDescent="0.2">
      <c r="C318" s="287"/>
      <c r="K318" s="287"/>
    </row>
    <row r="319" spans="3:11" ht="15.75" customHeight="1" x14ac:dyDescent="0.2">
      <c r="C319" s="287"/>
      <c r="K319" s="287"/>
    </row>
    <row r="320" spans="3:11" ht="15.75" customHeight="1" x14ac:dyDescent="0.2">
      <c r="C320" s="287"/>
      <c r="K320" s="287"/>
    </row>
    <row r="321" spans="3:11" ht="15.75" customHeight="1" x14ac:dyDescent="0.2">
      <c r="C321" s="287"/>
      <c r="K321" s="287"/>
    </row>
    <row r="322" spans="3:11" ht="15.75" customHeight="1" x14ac:dyDescent="0.2">
      <c r="C322" s="287"/>
      <c r="K322" s="287"/>
    </row>
    <row r="323" spans="3:11" ht="15.75" customHeight="1" x14ac:dyDescent="0.2">
      <c r="C323" s="287"/>
      <c r="K323" s="287"/>
    </row>
    <row r="324" spans="3:11" ht="15.75" customHeight="1" x14ac:dyDescent="0.2">
      <c r="C324" s="287"/>
      <c r="K324" s="287"/>
    </row>
    <row r="325" spans="3:11" ht="15.75" customHeight="1" x14ac:dyDescent="0.2">
      <c r="C325" s="287"/>
      <c r="K325" s="287"/>
    </row>
    <row r="326" spans="3:11" ht="15.75" customHeight="1" x14ac:dyDescent="0.2">
      <c r="C326" s="287"/>
      <c r="K326" s="287"/>
    </row>
    <row r="327" spans="3:11" ht="15.75" customHeight="1" x14ac:dyDescent="0.2">
      <c r="C327" s="287"/>
      <c r="K327" s="287"/>
    </row>
    <row r="328" spans="3:11" ht="15.75" customHeight="1" x14ac:dyDescent="0.2">
      <c r="C328" s="287"/>
      <c r="K328" s="287"/>
    </row>
    <row r="329" spans="3:11" ht="15.75" customHeight="1" x14ac:dyDescent="0.2">
      <c r="C329" s="287"/>
      <c r="K329" s="287"/>
    </row>
    <row r="330" spans="3:11" ht="15.75" customHeight="1" x14ac:dyDescent="0.2">
      <c r="C330" s="287"/>
      <c r="K330" s="287"/>
    </row>
    <row r="331" spans="3:11" ht="15.75" customHeight="1" x14ac:dyDescent="0.2">
      <c r="C331" s="287"/>
      <c r="K331" s="287"/>
    </row>
    <row r="332" spans="3:11" ht="15.75" customHeight="1" x14ac:dyDescent="0.2">
      <c r="C332" s="287"/>
      <c r="K332" s="287"/>
    </row>
    <row r="333" spans="3:11" ht="15.75" customHeight="1" x14ac:dyDescent="0.2">
      <c r="C333" s="287"/>
      <c r="K333" s="287"/>
    </row>
    <row r="334" spans="3:11" ht="15.75" customHeight="1" x14ac:dyDescent="0.2">
      <c r="C334" s="287"/>
      <c r="K334" s="287"/>
    </row>
    <row r="335" spans="3:11" ht="15.75" customHeight="1" x14ac:dyDescent="0.2">
      <c r="C335" s="287"/>
      <c r="K335" s="287"/>
    </row>
    <row r="336" spans="3:11" ht="15.75" customHeight="1" x14ac:dyDescent="0.2">
      <c r="C336" s="287"/>
      <c r="K336" s="287"/>
    </row>
    <row r="337" spans="3:11" ht="15.75" customHeight="1" x14ac:dyDescent="0.2">
      <c r="C337" s="287"/>
      <c r="K337" s="287"/>
    </row>
    <row r="338" spans="3:11" ht="15.75" customHeight="1" x14ac:dyDescent="0.2">
      <c r="C338" s="287"/>
      <c r="K338" s="287"/>
    </row>
    <row r="339" spans="3:11" ht="15.75" customHeight="1" x14ac:dyDescent="0.2">
      <c r="C339" s="287"/>
      <c r="K339" s="287"/>
    </row>
    <row r="340" spans="3:11" ht="15.75" customHeight="1" x14ac:dyDescent="0.2">
      <c r="C340" s="287"/>
      <c r="K340" s="287"/>
    </row>
    <row r="341" spans="3:11" ht="15.75" customHeight="1" x14ac:dyDescent="0.2">
      <c r="C341" s="287"/>
      <c r="K341" s="287"/>
    </row>
    <row r="342" spans="3:11" ht="15.75" customHeight="1" x14ac:dyDescent="0.2">
      <c r="C342" s="287"/>
      <c r="K342" s="287"/>
    </row>
    <row r="343" spans="3:11" ht="15.75" customHeight="1" x14ac:dyDescent="0.2">
      <c r="C343" s="287"/>
      <c r="K343" s="287"/>
    </row>
    <row r="344" spans="3:11" ht="15.75" customHeight="1" x14ac:dyDescent="0.2">
      <c r="C344" s="287"/>
      <c r="K344" s="287"/>
    </row>
    <row r="345" spans="3:11" ht="15.75" customHeight="1" x14ac:dyDescent="0.2">
      <c r="C345" s="287"/>
      <c r="K345" s="287"/>
    </row>
    <row r="346" spans="3:11" ht="15.75" customHeight="1" x14ac:dyDescent="0.2">
      <c r="C346" s="287"/>
      <c r="K346" s="287"/>
    </row>
    <row r="347" spans="3:11" ht="15.75" customHeight="1" x14ac:dyDescent="0.2">
      <c r="C347" s="287"/>
      <c r="K347" s="287"/>
    </row>
    <row r="348" spans="3:11" ht="15.75" customHeight="1" x14ac:dyDescent="0.2">
      <c r="C348" s="287"/>
      <c r="K348" s="287"/>
    </row>
    <row r="349" spans="3:11" ht="15.75" customHeight="1" x14ac:dyDescent="0.2">
      <c r="C349" s="287"/>
      <c r="K349" s="287"/>
    </row>
    <row r="350" spans="3:11" ht="15.75" customHeight="1" x14ac:dyDescent="0.2">
      <c r="C350" s="287"/>
      <c r="K350" s="287"/>
    </row>
    <row r="351" spans="3:11" ht="15.75" customHeight="1" x14ac:dyDescent="0.2">
      <c r="C351" s="287"/>
      <c r="K351" s="287"/>
    </row>
    <row r="352" spans="3:11" ht="15.75" customHeight="1" x14ac:dyDescent="0.2">
      <c r="C352" s="287"/>
      <c r="K352" s="287"/>
    </row>
    <row r="353" spans="3:11" ht="15.75" customHeight="1" x14ac:dyDescent="0.2">
      <c r="C353" s="287"/>
      <c r="K353" s="287"/>
    </row>
    <row r="354" spans="3:11" ht="15.75" customHeight="1" x14ac:dyDescent="0.2">
      <c r="C354" s="287"/>
      <c r="K354" s="287"/>
    </row>
    <row r="355" spans="3:11" ht="15.75" customHeight="1" x14ac:dyDescent="0.2">
      <c r="C355" s="287"/>
      <c r="K355" s="287"/>
    </row>
    <row r="356" spans="3:11" ht="15.75" customHeight="1" x14ac:dyDescent="0.2">
      <c r="C356" s="287"/>
      <c r="K356" s="287"/>
    </row>
    <row r="357" spans="3:11" ht="15.75" customHeight="1" x14ac:dyDescent="0.2">
      <c r="C357" s="287"/>
      <c r="K357" s="287"/>
    </row>
    <row r="358" spans="3:11" ht="15.75" customHeight="1" x14ac:dyDescent="0.2">
      <c r="C358" s="287"/>
      <c r="K358" s="287"/>
    </row>
    <row r="359" spans="3:11" ht="15.75" customHeight="1" x14ac:dyDescent="0.2">
      <c r="C359" s="287"/>
      <c r="K359" s="287"/>
    </row>
    <row r="360" spans="3:11" ht="15.75" customHeight="1" x14ac:dyDescent="0.2">
      <c r="C360" s="287"/>
      <c r="K360" s="287"/>
    </row>
    <row r="361" spans="3:11" ht="15.75" customHeight="1" x14ac:dyDescent="0.2">
      <c r="C361" s="287"/>
      <c r="K361" s="287"/>
    </row>
    <row r="362" spans="3:11" ht="15.75" customHeight="1" x14ac:dyDescent="0.2">
      <c r="C362" s="287"/>
      <c r="K362" s="287"/>
    </row>
    <row r="363" spans="3:11" ht="15.75" customHeight="1" x14ac:dyDescent="0.2">
      <c r="C363" s="287"/>
      <c r="K363" s="287"/>
    </row>
    <row r="364" spans="3:11" ht="15.75" customHeight="1" x14ac:dyDescent="0.2">
      <c r="C364" s="287"/>
      <c r="K364" s="287"/>
    </row>
    <row r="365" spans="3:11" ht="15.75" customHeight="1" x14ac:dyDescent="0.2">
      <c r="C365" s="287"/>
      <c r="K365" s="287"/>
    </row>
    <row r="366" spans="3:11" ht="15.75" customHeight="1" x14ac:dyDescent="0.2">
      <c r="C366" s="287"/>
      <c r="K366" s="287"/>
    </row>
    <row r="367" spans="3:11" ht="15.75" customHeight="1" x14ac:dyDescent="0.2">
      <c r="C367" s="287"/>
      <c r="K367" s="287"/>
    </row>
    <row r="368" spans="3:11" ht="15.75" customHeight="1" x14ac:dyDescent="0.2">
      <c r="C368" s="287"/>
      <c r="K368" s="287"/>
    </row>
    <row r="369" spans="3:11" ht="15.75" customHeight="1" x14ac:dyDescent="0.2">
      <c r="C369" s="287"/>
      <c r="K369" s="287"/>
    </row>
    <row r="370" spans="3:11" ht="15.75" customHeight="1" x14ac:dyDescent="0.2">
      <c r="C370" s="287"/>
      <c r="K370" s="287"/>
    </row>
    <row r="371" spans="3:11" ht="15.75" customHeight="1" x14ac:dyDescent="0.2">
      <c r="C371" s="287"/>
      <c r="K371" s="287"/>
    </row>
    <row r="372" spans="3:11" ht="15.75" customHeight="1" x14ac:dyDescent="0.2">
      <c r="C372" s="287"/>
      <c r="K372" s="287"/>
    </row>
    <row r="373" spans="3:11" ht="15.75" customHeight="1" x14ac:dyDescent="0.2">
      <c r="C373" s="287"/>
      <c r="K373" s="287"/>
    </row>
    <row r="374" spans="3:11" ht="15.75" customHeight="1" x14ac:dyDescent="0.2">
      <c r="C374" s="287"/>
      <c r="K374" s="287"/>
    </row>
    <row r="375" spans="3:11" ht="15.75" customHeight="1" x14ac:dyDescent="0.2">
      <c r="C375" s="287"/>
      <c r="K375" s="287"/>
    </row>
    <row r="376" spans="3:11" ht="15.75" customHeight="1" x14ac:dyDescent="0.2">
      <c r="C376" s="287"/>
      <c r="K376" s="287"/>
    </row>
    <row r="377" spans="3:11" ht="15.75" customHeight="1" x14ac:dyDescent="0.2">
      <c r="C377" s="287"/>
      <c r="K377" s="287"/>
    </row>
    <row r="378" spans="3:11" ht="15.75" customHeight="1" x14ac:dyDescent="0.2">
      <c r="C378" s="287"/>
      <c r="K378" s="287"/>
    </row>
    <row r="379" spans="3:11" ht="15.75" customHeight="1" x14ac:dyDescent="0.2">
      <c r="C379" s="287"/>
      <c r="K379" s="287"/>
    </row>
    <row r="380" spans="3:11" ht="15.75" customHeight="1" x14ac:dyDescent="0.2">
      <c r="C380" s="287"/>
      <c r="K380" s="287"/>
    </row>
    <row r="381" spans="3:11" ht="15.75" customHeight="1" x14ac:dyDescent="0.2">
      <c r="C381" s="287"/>
      <c r="K381" s="287"/>
    </row>
    <row r="382" spans="3:11" ht="15.75" customHeight="1" x14ac:dyDescent="0.2">
      <c r="C382" s="287"/>
      <c r="K382" s="287"/>
    </row>
    <row r="383" spans="3:11" ht="15.75" customHeight="1" x14ac:dyDescent="0.2">
      <c r="C383" s="287"/>
      <c r="K383" s="287"/>
    </row>
    <row r="384" spans="3:11" ht="15.75" customHeight="1" x14ac:dyDescent="0.2">
      <c r="C384" s="287"/>
      <c r="K384" s="287"/>
    </row>
    <row r="385" spans="3:11" ht="15.75" customHeight="1" x14ac:dyDescent="0.2">
      <c r="C385" s="287"/>
      <c r="K385" s="287"/>
    </row>
    <row r="386" spans="3:11" ht="15.75" customHeight="1" x14ac:dyDescent="0.2">
      <c r="C386" s="287"/>
      <c r="K386" s="287"/>
    </row>
    <row r="387" spans="3:11" ht="15.75" customHeight="1" x14ac:dyDescent="0.2">
      <c r="C387" s="287"/>
      <c r="K387" s="287"/>
    </row>
    <row r="388" spans="3:11" ht="15.75" customHeight="1" x14ac:dyDescent="0.2">
      <c r="C388" s="287"/>
      <c r="K388" s="287"/>
    </row>
    <row r="389" spans="3:11" ht="15.75" customHeight="1" x14ac:dyDescent="0.2">
      <c r="C389" s="287"/>
      <c r="K389" s="287"/>
    </row>
    <row r="390" spans="3:11" ht="15.75" customHeight="1" x14ac:dyDescent="0.2">
      <c r="C390" s="287"/>
      <c r="K390" s="287"/>
    </row>
    <row r="391" spans="3:11" ht="15.75" customHeight="1" x14ac:dyDescent="0.2">
      <c r="C391" s="287"/>
      <c r="K391" s="287"/>
    </row>
    <row r="392" spans="3:11" ht="15.75" customHeight="1" x14ac:dyDescent="0.2"/>
    <row r="393" spans="3:11" ht="15.75" customHeight="1" x14ac:dyDescent="0.2"/>
    <row r="394" spans="3:11" ht="15.75" customHeight="1" x14ac:dyDescent="0.2"/>
    <row r="395" spans="3:11" ht="15.75" customHeight="1" x14ac:dyDescent="0.2"/>
    <row r="396" spans="3:11" ht="15.75" customHeight="1" x14ac:dyDescent="0.2"/>
    <row r="397" spans="3:11" ht="15.75" customHeight="1" x14ac:dyDescent="0.2"/>
    <row r="398" spans="3:11" ht="15.75" customHeight="1" x14ac:dyDescent="0.2"/>
    <row r="399" spans="3:11" ht="15.75" customHeight="1" x14ac:dyDescent="0.2"/>
    <row r="400" spans="3:11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3">
    <mergeCell ref="A1:B1"/>
    <mergeCell ref="A74:B74"/>
    <mergeCell ref="A162:E162"/>
  </mergeCells>
  <conditionalFormatting sqref="H3:H14 H17 H75:H93 H95:H96 H98 H101 H163:H182 H185">
    <cfRule type="cellIs" dxfId="14" priority="1" operator="lessThan">
      <formula>0</formula>
    </cfRule>
  </conditionalFormatting>
  <printOptions horizontalCentered="1" verticalCentered="1"/>
  <pageMargins left="0.25" right="0.25" top="0.75" bottom="0.75" header="0.3" footer="0.3"/>
  <pageSetup scale="87" fitToHeight="0" orientation="landscape" r:id="rId1"/>
  <headerFooter>
    <oddHeader>&amp;A</oddHeader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E1000"/>
  <sheetViews>
    <sheetView topLeftCell="A4" workbookViewId="0"/>
  </sheetViews>
  <sheetFormatPr defaultColWidth="12.5703125" defaultRowHeight="15" customHeight="1" outlineLevelRow="1" outlineLevelCol="1" x14ac:dyDescent="0.2"/>
  <cols>
    <col min="1" max="1" width="16.28515625" customWidth="1"/>
    <col min="2" max="2" width="23.42578125" customWidth="1" collapsed="1"/>
    <col min="3" max="3" width="3.5703125" hidden="1" customWidth="1" outlineLevel="1"/>
    <col min="4" max="4" width="11.5703125" hidden="1" customWidth="1" outlineLevel="1"/>
    <col min="5" max="5" width="12.140625" hidden="1" customWidth="1" outlineLevel="1"/>
    <col min="6" max="6" width="11.5703125" hidden="1" customWidth="1" outlineLevel="1"/>
    <col min="7" max="10" width="11.42578125" hidden="1" customWidth="1" outlineLevel="1"/>
    <col min="11" max="11" width="3.5703125" hidden="1" customWidth="1" outlineLevel="1"/>
    <col min="12" max="17" width="11.42578125" customWidth="1"/>
    <col min="18" max="18" width="12.28515625" customWidth="1"/>
    <col min="19" max="19" width="12" customWidth="1"/>
    <col min="20" max="20" width="11.85546875" customWidth="1"/>
    <col min="21" max="21" width="10.5703125" customWidth="1"/>
    <col min="22" max="22" width="4.5703125" customWidth="1"/>
    <col min="24" max="24" width="11.42578125" customWidth="1"/>
  </cols>
  <sheetData>
    <row r="1" spans="1:31" ht="15.75" hidden="1" customHeight="1" x14ac:dyDescent="0.25">
      <c r="A1" s="5"/>
      <c r="B1" s="5"/>
      <c r="C1" s="15"/>
      <c r="D1" s="16"/>
      <c r="E1" s="17" t="s">
        <v>48</v>
      </c>
      <c r="F1" s="17" t="s">
        <v>49</v>
      </c>
      <c r="G1" s="16"/>
      <c r="H1" s="18"/>
      <c r="I1" s="16"/>
      <c r="J1" s="16"/>
      <c r="K1" s="15"/>
      <c r="L1" s="7"/>
      <c r="M1" s="7"/>
      <c r="N1" s="7"/>
      <c r="O1" s="7"/>
      <c r="P1" s="7"/>
      <c r="Q1" s="7"/>
      <c r="R1" s="7"/>
      <c r="S1" s="7"/>
    </row>
    <row r="2" spans="1:31" ht="15.75" hidden="1" customHeight="1" x14ac:dyDescent="0.2">
      <c r="A2" s="5"/>
      <c r="B2" s="5"/>
      <c r="C2" s="15"/>
      <c r="D2" s="16"/>
      <c r="E2" s="16"/>
      <c r="F2" s="16"/>
      <c r="G2" s="16"/>
      <c r="H2" s="18"/>
      <c r="I2" s="16"/>
      <c r="J2" s="16"/>
      <c r="K2" s="15"/>
      <c r="L2" s="7"/>
      <c r="M2" s="7"/>
      <c r="N2" s="7"/>
      <c r="O2" s="7"/>
      <c r="P2" s="7"/>
      <c r="Q2" s="7"/>
      <c r="R2" s="7"/>
      <c r="S2" s="7"/>
    </row>
    <row r="3" spans="1:31" ht="15.75" hidden="1" customHeight="1" x14ac:dyDescent="0.25">
      <c r="A3" s="5"/>
      <c r="B3" s="5"/>
      <c r="C3" s="15"/>
      <c r="D3" s="16"/>
      <c r="E3" s="16"/>
      <c r="F3" s="16"/>
      <c r="G3" s="16"/>
      <c r="H3" s="18"/>
      <c r="I3" s="16"/>
      <c r="J3" s="16"/>
      <c r="K3" s="15"/>
      <c r="L3" s="7"/>
      <c r="M3" s="7"/>
      <c r="N3" s="7"/>
      <c r="O3" s="7"/>
      <c r="P3" s="7"/>
      <c r="Q3" s="7"/>
      <c r="R3" s="7"/>
      <c r="S3" s="7"/>
      <c r="W3" s="19"/>
      <c r="X3" s="20"/>
    </row>
    <row r="4" spans="1:31" ht="28.5" customHeight="1" x14ac:dyDescent="0.25">
      <c r="A4" s="1" t="s">
        <v>49</v>
      </c>
      <c r="B4" s="5"/>
      <c r="C4" s="15"/>
      <c r="D4" s="16"/>
      <c r="E4" s="16"/>
      <c r="F4" s="16"/>
      <c r="G4" s="16"/>
      <c r="H4" s="18"/>
      <c r="I4" s="16"/>
      <c r="J4" s="16"/>
      <c r="K4" s="15"/>
      <c r="L4" s="7"/>
      <c r="M4" s="7"/>
      <c r="N4" s="7"/>
      <c r="O4" s="7"/>
      <c r="P4" s="7"/>
      <c r="Q4" s="7"/>
      <c r="R4" s="7"/>
      <c r="S4" s="7"/>
      <c r="W4" s="19"/>
      <c r="X4" s="20"/>
    </row>
    <row r="5" spans="1:31" ht="60" x14ac:dyDescent="0.2">
      <c r="A5" s="3" t="s">
        <v>50</v>
      </c>
      <c r="B5" s="3" t="s">
        <v>51</v>
      </c>
      <c r="C5" s="21"/>
      <c r="D5" s="22" t="s">
        <v>52</v>
      </c>
      <c r="E5" s="23" t="s">
        <v>53</v>
      </c>
      <c r="F5" s="23" t="s">
        <v>54</v>
      </c>
      <c r="G5" s="23" t="s">
        <v>55</v>
      </c>
      <c r="H5" s="24" t="s">
        <v>56</v>
      </c>
      <c r="I5" s="25" t="s">
        <v>57</v>
      </c>
      <c r="J5" s="26" t="s">
        <v>58</v>
      </c>
      <c r="K5" s="21"/>
      <c r="L5" s="27" t="s">
        <v>59</v>
      </c>
      <c r="M5" s="27" t="s">
        <v>60</v>
      </c>
      <c r="N5" s="27" t="s">
        <v>61</v>
      </c>
      <c r="O5" s="27" t="s">
        <v>62</v>
      </c>
      <c r="P5" s="27" t="s">
        <v>63</v>
      </c>
      <c r="Q5" s="27" t="s">
        <v>64</v>
      </c>
      <c r="R5" s="27" t="s">
        <v>65</v>
      </c>
      <c r="S5" s="27" t="s">
        <v>66</v>
      </c>
      <c r="T5" s="28"/>
      <c r="U5" s="28"/>
      <c r="V5" s="28"/>
      <c r="W5" s="19"/>
      <c r="X5" s="28"/>
      <c r="Y5" s="29"/>
      <c r="Z5" s="28"/>
      <c r="AA5" s="28"/>
      <c r="AB5" s="28"/>
      <c r="AC5" s="28"/>
      <c r="AD5" s="28"/>
      <c r="AE5" s="28"/>
    </row>
    <row r="6" spans="1:31" ht="15.75" customHeight="1" x14ac:dyDescent="0.25">
      <c r="A6" s="30" t="s">
        <v>67</v>
      </c>
      <c r="B6" s="30" t="s">
        <v>68</v>
      </c>
      <c r="C6" s="31"/>
      <c r="D6" s="32">
        <v>105420</v>
      </c>
      <c r="E6" s="32" t="e">
        <f>D6*#REF!</f>
        <v>#REF!</v>
      </c>
      <c r="F6" s="32" t="e">
        <f>D6*#REF!</f>
        <v>#REF!</v>
      </c>
      <c r="G6" s="32" t="e">
        <f>(D6*#REF!)*#REF!</f>
        <v>#REF!</v>
      </c>
      <c r="H6" s="33">
        <f t="shared" ref="H6:H21" si="0">IFERROR(((Q6-G6)/G6),0)</f>
        <v>0</v>
      </c>
      <c r="I6" s="34" t="e">
        <f t="shared" ref="I6:I20" si="1">Q6-G6</f>
        <v>#REF!</v>
      </c>
      <c r="J6" s="16"/>
      <c r="K6" s="31"/>
      <c r="L6" s="35">
        <v>230574</v>
      </c>
      <c r="M6" s="35">
        <v>253433.73</v>
      </c>
      <c r="N6" s="35">
        <v>248582</v>
      </c>
      <c r="O6" s="35">
        <v>186942.43</v>
      </c>
      <c r="P6" s="32">
        <f t="shared" ref="P6:P8" si="2">O6/20*26</f>
        <v>243025.15899999999</v>
      </c>
      <c r="Q6" s="32">
        <v>402800</v>
      </c>
      <c r="R6" s="35">
        <v>402800</v>
      </c>
      <c r="S6" s="36">
        <f t="shared" ref="S6:S20" si="3">R6-Q6</f>
        <v>0</v>
      </c>
      <c r="U6" s="37">
        <v>-145700</v>
      </c>
    </row>
    <row r="7" spans="1:31" ht="15.75" customHeight="1" x14ac:dyDescent="0.25">
      <c r="A7" s="30" t="s">
        <v>69</v>
      </c>
      <c r="B7" s="30" t="s">
        <v>70</v>
      </c>
      <c r="C7" s="31"/>
      <c r="D7" s="32">
        <v>0</v>
      </c>
      <c r="E7" s="32" t="e">
        <f>D7*#REF!</f>
        <v>#REF!</v>
      </c>
      <c r="F7" s="32" t="e">
        <f>D7*#REF!</f>
        <v>#REF!</v>
      </c>
      <c r="G7" s="32" t="e">
        <f>(D7*#REF!)*#REF!</f>
        <v>#REF!</v>
      </c>
      <c r="H7" s="33">
        <f t="shared" si="0"/>
        <v>0</v>
      </c>
      <c r="I7" s="34" t="e">
        <f t="shared" si="1"/>
        <v>#REF!</v>
      </c>
      <c r="J7" s="34">
        <v>-2500</v>
      </c>
      <c r="K7" s="31"/>
      <c r="L7" s="35">
        <v>2229</v>
      </c>
      <c r="M7" s="35">
        <v>663.36</v>
      </c>
      <c r="N7" s="35">
        <v>0</v>
      </c>
      <c r="O7" s="35">
        <v>2292.5</v>
      </c>
      <c r="P7" s="32">
        <f t="shared" si="2"/>
        <v>2980.25</v>
      </c>
      <c r="Q7" s="32">
        <v>4500</v>
      </c>
      <c r="R7" s="35">
        <v>2000</v>
      </c>
      <c r="S7" s="36">
        <f t="shared" si="3"/>
        <v>-2500</v>
      </c>
    </row>
    <row r="8" spans="1:31" ht="15.75" customHeight="1" x14ac:dyDescent="0.25">
      <c r="A8" s="30" t="s">
        <v>71</v>
      </c>
      <c r="B8" s="30" t="s">
        <v>72</v>
      </c>
      <c r="C8" s="31"/>
      <c r="D8" s="32">
        <v>25689</v>
      </c>
      <c r="E8" s="32" t="e">
        <f>D8*#REF!</f>
        <v>#REF!</v>
      </c>
      <c r="F8" s="32" t="e">
        <f>D8*#REF!</f>
        <v>#REF!</v>
      </c>
      <c r="G8" s="32" t="e">
        <f>(D8*#REF!)*#REF!</f>
        <v>#REF!</v>
      </c>
      <c r="H8" s="33">
        <f t="shared" si="0"/>
        <v>0</v>
      </c>
      <c r="I8" s="34" t="e">
        <f t="shared" si="1"/>
        <v>#REF!</v>
      </c>
      <c r="J8" s="16"/>
      <c r="K8" s="31"/>
      <c r="L8" s="35">
        <v>48855</v>
      </c>
      <c r="M8" s="35">
        <v>56857.36</v>
      </c>
      <c r="N8" s="35">
        <v>54286</v>
      </c>
      <c r="O8" s="35">
        <v>32003.1</v>
      </c>
      <c r="P8" s="32">
        <f t="shared" si="2"/>
        <v>41604.03</v>
      </c>
      <c r="Q8" s="32">
        <v>69800</v>
      </c>
      <c r="R8" s="35">
        <v>69800</v>
      </c>
      <c r="S8" s="36">
        <f t="shared" si="3"/>
        <v>0</v>
      </c>
      <c r="U8" s="37">
        <v>-17800</v>
      </c>
    </row>
    <row r="9" spans="1:31" ht="15.75" customHeight="1" x14ac:dyDescent="0.25">
      <c r="A9" s="30" t="s">
        <v>73</v>
      </c>
      <c r="B9" s="30" t="s">
        <v>74</v>
      </c>
      <c r="C9" s="31"/>
      <c r="D9" s="32">
        <v>0</v>
      </c>
      <c r="E9" s="32" t="e">
        <f>D9*#REF!</f>
        <v>#REF!</v>
      </c>
      <c r="F9" s="32" t="e">
        <f>D9*#REF!</f>
        <v>#REF!</v>
      </c>
      <c r="G9" s="32" t="e">
        <f>(D9*#REF!)*#REF!</f>
        <v>#REF!</v>
      </c>
      <c r="H9" s="33">
        <f t="shared" si="0"/>
        <v>0</v>
      </c>
      <c r="I9" s="34" t="e">
        <f t="shared" si="1"/>
        <v>#REF!</v>
      </c>
      <c r="J9" s="16"/>
      <c r="K9" s="31"/>
      <c r="L9" s="35">
        <v>0</v>
      </c>
      <c r="M9" s="35">
        <v>0</v>
      </c>
      <c r="N9" s="35">
        <v>24200</v>
      </c>
      <c r="O9" s="35">
        <v>23288.57</v>
      </c>
      <c r="P9" s="38">
        <f>N9</f>
        <v>24200</v>
      </c>
      <c r="Q9" s="32">
        <v>24200</v>
      </c>
      <c r="R9" s="35">
        <v>24200</v>
      </c>
      <c r="S9" s="36">
        <f t="shared" si="3"/>
        <v>0</v>
      </c>
    </row>
    <row r="10" spans="1:31" ht="15.75" customHeight="1" x14ac:dyDescent="0.25">
      <c r="A10" s="30" t="s">
        <v>75</v>
      </c>
      <c r="B10" s="30" t="s">
        <v>76</v>
      </c>
      <c r="C10" s="31"/>
      <c r="D10" s="32">
        <v>12005</v>
      </c>
      <c r="E10" s="32" t="e">
        <f>D10*#REF!</f>
        <v>#REF!</v>
      </c>
      <c r="F10" s="32" t="e">
        <f>D10*#REF!</f>
        <v>#REF!</v>
      </c>
      <c r="G10" s="32" t="e">
        <f>(D10*#REF!)*#REF!</f>
        <v>#REF!</v>
      </c>
      <c r="H10" s="33">
        <f t="shared" si="0"/>
        <v>0</v>
      </c>
      <c r="I10" s="34" t="e">
        <f t="shared" si="1"/>
        <v>#REF!</v>
      </c>
      <c r="J10" s="16"/>
      <c r="K10" s="31"/>
      <c r="L10" s="35">
        <v>24553</v>
      </c>
      <c r="M10" s="35">
        <v>15187.98</v>
      </c>
      <c r="N10" s="35">
        <v>19000</v>
      </c>
      <c r="O10" s="35">
        <v>5918.69</v>
      </c>
      <c r="P10" s="32">
        <f t="shared" ref="P10:P11" si="4">O10/9*12</f>
        <v>7891.5866666666661</v>
      </c>
      <c r="Q10" s="32">
        <v>19570</v>
      </c>
      <c r="R10" s="35">
        <v>19570</v>
      </c>
      <c r="S10" s="36">
        <f t="shared" si="3"/>
        <v>0</v>
      </c>
    </row>
    <row r="11" spans="1:31" ht="15.75" customHeight="1" x14ac:dyDescent="0.25">
      <c r="A11" s="30" t="s">
        <v>77</v>
      </c>
      <c r="B11" s="30" t="s">
        <v>78</v>
      </c>
      <c r="C11" s="31"/>
      <c r="D11" s="32">
        <v>0</v>
      </c>
      <c r="E11" s="32" t="e">
        <f>D11*#REF!</f>
        <v>#REF!</v>
      </c>
      <c r="F11" s="32" t="e">
        <f>D11*#REF!</f>
        <v>#REF!</v>
      </c>
      <c r="G11" s="32" t="e">
        <f>(D11*#REF!)*#REF!</f>
        <v>#REF!</v>
      </c>
      <c r="H11" s="33">
        <f t="shared" si="0"/>
        <v>0</v>
      </c>
      <c r="I11" s="34" t="e">
        <f t="shared" si="1"/>
        <v>#REF!</v>
      </c>
      <c r="J11" s="16"/>
      <c r="K11" s="31"/>
      <c r="L11" s="35">
        <v>3989</v>
      </c>
      <c r="M11" s="35">
        <v>0</v>
      </c>
      <c r="N11" s="35">
        <v>0</v>
      </c>
      <c r="O11" s="35">
        <v>0</v>
      </c>
      <c r="P11" s="32">
        <f t="shared" si="4"/>
        <v>0</v>
      </c>
      <c r="Q11" s="32">
        <v>0</v>
      </c>
      <c r="R11" s="35">
        <v>0</v>
      </c>
      <c r="S11" s="36">
        <f t="shared" si="3"/>
        <v>0</v>
      </c>
    </row>
    <row r="12" spans="1:31" ht="15.75" customHeight="1" x14ac:dyDescent="0.25">
      <c r="A12" s="30" t="s">
        <v>79</v>
      </c>
      <c r="B12" s="30" t="s">
        <v>80</v>
      </c>
      <c r="C12" s="31"/>
      <c r="D12" s="32">
        <v>1658</v>
      </c>
      <c r="E12" s="32" t="e">
        <f>D12*#REF!</f>
        <v>#REF!</v>
      </c>
      <c r="F12" s="32" t="e">
        <f>D12*#REF!</f>
        <v>#REF!</v>
      </c>
      <c r="G12" s="32" t="e">
        <f>(D12*#REF!)*#REF!</f>
        <v>#REF!</v>
      </c>
      <c r="H12" s="33">
        <f t="shared" si="0"/>
        <v>0</v>
      </c>
      <c r="I12" s="34" t="e">
        <f t="shared" si="1"/>
        <v>#REF!</v>
      </c>
      <c r="J12" s="16"/>
      <c r="K12" s="31"/>
      <c r="L12" s="35">
        <v>4750</v>
      </c>
      <c r="M12" s="35">
        <v>2012.93</v>
      </c>
      <c r="N12" s="35">
        <v>2500</v>
      </c>
      <c r="O12" s="35">
        <v>1664.48</v>
      </c>
      <c r="P12" s="38">
        <f>N12</f>
        <v>2500</v>
      </c>
      <c r="Q12" s="32">
        <v>2500</v>
      </c>
      <c r="R12" s="35">
        <v>2500</v>
      </c>
      <c r="S12" s="36">
        <f t="shared" si="3"/>
        <v>0</v>
      </c>
    </row>
    <row r="13" spans="1:31" ht="15.75" customHeight="1" x14ac:dyDescent="0.25">
      <c r="A13" s="30" t="s">
        <v>81</v>
      </c>
      <c r="B13" s="30" t="s">
        <v>82</v>
      </c>
      <c r="C13" s="31"/>
      <c r="D13" s="32">
        <v>1891</v>
      </c>
      <c r="E13" s="32" t="e">
        <f>D13*#REF!</f>
        <v>#REF!</v>
      </c>
      <c r="F13" s="32" t="e">
        <f>D13*#REF!</f>
        <v>#REF!</v>
      </c>
      <c r="G13" s="32" t="e">
        <f>(D13*#REF!)*#REF!</f>
        <v>#REF!</v>
      </c>
      <c r="H13" s="39">
        <f t="shared" si="0"/>
        <v>0</v>
      </c>
      <c r="I13" s="34" t="e">
        <f t="shared" si="1"/>
        <v>#REF!</v>
      </c>
      <c r="J13" s="16"/>
      <c r="K13" s="31"/>
      <c r="L13" s="35">
        <v>3194</v>
      </c>
      <c r="M13" s="35">
        <v>415.12</v>
      </c>
      <c r="N13" s="35">
        <v>1400</v>
      </c>
      <c r="O13" s="35">
        <v>85.39</v>
      </c>
      <c r="P13" s="32">
        <f>O13/9*12</f>
        <v>113.85333333333332</v>
      </c>
      <c r="Q13" s="32">
        <v>500</v>
      </c>
      <c r="R13" s="35">
        <v>500</v>
      </c>
      <c r="S13" s="36">
        <f t="shared" si="3"/>
        <v>0</v>
      </c>
    </row>
    <row r="14" spans="1:31" ht="15.75" customHeight="1" x14ac:dyDescent="0.25">
      <c r="A14" s="30" t="s">
        <v>83</v>
      </c>
      <c r="B14" s="30" t="s">
        <v>84</v>
      </c>
      <c r="C14" s="31"/>
      <c r="D14" s="32">
        <v>230</v>
      </c>
      <c r="E14" s="32" t="e">
        <f>D14*#REF!</f>
        <v>#REF!</v>
      </c>
      <c r="F14" s="32" t="e">
        <f>D14*#REF!</f>
        <v>#REF!</v>
      </c>
      <c r="G14" s="32" t="e">
        <f>(D14*#REF!)*#REF!</f>
        <v>#REF!</v>
      </c>
      <c r="H14" s="33">
        <f t="shared" si="0"/>
        <v>0</v>
      </c>
      <c r="I14" s="34" t="e">
        <f t="shared" si="1"/>
        <v>#REF!</v>
      </c>
      <c r="J14" s="34">
        <f>(35*7)*12</f>
        <v>2940</v>
      </c>
      <c r="K14" s="31"/>
      <c r="L14" s="35">
        <v>124</v>
      </c>
      <c r="M14" s="35">
        <v>62.23</v>
      </c>
      <c r="N14" s="35">
        <v>300</v>
      </c>
      <c r="O14" s="35">
        <v>211.33</v>
      </c>
      <c r="P14" s="38">
        <f t="shared" ref="P14:P15" si="5">N14</f>
        <v>300</v>
      </c>
      <c r="Q14" s="32">
        <v>600</v>
      </c>
      <c r="R14" s="35">
        <v>3540</v>
      </c>
      <c r="S14" s="36">
        <f t="shared" si="3"/>
        <v>2940</v>
      </c>
    </row>
    <row r="15" spans="1:31" ht="15.75" customHeight="1" x14ac:dyDescent="0.25">
      <c r="A15" s="30" t="s">
        <v>85</v>
      </c>
      <c r="B15" s="30" t="s">
        <v>86</v>
      </c>
      <c r="C15" s="31"/>
      <c r="D15" s="32">
        <v>0</v>
      </c>
      <c r="E15" s="32" t="e">
        <f>D15*#REF!</f>
        <v>#REF!</v>
      </c>
      <c r="F15" s="32" t="e">
        <f>D15*#REF!</f>
        <v>#REF!</v>
      </c>
      <c r="G15" s="32" t="e">
        <f>(D15*#REF!)*#REF!</f>
        <v>#REF!</v>
      </c>
      <c r="H15" s="33">
        <f t="shared" si="0"/>
        <v>0</v>
      </c>
      <c r="I15" s="34" t="e">
        <f t="shared" si="1"/>
        <v>#REF!</v>
      </c>
      <c r="J15" s="16"/>
      <c r="K15" s="31"/>
      <c r="L15" s="35">
        <v>134143</v>
      </c>
      <c r="M15" s="35">
        <v>54814.66</v>
      </c>
      <c r="N15" s="35">
        <v>61500</v>
      </c>
      <c r="O15" s="35">
        <v>54355</v>
      </c>
      <c r="P15" s="38">
        <f t="shared" si="5"/>
        <v>61500</v>
      </c>
      <c r="Q15" s="32">
        <v>67800</v>
      </c>
      <c r="R15" s="35">
        <v>67800</v>
      </c>
      <c r="S15" s="36">
        <f t="shared" si="3"/>
        <v>0</v>
      </c>
    </row>
    <row r="16" spans="1:31" ht="15.75" customHeight="1" x14ac:dyDescent="0.25">
      <c r="A16" s="30" t="s">
        <v>87</v>
      </c>
      <c r="B16" s="30" t="s">
        <v>88</v>
      </c>
      <c r="C16" s="31"/>
      <c r="D16" s="32">
        <v>0</v>
      </c>
      <c r="E16" s="32" t="e">
        <f>D16*#REF!</f>
        <v>#REF!</v>
      </c>
      <c r="F16" s="32" t="e">
        <f>D16*#REF!</f>
        <v>#REF!</v>
      </c>
      <c r="G16" s="32" t="e">
        <f>(D16*#REF!)*#REF!</f>
        <v>#REF!</v>
      </c>
      <c r="H16" s="33">
        <f t="shared" si="0"/>
        <v>0</v>
      </c>
      <c r="I16" s="34" t="e">
        <f t="shared" si="1"/>
        <v>#REF!</v>
      </c>
      <c r="J16" s="16"/>
      <c r="K16" s="31"/>
      <c r="L16" s="35">
        <v>0</v>
      </c>
      <c r="M16" s="35">
        <v>0</v>
      </c>
      <c r="N16" s="35">
        <v>0</v>
      </c>
      <c r="O16" s="35">
        <v>0</v>
      </c>
      <c r="P16" s="32">
        <f>O16/9*12</f>
        <v>0</v>
      </c>
      <c r="Q16" s="32">
        <v>1000</v>
      </c>
      <c r="R16" s="35">
        <v>1000</v>
      </c>
      <c r="S16" s="36">
        <f t="shared" si="3"/>
        <v>0</v>
      </c>
    </row>
    <row r="17" spans="1:31" ht="15.75" customHeight="1" x14ac:dyDescent="0.25">
      <c r="A17" s="30" t="s">
        <v>89</v>
      </c>
      <c r="B17" s="30" t="s">
        <v>90</v>
      </c>
      <c r="C17" s="31"/>
      <c r="D17" s="32">
        <v>0</v>
      </c>
      <c r="E17" s="32" t="e">
        <f>D17*#REF!</f>
        <v>#REF!</v>
      </c>
      <c r="F17" s="32" t="e">
        <f>D17*#REF!</f>
        <v>#REF!</v>
      </c>
      <c r="G17" s="32" t="e">
        <f>(D17*#REF!)*#REF!</f>
        <v>#REF!</v>
      </c>
      <c r="H17" s="33">
        <f t="shared" si="0"/>
        <v>0</v>
      </c>
      <c r="I17" s="34" t="e">
        <f t="shared" si="1"/>
        <v>#REF!</v>
      </c>
      <c r="J17" s="16"/>
      <c r="K17" s="31"/>
      <c r="L17" s="35">
        <v>0</v>
      </c>
      <c r="M17" s="35">
        <v>0</v>
      </c>
      <c r="N17" s="35">
        <v>6000</v>
      </c>
      <c r="O17" s="35">
        <v>5730.57</v>
      </c>
      <c r="P17" s="38">
        <f>N17</f>
        <v>6000</v>
      </c>
      <c r="Q17" s="32">
        <v>7600</v>
      </c>
      <c r="R17" s="35">
        <v>7600</v>
      </c>
      <c r="S17" s="36">
        <f t="shared" si="3"/>
        <v>0</v>
      </c>
    </row>
    <row r="18" spans="1:31" ht="15.75" customHeight="1" x14ac:dyDescent="0.25">
      <c r="A18" s="30" t="s">
        <v>91</v>
      </c>
      <c r="B18" s="30" t="s">
        <v>92</v>
      </c>
      <c r="C18" s="31"/>
      <c r="D18" s="32">
        <v>0</v>
      </c>
      <c r="E18" s="32" t="e">
        <f>D18*#REF!</f>
        <v>#REF!</v>
      </c>
      <c r="F18" s="32" t="e">
        <f>D18*#REF!</f>
        <v>#REF!</v>
      </c>
      <c r="G18" s="32" t="e">
        <f>(D18*#REF!)*#REF!</f>
        <v>#REF!</v>
      </c>
      <c r="H18" s="33">
        <f t="shared" si="0"/>
        <v>0</v>
      </c>
      <c r="I18" s="34" t="e">
        <f t="shared" si="1"/>
        <v>#REF!</v>
      </c>
      <c r="J18" s="16"/>
      <c r="K18" s="31"/>
      <c r="L18" s="35">
        <v>2142</v>
      </c>
      <c r="M18" s="35">
        <v>1905.04</v>
      </c>
      <c r="N18" s="35">
        <v>2400</v>
      </c>
      <c r="O18" s="35">
        <v>1923.2</v>
      </c>
      <c r="P18" s="32">
        <f>O18</f>
        <v>1923.2</v>
      </c>
      <c r="Q18" s="32">
        <v>2400</v>
      </c>
      <c r="R18" s="35">
        <v>2400</v>
      </c>
      <c r="S18" s="36">
        <f t="shared" si="3"/>
        <v>0</v>
      </c>
    </row>
    <row r="19" spans="1:31" ht="15.75" customHeight="1" x14ac:dyDescent="0.25">
      <c r="A19" s="30" t="s">
        <v>93</v>
      </c>
      <c r="B19" s="30" t="s">
        <v>94</v>
      </c>
      <c r="C19" s="31"/>
      <c r="D19" s="32">
        <v>0</v>
      </c>
      <c r="E19" s="32" t="e">
        <f>D19*#REF!</f>
        <v>#REF!</v>
      </c>
      <c r="F19" s="32" t="e">
        <f>D19*#REF!</f>
        <v>#REF!</v>
      </c>
      <c r="G19" s="32" t="e">
        <f>(D19*#REF!)*#REF!</f>
        <v>#REF!</v>
      </c>
      <c r="H19" s="33">
        <f t="shared" si="0"/>
        <v>0</v>
      </c>
      <c r="I19" s="34" t="e">
        <f t="shared" si="1"/>
        <v>#REF!</v>
      </c>
      <c r="J19" s="16"/>
      <c r="K19" s="31"/>
      <c r="L19" s="35">
        <v>4322</v>
      </c>
      <c r="M19" s="35">
        <v>446.36</v>
      </c>
      <c r="N19" s="35">
        <v>2500</v>
      </c>
      <c r="O19" s="35">
        <v>167.88</v>
      </c>
      <c r="P19" s="32">
        <f>O19/9*12</f>
        <v>223.83999999999997</v>
      </c>
      <c r="Q19" s="32">
        <v>2500</v>
      </c>
      <c r="R19" s="35">
        <v>2500</v>
      </c>
      <c r="S19" s="36">
        <f t="shared" si="3"/>
        <v>0</v>
      </c>
    </row>
    <row r="20" spans="1:31" ht="15.75" customHeight="1" x14ac:dyDescent="0.25">
      <c r="A20" s="30" t="s">
        <v>95</v>
      </c>
      <c r="B20" s="30" t="s">
        <v>96</v>
      </c>
      <c r="C20" s="31"/>
      <c r="D20" s="32">
        <v>-14859</v>
      </c>
      <c r="E20" s="32" t="e">
        <f>D20*#REF!</f>
        <v>#REF!</v>
      </c>
      <c r="F20" s="32" t="e">
        <f>D20*#REF!</f>
        <v>#REF!</v>
      </c>
      <c r="G20" s="32" t="e">
        <f>(D20*#REF!)*#REF!</f>
        <v>#REF!</v>
      </c>
      <c r="H20" s="33">
        <f t="shared" si="0"/>
        <v>0</v>
      </c>
      <c r="I20" s="34" t="e">
        <f t="shared" si="1"/>
        <v>#REF!</v>
      </c>
      <c r="J20" s="34">
        <v>-44</v>
      </c>
      <c r="K20" s="31"/>
      <c r="L20" s="35">
        <v>-45888</v>
      </c>
      <c r="M20" s="35">
        <v>-38619.43</v>
      </c>
      <c r="N20" s="35">
        <v>-42300</v>
      </c>
      <c r="O20" s="35">
        <v>-30220.17</v>
      </c>
      <c r="P20" s="32">
        <f>SUM(P6:P19)*-0.1</f>
        <v>-39226.191900000005</v>
      </c>
      <c r="Q20" s="32">
        <v>-60577</v>
      </c>
      <c r="R20" s="35">
        <v>-60621</v>
      </c>
      <c r="S20" s="36">
        <f t="shared" si="3"/>
        <v>-44</v>
      </c>
    </row>
    <row r="21" spans="1:31" ht="15.75" customHeight="1" x14ac:dyDescent="0.25">
      <c r="A21" s="557" t="s">
        <v>97</v>
      </c>
      <c r="B21" s="558"/>
      <c r="C21" s="40"/>
      <c r="D21" s="41">
        <f t="shared" ref="D21:G21" si="6">SUM(D6:D20)</f>
        <v>132034</v>
      </c>
      <c r="E21" s="41" t="e">
        <f t="shared" si="6"/>
        <v>#REF!</v>
      </c>
      <c r="F21" s="41" t="e">
        <f t="shared" si="6"/>
        <v>#REF!</v>
      </c>
      <c r="G21" s="41" t="e">
        <f t="shared" si="6"/>
        <v>#REF!</v>
      </c>
      <c r="H21" s="42">
        <f t="shared" si="0"/>
        <v>0</v>
      </c>
      <c r="I21" s="41" t="e">
        <f t="shared" ref="I21:J21" si="7">SUM(I6:I20)</f>
        <v>#REF!</v>
      </c>
      <c r="J21" s="41">
        <f t="shared" si="7"/>
        <v>396</v>
      </c>
      <c r="K21" s="40"/>
      <c r="L21" s="43">
        <f t="shared" ref="L21:S21" si="8">SUM(L6:L20)</f>
        <v>412987</v>
      </c>
      <c r="M21" s="43">
        <f t="shared" si="8"/>
        <v>347179.33999999997</v>
      </c>
      <c r="N21" s="43">
        <f t="shared" si="8"/>
        <v>380368</v>
      </c>
      <c r="O21" s="43">
        <f t="shared" si="8"/>
        <v>284362.97000000003</v>
      </c>
      <c r="P21" s="41">
        <f t="shared" si="8"/>
        <v>353035.72710000002</v>
      </c>
      <c r="Q21" s="41">
        <f t="shared" si="8"/>
        <v>545193</v>
      </c>
      <c r="R21" s="43">
        <f t="shared" si="8"/>
        <v>545589</v>
      </c>
      <c r="S21" s="43">
        <f t="shared" si="8"/>
        <v>396</v>
      </c>
      <c r="V21" s="44"/>
      <c r="W21" s="44"/>
      <c r="X21" s="44"/>
      <c r="Y21" s="44"/>
      <c r="Z21" s="44"/>
      <c r="AA21" s="44"/>
      <c r="AB21" s="44"/>
      <c r="AC21" s="44"/>
      <c r="AD21" s="44"/>
      <c r="AE21" s="44"/>
    </row>
    <row r="22" spans="1:31" ht="15.75" customHeight="1" x14ac:dyDescent="0.2">
      <c r="A22" s="6"/>
      <c r="B22" s="45"/>
      <c r="C22" s="46"/>
      <c r="D22" s="16"/>
      <c r="E22" s="16"/>
      <c r="F22" s="16"/>
      <c r="G22" s="16"/>
      <c r="H22" s="33"/>
      <c r="I22" s="16"/>
      <c r="J22" s="16"/>
      <c r="K22" s="46"/>
      <c r="L22" s="7"/>
      <c r="M22" s="7"/>
      <c r="N22" s="7"/>
      <c r="O22" s="7"/>
      <c r="P22" s="7"/>
      <c r="Q22" s="7"/>
      <c r="R22" s="7"/>
      <c r="S22" s="7"/>
    </row>
    <row r="23" spans="1:31" ht="15.75" customHeight="1" x14ac:dyDescent="0.2">
      <c r="A23" s="6"/>
      <c r="B23" s="45"/>
      <c r="C23" s="46"/>
      <c r="D23" s="16"/>
      <c r="E23" s="16"/>
      <c r="F23" s="16"/>
      <c r="G23" s="16"/>
      <c r="H23" s="33"/>
      <c r="I23" s="16"/>
      <c r="J23" s="16"/>
      <c r="K23" s="46"/>
      <c r="L23" s="7"/>
      <c r="M23" s="7"/>
      <c r="N23" s="7"/>
      <c r="O23" s="7"/>
      <c r="P23" s="7"/>
      <c r="Q23" s="7"/>
      <c r="R23" s="7"/>
      <c r="S23" s="7"/>
    </row>
    <row r="24" spans="1:31" ht="15.75" customHeight="1" x14ac:dyDescent="0.25">
      <c r="A24" s="30" t="s">
        <v>98</v>
      </c>
      <c r="B24" s="30" t="s">
        <v>99</v>
      </c>
      <c r="C24" s="31"/>
      <c r="D24" s="32">
        <v>1698</v>
      </c>
      <c r="E24" s="32" t="e">
        <f>D24*#REF!</f>
        <v>#REF!</v>
      </c>
      <c r="F24" s="32" t="e">
        <f>D24*#REF!</f>
        <v>#REF!</v>
      </c>
      <c r="G24" s="32" t="e">
        <f>(D24*#REF!)*#REF!</f>
        <v>#REF!</v>
      </c>
      <c r="H24" s="39">
        <f t="shared" ref="H24:H25" si="9">IFERROR(((Q24-G24)/G24),0)</f>
        <v>0</v>
      </c>
      <c r="I24" s="34" t="e">
        <f>Q24-G24</f>
        <v>#REF!</v>
      </c>
      <c r="J24" s="16"/>
      <c r="K24" s="31"/>
      <c r="L24" s="35">
        <v>0</v>
      </c>
      <c r="M24" s="35">
        <v>0</v>
      </c>
      <c r="N24" s="35">
        <v>0</v>
      </c>
      <c r="O24" s="35">
        <v>0</v>
      </c>
      <c r="P24" s="32">
        <f>O24/9*12</f>
        <v>0</v>
      </c>
      <c r="Q24" s="32">
        <v>0</v>
      </c>
      <c r="R24" s="35">
        <v>0</v>
      </c>
      <c r="S24" s="36">
        <f>R24-Q24</f>
        <v>0</v>
      </c>
    </row>
    <row r="25" spans="1:31" ht="15.75" customHeight="1" x14ac:dyDescent="0.25">
      <c r="A25" s="557" t="s">
        <v>100</v>
      </c>
      <c r="B25" s="558"/>
      <c r="C25" s="40"/>
      <c r="D25" s="41">
        <f t="shared" ref="D25:G25" si="10">SUM(D24)</f>
        <v>1698</v>
      </c>
      <c r="E25" s="41" t="e">
        <f t="shared" si="10"/>
        <v>#REF!</v>
      </c>
      <c r="F25" s="41" t="e">
        <f t="shared" si="10"/>
        <v>#REF!</v>
      </c>
      <c r="G25" s="41" t="e">
        <f t="shared" si="10"/>
        <v>#REF!</v>
      </c>
      <c r="H25" s="42">
        <f t="shared" si="9"/>
        <v>0</v>
      </c>
      <c r="I25" s="41" t="e">
        <f t="shared" ref="I25:J25" si="11">SUM(I24)</f>
        <v>#REF!</v>
      </c>
      <c r="J25" s="41">
        <f t="shared" si="11"/>
        <v>0</v>
      </c>
      <c r="K25" s="40"/>
      <c r="L25" s="43">
        <f t="shared" ref="L25:S25" si="12">SUM(L24)</f>
        <v>0</v>
      </c>
      <c r="M25" s="43">
        <f t="shared" si="12"/>
        <v>0</v>
      </c>
      <c r="N25" s="43">
        <f t="shared" si="12"/>
        <v>0</v>
      </c>
      <c r="O25" s="43">
        <f t="shared" si="12"/>
        <v>0</v>
      </c>
      <c r="P25" s="41">
        <f t="shared" si="12"/>
        <v>0</v>
      </c>
      <c r="Q25" s="41">
        <f t="shared" si="12"/>
        <v>0</v>
      </c>
      <c r="R25" s="43">
        <f t="shared" si="12"/>
        <v>0</v>
      </c>
      <c r="S25" s="43">
        <f t="shared" si="12"/>
        <v>0</v>
      </c>
      <c r="V25" s="44"/>
      <c r="W25" s="44"/>
      <c r="X25" s="44"/>
      <c r="Y25" s="44"/>
      <c r="Z25" s="44"/>
      <c r="AA25" s="44"/>
      <c r="AB25" s="44"/>
      <c r="AC25" s="44"/>
      <c r="AD25" s="44"/>
      <c r="AE25" s="44"/>
    </row>
    <row r="26" spans="1:31" ht="15.75" customHeight="1" x14ac:dyDescent="0.2">
      <c r="A26" s="6"/>
      <c r="B26" s="45"/>
      <c r="C26" s="46"/>
      <c r="D26" s="16"/>
      <c r="E26" s="16"/>
      <c r="F26" s="16"/>
      <c r="G26" s="16"/>
      <c r="H26" s="33"/>
      <c r="I26" s="16"/>
      <c r="J26" s="16"/>
      <c r="K26" s="46"/>
      <c r="L26" s="7"/>
      <c r="M26" s="7"/>
      <c r="N26" s="7"/>
      <c r="O26" s="7"/>
      <c r="P26" s="7"/>
      <c r="Q26" s="7"/>
      <c r="R26" s="7"/>
      <c r="S26" s="7"/>
    </row>
    <row r="27" spans="1:31" ht="15.75" customHeight="1" x14ac:dyDescent="0.25">
      <c r="A27" s="47" t="s">
        <v>101</v>
      </c>
      <c r="B27" s="48"/>
      <c r="C27" s="49"/>
      <c r="D27" s="50">
        <f t="shared" ref="D27:G27" si="13">SUM(D25)+D21</f>
        <v>133732</v>
      </c>
      <c r="E27" s="50" t="e">
        <f t="shared" si="13"/>
        <v>#REF!</v>
      </c>
      <c r="F27" s="50" t="e">
        <f t="shared" si="13"/>
        <v>#REF!</v>
      </c>
      <c r="G27" s="50" t="e">
        <f t="shared" si="13"/>
        <v>#REF!</v>
      </c>
      <c r="H27" s="42">
        <f>IFERROR(((Q27-G27)/G27),0)</f>
        <v>0</v>
      </c>
      <c r="I27" s="50" t="e">
        <f>Q27-G27</f>
        <v>#REF!</v>
      </c>
      <c r="J27" s="50">
        <f>SUM(J25)+J19</f>
        <v>0</v>
      </c>
      <c r="K27" s="49"/>
      <c r="L27" s="12">
        <f t="shared" ref="L27:S27" si="14">SUM(L25)+L21</f>
        <v>412987</v>
      </c>
      <c r="M27" s="12">
        <f t="shared" si="14"/>
        <v>347179.33999999997</v>
      </c>
      <c r="N27" s="12">
        <f t="shared" si="14"/>
        <v>380368</v>
      </c>
      <c r="O27" s="12">
        <f t="shared" si="14"/>
        <v>284362.97000000003</v>
      </c>
      <c r="P27" s="50">
        <f t="shared" si="14"/>
        <v>353035.72710000002</v>
      </c>
      <c r="Q27" s="50">
        <f t="shared" si="14"/>
        <v>545193</v>
      </c>
      <c r="R27" s="12">
        <f t="shared" si="14"/>
        <v>545589</v>
      </c>
      <c r="S27" s="12">
        <f t="shared" si="14"/>
        <v>396</v>
      </c>
    </row>
    <row r="28" spans="1:31" ht="15.75" customHeight="1" x14ac:dyDescent="0.2">
      <c r="A28" s="51"/>
      <c r="B28" s="52"/>
      <c r="C28" s="53"/>
      <c r="D28" s="54"/>
      <c r="E28" s="54"/>
      <c r="F28" s="54"/>
      <c r="G28" s="54"/>
      <c r="H28" s="52"/>
      <c r="I28" s="54"/>
      <c r="J28" s="54"/>
      <c r="K28" s="53"/>
      <c r="L28" s="54"/>
      <c r="M28" s="54"/>
      <c r="N28" s="54"/>
      <c r="O28" s="54"/>
      <c r="P28" s="54"/>
      <c r="Q28" s="54"/>
      <c r="R28" s="54"/>
      <c r="S28" s="55"/>
    </row>
    <row r="29" spans="1:31" ht="15.75" customHeight="1" x14ac:dyDescent="0.2">
      <c r="A29" s="56"/>
      <c r="B29" s="57"/>
      <c r="C29" s="58"/>
      <c r="D29" s="59"/>
      <c r="E29" s="59"/>
      <c r="F29" s="54"/>
      <c r="G29" s="54"/>
      <c r="I29" s="54"/>
      <c r="J29" s="54"/>
      <c r="K29" s="60"/>
      <c r="L29" s="61" t="s">
        <v>102</v>
      </c>
      <c r="M29" s="61" t="s">
        <v>59</v>
      </c>
      <c r="N29" s="61" t="s">
        <v>60</v>
      </c>
      <c r="O29" s="61" t="s">
        <v>61</v>
      </c>
      <c r="P29" s="61" t="s">
        <v>62</v>
      </c>
      <c r="Q29" s="61" t="s">
        <v>63</v>
      </c>
      <c r="R29" s="61" t="s">
        <v>64</v>
      </c>
      <c r="S29" s="61" t="s">
        <v>65</v>
      </c>
      <c r="X29" s="56"/>
      <c r="Y29" s="56"/>
      <c r="Z29" s="56"/>
      <c r="AA29" s="56"/>
      <c r="AB29" s="56"/>
      <c r="AC29" s="56"/>
      <c r="AD29" s="56"/>
      <c r="AE29" s="56"/>
    </row>
    <row r="30" spans="1:31" ht="15.75" customHeight="1" x14ac:dyDescent="0.2">
      <c r="B30" s="62"/>
      <c r="C30" s="60"/>
      <c r="D30" s="54"/>
      <c r="E30" s="54"/>
      <c r="F30" s="54"/>
      <c r="G30" s="54"/>
      <c r="I30" s="54"/>
      <c r="J30" s="54"/>
      <c r="K30" s="60"/>
      <c r="L30" s="63" t="s">
        <v>103</v>
      </c>
      <c r="M30" s="7">
        <f t="shared" ref="M30:S30" si="15">L21</f>
        <v>412987</v>
      </c>
      <c r="N30" s="7">
        <f t="shared" si="15"/>
        <v>347179.33999999997</v>
      </c>
      <c r="O30" s="7">
        <f t="shared" si="15"/>
        <v>380368</v>
      </c>
      <c r="P30" s="7">
        <f t="shared" si="15"/>
        <v>284362.97000000003</v>
      </c>
      <c r="Q30" s="7">
        <f t="shared" si="15"/>
        <v>353035.72710000002</v>
      </c>
      <c r="R30" s="7">
        <f t="shared" si="15"/>
        <v>545193</v>
      </c>
      <c r="S30" s="7">
        <f t="shared" si="15"/>
        <v>545589</v>
      </c>
    </row>
    <row r="31" spans="1:31" ht="15.75" customHeight="1" x14ac:dyDescent="0.25">
      <c r="A31" s="51"/>
      <c r="B31" s="51"/>
      <c r="C31" s="64"/>
      <c r="D31" s="65"/>
      <c r="E31" s="65"/>
      <c r="F31" s="65"/>
      <c r="G31" s="65"/>
      <c r="H31" s="66"/>
      <c r="I31" s="65"/>
      <c r="J31" s="65"/>
      <c r="K31" s="64"/>
      <c r="L31" s="65"/>
      <c r="M31" s="65"/>
      <c r="N31" s="65"/>
      <c r="O31" s="65"/>
      <c r="P31" s="65"/>
      <c r="Q31" s="65"/>
      <c r="R31" s="54"/>
      <c r="S31" s="55"/>
    </row>
    <row r="32" spans="1:31" ht="15.75" customHeight="1" x14ac:dyDescent="0.25">
      <c r="A32" s="51"/>
      <c r="B32" s="51"/>
      <c r="C32" s="64"/>
      <c r="D32" s="65"/>
      <c r="E32" s="65"/>
      <c r="F32" s="65"/>
      <c r="G32" s="65"/>
      <c r="H32" s="66"/>
      <c r="I32" s="65"/>
      <c r="J32" s="65"/>
      <c r="K32" s="64"/>
      <c r="L32" s="65"/>
      <c r="M32" s="65"/>
      <c r="N32" s="65"/>
      <c r="O32" s="65"/>
      <c r="P32" s="65"/>
      <c r="Q32" s="65"/>
      <c r="R32" s="54"/>
      <c r="S32" s="55"/>
    </row>
    <row r="33" spans="1:19" ht="15.75" customHeight="1" x14ac:dyDescent="0.25">
      <c r="A33" s="51"/>
      <c r="B33" s="51"/>
      <c r="C33" s="67"/>
      <c r="D33" s="20"/>
      <c r="E33" s="20"/>
      <c r="F33" s="20"/>
      <c r="G33" s="20"/>
      <c r="H33" s="20"/>
      <c r="I33" s="20"/>
      <c r="J33" s="20"/>
      <c r="K33" s="67"/>
      <c r="L33" s="20"/>
      <c r="M33" s="65"/>
      <c r="N33" s="65"/>
      <c r="O33" s="65"/>
      <c r="P33" s="65"/>
      <c r="Q33" s="65"/>
      <c r="R33" s="54"/>
      <c r="S33" s="55"/>
    </row>
    <row r="34" spans="1:19" ht="15.75" customHeight="1" x14ac:dyDescent="0.25">
      <c r="A34" s="51"/>
      <c r="B34" s="51"/>
      <c r="C34" s="67"/>
      <c r="D34" s="20"/>
      <c r="E34" s="20"/>
      <c r="F34" s="20"/>
      <c r="G34" s="20"/>
      <c r="H34" s="20"/>
      <c r="I34" s="20"/>
      <c r="J34" s="20"/>
      <c r="K34" s="67"/>
      <c r="L34" s="20"/>
      <c r="M34" s="65"/>
      <c r="N34" s="65"/>
      <c r="O34" s="65"/>
      <c r="P34" s="65"/>
      <c r="Q34" s="65"/>
      <c r="R34" s="54"/>
      <c r="S34" s="55"/>
    </row>
    <row r="35" spans="1:19" ht="15.75" customHeight="1" x14ac:dyDescent="0.25">
      <c r="A35" s="51"/>
      <c r="B35" s="51"/>
      <c r="C35" s="67"/>
      <c r="D35" s="20"/>
      <c r="E35" s="20"/>
      <c r="F35" s="20"/>
      <c r="G35" s="20"/>
      <c r="H35" s="20"/>
      <c r="I35" s="20"/>
      <c r="J35" s="20"/>
      <c r="K35" s="67"/>
      <c r="L35" s="20"/>
      <c r="M35" s="65"/>
      <c r="N35" s="65"/>
      <c r="O35" s="65"/>
      <c r="P35" s="65"/>
      <c r="Q35" s="65"/>
      <c r="R35" s="54"/>
      <c r="S35" s="55"/>
    </row>
    <row r="36" spans="1:19" ht="15.75" customHeight="1" x14ac:dyDescent="0.25">
      <c r="A36" s="51"/>
      <c r="B36" s="51"/>
      <c r="C36" s="67"/>
      <c r="D36" s="20"/>
      <c r="E36" s="20"/>
      <c r="F36" s="20"/>
      <c r="G36" s="20"/>
      <c r="H36" s="20"/>
      <c r="I36" s="20"/>
      <c r="J36" s="20"/>
      <c r="K36" s="67"/>
      <c r="L36" s="20"/>
      <c r="M36" s="65"/>
      <c r="N36" s="65"/>
      <c r="O36" s="65"/>
      <c r="P36" s="65"/>
      <c r="Q36" s="65"/>
      <c r="R36" s="54"/>
      <c r="S36" s="55"/>
    </row>
    <row r="37" spans="1:19" ht="15.75" customHeight="1" x14ac:dyDescent="0.25">
      <c r="A37" s="51"/>
      <c r="B37" s="51"/>
      <c r="C37" s="67"/>
      <c r="D37" s="20"/>
      <c r="E37" s="20"/>
      <c r="F37" s="20"/>
      <c r="G37" s="20"/>
      <c r="H37" s="20"/>
      <c r="I37" s="20"/>
      <c r="J37" s="20"/>
      <c r="K37" s="67"/>
      <c r="L37" s="20"/>
      <c r="M37" s="65"/>
      <c r="N37" s="65"/>
      <c r="O37" s="65"/>
      <c r="P37" s="65"/>
      <c r="Q37" s="65"/>
      <c r="R37" s="54"/>
      <c r="S37" s="55"/>
    </row>
    <row r="38" spans="1:19" ht="15.75" customHeight="1" x14ac:dyDescent="0.25">
      <c r="A38" s="51"/>
      <c r="B38" s="51"/>
      <c r="C38" s="67"/>
      <c r="D38" s="20"/>
      <c r="E38" s="20"/>
      <c r="F38" s="20"/>
      <c r="G38" s="20"/>
      <c r="H38" s="20"/>
      <c r="I38" s="20"/>
      <c r="J38" s="20"/>
      <c r="K38" s="67"/>
      <c r="L38" s="20"/>
      <c r="M38" s="65"/>
      <c r="N38" s="65"/>
      <c r="O38" s="65"/>
      <c r="P38" s="65"/>
      <c r="Q38" s="65"/>
      <c r="R38" s="54"/>
      <c r="S38" s="55"/>
    </row>
    <row r="39" spans="1:19" ht="15.75" customHeight="1" x14ac:dyDescent="0.25">
      <c r="A39" s="51"/>
      <c r="B39" s="51"/>
      <c r="C39" s="67"/>
      <c r="D39" s="20"/>
      <c r="E39" s="20"/>
      <c r="F39" s="20"/>
      <c r="G39" s="20"/>
      <c r="H39" s="20"/>
      <c r="I39" s="20"/>
      <c r="J39" s="20"/>
      <c r="K39" s="67"/>
      <c r="L39" s="20"/>
      <c r="M39" s="65"/>
      <c r="N39" s="65"/>
      <c r="O39" s="65"/>
      <c r="P39" s="65"/>
      <c r="Q39" s="65"/>
      <c r="R39" s="54"/>
      <c r="S39" s="55"/>
    </row>
    <row r="40" spans="1:19" ht="15.75" customHeight="1" x14ac:dyDescent="0.25">
      <c r="A40" s="51"/>
      <c r="B40" s="51"/>
      <c r="C40" s="67"/>
      <c r="D40" s="20"/>
      <c r="E40" s="20"/>
      <c r="F40" s="20"/>
      <c r="G40" s="20"/>
      <c r="H40" s="20"/>
      <c r="I40" s="20"/>
      <c r="J40" s="20"/>
      <c r="K40" s="67"/>
      <c r="L40" s="20"/>
      <c r="M40" s="65"/>
      <c r="N40" s="65"/>
      <c r="O40" s="65"/>
      <c r="P40" s="65"/>
      <c r="Q40" s="65"/>
      <c r="R40" s="54"/>
      <c r="S40" s="55"/>
    </row>
    <row r="41" spans="1:19" ht="15.75" customHeight="1" x14ac:dyDescent="0.25">
      <c r="A41" s="51"/>
      <c r="B41" s="51"/>
      <c r="C41" s="67"/>
      <c r="D41" s="20"/>
      <c r="E41" s="20"/>
      <c r="F41" s="20"/>
      <c r="G41" s="20"/>
      <c r="H41" s="20"/>
      <c r="I41" s="20"/>
      <c r="J41" s="20"/>
      <c r="K41" s="67"/>
      <c r="L41" s="20"/>
      <c r="M41" s="65"/>
      <c r="N41" s="65"/>
      <c r="O41" s="65"/>
      <c r="P41" s="65"/>
      <c r="Q41" s="65"/>
      <c r="R41" s="54"/>
      <c r="S41" s="55"/>
    </row>
    <row r="42" spans="1:19" ht="15.75" customHeight="1" x14ac:dyDescent="0.25">
      <c r="A42" s="51"/>
      <c r="B42" s="51"/>
      <c r="C42" s="67"/>
      <c r="D42" s="20"/>
      <c r="E42" s="20"/>
      <c r="F42" s="20"/>
      <c r="G42" s="20"/>
      <c r="H42" s="20"/>
      <c r="I42" s="20"/>
      <c r="J42" s="20"/>
      <c r="K42" s="67"/>
      <c r="L42" s="20"/>
      <c r="M42" s="65"/>
      <c r="N42" s="65"/>
      <c r="O42" s="65"/>
      <c r="P42" s="65"/>
      <c r="Q42" s="65"/>
      <c r="R42" s="54"/>
      <c r="S42" s="55"/>
    </row>
    <row r="43" spans="1:19" ht="15.75" customHeight="1" x14ac:dyDescent="0.25">
      <c r="A43" s="51"/>
      <c r="B43" s="51"/>
      <c r="C43" s="67"/>
      <c r="D43" s="20"/>
      <c r="E43" s="20"/>
      <c r="F43" s="20"/>
      <c r="G43" s="20"/>
      <c r="H43" s="20"/>
      <c r="I43" s="20"/>
      <c r="J43" s="20"/>
      <c r="K43" s="67"/>
      <c r="L43" s="20"/>
      <c r="M43" s="65"/>
      <c r="N43" s="65"/>
      <c r="O43" s="65"/>
      <c r="P43" s="65"/>
      <c r="Q43" s="65"/>
      <c r="R43" s="54"/>
      <c r="S43" s="55"/>
    </row>
    <row r="44" spans="1:19" ht="15.75" customHeight="1" x14ac:dyDescent="0.25">
      <c r="A44" s="51"/>
      <c r="B44" s="51"/>
      <c r="C44" s="67"/>
      <c r="D44" s="20"/>
      <c r="E44" s="20"/>
      <c r="F44" s="20"/>
      <c r="G44" s="20"/>
      <c r="H44" s="20"/>
      <c r="I44" s="20"/>
      <c r="J44" s="20"/>
      <c r="K44" s="67"/>
      <c r="L44" s="20"/>
      <c r="M44" s="65"/>
      <c r="N44" s="65"/>
      <c r="O44" s="65"/>
      <c r="P44" s="65"/>
      <c r="Q44" s="65"/>
      <c r="R44" s="54"/>
      <c r="S44" s="55"/>
    </row>
    <row r="45" spans="1:19" ht="15.75" customHeight="1" x14ac:dyDescent="0.25">
      <c r="A45" s="51"/>
      <c r="B45" s="51"/>
      <c r="C45" s="67"/>
      <c r="D45" s="20"/>
      <c r="E45" s="20"/>
      <c r="F45" s="20"/>
      <c r="G45" s="20"/>
      <c r="H45" s="20"/>
      <c r="I45" s="20"/>
      <c r="J45" s="20"/>
      <c r="K45" s="67"/>
      <c r="L45" s="20"/>
      <c r="M45" s="65"/>
      <c r="N45" s="65"/>
      <c r="O45" s="65"/>
      <c r="P45" s="65"/>
      <c r="Q45" s="65"/>
      <c r="R45" s="54"/>
      <c r="S45" s="55"/>
    </row>
    <row r="46" spans="1:19" ht="15.75" customHeight="1" x14ac:dyDescent="0.25">
      <c r="A46" s="51"/>
      <c r="B46" s="51"/>
      <c r="C46" s="67"/>
      <c r="D46" s="20"/>
      <c r="E46" s="20"/>
      <c r="F46" s="20"/>
      <c r="G46" s="20"/>
      <c r="H46" s="20"/>
      <c r="I46" s="20"/>
      <c r="J46" s="20"/>
      <c r="K46" s="67"/>
      <c r="L46" s="20"/>
      <c r="M46" s="65"/>
      <c r="N46" s="65"/>
      <c r="O46" s="65"/>
      <c r="P46" s="65"/>
      <c r="Q46" s="65"/>
      <c r="R46" s="54"/>
      <c r="S46" s="54"/>
    </row>
    <row r="47" spans="1:19" ht="27" customHeight="1" x14ac:dyDescent="0.25">
      <c r="A47" s="51"/>
      <c r="B47" s="51"/>
      <c r="C47" s="67"/>
      <c r="D47" s="20"/>
      <c r="E47" s="20"/>
      <c r="F47" s="20"/>
      <c r="G47" s="20"/>
      <c r="H47" s="20"/>
      <c r="I47" s="20"/>
      <c r="J47" s="20"/>
      <c r="K47" s="67"/>
      <c r="L47" s="20"/>
      <c r="M47" s="65"/>
      <c r="N47" s="65"/>
      <c r="O47" s="65"/>
      <c r="P47" s="65"/>
      <c r="Q47" s="65"/>
      <c r="R47" s="54"/>
      <c r="S47" s="54"/>
    </row>
    <row r="48" spans="1:19" ht="15.75" customHeight="1" x14ac:dyDescent="0.25">
      <c r="A48" s="51"/>
      <c r="B48" s="51"/>
      <c r="C48" s="67"/>
      <c r="D48" s="20"/>
      <c r="E48" s="20"/>
      <c r="F48" s="20"/>
      <c r="G48" s="20"/>
      <c r="H48" s="20"/>
      <c r="I48" s="20"/>
      <c r="J48" s="20"/>
      <c r="K48" s="67"/>
      <c r="L48" s="20"/>
      <c r="M48" s="65"/>
      <c r="N48" s="65"/>
      <c r="O48" s="65"/>
      <c r="P48" s="65"/>
      <c r="Q48" s="65"/>
      <c r="R48" s="54"/>
      <c r="S48" s="54"/>
    </row>
    <row r="49" spans="1:19" ht="15.75" customHeight="1" x14ac:dyDescent="0.25">
      <c r="A49" s="51"/>
      <c r="B49" s="51"/>
      <c r="C49" s="67"/>
      <c r="D49" s="20"/>
      <c r="E49" s="20"/>
      <c r="F49" s="20"/>
      <c r="G49" s="20"/>
      <c r="H49" s="20"/>
      <c r="I49" s="20"/>
      <c r="J49" s="20"/>
      <c r="K49" s="67"/>
      <c r="L49" s="20"/>
      <c r="M49" s="65"/>
      <c r="N49" s="65"/>
      <c r="O49" s="65"/>
      <c r="P49" s="65"/>
      <c r="Q49" s="65"/>
      <c r="R49" s="54"/>
      <c r="S49" s="54"/>
    </row>
    <row r="50" spans="1:19" ht="15.75" customHeight="1" x14ac:dyDescent="0.2">
      <c r="C50" s="60"/>
      <c r="D50" s="54"/>
      <c r="E50" s="54"/>
      <c r="F50" s="54"/>
      <c r="G50" s="54"/>
      <c r="I50" s="54"/>
      <c r="J50" s="54"/>
      <c r="K50" s="60"/>
      <c r="L50" s="54"/>
      <c r="M50" s="54"/>
      <c r="N50" s="54"/>
      <c r="O50" s="54"/>
      <c r="P50" s="54"/>
      <c r="Q50" s="54"/>
      <c r="R50" s="54"/>
      <c r="S50" s="54"/>
    </row>
    <row r="51" spans="1:19" ht="15.75" customHeight="1" x14ac:dyDescent="0.2">
      <c r="C51" s="60"/>
      <c r="D51" s="54"/>
      <c r="E51" s="54"/>
      <c r="F51" s="54"/>
      <c r="G51" s="54"/>
      <c r="I51" s="54"/>
      <c r="J51" s="54"/>
      <c r="K51" s="60"/>
      <c r="L51" s="54"/>
      <c r="M51" s="54"/>
      <c r="N51" s="54"/>
      <c r="O51" s="54"/>
      <c r="P51" s="54"/>
      <c r="Q51" s="54"/>
      <c r="R51" s="54"/>
      <c r="S51" s="54"/>
    </row>
    <row r="52" spans="1:19" ht="15.75" customHeight="1" x14ac:dyDescent="0.2">
      <c r="C52" s="60"/>
      <c r="D52" s="54"/>
      <c r="E52" s="54"/>
      <c r="F52" s="54"/>
      <c r="G52" s="54"/>
      <c r="I52" s="54"/>
      <c r="J52" s="54"/>
      <c r="K52" s="60"/>
      <c r="L52" s="54"/>
      <c r="M52" s="54"/>
      <c r="N52" s="54"/>
      <c r="O52" s="54"/>
      <c r="P52" s="54"/>
      <c r="Q52" s="54"/>
      <c r="R52" s="54"/>
      <c r="S52" s="54"/>
    </row>
    <row r="53" spans="1:19" ht="15.75" customHeight="1" x14ac:dyDescent="0.2">
      <c r="C53" s="60"/>
      <c r="D53" s="54"/>
      <c r="E53" s="54"/>
      <c r="F53" s="54"/>
      <c r="G53" s="54"/>
      <c r="I53" s="54"/>
      <c r="J53" s="54"/>
      <c r="K53" s="60"/>
      <c r="L53" s="54"/>
      <c r="M53" s="54"/>
      <c r="N53" s="54"/>
      <c r="O53" s="54"/>
      <c r="P53" s="54"/>
      <c r="Q53" s="54"/>
      <c r="R53" s="54"/>
      <c r="S53" s="54"/>
    </row>
    <row r="54" spans="1:19" ht="15.75" customHeight="1" x14ac:dyDescent="0.2">
      <c r="C54" s="60"/>
      <c r="D54" s="54"/>
      <c r="E54" s="54"/>
      <c r="F54" s="54"/>
      <c r="G54" s="54"/>
      <c r="I54" s="54"/>
      <c r="J54" s="54"/>
      <c r="K54" s="60"/>
      <c r="L54" s="54"/>
      <c r="M54" s="54"/>
      <c r="N54" s="54"/>
      <c r="O54" s="54"/>
      <c r="P54" s="54"/>
      <c r="Q54" s="54"/>
      <c r="R54" s="54"/>
      <c r="S54" s="54"/>
    </row>
    <row r="55" spans="1:19" ht="15.75" customHeight="1" x14ac:dyDescent="0.2">
      <c r="C55" s="60"/>
      <c r="D55" s="54"/>
      <c r="E55" s="54"/>
      <c r="F55" s="54"/>
      <c r="G55" s="54"/>
      <c r="I55" s="54"/>
      <c r="J55" s="54"/>
      <c r="K55" s="60"/>
      <c r="L55" s="54"/>
      <c r="M55" s="54"/>
      <c r="N55" s="54"/>
      <c r="O55" s="54"/>
      <c r="P55" s="54"/>
      <c r="Q55" s="54"/>
      <c r="R55" s="54"/>
      <c r="S55" s="54"/>
    </row>
    <row r="56" spans="1:19" ht="15.75" customHeight="1" x14ac:dyDescent="0.2">
      <c r="C56" s="60"/>
      <c r="D56" s="54"/>
      <c r="E56" s="54"/>
      <c r="F56" s="54"/>
      <c r="G56" s="54"/>
      <c r="I56" s="54"/>
      <c r="J56" s="54"/>
      <c r="K56" s="60"/>
      <c r="L56" s="54"/>
      <c r="M56" s="54"/>
      <c r="N56" s="54"/>
      <c r="O56" s="54"/>
      <c r="P56" s="54"/>
      <c r="Q56" s="54"/>
      <c r="R56" s="54"/>
      <c r="S56" s="54"/>
    </row>
    <row r="57" spans="1:19" ht="15.75" customHeight="1" x14ac:dyDescent="0.2">
      <c r="C57" s="60"/>
      <c r="D57" s="54"/>
      <c r="E57" s="54"/>
      <c r="F57" s="54"/>
      <c r="G57" s="54"/>
      <c r="I57" s="54"/>
      <c r="J57" s="54"/>
      <c r="K57" s="60"/>
      <c r="L57" s="54"/>
      <c r="M57" s="54"/>
      <c r="N57" s="54"/>
      <c r="O57" s="54"/>
      <c r="P57" s="54"/>
      <c r="Q57" s="54"/>
      <c r="R57" s="54"/>
      <c r="S57" s="54"/>
    </row>
    <row r="58" spans="1:19" ht="15.75" customHeight="1" x14ac:dyDescent="0.2">
      <c r="C58" s="60"/>
      <c r="D58" s="54"/>
      <c r="E58" s="54"/>
      <c r="F58" s="54"/>
      <c r="G58" s="54"/>
      <c r="I58" s="54"/>
      <c r="J58" s="54"/>
      <c r="K58" s="60"/>
      <c r="L58" s="54"/>
      <c r="M58" s="54"/>
      <c r="N58" s="54"/>
      <c r="O58" s="54"/>
      <c r="P58" s="54"/>
      <c r="Q58" s="54"/>
      <c r="R58" s="54"/>
      <c r="S58" s="54"/>
    </row>
    <row r="59" spans="1:19" ht="15.75" customHeight="1" x14ac:dyDescent="0.2">
      <c r="C59" s="60"/>
      <c r="D59" s="54"/>
      <c r="E59" s="54"/>
      <c r="F59" s="54"/>
      <c r="G59" s="54"/>
      <c r="I59" s="54"/>
      <c r="J59" s="54"/>
      <c r="K59" s="60"/>
      <c r="L59" s="54"/>
      <c r="M59" s="54"/>
      <c r="N59" s="54"/>
      <c r="O59" s="54"/>
      <c r="P59" s="54"/>
      <c r="Q59" s="54"/>
      <c r="R59" s="54"/>
      <c r="S59" s="54"/>
    </row>
    <row r="60" spans="1:19" ht="15.75" customHeight="1" x14ac:dyDescent="0.2">
      <c r="C60" s="60"/>
      <c r="D60" s="54"/>
      <c r="E60" s="54"/>
      <c r="F60" s="54"/>
      <c r="G60" s="54"/>
      <c r="I60" s="54"/>
      <c r="J60" s="54"/>
      <c r="K60" s="60"/>
      <c r="L60" s="54"/>
      <c r="M60" s="54"/>
      <c r="N60" s="54"/>
      <c r="O60" s="54"/>
      <c r="P60" s="54"/>
      <c r="Q60" s="54"/>
      <c r="R60" s="54"/>
      <c r="S60" s="54"/>
    </row>
    <row r="61" spans="1:19" ht="15.75" customHeight="1" x14ac:dyDescent="0.2">
      <c r="C61" s="60"/>
      <c r="D61" s="54"/>
      <c r="E61" s="54"/>
      <c r="F61" s="54"/>
      <c r="G61" s="54"/>
      <c r="I61" s="54"/>
      <c r="J61" s="54"/>
      <c r="K61" s="60"/>
      <c r="L61" s="54"/>
      <c r="M61" s="54"/>
      <c r="N61" s="54"/>
      <c r="O61" s="54"/>
      <c r="P61" s="54"/>
      <c r="Q61" s="54"/>
      <c r="R61" s="54"/>
      <c r="S61" s="54"/>
    </row>
    <row r="62" spans="1:19" ht="15.75" customHeight="1" x14ac:dyDescent="0.2">
      <c r="C62" s="60"/>
      <c r="D62" s="54"/>
      <c r="E62" s="54"/>
      <c r="F62" s="54"/>
      <c r="G62" s="54"/>
      <c r="I62" s="54"/>
      <c r="J62" s="54"/>
      <c r="K62" s="60"/>
      <c r="L62" s="54"/>
      <c r="M62" s="54"/>
      <c r="N62" s="54"/>
      <c r="O62" s="54"/>
      <c r="P62" s="54"/>
      <c r="Q62" s="54"/>
      <c r="R62" s="54"/>
      <c r="S62" s="54"/>
    </row>
    <row r="63" spans="1:19" ht="15.75" customHeight="1" x14ac:dyDescent="0.2">
      <c r="C63" s="60"/>
      <c r="D63" s="54"/>
      <c r="E63" s="54"/>
      <c r="F63" s="54"/>
      <c r="G63" s="54"/>
      <c r="I63" s="54"/>
      <c r="J63" s="54"/>
      <c r="K63" s="60"/>
      <c r="L63" s="54"/>
      <c r="M63" s="54"/>
      <c r="N63" s="54"/>
      <c r="O63" s="54"/>
      <c r="P63" s="54"/>
      <c r="Q63" s="54"/>
      <c r="R63" s="54"/>
      <c r="S63" s="54"/>
    </row>
    <row r="64" spans="1:19" ht="15.75" customHeight="1" x14ac:dyDescent="0.2">
      <c r="C64" s="60"/>
      <c r="D64" s="54"/>
      <c r="E64" s="54"/>
      <c r="F64" s="54"/>
      <c r="G64" s="54"/>
      <c r="I64" s="54"/>
      <c r="J64" s="54"/>
      <c r="K64" s="60"/>
      <c r="L64" s="54"/>
      <c r="M64" s="54"/>
      <c r="N64" s="54"/>
      <c r="O64" s="54"/>
      <c r="P64" s="54"/>
      <c r="Q64" s="54"/>
      <c r="R64" s="54"/>
      <c r="S64" s="54"/>
    </row>
    <row r="65" spans="1:19" ht="15.75" customHeight="1" x14ac:dyDescent="0.2">
      <c r="C65" s="60"/>
      <c r="D65" s="54"/>
      <c r="E65" s="54"/>
      <c r="F65" s="54"/>
      <c r="G65" s="54"/>
      <c r="I65" s="54"/>
      <c r="J65" s="54"/>
      <c r="K65" s="60"/>
      <c r="L65" s="54"/>
      <c r="M65" s="54"/>
      <c r="N65" s="54"/>
      <c r="O65" s="54"/>
      <c r="P65" s="54"/>
      <c r="Q65" s="54"/>
      <c r="R65" s="54"/>
      <c r="S65" s="54"/>
    </row>
    <row r="66" spans="1:19" ht="15.75" customHeight="1" x14ac:dyDescent="0.2">
      <c r="C66" s="60"/>
      <c r="D66" s="54"/>
      <c r="E66" s="54"/>
      <c r="F66" s="54"/>
      <c r="G66" s="54"/>
      <c r="I66" s="54"/>
      <c r="J66" s="54"/>
      <c r="K66" s="60"/>
      <c r="L66" s="54"/>
      <c r="M66" s="54"/>
      <c r="N66" s="54"/>
      <c r="O66" s="54"/>
      <c r="P66" s="54"/>
      <c r="Q66" s="54"/>
      <c r="R66" s="54"/>
      <c r="S66" s="54"/>
    </row>
    <row r="67" spans="1:19" ht="15.75" customHeight="1" x14ac:dyDescent="0.2">
      <c r="C67" s="60"/>
      <c r="D67" s="54"/>
      <c r="E67" s="54"/>
      <c r="F67" s="54"/>
      <c r="G67" s="54"/>
      <c r="I67" s="54"/>
      <c r="J67" s="54"/>
      <c r="K67" s="60"/>
      <c r="L67" s="54"/>
      <c r="M67" s="54"/>
      <c r="N67" s="54"/>
      <c r="O67" s="54"/>
      <c r="P67" s="54"/>
      <c r="Q67" s="54"/>
      <c r="R67" s="54"/>
      <c r="S67" s="54"/>
    </row>
    <row r="68" spans="1:19" ht="15.75" customHeight="1" x14ac:dyDescent="0.2">
      <c r="C68" s="60"/>
      <c r="D68" s="54"/>
      <c r="E68" s="54"/>
      <c r="F68" s="54"/>
      <c r="G68" s="54"/>
      <c r="I68" s="54"/>
      <c r="J68" s="54"/>
      <c r="K68" s="60"/>
      <c r="L68" s="54"/>
      <c r="M68" s="54"/>
      <c r="N68" s="54"/>
      <c r="O68" s="54"/>
      <c r="P68" s="54"/>
      <c r="Q68" s="54"/>
      <c r="R68" s="54"/>
      <c r="S68" s="54"/>
    </row>
    <row r="69" spans="1:19" ht="15.75" customHeight="1" x14ac:dyDescent="0.2">
      <c r="C69" s="60"/>
      <c r="D69" s="54"/>
      <c r="E69" s="54"/>
      <c r="F69" s="54"/>
      <c r="G69" s="54"/>
      <c r="I69" s="54"/>
      <c r="J69" s="54"/>
      <c r="K69" s="60"/>
      <c r="L69" s="54"/>
      <c r="M69" s="54"/>
      <c r="N69" s="54"/>
      <c r="O69" s="54"/>
      <c r="P69" s="54"/>
      <c r="Q69" s="54"/>
      <c r="R69" s="54"/>
      <c r="S69" s="68"/>
    </row>
    <row r="70" spans="1:19" ht="15.75" customHeight="1" x14ac:dyDescent="0.2">
      <c r="C70" s="60"/>
      <c r="D70" s="54"/>
      <c r="E70" s="54"/>
      <c r="F70" s="54"/>
      <c r="G70" s="54"/>
      <c r="I70" s="54"/>
      <c r="J70" s="54"/>
      <c r="K70" s="60"/>
      <c r="L70" s="54"/>
      <c r="M70" s="54"/>
      <c r="N70" s="54"/>
      <c r="O70" s="54"/>
      <c r="P70" s="54"/>
      <c r="Q70" s="54"/>
      <c r="R70" s="54"/>
      <c r="S70" s="55"/>
    </row>
    <row r="71" spans="1:19" ht="15.75" customHeight="1" collapsed="1" x14ac:dyDescent="0.2">
      <c r="A71" s="69"/>
      <c r="C71" s="60"/>
      <c r="D71" s="54"/>
      <c r="E71" s="54"/>
      <c r="F71" s="54"/>
      <c r="G71" s="54"/>
      <c r="I71" s="54"/>
      <c r="J71" s="54"/>
      <c r="K71" s="60"/>
      <c r="L71" s="54"/>
      <c r="M71" s="54"/>
      <c r="N71" s="54"/>
      <c r="O71" s="54"/>
      <c r="P71" s="54"/>
      <c r="Q71" s="54"/>
      <c r="R71" s="54"/>
      <c r="S71" s="55"/>
    </row>
    <row r="72" spans="1:19" ht="15.75" hidden="1" customHeight="1" outlineLevel="1" x14ac:dyDescent="0.2">
      <c r="C72" s="60"/>
      <c r="D72" s="54"/>
      <c r="E72" s="54"/>
      <c r="F72" s="54"/>
      <c r="G72" s="54"/>
      <c r="I72" s="54"/>
      <c r="J72" s="54"/>
      <c r="K72" s="60"/>
      <c r="L72" s="54"/>
      <c r="M72" s="54"/>
      <c r="N72" s="54"/>
      <c r="O72" s="54"/>
      <c r="P72" s="54"/>
      <c r="Q72" s="54"/>
      <c r="R72" s="54"/>
      <c r="S72" s="55"/>
    </row>
    <row r="73" spans="1:19" ht="15.75" hidden="1" customHeight="1" outlineLevel="1" x14ac:dyDescent="0.2">
      <c r="A73" s="3"/>
      <c r="B73" s="3"/>
      <c r="C73" s="21"/>
      <c r="D73" s="4"/>
      <c r="E73" s="4"/>
      <c r="F73" s="4"/>
      <c r="G73" s="4"/>
      <c r="H73" s="3"/>
      <c r="I73" s="4"/>
      <c r="J73" s="4"/>
      <c r="K73" s="21"/>
      <c r="L73" s="4"/>
      <c r="M73" s="4"/>
      <c r="N73" s="4"/>
      <c r="O73" s="4"/>
      <c r="P73" s="70"/>
      <c r="Q73" s="70"/>
      <c r="R73" s="54"/>
      <c r="S73" s="55"/>
    </row>
    <row r="74" spans="1:19" ht="15.75" hidden="1" customHeight="1" outlineLevel="1" x14ac:dyDescent="0.25">
      <c r="A74" s="51"/>
      <c r="B74" s="51"/>
      <c r="C74" s="71"/>
      <c r="D74" s="65"/>
      <c r="E74" s="65"/>
      <c r="F74" s="65"/>
      <c r="G74" s="65"/>
      <c r="H74" s="65"/>
      <c r="I74" s="65"/>
      <c r="J74" s="65"/>
      <c r="K74" s="71"/>
      <c r="L74" s="65"/>
      <c r="M74" s="20"/>
      <c r="N74" s="20"/>
      <c r="O74" s="20"/>
      <c r="P74" s="20"/>
      <c r="Q74" s="20"/>
      <c r="R74" s="54"/>
      <c r="S74" s="55"/>
    </row>
    <row r="75" spans="1:19" ht="15.75" hidden="1" customHeight="1" outlineLevel="1" x14ac:dyDescent="0.25">
      <c r="A75" s="51"/>
      <c r="B75" s="51"/>
      <c r="C75" s="71"/>
      <c r="D75" s="65"/>
      <c r="E75" s="65"/>
      <c r="F75" s="65"/>
      <c r="G75" s="65"/>
      <c r="H75" s="65"/>
      <c r="I75" s="65"/>
      <c r="J75" s="65"/>
      <c r="K75" s="71"/>
      <c r="L75" s="65"/>
      <c r="M75" s="20"/>
      <c r="N75" s="20"/>
      <c r="O75" s="20"/>
      <c r="P75" s="20"/>
      <c r="Q75" s="20"/>
      <c r="R75" s="54"/>
      <c r="S75" s="55"/>
    </row>
    <row r="76" spans="1:19" ht="15.75" hidden="1" customHeight="1" outlineLevel="1" x14ac:dyDescent="0.25">
      <c r="A76" s="51"/>
      <c r="B76" s="51"/>
      <c r="C76" s="71"/>
      <c r="D76" s="65"/>
      <c r="E76" s="65"/>
      <c r="F76" s="65"/>
      <c r="G76" s="65"/>
      <c r="H76" s="65"/>
      <c r="I76" s="65"/>
      <c r="J76" s="65"/>
      <c r="K76" s="71"/>
      <c r="L76" s="65"/>
      <c r="M76" s="20"/>
      <c r="N76" s="20"/>
      <c r="O76" s="20"/>
      <c r="P76" s="20"/>
      <c r="Q76" s="20"/>
      <c r="R76" s="54"/>
      <c r="S76" s="55"/>
    </row>
    <row r="77" spans="1:19" ht="15.75" hidden="1" customHeight="1" outlineLevel="1" x14ac:dyDescent="0.25">
      <c r="A77" s="51"/>
      <c r="B77" s="51"/>
      <c r="C77" s="71"/>
      <c r="D77" s="65"/>
      <c r="E77" s="65"/>
      <c r="F77" s="65"/>
      <c r="G77" s="65"/>
      <c r="H77" s="65"/>
      <c r="I77" s="65"/>
      <c r="J77" s="65"/>
      <c r="K77" s="71"/>
      <c r="L77" s="65"/>
      <c r="M77" s="20"/>
      <c r="N77" s="20"/>
      <c r="O77" s="20"/>
      <c r="P77" s="20"/>
      <c r="Q77" s="20"/>
      <c r="R77" s="54"/>
      <c r="S77" s="55"/>
    </row>
    <row r="78" spans="1:19" ht="15.75" hidden="1" customHeight="1" outlineLevel="1" x14ac:dyDescent="0.25">
      <c r="A78" s="51"/>
      <c r="B78" s="51"/>
      <c r="C78" s="71"/>
      <c r="D78" s="65"/>
      <c r="E78" s="65"/>
      <c r="F78" s="65"/>
      <c r="G78" s="65"/>
      <c r="H78" s="65"/>
      <c r="I78" s="65"/>
      <c r="J78" s="65"/>
      <c r="K78" s="71"/>
      <c r="L78" s="65"/>
      <c r="M78" s="20"/>
      <c r="N78" s="20"/>
      <c r="O78" s="20"/>
      <c r="P78" s="20"/>
      <c r="Q78" s="20"/>
      <c r="R78" s="54"/>
      <c r="S78" s="55"/>
    </row>
    <row r="79" spans="1:19" ht="15.75" hidden="1" customHeight="1" outlineLevel="1" x14ac:dyDescent="0.25">
      <c r="A79" s="51"/>
      <c r="B79" s="51"/>
      <c r="C79" s="71"/>
      <c r="D79" s="65"/>
      <c r="E79" s="65"/>
      <c r="F79" s="65"/>
      <c r="G79" s="65"/>
      <c r="H79" s="65"/>
      <c r="I79" s="65"/>
      <c r="J79" s="65"/>
      <c r="K79" s="71"/>
      <c r="L79" s="65"/>
      <c r="M79" s="20"/>
      <c r="N79" s="20"/>
      <c r="O79" s="20"/>
      <c r="P79" s="20"/>
      <c r="Q79" s="20"/>
      <c r="R79" s="54"/>
      <c r="S79" s="55"/>
    </row>
    <row r="80" spans="1:19" ht="15.75" hidden="1" customHeight="1" outlineLevel="1" x14ac:dyDescent="0.25">
      <c r="A80" s="51"/>
      <c r="B80" s="51"/>
      <c r="C80" s="71"/>
      <c r="D80" s="65"/>
      <c r="E80" s="65"/>
      <c r="F80" s="65"/>
      <c r="G80" s="65"/>
      <c r="H80" s="65"/>
      <c r="I80" s="65"/>
      <c r="J80" s="65"/>
      <c r="K80" s="71"/>
      <c r="L80" s="65"/>
      <c r="M80" s="20"/>
      <c r="N80" s="20"/>
      <c r="O80" s="20"/>
      <c r="P80" s="20"/>
      <c r="Q80" s="20"/>
      <c r="R80" s="54"/>
      <c r="S80" s="55"/>
    </row>
    <row r="81" spans="1:19" ht="15.75" hidden="1" customHeight="1" outlineLevel="1" x14ac:dyDescent="0.25">
      <c r="A81" s="51"/>
      <c r="B81" s="51"/>
      <c r="C81" s="71"/>
      <c r="D81" s="65"/>
      <c r="E81" s="65"/>
      <c r="F81" s="65"/>
      <c r="G81" s="65"/>
      <c r="H81" s="65"/>
      <c r="I81" s="65"/>
      <c r="J81" s="65"/>
      <c r="K81" s="71"/>
      <c r="L81" s="65"/>
      <c r="M81" s="20"/>
      <c r="N81" s="20"/>
      <c r="O81" s="20"/>
      <c r="P81" s="20"/>
      <c r="Q81" s="20"/>
      <c r="R81" s="54"/>
      <c r="S81" s="55"/>
    </row>
    <row r="82" spans="1:19" ht="15.75" hidden="1" customHeight="1" outlineLevel="1" x14ac:dyDescent="0.25">
      <c r="A82" s="51"/>
      <c r="B82" s="51"/>
      <c r="C82" s="71"/>
      <c r="D82" s="65"/>
      <c r="E82" s="65"/>
      <c r="F82" s="65"/>
      <c r="G82" s="65"/>
      <c r="H82" s="65"/>
      <c r="I82" s="65"/>
      <c r="J82" s="65"/>
      <c r="K82" s="71"/>
      <c r="L82" s="65"/>
      <c r="M82" s="20"/>
      <c r="N82" s="20"/>
      <c r="O82" s="20"/>
      <c r="P82" s="20"/>
      <c r="Q82" s="20"/>
      <c r="R82" s="54"/>
      <c r="S82" s="55"/>
    </row>
    <row r="83" spans="1:19" ht="15.75" hidden="1" customHeight="1" outlineLevel="1" x14ac:dyDescent="0.25">
      <c r="A83" s="51"/>
      <c r="B83" s="51"/>
      <c r="C83" s="71"/>
      <c r="D83" s="65"/>
      <c r="E83" s="65"/>
      <c r="F83" s="65"/>
      <c r="G83" s="65"/>
      <c r="H83" s="65"/>
      <c r="I83" s="65"/>
      <c r="J83" s="65"/>
      <c r="K83" s="71"/>
      <c r="L83" s="65"/>
      <c r="M83" s="20"/>
      <c r="N83" s="20"/>
      <c r="O83" s="20"/>
      <c r="P83" s="20"/>
      <c r="Q83" s="20"/>
      <c r="R83" s="54"/>
      <c r="S83" s="55"/>
    </row>
    <row r="84" spans="1:19" ht="15.75" hidden="1" customHeight="1" outlineLevel="1" x14ac:dyDescent="0.25">
      <c r="A84" s="51"/>
      <c r="B84" s="51"/>
      <c r="C84" s="71"/>
      <c r="D84" s="65"/>
      <c r="E84" s="65"/>
      <c r="F84" s="65"/>
      <c r="G84" s="65"/>
      <c r="H84" s="65"/>
      <c r="I84" s="65"/>
      <c r="J84" s="65"/>
      <c r="K84" s="71"/>
      <c r="L84" s="65"/>
      <c r="M84" s="20"/>
      <c r="N84" s="20"/>
      <c r="O84" s="20"/>
      <c r="P84" s="20"/>
      <c r="Q84" s="20"/>
      <c r="R84" s="54"/>
      <c r="S84" s="55"/>
    </row>
    <row r="85" spans="1:19" ht="15.75" hidden="1" customHeight="1" outlineLevel="1" x14ac:dyDescent="0.25">
      <c r="A85" s="51"/>
      <c r="B85" s="51"/>
      <c r="C85" s="71"/>
      <c r="D85" s="65"/>
      <c r="E85" s="65"/>
      <c r="F85" s="65"/>
      <c r="G85" s="65"/>
      <c r="H85" s="65"/>
      <c r="I85" s="65"/>
      <c r="J85" s="65"/>
      <c r="K85" s="71"/>
      <c r="L85" s="65"/>
      <c r="M85" s="20"/>
      <c r="N85" s="20"/>
      <c r="O85" s="20"/>
      <c r="P85" s="20"/>
      <c r="Q85" s="20"/>
      <c r="R85" s="54"/>
      <c r="S85" s="55"/>
    </row>
    <row r="86" spans="1:19" ht="15.75" hidden="1" customHeight="1" outlineLevel="1" x14ac:dyDescent="0.25">
      <c r="A86" s="51"/>
      <c r="B86" s="51"/>
      <c r="C86" s="71"/>
      <c r="D86" s="65"/>
      <c r="E86" s="65"/>
      <c r="F86" s="65"/>
      <c r="G86" s="65"/>
      <c r="H86" s="65"/>
      <c r="I86" s="65"/>
      <c r="J86" s="65"/>
      <c r="K86" s="71"/>
      <c r="L86" s="65"/>
      <c r="M86" s="20"/>
      <c r="N86" s="20"/>
      <c r="O86" s="20"/>
      <c r="P86" s="20"/>
      <c r="Q86" s="20"/>
      <c r="R86" s="54"/>
      <c r="S86" s="55"/>
    </row>
    <row r="87" spans="1:19" ht="15.75" hidden="1" customHeight="1" outlineLevel="1" x14ac:dyDescent="0.25">
      <c r="A87" s="51"/>
      <c r="B87" s="51"/>
      <c r="C87" s="71"/>
      <c r="D87" s="65"/>
      <c r="E87" s="65"/>
      <c r="F87" s="65"/>
      <c r="G87" s="65"/>
      <c r="H87" s="65"/>
      <c r="I87" s="65"/>
      <c r="J87" s="65"/>
      <c r="K87" s="71"/>
      <c r="L87" s="65"/>
      <c r="M87" s="20"/>
      <c r="N87" s="20"/>
      <c r="O87" s="20"/>
      <c r="P87" s="20"/>
      <c r="Q87" s="20"/>
      <c r="R87" s="54"/>
      <c r="S87" s="55"/>
    </row>
    <row r="88" spans="1:19" ht="15.75" hidden="1" customHeight="1" outlineLevel="1" x14ac:dyDescent="0.25">
      <c r="A88" s="51"/>
      <c r="B88" s="51"/>
      <c r="C88" s="71"/>
      <c r="D88" s="65"/>
      <c r="E88" s="65"/>
      <c r="F88" s="65"/>
      <c r="G88" s="65"/>
      <c r="H88" s="65"/>
      <c r="I88" s="65"/>
      <c r="J88" s="65"/>
      <c r="K88" s="71"/>
      <c r="L88" s="65"/>
      <c r="M88" s="20"/>
      <c r="N88" s="20"/>
      <c r="O88" s="20"/>
      <c r="P88" s="20"/>
      <c r="Q88" s="20"/>
      <c r="R88" s="54"/>
      <c r="S88" s="55"/>
    </row>
    <row r="89" spans="1:19" ht="15.75" hidden="1" customHeight="1" outlineLevel="1" x14ac:dyDescent="0.25">
      <c r="A89" s="51"/>
      <c r="B89" s="51"/>
      <c r="C89" s="71"/>
      <c r="D89" s="65"/>
      <c r="E89" s="65"/>
      <c r="F89" s="65"/>
      <c r="G89" s="65"/>
      <c r="H89" s="65"/>
      <c r="I89" s="65"/>
      <c r="J89" s="65"/>
      <c r="K89" s="71"/>
      <c r="L89" s="65"/>
      <c r="M89" s="20"/>
      <c r="N89" s="20"/>
      <c r="O89" s="20"/>
      <c r="P89" s="20"/>
      <c r="Q89" s="20"/>
      <c r="R89" s="54"/>
      <c r="S89" s="55"/>
    </row>
    <row r="90" spans="1:19" ht="15.75" hidden="1" customHeight="1" outlineLevel="1" x14ac:dyDescent="0.25">
      <c r="A90" s="51"/>
      <c r="B90" s="51"/>
      <c r="C90" s="71"/>
      <c r="D90" s="65"/>
      <c r="E90" s="65"/>
      <c r="F90" s="65"/>
      <c r="G90" s="65"/>
      <c r="H90" s="65"/>
      <c r="I90" s="65"/>
      <c r="J90" s="65"/>
      <c r="K90" s="71"/>
      <c r="L90" s="65"/>
      <c r="M90" s="20"/>
      <c r="N90" s="20"/>
      <c r="O90" s="20"/>
      <c r="P90" s="20"/>
      <c r="Q90" s="20"/>
      <c r="R90" s="54"/>
      <c r="S90" s="55"/>
    </row>
    <row r="91" spans="1:19" ht="15.75" hidden="1" customHeight="1" outlineLevel="1" x14ac:dyDescent="0.25">
      <c r="A91" s="51"/>
      <c r="B91" s="51"/>
      <c r="C91" s="71"/>
      <c r="D91" s="65"/>
      <c r="E91" s="65"/>
      <c r="F91" s="65"/>
      <c r="G91" s="65"/>
      <c r="H91" s="65"/>
      <c r="I91" s="65"/>
      <c r="J91" s="65"/>
      <c r="K91" s="71"/>
      <c r="L91" s="65"/>
      <c r="M91" s="20"/>
      <c r="N91" s="20"/>
      <c r="O91" s="20"/>
      <c r="P91" s="20"/>
      <c r="Q91" s="20"/>
      <c r="R91" s="54"/>
      <c r="S91" s="55"/>
    </row>
    <row r="92" spans="1:19" ht="15.75" hidden="1" customHeight="1" outlineLevel="1" x14ac:dyDescent="0.25">
      <c r="A92" s="51"/>
      <c r="B92" s="51"/>
      <c r="C92" s="71"/>
      <c r="D92" s="65"/>
      <c r="E92" s="65"/>
      <c r="F92" s="65"/>
      <c r="G92" s="65"/>
      <c r="H92" s="65"/>
      <c r="I92" s="65"/>
      <c r="J92" s="65"/>
      <c r="K92" s="71"/>
      <c r="L92" s="65"/>
      <c r="M92" s="20"/>
      <c r="N92" s="20"/>
      <c r="O92" s="20"/>
      <c r="P92" s="20"/>
      <c r="Q92" s="20"/>
      <c r="R92" s="54"/>
      <c r="S92" s="55"/>
    </row>
    <row r="93" spans="1:19" ht="15.75" hidden="1" customHeight="1" outlineLevel="1" x14ac:dyDescent="0.25">
      <c r="A93" s="51"/>
      <c r="B93" s="51"/>
      <c r="C93" s="71"/>
      <c r="D93" s="65"/>
      <c r="E93" s="65"/>
      <c r="F93" s="65"/>
      <c r="G93" s="65"/>
      <c r="H93" s="65"/>
      <c r="I93" s="65"/>
      <c r="J93" s="65"/>
      <c r="K93" s="71"/>
      <c r="L93" s="65"/>
      <c r="M93" s="20"/>
      <c r="N93" s="20"/>
      <c r="O93" s="20"/>
      <c r="P93" s="20"/>
      <c r="Q93" s="20"/>
      <c r="R93" s="54"/>
      <c r="S93" s="72"/>
    </row>
    <row r="94" spans="1:19" ht="15.75" hidden="1" customHeight="1" outlineLevel="1" x14ac:dyDescent="0.25">
      <c r="A94" s="51"/>
      <c r="B94" s="51"/>
      <c r="C94" s="67"/>
      <c r="D94" s="20"/>
      <c r="E94" s="20"/>
      <c r="F94" s="20"/>
      <c r="G94" s="20"/>
      <c r="H94" s="20"/>
      <c r="I94" s="20"/>
      <c r="J94" s="20"/>
      <c r="K94" s="67"/>
      <c r="L94" s="20"/>
      <c r="M94" s="20"/>
      <c r="N94" s="20"/>
      <c r="O94" s="20"/>
      <c r="P94" s="20"/>
      <c r="Q94" s="20"/>
      <c r="R94" s="54"/>
      <c r="S94" s="54"/>
    </row>
    <row r="95" spans="1:19" ht="15.75" hidden="1" customHeight="1" outlineLevel="1" x14ac:dyDescent="0.25">
      <c r="A95" s="51"/>
      <c r="B95" s="51"/>
      <c r="C95" s="67"/>
      <c r="D95" s="20"/>
      <c r="E95" s="20"/>
      <c r="F95" s="20"/>
      <c r="G95" s="20"/>
      <c r="H95" s="20"/>
      <c r="I95" s="20"/>
      <c r="J95" s="20"/>
      <c r="K95" s="67"/>
      <c r="L95" s="20"/>
      <c r="M95" s="20"/>
      <c r="N95" s="20"/>
      <c r="O95" s="20"/>
      <c r="P95" s="20"/>
      <c r="Q95" s="20"/>
      <c r="R95" s="54"/>
      <c r="S95" s="54"/>
    </row>
    <row r="96" spans="1:19" ht="15.75" hidden="1" customHeight="1" outlineLevel="1" x14ac:dyDescent="0.25">
      <c r="A96" s="51"/>
      <c r="B96" s="51"/>
      <c r="C96" s="67"/>
      <c r="D96" s="20"/>
      <c r="E96" s="20"/>
      <c r="F96" s="20"/>
      <c r="G96" s="20"/>
      <c r="H96" s="20"/>
      <c r="I96" s="20"/>
      <c r="J96" s="20"/>
      <c r="K96" s="67"/>
      <c r="L96" s="20"/>
      <c r="M96" s="20"/>
      <c r="N96" s="73"/>
      <c r="O96" s="73"/>
      <c r="P96" s="73"/>
      <c r="Q96" s="73"/>
      <c r="R96" s="54"/>
      <c r="S96" s="68"/>
    </row>
    <row r="97" spans="1:19" ht="15.75" hidden="1" customHeight="1" outlineLevel="1" x14ac:dyDescent="0.25">
      <c r="A97" s="74"/>
      <c r="B97" s="75"/>
      <c r="C97" s="76"/>
      <c r="D97" s="77"/>
      <c r="E97" s="77"/>
      <c r="F97" s="77"/>
      <c r="G97" s="77"/>
      <c r="H97" s="75"/>
      <c r="I97" s="77"/>
      <c r="J97" s="77"/>
      <c r="K97" s="76"/>
      <c r="L97" s="77"/>
      <c r="M97" s="77"/>
      <c r="N97" s="77"/>
      <c r="O97" s="77"/>
      <c r="P97" s="77"/>
      <c r="Q97" s="77"/>
      <c r="R97" s="78"/>
      <c r="S97" s="55"/>
    </row>
    <row r="98" spans="1:19" ht="15.75" hidden="1" customHeight="1" outlineLevel="1" x14ac:dyDescent="0.2">
      <c r="C98" s="60"/>
      <c r="D98" s="54"/>
      <c r="E98" s="54"/>
      <c r="F98" s="54"/>
      <c r="G98" s="54"/>
      <c r="I98" s="54"/>
      <c r="J98" s="54"/>
      <c r="K98" s="60"/>
      <c r="L98" s="54"/>
      <c r="M98" s="54"/>
      <c r="N98" s="54"/>
      <c r="O98" s="54"/>
      <c r="P98" s="54"/>
      <c r="Q98" s="54"/>
      <c r="R98" s="54"/>
      <c r="S98" s="55"/>
    </row>
    <row r="99" spans="1:19" ht="15.75" hidden="1" customHeight="1" outlineLevel="1" x14ac:dyDescent="0.2">
      <c r="C99" s="60"/>
      <c r="D99" s="54"/>
      <c r="E99" s="54"/>
      <c r="F99" s="54"/>
      <c r="G99" s="54"/>
      <c r="I99" s="54"/>
      <c r="J99" s="54"/>
      <c r="K99" s="60"/>
      <c r="L99" s="54"/>
      <c r="M99" s="54"/>
      <c r="N99" s="54"/>
      <c r="O99" s="54"/>
      <c r="P99" s="54"/>
      <c r="Q99" s="54"/>
      <c r="R99" s="54"/>
      <c r="S99" s="55"/>
    </row>
    <row r="100" spans="1:19" ht="15.75" hidden="1" customHeight="1" outlineLevel="1" x14ac:dyDescent="0.2">
      <c r="A100" s="3"/>
      <c r="B100" s="3"/>
      <c r="C100" s="21"/>
      <c r="D100" s="4"/>
      <c r="E100" s="4"/>
      <c r="F100" s="4"/>
      <c r="G100" s="4"/>
      <c r="H100" s="3"/>
      <c r="I100" s="4"/>
      <c r="J100" s="4"/>
      <c r="K100" s="21"/>
      <c r="L100" s="4"/>
      <c r="M100" s="4"/>
      <c r="N100" s="4"/>
      <c r="O100" s="4"/>
      <c r="P100" s="70"/>
      <c r="Q100" s="70"/>
      <c r="R100" s="54"/>
      <c r="S100" s="55"/>
    </row>
    <row r="101" spans="1:19" ht="15.75" hidden="1" customHeight="1" outlineLevel="1" x14ac:dyDescent="0.25">
      <c r="A101" s="51"/>
      <c r="B101" s="51"/>
      <c r="C101" s="71"/>
      <c r="D101" s="65"/>
      <c r="E101" s="65"/>
      <c r="F101" s="65"/>
      <c r="G101" s="65"/>
      <c r="H101" s="65"/>
      <c r="I101" s="65"/>
      <c r="J101" s="65"/>
      <c r="K101" s="71"/>
      <c r="L101" s="65"/>
      <c r="M101" s="20"/>
      <c r="N101" s="20"/>
      <c r="O101" s="20"/>
      <c r="P101" s="20"/>
      <c r="Q101" s="20"/>
      <c r="R101" s="54"/>
      <c r="S101" s="55"/>
    </row>
    <row r="102" spans="1:19" ht="15.75" hidden="1" customHeight="1" outlineLevel="1" x14ac:dyDescent="0.25">
      <c r="A102" s="51"/>
      <c r="B102" s="51"/>
      <c r="C102" s="71"/>
      <c r="D102" s="65"/>
      <c r="E102" s="65"/>
      <c r="F102" s="65"/>
      <c r="G102" s="65"/>
      <c r="H102" s="65"/>
      <c r="I102" s="65"/>
      <c r="J102" s="65"/>
      <c r="K102" s="71"/>
      <c r="L102" s="65"/>
      <c r="M102" s="20"/>
      <c r="N102" s="20"/>
      <c r="O102" s="20"/>
      <c r="P102" s="20"/>
      <c r="Q102" s="20"/>
      <c r="R102" s="54"/>
      <c r="S102" s="55"/>
    </row>
    <row r="103" spans="1:19" ht="15.75" hidden="1" customHeight="1" outlineLevel="1" x14ac:dyDescent="0.25">
      <c r="A103" s="51"/>
      <c r="B103" s="51"/>
      <c r="C103" s="71"/>
      <c r="D103" s="65"/>
      <c r="E103" s="65"/>
      <c r="F103" s="65"/>
      <c r="G103" s="65"/>
      <c r="H103" s="65"/>
      <c r="I103" s="65"/>
      <c r="J103" s="65"/>
      <c r="K103" s="71"/>
      <c r="L103" s="65"/>
      <c r="M103" s="20"/>
      <c r="N103" s="20"/>
      <c r="O103" s="20"/>
      <c r="P103" s="20"/>
      <c r="Q103" s="20"/>
      <c r="R103" s="54"/>
      <c r="S103" s="55"/>
    </row>
    <row r="104" spans="1:19" ht="15.75" hidden="1" customHeight="1" outlineLevel="1" x14ac:dyDescent="0.25">
      <c r="A104" s="51"/>
      <c r="B104" s="51"/>
      <c r="C104" s="71"/>
      <c r="D104" s="65"/>
      <c r="E104" s="65"/>
      <c r="F104" s="65"/>
      <c r="G104" s="65"/>
      <c r="H104" s="65"/>
      <c r="I104" s="65"/>
      <c r="J104" s="65"/>
      <c r="K104" s="71"/>
      <c r="L104" s="65"/>
      <c r="M104" s="20"/>
      <c r="N104" s="20"/>
      <c r="O104" s="20"/>
      <c r="P104" s="20"/>
      <c r="Q104" s="20"/>
      <c r="R104" s="54"/>
      <c r="S104" s="55"/>
    </row>
    <row r="105" spans="1:19" ht="15.75" hidden="1" customHeight="1" outlineLevel="1" x14ac:dyDescent="0.25">
      <c r="A105" s="51"/>
      <c r="B105" s="51"/>
      <c r="C105" s="71"/>
      <c r="D105" s="65"/>
      <c r="E105" s="65"/>
      <c r="F105" s="65"/>
      <c r="G105" s="65"/>
      <c r="H105" s="65"/>
      <c r="I105" s="65"/>
      <c r="J105" s="65"/>
      <c r="K105" s="71"/>
      <c r="L105" s="65"/>
      <c r="M105" s="20"/>
      <c r="N105" s="20"/>
      <c r="O105" s="20"/>
      <c r="P105" s="20"/>
      <c r="Q105" s="20"/>
      <c r="R105" s="54"/>
      <c r="S105" s="55"/>
    </row>
    <row r="106" spans="1:19" ht="15.75" hidden="1" customHeight="1" outlineLevel="1" x14ac:dyDescent="0.25">
      <c r="A106" s="51"/>
      <c r="B106" s="51"/>
      <c r="C106" s="71"/>
      <c r="D106" s="65"/>
      <c r="E106" s="65"/>
      <c r="F106" s="65"/>
      <c r="G106" s="65"/>
      <c r="H106" s="65"/>
      <c r="I106" s="65"/>
      <c r="J106" s="65"/>
      <c r="K106" s="71"/>
      <c r="L106" s="65"/>
      <c r="M106" s="20"/>
      <c r="N106" s="20"/>
      <c r="O106" s="20"/>
      <c r="P106" s="20"/>
      <c r="Q106" s="20"/>
      <c r="R106" s="54"/>
      <c r="S106" s="55"/>
    </row>
    <row r="107" spans="1:19" ht="15.75" hidden="1" customHeight="1" outlineLevel="1" x14ac:dyDescent="0.25">
      <c r="A107" s="51"/>
      <c r="B107" s="51"/>
      <c r="C107" s="71"/>
      <c r="D107" s="65"/>
      <c r="E107" s="65"/>
      <c r="F107" s="65"/>
      <c r="G107" s="65"/>
      <c r="H107" s="65"/>
      <c r="I107" s="65"/>
      <c r="J107" s="65"/>
      <c r="K107" s="71"/>
      <c r="L107" s="65"/>
      <c r="M107" s="20"/>
      <c r="N107" s="20"/>
      <c r="O107" s="20"/>
      <c r="P107" s="20"/>
      <c r="Q107" s="20"/>
      <c r="R107" s="54"/>
      <c r="S107" s="55"/>
    </row>
    <row r="108" spans="1:19" ht="15.75" hidden="1" customHeight="1" outlineLevel="1" x14ac:dyDescent="0.25">
      <c r="A108" s="51"/>
      <c r="B108" s="51"/>
      <c r="C108" s="71"/>
      <c r="D108" s="65"/>
      <c r="E108" s="65"/>
      <c r="F108" s="65"/>
      <c r="G108" s="65"/>
      <c r="H108" s="65"/>
      <c r="I108" s="65"/>
      <c r="J108" s="65"/>
      <c r="K108" s="71"/>
      <c r="L108" s="65"/>
      <c r="M108" s="20"/>
      <c r="N108" s="20"/>
      <c r="O108" s="20"/>
      <c r="P108" s="20"/>
      <c r="Q108" s="20"/>
      <c r="R108" s="54"/>
      <c r="S108" s="55"/>
    </row>
    <row r="109" spans="1:19" ht="15.75" hidden="1" customHeight="1" outlineLevel="1" x14ac:dyDescent="0.25">
      <c r="A109" s="51"/>
      <c r="B109" s="51"/>
      <c r="C109" s="71"/>
      <c r="D109" s="65"/>
      <c r="E109" s="65"/>
      <c r="F109" s="65"/>
      <c r="G109" s="65"/>
      <c r="H109" s="65"/>
      <c r="I109" s="65"/>
      <c r="J109" s="65"/>
      <c r="K109" s="71"/>
      <c r="L109" s="65"/>
      <c r="M109" s="20"/>
      <c r="N109" s="20"/>
      <c r="O109" s="20"/>
      <c r="P109" s="20"/>
      <c r="Q109" s="20"/>
      <c r="R109" s="54"/>
      <c r="S109" s="55"/>
    </row>
    <row r="110" spans="1:19" ht="15.75" hidden="1" customHeight="1" outlineLevel="1" x14ac:dyDescent="0.25">
      <c r="A110" s="51"/>
      <c r="B110" s="51"/>
      <c r="C110" s="71"/>
      <c r="D110" s="65"/>
      <c r="E110" s="65"/>
      <c r="F110" s="65"/>
      <c r="G110" s="65"/>
      <c r="H110" s="65"/>
      <c r="I110" s="65"/>
      <c r="J110" s="65"/>
      <c r="K110" s="71"/>
      <c r="L110" s="65"/>
      <c r="M110" s="20"/>
      <c r="N110" s="20"/>
      <c r="O110" s="20"/>
      <c r="P110" s="20"/>
      <c r="Q110" s="20"/>
      <c r="R110" s="54"/>
      <c r="S110" s="55"/>
    </row>
    <row r="111" spans="1:19" ht="15.75" hidden="1" customHeight="1" outlineLevel="1" x14ac:dyDescent="0.25">
      <c r="A111" s="51"/>
      <c r="B111" s="51"/>
      <c r="C111" s="71"/>
      <c r="D111" s="65"/>
      <c r="E111" s="65"/>
      <c r="F111" s="65"/>
      <c r="G111" s="65"/>
      <c r="H111" s="65"/>
      <c r="I111" s="65"/>
      <c r="J111" s="65"/>
      <c r="K111" s="71"/>
      <c r="L111" s="65"/>
      <c r="M111" s="20"/>
      <c r="N111" s="20"/>
      <c r="O111" s="20"/>
      <c r="P111" s="20"/>
      <c r="Q111" s="20"/>
      <c r="R111" s="54"/>
      <c r="S111" s="55"/>
    </row>
    <row r="112" spans="1:19" ht="15.75" hidden="1" customHeight="1" outlineLevel="1" x14ac:dyDescent="0.25">
      <c r="A112" s="51"/>
      <c r="B112" s="51"/>
      <c r="C112" s="71"/>
      <c r="D112" s="65"/>
      <c r="E112" s="65"/>
      <c r="F112" s="65"/>
      <c r="G112" s="65"/>
      <c r="H112" s="65"/>
      <c r="I112" s="65"/>
      <c r="J112" s="65"/>
      <c r="K112" s="71"/>
      <c r="L112" s="65"/>
      <c r="M112" s="20"/>
      <c r="N112" s="20"/>
      <c r="O112" s="20"/>
      <c r="P112" s="20"/>
      <c r="Q112" s="20"/>
      <c r="R112" s="54"/>
      <c r="S112" s="55"/>
    </row>
    <row r="113" spans="1:19" ht="15.75" hidden="1" customHeight="1" outlineLevel="1" x14ac:dyDescent="0.25">
      <c r="A113" s="51"/>
      <c r="B113" s="51"/>
      <c r="C113" s="71"/>
      <c r="D113" s="65"/>
      <c r="E113" s="65"/>
      <c r="F113" s="65"/>
      <c r="G113" s="65"/>
      <c r="H113" s="65"/>
      <c r="I113" s="65"/>
      <c r="J113" s="65"/>
      <c r="K113" s="71"/>
      <c r="L113" s="65"/>
      <c r="M113" s="20"/>
      <c r="N113" s="20"/>
      <c r="O113" s="20"/>
      <c r="P113" s="20"/>
      <c r="Q113" s="20"/>
      <c r="R113" s="54"/>
      <c r="S113" s="55"/>
    </row>
    <row r="114" spans="1:19" ht="15.75" hidden="1" customHeight="1" outlineLevel="1" x14ac:dyDescent="0.25">
      <c r="A114" s="51"/>
      <c r="B114" s="51"/>
      <c r="C114" s="71"/>
      <c r="D114" s="65"/>
      <c r="E114" s="65"/>
      <c r="F114" s="65"/>
      <c r="G114" s="65"/>
      <c r="H114" s="65"/>
      <c r="I114" s="65"/>
      <c r="J114" s="65"/>
      <c r="K114" s="71"/>
      <c r="L114" s="65"/>
      <c r="M114" s="20"/>
      <c r="N114" s="20"/>
      <c r="O114" s="20"/>
      <c r="P114" s="20"/>
      <c r="Q114" s="20"/>
      <c r="R114" s="54"/>
      <c r="S114" s="55"/>
    </row>
    <row r="115" spans="1:19" ht="15.75" hidden="1" customHeight="1" outlineLevel="1" x14ac:dyDescent="0.25">
      <c r="A115" s="51"/>
      <c r="B115" s="51"/>
      <c r="C115" s="71"/>
      <c r="D115" s="65"/>
      <c r="E115" s="65"/>
      <c r="F115" s="65"/>
      <c r="G115" s="65"/>
      <c r="H115" s="65"/>
      <c r="I115" s="65"/>
      <c r="J115" s="65"/>
      <c r="K115" s="71"/>
      <c r="L115" s="65"/>
      <c r="M115" s="20"/>
      <c r="N115" s="20"/>
      <c r="O115" s="20"/>
      <c r="P115" s="20"/>
      <c r="Q115" s="20"/>
      <c r="R115" s="54"/>
      <c r="S115" s="55"/>
    </row>
    <row r="116" spans="1:19" ht="15.75" hidden="1" customHeight="1" outlineLevel="1" x14ac:dyDescent="0.25">
      <c r="A116" s="51"/>
      <c r="B116" s="51"/>
      <c r="C116" s="71"/>
      <c r="D116" s="65"/>
      <c r="E116" s="65"/>
      <c r="F116" s="65"/>
      <c r="G116" s="65"/>
      <c r="H116" s="65"/>
      <c r="I116" s="65"/>
      <c r="J116" s="65"/>
      <c r="K116" s="71"/>
      <c r="L116" s="65"/>
      <c r="M116" s="20"/>
      <c r="N116" s="20"/>
      <c r="O116" s="20"/>
      <c r="P116" s="20"/>
      <c r="Q116" s="20"/>
      <c r="R116" s="54"/>
      <c r="S116" s="55"/>
    </row>
    <row r="117" spans="1:19" ht="15.75" hidden="1" customHeight="1" outlineLevel="1" x14ac:dyDescent="0.25">
      <c r="A117" s="51"/>
      <c r="B117" s="51"/>
      <c r="C117" s="71"/>
      <c r="D117" s="65"/>
      <c r="E117" s="65"/>
      <c r="F117" s="65"/>
      <c r="G117" s="65"/>
      <c r="H117" s="65"/>
      <c r="I117" s="65"/>
      <c r="J117" s="65"/>
      <c r="K117" s="71"/>
      <c r="L117" s="65"/>
      <c r="M117" s="20"/>
      <c r="N117" s="20"/>
      <c r="O117" s="20"/>
      <c r="P117" s="20"/>
      <c r="Q117" s="20"/>
      <c r="R117" s="54"/>
      <c r="S117" s="55"/>
    </row>
    <row r="118" spans="1:19" ht="15.75" hidden="1" customHeight="1" outlineLevel="1" x14ac:dyDescent="0.25">
      <c r="A118" s="51"/>
      <c r="B118" s="51"/>
      <c r="C118" s="71"/>
      <c r="D118" s="65"/>
      <c r="E118" s="65"/>
      <c r="F118" s="65"/>
      <c r="G118" s="65"/>
      <c r="H118" s="65"/>
      <c r="I118" s="65"/>
      <c r="J118" s="65"/>
      <c r="K118" s="71"/>
      <c r="L118" s="65"/>
      <c r="M118" s="20"/>
      <c r="N118" s="20"/>
      <c r="O118" s="20"/>
      <c r="P118" s="20"/>
      <c r="Q118" s="20"/>
      <c r="R118" s="54"/>
      <c r="S118" s="55"/>
    </row>
    <row r="119" spans="1:19" ht="15.75" hidden="1" customHeight="1" outlineLevel="1" x14ac:dyDescent="0.25">
      <c r="A119" s="51"/>
      <c r="B119" s="51"/>
      <c r="C119" s="71"/>
      <c r="D119" s="65"/>
      <c r="E119" s="65"/>
      <c r="F119" s="65"/>
      <c r="G119" s="65"/>
      <c r="H119" s="65"/>
      <c r="I119" s="65"/>
      <c r="J119" s="65"/>
      <c r="K119" s="71"/>
      <c r="L119" s="65"/>
      <c r="M119" s="20"/>
      <c r="N119" s="20"/>
      <c r="O119" s="20"/>
      <c r="P119" s="20"/>
      <c r="Q119" s="20"/>
      <c r="R119" s="54"/>
      <c r="S119" s="55"/>
    </row>
    <row r="120" spans="1:19" ht="15.75" hidden="1" customHeight="1" outlineLevel="1" x14ac:dyDescent="0.25">
      <c r="A120" s="51"/>
      <c r="B120" s="51"/>
      <c r="C120" s="71"/>
      <c r="D120" s="65"/>
      <c r="E120" s="65"/>
      <c r="F120" s="65"/>
      <c r="G120" s="65"/>
      <c r="H120" s="65"/>
      <c r="I120" s="65"/>
      <c r="J120" s="65"/>
      <c r="K120" s="71"/>
      <c r="L120" s="65"/>
      <c r="M120" s="20"/>
      <c r="N120" s="20"/>
      <c r="O120" s="20"/>
      <c r="P120" s="20"/>
      <c r="Q120" s="20"/>
      <c r="R120" s="54"/>
      <c r="S120" s="72"/>
    </row>
    <row r="121" spans="1:19" ht="15.75" hidden="1" customHeight="1" outlineLevel="1" x14ac:dyDescent="0.25">
      <c r="A121" s="51"/>
      <c r="B121" s="51"/>
      <c r="C121" s="67"/>
      <c r="D121" s="20"/>
      <c r="E121" s="20"/>
      <c r="F121" s="20"/>
      <c r="G121" s="20"/>
      <c r="H121" s="20"/>
      <c r="I121" s="20"/>
      <c r="J121" s="20"/>
      <c r="K121" s="67"/>
      <c r="L121" s="20"/>
      <c r="M121" s="20"/>
      <c r="N121" s="20"/>
      <c r="O121" s="20"/>
      <c r="P121" s="20"/>
      <c r="Q121" s="20"/>
      <c r="R121" s="54"/>
      <c r="S121" s="54"/>
    </row>
    <row r="122" spans="1:19" ht="15.75" hidden="1" customHeight="1" outlineLevel="1" x14ac:dyDescent="0.25">
      <c r="A122" s="51"/>
      <c r="B122" s="51"/>
      <c r="C122" s="67"/>
      <c r="D122" s="20"/>
      <c r="E122" s="20"/>
      <c r="F122" s="20"/>
      <c r="G122" s="20"/>
      <c r="H122" s="20"/>
      <c r="I122" s="20"/>
      <c r="J122" s="20"/>
      <c r="K122" s="67"/>
      <c r="L122" s="20"/>
      <c r="M122" s="20"/>
      <c r="N122" s="20"/>
      <c r="O122" s="20"/>
      <c r="P122" s="20"/>
      <c r="Q122" s="20"/>
      <c r="R122" s="54"/>
      <c r="S122" s="68"/>
    </row>
    <row r="123" spans="1:19" ht="15.75" hidden="1" customHeight="1" outlineLevel="1" x14ac:dyDescent="0.25">
      <c r="A123" s="51"/>
      <c r="B123" s="51"/>
      <c r="C123" s="67"/>
      <c r="D123" s="20"/>
      <c r="E123" s="20"/>
      <c r="F123" s="20"/>
      <c r="G123" s="20"/>
      <c r="H123" s="20"/>
      <c r="I123" s="20"/>
      <c r="J123" s="20"/>
      <c r="K123" s="67"/>
      <c r="L123" s="20"/>
      <c r="M123" s="20"/>
      <c r="N123" s="73"/>
      <c r="O123" s="73"/>
      <c r="P123" s="73"/>
      <c r="Q123" s="73"/>
      <c r="R123" s="54"/>
      <c r="S123" s="55"/>
    </row>
    <row r="124" spans="1:19" ht="15.75" hidden="1" customHeight="1" outlineLevel="1" x14ac:dyDescent="0.25">
      <c r="A124" s="74"/>
      <c r="B124" s="75"/>
      <c r="C124" s="76"/>
      <c r="D124" s="77"/>
      <c r="E124" s="77"/>
      <c r="F124" s="77"/>
      <c r="G124" s="77"/>
      <c r="H124" s="75"/>
      <c r="I124" s="77"/>
      <c r="J124" s="77"/>
      <c r="K124" s="76"/>
      <c r="L124" s="77"/>
      <c r="M124" s="77"/>
      <c r="N124" s="77"/>
      <c r="O124" s="77"/>
      <c r="P124" s="77"/>
      <c r="Q124" s="77"/>
      <c r="R124" s="78"/>
      <c r="S124" s="55"/>
    </row>
    <row r="125" spans="1:19" ht="15.75" hidden="1" customHeight="1" outlineLevel="1" x14ac:dyDescent="0.2">
      <c r="C125" s="60"/>
      <c r="D125" s="54"/>
      <c r="E125" s="54"/>
      <c r="F125" s="54"/>
      <c r="G125" s="54"/>
      <c r="I125" s="54"/>
      <c r="J125" s="54"/>
      <c r="K125" s="60"/>
      <c r="L125" s="54"/>
      <c r="M125" s="54"/>
      <c r="N125" s="54"/>
      <c r="O125" s="54"/>
      <c r="P125" s="54"/>
      <c r="Q125" s="54"/>
      <c r="R125" s="54"/>
      <c r="S125" s="72"/>
    </row>
    <row r="126" spans="1:19" ht="15.75" hidden="1" customHeight="1" outlineLevel="1" x14ac:dyDescent="0.2">
      <c r="A126" s="3"/>
      <c r="B126" s="3"/>
      <c r="C126" s="21"/>
      <c r="D126" s="4"/>
      <c r="E126" s="4"/>
      <c r="F126" s="4"/>
      <c r="G126" s="4"/>
      <c r="H126" s="3"/>
      <c r="I126" s="4"/>
      <c r="J126" s="4"/>
      <c r="K126" s="21"/>
      <c r="L126" s="4"/>
      <c r="M126" s="4"/>
      <c r="N126" s="4"/>
      <c r="O126" s="4"/>
      <c r="P126" s="70"/>
      <c r="Q126" s="70"/>
      <c r="R126" s="54"/>
      <c r="S126" s="54"/>
    </row>
    <row r="127" spans="1:19" ht="15.75" hidden="1" customHeight="1" outlineLevel="1" x14ac:dyDescent="0.2">
      <c r="A127" s="51"/>
      <c r="B127" s="51"/>
      <c r="C127" s="79"/>
      <c r="D127" s="73"/>
      <c r="E127" s="73"/>
      <c r="F127" s="73"/>
      <c r="G127" s="73"/>
      <c r="H127" s="80"/>
      <c r="I127" s="73"/>
      <c r="J127" s="73"/>
      <c r="K127" s="79"/>
      <c r="L127" s="73"/>
      <c r="M127" s="73"/>
      <c r="N127" s="73"/>
      <c r="O127" s="73"/>
      <c r="P127" s="73"/>
      <c r="Q127" s="73"/>
      <c r="R127" s="54"/>
      <c r="S127" s="81"/>
    </row>
    <row r="128" spans="1:19" ht="15.75" hidden="1" customHeight="1" outlineLevel="1" x14ac:dyDescent="0.2">
      <c r="A128" s="51"/>
      <c r="B128" s="51"/>
      <c r="C128" s="79"/>
      <c r="D128" s="73"/>
      <c r="E128" s="73"/>
      <c r="F128" s="73"/>
      <c r="G128" s="73"/>
      <c r="H128" s="80"/>
      <c r="I128" s="73"/>
      <c r="J128" s="73"/>
      <c r="K128" s="79"/>
      <c r="L128" s="73"/>
      <c r="M128" s="73"/>
      <c r="N128" s="73"/>
      <c r="O128" s="73"/>
      <c r="P128" s="73"/>
      <c r="Q128" s="73"/>
      <c r="R128" s="54"/>
      <c r="S128" s="82"/>
    </row>
    <row r="129" spans="1:31" ht="15.75" hidden="1" customHeight="1" outlineLevel="1" x14ac:dyDescent="0.25">
      <c r="A129" s="74"/>
      <c r="B129" s="75"/>
      <c r="C129" s="76"/>
      <c r="D129" s="77"/>
      <c r="E129" s="77"/>
      <c r="F129" s="77"/>
      <c r="G129" s="77"/>
      <c r="H129" s="75"/>
      <c r="I129" s="77"/>
      <c r="J129" s="77"/>
      <c r="K129" s="76"/>
      <c r="L129" s="77"/>
      <c r="M129" s="77"/>
      <c r="N129" s="77"/>
      <c r="O129" s="77"/>
      <c r="P129" s="77"/>
      <c r="Q129" s="77"/>
      <c r="R129" s="78"/>
      <c r="S129" s="55"/>
    </row>
    <row r="130" spans="1:31" ht="15.75" customHeight="1" x14ac:dyDescent="0.2">
      <c r="C130" s="60"/>
      <c r="D130" s="54"/>
      <c r="E130" s="54"/>
      <c r="F130" s="54"/>
      <c r="G130" s="54"/>
      <c r="I130" s="54"/>
      <c r="J130" s="54"/>
      <c r="K130" s="60"/>
      <c r="L130" s="54"/>
      <c r="M130" s="54"/>
      <c r="N130" s="54"/>
      <c r="O130" s="54"/>
      <c r="P130" s="54"/>
      <c r="Q130" s="54"/>
      <c r="R130" s="54"/>
      <c r="S130" s="55"/>
    </row>
    <row r="131" spans="1:31" ht="15.75" customHeight="1" x14ac:dyDescent="0.2">
      <c r="A131" s="83"/>
      <c r="B131" s="83"/>
      <c r="C131" s="60"/>
      <c r="D131" s="81"/>
      <c r="E131" s="81"/>
      <c r="F131" s="81"/>
      <c r="G131" s="81"/>
      <c r="H131" s="83"/>
      <c r="I131" s="81"/>
      <c r="J131" s="81"/>
      <c r="K131" s="60"/>
      <c r="L131" s="81"/>
      <c r="M131" s="81"/>
      <c r="N131" s="81"/>
      <c r="O131" s="81"/>
      <c r="P131" s="81"/>
      <c r="Q131" s="81"/>
      <c r="R131" s="81"/>
      <c r="S131" s="55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</row>
    <row r="132" spans="1:31" ht="15.75" customHeight="1" x14ac:dyDescent="0.2">
      <c r="A132" s="84"/>
      <c r="B132" s="84"/>
      <c r="C132" s="85"/>
      <c r="D132" s="86"/>
      <c r="E132" s="86"/>
      <c r="F132" s="86"/>
      <c r="G132" s="86"/>
      <c r="H132" s="84"/>
      <c r="I132" s="86"/>
      <c r="J132" s="86"/>
      <c r="K132" s="85"/>
      <c r="L132" s="86"/>
      <c r="M132" s="86"/>
      <c r="N132" s="86"/>
      <c r="O132" s="86"/>
      <c r="P132" s="87"/>
      <c r="Q132" s="87"/>
      <c r="R132" s="81"/>
      <c r="S132" s="55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</row>
    <row r="133" spans="1:31" ht="15.75" customHeight="1" x14ac:dyDescent="0.25">
      <c r="A133" s="51"/>
      <c r="B133" s="51"/>
      <c r="C133" s="71"/>
      <c r="D133" s="65"/>
      <c r="E133" s="65"/>
      <c r="F133" s="65"/>
      <c r="G133" s="65"/>
      <c r="H133" s="65"/>
      <c r="I133" s="65"/>
      <c r="J133" s="65"/>
      <c r="K133" s="71"/>
      <c r="L133" s="65"/>
      <c r="M133" s="65"/>
      <c r="N133" s="65"/>
      <c r="O133" s="65"/>
      <c r="P133" s="65"/>
      <c r="Q133" s="65"/>
      <c r="R133" s="54"/>
      <c r="S133" s="55"/>
    </row>
    <row r="134" spans="1:31" ht="15.75" customHeight="1" x14ac:dyDescent="0.25">
      <c r="A134" s="51"/>
      <c r="B134" s="51"/>
      <c r="C134" s="71"/>
      <c r="D134" s="65"/>
      <c r="E134" s="65"/>
      <c r="F134" s="65"/>
      <c r="G134" s="65"/>
      <c r="H134" s="65"/>
      <c r="I134" s="65"/>
      <c r="J134" s="65"/>
      <c r="K134" s="71"/>
      <c r="L134" s="65"/>
      <c r="M134" s="65"/>
      <c r="N134" s="65"/>
      <c r="O134" s="65"/>
      <c r="P134" s="65"/>
      <c r="Q134" s="65"/>
      <c r="R134" s="54"/>
      <c r="S134" s="55"/>
    </row>
    <row r="135" spans="1:31" ht="15.75" customHeight="1" x14ac:dyDescent="0.25">
      <c r="A135" s="51"/>
      <c r="B135" s="51"/>
      <c r="C135" s="71"/>
      <c r="D135" s="65"/>
      <c r="E135" s="65"/>
      <c r="F135" s="65"/>
      <c r="G135" s="65"/>
      <c r="H135" s="65"/>
      <c r="I135" s="65"/>
      <c r="J135" s="65"/>
      <c r="K135" s="71"/>
      <c r="L135" s="65"/>
      <c r="M135" s="65"/>
      <c r="N135" s="65"/>
      <c r="O135" s="65"/>
      <c r="P135" s="65"/>
      <c r="Q135" s="65"/>
      <c r="R135" s="54"/>
      <c r="S135" s="55"/>
    </row>
    <row r="136" spans="1:31" ht="15.75" customHeight="1" x14ac:dyDescent="0.25">
      <c r="A136" s="51"/>
      <c r="B136" s="51"/>
      <c r="C136" s="71"/>
      <c r="D136" s="65"/>
      <c r="E136" s="65"/>
      <c r="F136" s="65"/>
      <c r="G136" s="65"/>
      <c r="H136" s="65"/>
      <c r="I136" s="65"/>
      <c r="J136" s="65"/>
      <c r="K136" s="71"/>
      <c r="L136" s="65"/>
      <c r="M136" s="65"/>
      <c r="N136" s="65"/>
      <c r="O136" s="65"/>
      <c r="P136" s="65"/>
      <c r="Q136" s="65"/>
      <c r="R136" s="54"/>
      <c r="S136" s="55"/>
    </row>
    <row r="137" spans="1:31" ht="15.75" customHeight="1" x14ac:dyDescent="0.25">
      <c r="A137" s="51"/>
      <c r="B137" s="51"/>
      <c r="C137" s="71"/>
      <c r="D137" s="65"/>
      <c r="E137" s="65"/>
      <c r="F137" s="65"/>
      <c r="G137" s="65"/>
      <c r="H137" s="65"/>
      <c r="I137" s="65"/>
      <c r="J137" s="65"/>
      <c r="K137" s="71"/>
      <c r="L137" s="65"/>
      <c r="M137" s="65"/>
      <c r="N137" s="65"/>
      <c r="O137" s="65"/>
      <c r="P137" s="65"/>
      <c r="Q137" s="65"/>
      <c r="R137" s="54"/>
      <c r="S137" s="55"/>
    </row>
    <row r="138" spans="1:31" ht="15.75" customHeight="1" x14ac:dyDescent="0.25">
      <c r="A138" s="51"/>
      <c r="B138" s="51"/>
      <c r="C138" s="71"/>
      <c r="D138" s="65"/>
      <c r="E138" s="65"/>
      <c r="F138" s="65"/>
      <c r="G138" s="65"/>
      <c r="H138" s="65"/>
      <c r="I138" s="65"/>
      <c r="J138" s="65"/>
      <c r="K138" s="71"/>
      <c r="L138" s="65"/>
      <c r="M138" s="65"/>
      <c r="N138" s="65"/>
      <c r="O138" s="65"/>
      <c r="P138" s="65"/>
      <c r="Q138" s="65"/>
      <c r="R138" s="54"/>
      <c r="S138" s="55"/>
    </row>
    <row r="139" spans="1:31" ht="15.75" customHeight="1" x14ac:dyDescent="0.25">
      <c r="A139" s="51"/>
      <c r="B139" s="51"/>
      <c r="C139" s="71"/>
      <c r="D139" s="65"/>
      <c r="E139" s="65"/>
      <c r="F139" s="65"/>
      <c r="G139" s="65"/>
      <c r="H139" s="65"/>
      <c r="I139" s="65"/>
      <c r="J139" s="65"/>
      <c r="K139" s="71"/>
      <c r="L139" s="65"/>
      <c r="M139" s="65"/>
      <c r="N139" s="65"/>
      <c r="O139" s="65"/>
      <c r="P139" s="65"/>
      <c r="Q139" s="65"/>
      <c r="R139" s="54"/>
      <c r="S139" s="55"/>
    </row>
    <row r="140" spans="1:31" ht="15.75" customHeight="1" x14ac:dyDescent="0.25">
      <c r="A140" s="51"/>
      <c r="B140" s="51"/>
      <c r="C140" s="71"/>
      <c r="D140" s="65"/>
      <c r="E140" s="65"/>
      <c r="F140" s="65"/>
      <c r="G140" s="65"/>
      <c r="H140" s="65"/>
      <c r="I140" s="65"/>
      <c r="J140" s="65"/>
      <c r="K140" s="71"/>
      <c r="L140" s="65"/>
      <c r="M140" s="65"/>
      <c r="N140" s="65"/>
      <c r="O140" s="65"/>
      <c r="P140" s="65"/>
      <c r="Q140" s="65"/>
      <c r="R140" s="54"/>
      <c r="S140" s="55"/>
    </row>
    <row r="141" spans="1:31" ht="15.75" customHeight="1" x14ac:dyDescent="0.25">
      <c r="A141" s="51"/>
      <c r="B141" s="51"/>
      <c r="C141" s="71"/>
      <c r="D141" s="65"/>
      <c r="E141" s="65"/>
      <c r="F141" s="65"/>
      <c r="G141" s="65"/>
      <c r="H141" s="65"/>
      <c r="I141" s="65"/>
      <c r="J141" s="65"/>
      <c r="K141" s="71"/>
      <c r="L141" s="65"/>
      <c r="M141" s="65"/>
      <c r="N141" s="65"/>
      <c r="O141" s="65"/>
      <c r="P141" s="65"/>
      <c r="Q141" s="65"/>
      <c r="R141" s="54"/>
      <c r="S141" s="55"/>
    </row>
    <row r="142" spans="1:31" ht="15.75" customHeight="1" x14ac:dyDescent="0.25">
      <c r="A142" s="51"/>
      <c r="B142" s="51"/>
      <c r="C142" s="71"/>
      <c r="D142" s="65"/>
      <c r="E142" s="65"/>
      <c r="F142" s="65"/>
      <c r="G142" s="65"/>
      <c r="H142" s="65"/>
      <c r="I142" s="65"/>
      <c r="J142" s="65"/>
      <c r="K142" s="71"/>
      <c r="L142" s="65"/>
      <c r="M142" s="65"/>
      <c r="N142" s="65"/>
      <c r="O142" s="65"/>
      <c r="P142" s="65"/>
      <c r="Q142" s="65"/>
      <c r="R142" s="54"/>
      <c r="S142" s="55"/>
    </row>
    <row r="143" spans="1:31" ht="15.75" customHeight="1" x14ac:dyDescent="0.25">
      <c r="A143" s="51"/>
      <c r="B143" s="51"/>
      <c r="C143" s="71"/>
      <c r="D143" s="65"/>
      <c r="E143" s="65"/>
      <c r="F143" s="65"/>
      <c r="G143" s="65"/>
      <c r="H143" s="65"/>
      <c r="I143" s="65"/>
      <c r="J143" s="65"/>
      <c r="K143" s="71"/>
      <c r="L143" s="65"/>
      <c r="M143" s="65"/>
      <c r="N143" s="65"/>
      <c r="O143" s="65"/>
      <c r="P143" s="65"/>
      <c r="Q143" s="65"/>
      <c r="R143" s="54"/>
      <c r="S143" s="55"/>
    </row>
    <row r="144" spans="1:31" ht="15.75" customHeight="1" x14ac:dyDescent="0.25">
      <c r="A144" s="51"/>
      <c r="B144" s="51"/>
      <c r="C144" s="71"/>
      <c r="D144" s="65"/>
      <c r="E144" s="65"/>
      <c r="F144" s="65"/>
      <c r="G144" s="65"/>
      <c r="H144" s="65"/>
      <c r="I144" s="65"/>
      <c r="J144" s="65"/>
      <c r="K144" s="71"/>
      <c r="L144" s="65"/>
      <c r="M144" s="65"/>
      <c r="N144" s="65"/>
      <c r="O144" s="65"/>
      <c r="P144" s="65"/>
      <c r="Q144" s="65"/>
      <c r="R144" s="54"/>
      <c r="S144" s="55"/>
    </row>
    <row r="145" spans="1:31" ht="15.75" customHeight="1" x14ac:dyDescent="0.25">
      <c r="A145" s="51"/>
      <c r="B145" s="51"/>
      <c r="C145" s="71"/>
      <c r="D145" s="65"/>
      <c r="E145" s="65"/>
      <c r="F145" s="65"/>
      <c r="G145" s="65"/>
      <c r="H145" s="65"/>
      <c r="I145" s="65"/>
      <c r="J145" s="65"/>
      <c r="K145" s="71"/>
      <c r="L145" s="65"/>
      <c r="M145" s="65"/>
      <c r="N145" s="65"/>
      <c r="O145" s="65"/>
      <c r="P145" s="65"/>
      <c r="Q145" s="65"/>
      <c r="R145" s="54"/>
      <c r="S145" s="55"/>
    </row>
    <row r="146" spans="1:31" ht="15.75" customHeight="1" x14ac:dyDescent="0.25">
      <c r="A146" s="51"/>
      <c r="B146" s="51"/>
      <c r="C146" s="71"/>
      <c r="D146" s="65"/>
      <c r="E146" s="65"/>
      <c r="F146" s="65"/>
      <c r="G146" s="65"/>
      <c r="H146" s="65"/>
      <c r="I146" s="65"/>
      <c r="J146" s="65"/>
      <c r="K146" s="71"/>
      <c r="L146" s="65"/>
      <c r="M146" s="65"/>
      <c r="N146" s="65"/>
      <c r="O146" s="65"/>
      <c r="P146" s="65"/>
      <c r="Q146" s="65"/>
      <c r="R146" s="54"/>
      <c r="S146" s="55"/>
    </row>
    <row r="147" spans="1:31" ht="15.75" customHeight="1" x14ac:dyDescent="0.25">
      <c r="A147" s="51"/>
      <c r="B147" s="51"/>
      <c r="C147" s="71"/>
      <c r="D147" s="65"/>
      <c r="E147" s="65"/>
      <c r="F147" s="65"/>
      <c r="G147" s="65"/>
      <c r="H147" s="65"/>
      <c r="I147" s="65"/>
      <c r="J147" s="65"/>
      <c r="K147" s="71"/>
      <c r="L147" s="65"/>
      <c r="M147" s="65"/>
      <c r="N147" s="65"/>
      <c r="O147" s="65"/>
      <c r="P147" s="65"/>
      <c r="Q147" s="65"/>
      <c r="R147" s="54"/>
      <c r="S147" s="55"/>
    </row>
    <row r="148" spans="1:31" ht="15.75" customHeight="1" x14ac:dyDescent="0.25">
      <c r="A148" s="51"/>
      <c r="B148" s="51"/>
      <c r="C148" s="71"/>
      <c r="D148" s="65"/>
      <c r="E148" s="65"/>
      <c r="F148" s="65"/>
      <c r="G148" s="65"/>
      <c r="H148" s="65"/>
      <c r="I148" s="65"/>
      <c r="J148" s="65"/>
      <c r="K148" s="71"/>
      <c r="L148" s="65"/>
      <c r="M148" s="65"/>
      <c r="N148" s="65"/>
      <c r="O148" s="65"/>
      <c r="P148" s="65"/>
      <c r="Q148" s="65"/>
      <c r="R148" s="54"/>
      <c r="S148" s="55"/>
    </row>
    <row r="149" spans="1:31" ht="15.75" customHeight="1" x14ac:dyDescent="0.25">
      <c r="A149" s="51"/>
      <c r="B149" s="51"/>
      <c r="C149" s="71"/>
      <c r="D149" s="65"/>
      <c r="E149" s="65"/>
      <c r="F149" s="65"/>
      <c r="G149" s="65"/>
      <c r="H149" s="65"/>
      <c r="I149" s="65"/>
      <c r="J149" s="65"/>
      <c r="K149" s="71"/>
      <c r="L149" s="65"/>
      <c r="M149" s="65"/>
      <c r="N149" s="65"/>
      <c r="O149" s="65"/>
      <c r="P149" s="65"/>
      <c r="Q149" s="65"/>
      <c r="R149" s="54"/>
      <c r="S149" s="55"/>
    </row>
    <row r="150" spans="1:31" ht="15.75" customHeight="1" x14ac:dyDescent="0.25">
      <c r="A150" s="51"/>
      <c r="B150" s="51"/>
      <c r="C150" s="71"/>
      <c r="D150" s="65"/>
      <c r="E150" s="65"/>
      <c r="F150" s="65"/>
      <c r="G150" s="65"/>
      <c r="H150" s="65"/>
      <c r="I150" s="65"/>
      <c r="J150" s="65"/>
      <c r="K150" s="71"/>
      <c r="L150" s="65"/>
      <c r="M150" s="65"/>
      <c r="N150" s="65"/>
      <c r="O150" s="65"/>
      <c r="P150" s="65"/>
      <c r="Q150" s="65"/>
      <c r="R150" s="54"/>
      <c r="S150" s="55"/>
    </row>
    <row r="151" spans="1:31" ht="15.75" customHeight="1" x14ac:dyDescent="0.25">
      <c r="A151" s="51"/>
      <c r="B151" s="51"/>
      <c r="C151" s="71"/>
      <c r="D151" s="65"/>
      <c r="E151" s="65"/>
      <c r="F151" s="65"/>
      <c r="G151" s="65"/>
      <c r="H151" s="65"/>
      <c r="I151" s="65"/>
      <c r="J151" s="65"/>
      <c r="K151" s="71"/>
      <c r="L151" s="65"/>
      <c r="M151" s="65"/>
      <c r="N151" s="65"/>
      <c r="O151" s="65"/>
      <c r="P151" s="65"/>
      <c r="Q151" s="65"/>
      <c r="R151" s="54"/>
      <c r="S151" s="55"/>
    </row>
    <row r="152" spans="1:31" ht="15.75" customHeight="1" x14ac:dyDescent="0.25">
      <c r="A152" s="51"/>
      <c r="B152" s="51"/>
      <c r="C152" s="71"/>
      <c r="D152" s="65"/>
      <c r="E152" s="65"/>
      <c r="F152" s="65"/>
      <c r="G152" s="65"/>
      <c r="H152" s="65"/>
      <c r="I152" s="65"/>
      <c r="J152" s="65"/>
      <c r="K152" s="71"/>
      <c r="L152" s="65"/>
      <c r="M152" s="65"/>
      <c r="N152" s="65"/>
      <c r="O152" s="65"/>
      <c r="P152" s="65"/>
      <c r="Q152" s="65"/>
      <c r="R152" s="54"/>
      <c r="S152" s="88"/>
    </row>
    <row r="153" spans="1:31" ht="15.75" customHeight="1" x14ac:dyDescent="0.25">
      <c r="A153" s="51"/>
      <c r="B153" s="51"/>
      <c r="C153" s="71"/>
      <c r="D153" s="65"/>
      <c r="E153" s="65"/>
      <c r="F153" s="65"/>
      <c r="G153" s="65"/>
      <c r="H153" s="65"/>
      <c r="I153" s="65"/>
      <c r="J153" s="65"/>
      <c r="K153" s="71"/>
      <c r="L153" s="65"/>
      <c r="M153" s="65"/>
      <c r="N153" s="65"/>
      <c r="O153" s="65"/>
      <c r="P153" s="65"/>
      <c r="Q153" s="65"/>
      <c r="R153" s="54"/>
      <c r="S153" s="89"/>
    </row>
    <row r="154" spans="1:31" ht="15.75" customHeight="1" x14ac:dyDescent="0.25">
      <c r="A154" s="51"/>
      <c r="B154" s="51"/>
      <c r="C154" s="71"/>
      <c r="D154" s="65"/>
      <c r="E154" s="65"/>
      <c r="F154" s="65"/>
      <c r="G154" s="65"/>
      <c r="H154" s="65"/>
      <c r="I154" s="65"/>
      <c r="J154" s="65"/>
      <c r="K154" s="71"/>
      <c r="L154" s="65"/>
      <c r="M154" s="65"/>
      <c r="N154" s="65"/>
      <c r="O154" s="65"/>
      <c r="P154" s="65"/>
      <c r="Q154" s="65"/>
      <c r="R154" s="54"/>
      <c r="S154" s="54"/>
    </row>
    <row r="155" spans="1:31" ht="15.75" customHeight="1" x14ac:dyDescent="0.2">
      <c r="A155" s="51"/>
      <c r="B155" s="51"/>
      <c r="C155" s="60"/>
      <c r="D155" s="54"/>
      <c r="E155" s="54"/>
      <c r="F155" s="54"/>
      <c r="G155" s="54"/>
      <c r="H155" s="51"/>
      <c r="I155" s="54"/>
      <c r="J155" s="54"/>
      <c r="K155" s="60"/>
      <c r="L155" s="54"/>
      <c r="M155" s="54"/>
      <c r="N155" s="54"/>
      <c r="O155" s="54"/>
      <c r="P155" s="54"/>
      <c r="Q155" s="54"/>
      <c r="R155" s="54"/>
      <c r="S155" s="54"/>
    </row>
    <row r="156" spans="1:31" ht="15.75" customHeight="1" x14ac:dyDescent="0.25">
      <c r="A156" s="90"/>
      <c r="B156" s="44"/>
      <c r="C156" s="91"/>
      <c r="D156" s="78"/>
      <c r="E156" s="78"/>
      <c r="F156" s="78"/>
      <c r="G156" s="78"/>
      <c r="H156" s="44"/>
      <c r="I156" s="78"/>
      <c r="J156" s="78"/>
      <c r="K156" s="91"/>
      <c r="L156" s="78"/>
      <c r="M156" s="78"/>
      <c r="N156" s="78"/>
      <c r="O156" s="78"/>
      <c r="P156" s="78"/>
      <c r="Q156" s="78"/>
      <c r="R156" s="78"/>
      <c r="S156" s="54"/>
    </row>
    <row r="157" spans="1:31" ht="15.75" customHeight="1" x14ac:dyDescent="0.2">
      <c r="A157" s="92"/>
      <c r="B157" s="92"/>
      <c r="C157" s="93"/>
      <c r="D157" s="89"/>
      <c r="E157" s="89"/>
      <c r="F157" s="89"/>
      <c r="G157" s="89"/>
      <c r="H157" s="92"/>
      <c r="I157" s="89"/>
      <c r="J157" s="89"/>
      <c r="K157" s="93"/>
      <c r="L157" s="89"/>
      <c r="M157" s="89"/>
      <c r="N157" s="89"/>
      <c r="O157" s="89"/>
      <c r="P157" s="89"/>
      <c r="Q157" s="89"/>
      <c r="R157" s="89"/>
      <c r="S157" s="54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</row>
    <row r="158" spans="1:31" ht="15.75" customHeight="1" x14ac:dyDescent="0.2">
      <c r="C158" s="60"/>
      <c r="D158" s="54"/>
      <c r="E158" s="54"/>
      <c r="F158" s="54"/>
      <c r="G158" s="54"/>
      <c r="I158" s="54"/>
      <c r="J158" s="54"/>
      <c r="K158" s="60"/>
      <c r="L158" s="54"/>
      <c r="M158" s="54"/>
      <c r="N158" s="54"/>
      <c r="O158" s="54"/>
      <c r="P158" s="54"/>
      <c r="Q158" s="54"/>
      <c r="R158" s="54"/>
      <c r="S158" s="54"/>
    </row>
    <row r="159" spans="1:31" ht="15.75" customHeight="1" x14ac:dyDescent="0.2">
      <c r="C159" s="60"/>
      <c r="D159" s="54"/>
      <c r="E159" s="54"/>
      <c r="F159" s="54"/>
      <c r="G159" s="54"/>
      <c r="I159" s="54"/>
      <c r="J159" s="54"/>
      <c r="K159" s="60"/>
      <c r="L159" s="54"/>
      <c r="M159" s="54"/>
      <c r="N159" s="54"/>
      <c r="O159" s="54"/>
      <c r="P159" s="54"/>
      <c r="Q159" s="54"/>
      <c r="R159" s="54"/>
      <c r="S159" s="54"/>
    </row>
    <row r="160" spans="1:31" ht="15.75" customHeight="1" x14ac:dyDescent="0.2">
      <c r="B160" s="94"/>
      <c r="C160" s="95"/>
      <c r="D160" s="96"/>
      <c r="E160" s="96"/>
      <c r="F160" s="96"/>
      <c r="G160" s="96"/>
      <c r="H160" s="94"/>
      <c r="I160" s="96"/>
      <c r="J160" s="96"/>
      <c r="K160" s="95"/>
      <c r="L160" s="96"/>
      <c r="M160" s="96"/>
      <c r="N160" s="96"/>
      <c r="O160" s="96"/>
      <c r="P160" s="96"/>
      <c r="Q160" s="96"/>
      <c r="R160" s="54"/>
      <c r="S160" s="54"/>
    </row>
    <row r="161" spans="2:19" ht="15.75" customHeight="1" x14ac:dyDescent="0.2">
      <c r="B161" s="51"/>
      <c r="C161" s="60"/>
      <c r="D161" s="54"/>
      <c r="E161" s="54"/>
      <c r="F161" s="54"/>
      <c r="G161" s="54"/>
      <c r="I161" s="54"/>
      <c r="J161" s="54"/>
      <c r="K161" s="60"/>
      <c r="L161" s="54"/>
      <c r="M161" s="54"/>
      <c r="N161" s="54"/>
      <c r="O161" s="54"/>
      <c r="P161" s="54"/>
      <c r="Q161" s="54"/>
      <c r="R161" s="54"/>
      <c r="S161" s="54"/>
    </row>
    <row r="162" spans="2:19" ht="15.75" customHeight="1" x14ac:dyDescent="0.2">
      <c r="C162" s="60"/>
      <c r="D162" s="54"/>
      <c r="E162" s="54"/>
      <c r="F162" s="54"/>
      <c r="G162" s="54"/>
      <c r="I162" s="54"/>
      <c r="J162" s="54"/>
      <c r="K162" s="60"/>
      <c r="L162" s="54"/>
      <c r="M162" s="54"/>
      <c r="N162" s="54"/>
      <c r="O162" s="54"/>
      <c r="P162" s="54"/>
      <c r="Q162" s="54"/>
      <c r="R162" s="54"/>
      <c r="S162" s="54"/>
    </row>
    <row r="163" spans="2:19" ht="15.75" customHeight="1" x14ac:dyDescent="0.2">
      <c r="C163" s="60"/>
      <c r="D163" s="54"/>
      <c r="E163" s="54"/>
      <c r="F163" s="54"/>
      <c r="G163" s="54"/>
      <c r="I163" s="54"/>
      <c r="J163" s="54"/>
      <c r="K163" s="60"/>
      <c r="L163" s="54"/>
      <c r="M163" s="54"/>
      <c r="N163" s="54"/>
      <c r="O163" s="54"/>
      <c r="P163" s="54"/>
      <c r="Q163" s="54"/>
      <c r="R163" s="54"/>
      <c r="S163" s="54"/>
    </row>
    <row r="164" spans="2:19" ht="15.75" customHeight="1" x14ac:dyDescent="0.2">
      <c r="C164" s="60"/>
      <c r="D164" s="54"/>
      <c r="E164" s="54"/>
      <c r="F164" s="54"/>
      <c r="G164" s="54"/>
      <c r="I164" s="54"/>
      <c r="J164" s="54"/>
      <c r="K164" s="60"/>
      <c r="L164" s="54"/>
      <c r="M164" s="54"/>
      <c r="N164" s="54"/>
      <c r="O164" s="54"/>
      <c r="P164" s="54"/>
      <c r="Q164" s="54"/>
      <c r="R164" s="54"/>
      <c r="S164" s="54"/>
    </row>
    <row r="165" spans="2:19" ht="15.75" customHeight="1" x14ac:dyDescent="0.2">
      <c r="C165" s="60"/>
      <c r="D165" s="54"/>
      <c r="E165" s="54"/>
      <c r="F165" s="54"/>
      <c r="G165" s="54"/>
      <c r="I165" s="54"/>
      <c r="J165" s="54"/>
      <c r="K165" s="60"/>
      <c r="L165" s="54"/>
      <c r="M165" s="54"/>
      <c r="N165" s="54"/>
      <c r="O165" s="54"/>
      <c r="P165" s="54"/>
      <c r="Q165" s="54"/>
      <c r="R165" s="54"/>
      <c r="S165" s="54"/>
    </row>
    <row r="166" spans="2:19" ht="15.75" customHeight="1" x14ac:dyDescent="0.2">
      <c r="C166" s="60"/>
      <c r="D166" s="54"/>
      <c r="E166" s="54"/>
      <c r="F166" s="54"/>
      <c r="G166" s="54"/>
      <c r="I166" s="54"/>
      <c r="J166" s="54"/>
      <c r="K166" s="60"/>
      <c r="L166" s="54"/>
      <c r="M166" s="54"/>
      <c r="N166" s="54"/>
      <c r="O166" s="54"/>
      <c r="P166" s="54"/>
      <c r="Q166" s="54"/>
      <c r="R166" s="54"/>
      <c r="S166" s="54"/>
    </row>
    <row r="167" spans="2:19" ht="15.75" customHeight="1" x14ac:dyDescent="0.2">
      <c r="C167" s="60"/>
      <c r="D167" s="54"/>
      <c r="E167" s="54"/>
      <c r="F167" s="54"/>
      <c r="G167" s="54"/>
      <c r="I167" s="54"/>
      <c r="J167" s="54"/>
      <c r="K167" s="60"/>
      <c r="L167" s="54"/>
      <c r="M167" s="54"/>
      <c r="N167" s="54"/>
      <c r="O167" s="54"/>
      <c r="P167" s="54"/>
      <c r="Q167" s="54"/>
      <c r="R167" s="54"/>
      <c r="S167" s="54"/>
    </row>
    <row r="168" spans="2:19" ht="15.75" customHeight="1" x14ac:dyDescent="0.2">
      <c r="C168" s="60"/>
      <c r="D168" s="54"/>
      <c r="E168" s="54"/>
      <c r="F168" s="54"/>
      <c r="G168" s="54"/>
      <c r="I168" s="54"/>
      <c r="J168" s="54"/>
      <c r="K168" s="60"/>
      <c r="L168" s="54"/>
      <c r="M168" s="54"/>
      <c r="N168" s="54"/>
      <c r="O168" s="54"/>
      <c r="P168" s="54"/>
      <c r="Q168" s="54"/>
      <c r="R168" s="54"/>
      <c r="S168" s="54"/>
    </row>
    <row r="169" spans="2:19" ht="15.75" customHeight="1" x14ac:dyDescent="0.2">
      <c r="C169" s="60"/>
      <c r="D169" s="54"/>
      <c r="E169" s="54"/>
      <c r="F169" s="54"/>
      <c r="G169" s="54"/>
      <c r="I169" s="54"/>
      <c r="J169" s="54"/>
      <c r="K169" s="60"/>
      <c r="L169" s="54"/>
      <c r="M169" s="54"/>
      <c r="N169" s="54"/>
      <c r="O169" s="54"/>
      <c r="P169" s="54"/>
      <c r="Q169" s="54"/>
      <c r="R169" s="54"/>
      <c r="S169" s="54"/>
    </row>
    <row r="170" spans="2:19" ht="15.75" customHeight="1" x14ac:dyDescent="0.2">
      <c r="C170" s="60"/>
      <c r="D170" s="54"/>
      <c r="E170" s="54"/>
      <c r="F170" s="54"/>
      <c r="G170" s="54"/>
      <c r="I170" s="54"/>
      <c r="J170" s="54"/>
      <c r="K170" s="60"/>
      <c r="L170" s="54"/>
      <c r="M170" s="54"/>
      <c r="N170" s="54"/>
      <c r="O170" s="54"/>
      <c r="P170" s="54"/>
      <c r="Q170" s="54"/>
      <c r="R170" s="54"/>
      <c r="S170" s="54"/>
    </row>
    <row r="171" spans="2:19" ht="15.75" customHeight="1" x14ac:dyDescent="0.2">
      <c r="C171" s="60"/>
      <c r="D171" s="54"/>
      <c r="E171" s="54"/>
      <c r="F171" s="54"/>
      <c r="G171" s="54"/>
      <c r="I171" s="54"/>
      <c r="J171" s="54"/>
      <c r="K171" s="60"/>
      <c r="L171" s="54"/>
      <c r="M171" s="54"/>
      <c r="N171" s="54"/>
      <c r="O171" s="54"/>
      <c r="P171" s="54"/>
      <c r="Q171" s="54"/>
      <c r="R171" s="54"/>
      <c r="S171" s="54"/>
    </row>
    <row r="172" spans="2:19" ht="15.75" customHeight="1" x14ac:dyDescent="0.2">
      <c r="C172" s="60"/>
      <c r="D172" s="54"/>
      <c r="E172" s="54"/>
      <c r="F172" s="54"/>
      <c r="G172" s="54"/>
      <c r="I172" s="54"/>
      <c r="J172" s="54"/>
      <c r="K172" s="60"/>
      <c r="L172" s="54"/>
      <c r="M172" s="54"/>
      <c r="N172" s="54"/>
      <c r="O172" s="54"/>
      <c r="P172" s="54"/>
      <c r="Q172" s="54"/>
      <c r="R172" s="54"/>
      <c r="S172" s="54"/>
    </row>
    <row r="173" spans="2:19" ht="15.75" customHeight="1" x14ac:dyDescent="0.2">
      <c r="C173" s="60"/>
      <c r="D173" s="54"/>
      <c r="E173" s="54"/>
      <c r="F173" s="54"/>
      <c r="G173" s="54"/>
      <c r="I173" s="54"/>
      <c r="J173" s="54"/>
      <c r="K173" s="60"/>
      <c r="L173" s="54"/>
      <c r="M173" s="54"/>
      <c r="N173" s="54"/>
      <c r="O173" s="54"/>
      <c r="P173" s="54"/>
      <c r="Q173" s="54"/>
      <c r="R173" s="54"/>
      <c r="S173" s="54"/>
    </row>
    <row r="174" spans="2:19" ht="15.75" customHeight="1" x14ac:dyDescent="0.2">
      <c r="C174" s="60"/>
      <c r="D174" s="54"/>
      <c r="E174" s="54"/>
      <c r="F174" s="54"/>
      <c r="G174" s="54"/>
      <c r="I174" s="54"/>
      <c r="J174" s="54"/>
      <c r="K174" s="60"/>
      <c r="L174" s="54"/>
      <c r="M174" s="54"/>
      <c r="N174" s="54"/>
      <c r="O174" s="54"/>
      <c r="P174" s="54"/>
      <c r="Q174" s="54"/>
      <c r="R174" s="54"/>
      <c r="S174" s="54"/>
    </row>
    <row r="175" spans="2:19" ht="15.75" customHeight="1" x14ac:dyDescent="0.2">
      <c r="C175" s="60"/>
      <c r="D175" s="54"/>
      <c r="E175" s="54"/>
      <c r="F175" s="54"/>
      <c r="G175" s="54"/>
      <c r="I175" s="54"/>
      <c r="J175" s="54"/>
      <c r="K175" s="60"/>
      <c r="L175" s="54"/>
      <c r="M175" s="54"/>
      <c r="N175" s="54"/>
      <c r="O175" s="54"/>
      <c r="P175" s="54"/>
      <c r="Q175" s="54"/>
      <c r="R175" s="54"/>
      <c r="S175" s="54"/>
    </row>
    <row r="176" spans="2:19" ht="15.75" customHeight="1" x14ac:dyDescent="0.2">
      <c r="C176" s="60"/>
      <c r="D176" s="54"/>
      <c r="E176" s="54"/>
      <c r="F176" s="54"/>
      <c r="G176" s="54"/>
      <c r="I176" s="54"/>
      <c r="J176" s="54"/>
      <c r="K176" s="60"/>
      <c r="L176" s="54"/>
      <c r="M176" s="54"/>
      <c r="N176" s="54"/>
      <c r="O176" s="54"/>
      <c r="P176" s="54"/>
      <c r="Q176" s="54"/>
      <c r="R176" s="54"/>
      <c r="S176" s="54"/>
    </row>
    <row r="177" spans="3:19" ht="15.75" customHeight="1" x14ac:dyDescent="0.2">
      <c r="C177" s="60"/>
      <c r="D177" s="54"/>
      <c r="E177" s="54"/>
      <c r="F177" s="54"/>
      <c r="G177" s="54"/>
      <c r="I177" s="54"/>
      <c r="J177" s="54"/>
      <c r="K177" s="60"/>
      <c r="L177" s="54"/>
      <c r="M177" s="54"/>
      <c r="N177" s="54"/>
      <c r="O177" s="54"/>
      <c r="P177" s="54"/>
      <c r="Q177" s="54"/>
      <c r="R177" s="54"/>
      <c r="S177" s="54"/>
    </row>
    <row r="178" spans="3:19" ht="15.75" customHeight="1" x14ac:dyDescent="0.2">
      <c r="C178" s="60"/>
      <c r="D178" s="54"/>
      <c r="E178" s="54"/>
      <c r="F178" s="54"/>
      <c r="G178" s="54"/>
      <c r="I178" s="54"/>
      <c r="J178" s="54"/>
      <c r="K178" s="60"/>
      <c r="L178" s="54"/>
      <c r="M178" s="54"/>
      <c r="N178" s="54"/>
      <c r="O178" s="54"/>
      <c r="P178" s="54"/>
      <c r="Q178" s="54"/>
      <c r="R178" s="54"/>
      <c r="S178" s="54"/>
    </row>
    <row r="179" spans="3:19" ht="15.75" customHeight="1" x14ac:dyDescent="0.2">
      <c r="C179" s="60"/>
      <c r="D179" s="54"/>
      <c r="E179" s="54"/>
      <c r="F179" s="54"/>
      <c r="G179" s="54"/>
      <c r="I179" s="54"/>
      <c r="J179" s="54"/>
      <c r="K179" s="60"/>
      <c r="L179" s="54"/>
      <c r="M179" s="54"/>
      <c r="N179" s="54"/>
      <c r="O179" s="54"/>
      <c r="P179" s="54"/>
      <c r="Q179" s="54"/>
      <c r="R179" s="54"/>
      <c r="S179" s="54"/>
    </row>
    <row r="180" spans="3:19" ht="15.75" customHeight="1" x14ac:dyDescent="0.2">
      <c r="C180" s="60"/>
      <c r="D180" s="54"/>
      <c r="E180" s="54"/>
      <c r="F180" s="54"/>
      <c r="G180" s="54"/>
      <c r="I180" s="54"/>
      <c r="J180" s="54"/>
      <c r="K180" s="60"/>
      <c r="L180" s="54"/>
      <c r="M180" s="54"/>
      <c r="N180" s="54"/>
      <c r="O180" s="54"/>
      <c r="P180" s="54"/>
      <c r="Q180" s="54"/>
      <c r="R180" s="54"/>
      <c r="S180" s="54"/>
    </row>
    <row r="181" spans="3:19" ht="15.75" customHeight="1" x14ac:dyDescent="0.2">
      <c r="C181" s="60"/>
      <c r="D181" s="54"/>
      <c r="E181" s="54"/>
      <c r="F181" s="54"/>
      <c r="G181" s="54"/>
      <c r="I181" s="54"/>
      <c r="J181" s="54"/>
      <c r="K181" s="60"/>
      <c r="L181" s="54"/>
      <c r="M181" s="54"/>
      <c r="N181" s="54"/>
      <c r="O181" s="54"/>
      <c r="P181" s="54"/>
      <c r="Q181" s="54"/>
      <c r="R181" s="54"/>
      <c r="S181" s="54"/>
    </row>
    <row r="182" spans="3:19" ht="15.75" customHeight="1" x14ac:dyDescent="0.2">
      <c r="C182" s="60"/>
      <c r="D182" s="54"/>
      <c r="E182" s="54"/>
      <c r="F182" s="54"/>
      <c r="G182" s="54"/>
      <c r="I182" s="54"/>
      <c r="J182" s="54"/>
      <c r="K182" s="60"/>
      <c r="L182" s="54"/>
      <c r="M182" s="54"/>
      <c r="N182" s="54"/>
      <c r="O182" s="54"/>
      <c r="P182" s="54"/>
      <c r="Q182" s="54"/>
      <c r="R182" s="54"/>
      <c r="S182" s="54"/>
    </row>
    <row r="183" spans="3:19" ht="15.75" customHeight="1" x14ac:dyDescent="0.2">
      <c r="C183" s="60"/>
      <c r="D183" s="54"/>
      <c r="E183" s="54"/>
      <c r="F183" s="54"/>
      <c r="G183" s="54"/>
      <c r="I183" s="54"/>
      <c r="J183" s="54"/>
      <c r="K183" s="60"/>
      <c r="L183" s="54"/>
      <c r="M183" s="54"/>
      <c r="N183" s="54"/>
      <c r="O183" s="54"/>
      <c r="P183" s="54"/>
      <c r="Q183" s="54"/>
      <c r="R183" s="54"/>
      <c r="S183" s="54"/>
    </row>
    <row r="184" spans="3:19" ht="15.75" customHeight="1" x14ac:dyDescent="0.2">
      <c r="C184" s="60"/>
      <c r="D184" s="54"/>
      <c r="E184" s="54"/>
      <c r="F184" s="54"/>
      <c r="G184" s="54"/>
      <c r="I184" s="54"/>
      <c r="J184" s="54"/>
      <c r="K184" s="60"/>
      <c r="L184" s="54"/>
      <c r="M184" s="54"/>
      <c r="N184" s="54"/>
      <c r="O184" s="54"/>
      <c r="P184" s="54"/>
      <c r="Q184" s="54"/>
      <c r="R184" s="54"/>
      <c r="S184" s="54"/>
    </row>
    <row r="185" spans="3:19" ht="15.75" customHeight="1" x14ac:dyDescent="0.2">
      <c r="C185" s="60"/>
      <c r="D185" s="54"/>
      <c r="E185" s="54"/>
      <c r="F185" s="54"/>
      <c r="G185" s="54"/>
      <c r="I185" s="54"/>
      <c r="J185" s="54"/>
      <c r="K185" s="60"/>
      <c r="L185" s="54"/>
      <c r="M185" s="54"/>
      <c r="N185" s="54"/>
      <c r="O185" s="54"/>
      <c r="P185" s="54"/>
      <c r="Q185" s="54"/>
      <c r="R185" s="54"/>
      <c r="S185" s="54"/>
    </row>
    <row r="186" spans="3:19" ht="15.75" customHeight="1" x14ac:dyDescent="0.2">
      <c r="C186" s="60"/>
      <c r="D186" s="54"/>
      <c r="E186" s="54"/>
      <c r="F186" s="54"/>
      <c r="G186" s="54"/>
      <c r="I186" s="54"/>
      <c r="J186" s="54"/>
      <c r="K186" s="60"/>
      <c r="L186" s="54"/>
      <c r="M186" s="54"/>
      <c r="N186" s="54"/>
      <c r="O186" s="54"/>
      <c r="P186" s="54"/>
      <c r="Q186" s="54"/>
      <c r="R186" s="54"/>
      <c r="S186" s="54"/>
    </row>
    <row r="187" spans="3:19" ht="15.75" customHeight="1" x14ac:dyDescent="0.2">
      <c r="C187" s="60"/>
      <c r="D187" s="54"/>
      <c r="E187" s="54"/>
      <c r="F187" s="54"/>
      <c r="G187" s="54"/>
      <c r="I187" s="54"/>
      <c r="J187" s="54"/>
      <c r="K187" s="60"/>
      <c r="L187" s="54"/>
      <c r="M187" s="54"/>
      <c r="N187" s="54"/>
      <c r="O187" s="54"/>
      <c r="P187" s="54"/>
      <c r="Q187" s="54"/>
      <c r="R187" s="54"/>
      <c r="S187" s="54"/>
    </row>
    <row r="188" spans="3:19" ht="15.75" customHeight="1" x14ac:dyDescent="0.2">
      <c r="C188" s="60"/>
      <c r="D188" s="54"/>
      <c r="E188" s="54"/>
      <c r="F188" s="54"/>
      <c r="G188" s="54"/>
      <c r="I188" s="54"/>
      <c r="J188" s="54"/>
      <c r="K188" s="60"/>
      <c r="L188" s="54"/>
      <c r="M188" s="54"/>
      <c r="N188" s="54"/>
      <c r="O188" s="54"/>
      <c r="P188" s="54"/>
      <c r="Q188" s="54"/>
      <c r="R188" s="54"/>
      <c r="S188" s="54"/>
    </row>
    <row r="189" spans="3:19" ht="15.75" customHeight="1" x14ac:dyDescent="0.2">
      <c r="C189" s="60"/>
      <c r="D189" s="54"/>
      <c r="E189" s="54"/>
      <c r="F189" s="54"/>
      <c r="G189" s="54"/>
      <c r="I189" s="54"/>
      <c r="J189" s="54"/>
      <c r="K189" s="60"/>
      <c r="L189" s="54"/>
      <c r="M189" s="54"/>
      <c r="N189" s="54"/>
      <c r="O189" s="54"/>
      <c r="P189" s="54"/>
      <c r="Q189" s="54"/>
      <c r="R189" s="54"/>
      <c r="S189" s="54"/>
    </row>
    <row r="190" spans="3:19" ht="15.75" customHeight="1" x14ac:dyDescent="0.2">
      <c r="C190" s="60"/>
      <c r="D190" s="54"/>
      <c r="E190" s="54"/>
      <c r="F190" s="54"/>
      <c r="G190" s="54"/>
      <c r="I190" s="54"/>
      <c r="J190" s="54"/>
      <c r="K190" s="60"/>
      <c r="L190" s="54"/>
      <c r="M190" s="54"/>
      <c r="N190" s="54"/>
      <c r="O190" s="54"/>
      <c r="P190" s="54"/>
      <c r="Q190" s="54"/>
      <c r="R190" s="54"/>
      <c r="S190" s="54"/>
    </row>
    <row r="191" spans="3:19" ht="15.75" customHeight="1" x14ac:dyDescent="0.2">
      <c r="C191" s="60"/>
      <c r="D191" s="54"/>
      <c r="E191" s="54"/>
      <c r="F191" s="54"/>
      <c r="G191" s="54"/>
      <c r="I191" s="54"/>
      <c r="J191" s="54"/>
      <c r="K191" s="60"/>
      <c r="L191" s="54"/>
      <c r="M191" s="54"/>
      <c r="N191" s="54"/>
      <c r="O191" s="54"/>
      <c r="P191" s="54"/>
      <c r="Q191" s="54"/>
      <c r="R191" s="54"/>
      <c r="S191" s="54"/>
    </row>
    <row r="192" spans="3:19" ht="15.75" customHeight="1" x14ac:dyDescent="0.2">
      <c r="C192" s="60"/>
      <c r="D192" s="54"/>
      <c r="E192" s="54"/>
      <c r="F192" s="54"/>
      <c r="G192" s="54"/>
      <c r="I192" s="54"/>
      <c r="J192" s="54"/>
      <c r="K192" s="60"/>
      <c r="L192" s="54"/>
      <c r="M192" s="54"/>
      <c r="N192" s="54"/>
      <c r="O192" s="54"/>
      <c r="P192" s="54"/>
      <c r="Q192" s="54"/>
      <c r="R192" s="54"/>
      <c r="S192" s="54"/>
    </row>
    <row r="193" spans="3:19" ht="15.75" customHeight="1" x14ac:dyDescent="0.2">
      <c r="C193" s="60"/>
      <c r="D193" s="54"/>
      <c r="E193" s="54"/>
      <c r="F193" s="54"/>
      <c r="G193" s="54"/>
      <c r="I193" s="54"/>
      <c r="J193" s="54"/>
      <c r="K193" s="60"/>
      <c r="L193" s="54"/>
      <c r="M193" s="54"/>
      <c r="N193" s="54"/>
      <c r="O193" s="54"/>
      <c r="P193" s="54"/>
      <c r="Q193" s="54"/>
      <c r="R193" s="54"/>
      <c r="S193" s="54"/>
    </row>
    <row r="194" spans="3:19" ht="15.75" customHeight="1" x14ac:dyDescent="0.2">
      <c r="C194" s="60"/>
      <c r="D194" s="54"/>
      <c r="E194" s="54"/>
      <c r="F194" s="54"/>
      <c r="G194" s="54"/>
      <c r="I194" s="54"/>
      <c r="J194" s="54"/>
      <c r="K194" s="60"/>
      <c r="L194" s="54"/>
      <c r="M194" s="54"/>
      <c r="N194" s="54"/>
      <c r="O194" s="54"/>
      <c r="P194" s="54"/>
      <c r="Q194" s="54"/>
      <c r="R194" s="54"/>
      <c r="S194" s="54"/>
    </row>
    <row r="195" spans="3:19" ht="15.75" customHeight="1" x14ac:dyDescent="0.2">
      <c r="C195" s="60"/>
      <c r="D195" s="54"/>
      <c r="E195" s="54"/>
      <c r="F195" s="54"/>
      <c r="G195" s="54"/>
      <c r="I195" s="54"/>
      <c r="J195" s="54"/>
      <c r="K195" s="60"/>
      <c r="L195" s="54"/>
      <c r="M195" s="54"/>
      <c r="N195" s="54"/>
      <c r="O195" s="54"/>
      <c r="P195" s="54"/>
      <c r="Q195" s="54"/>
      <c r="R195" s="54"/>
      <c r="S195" s="54"/>
    </row>
    <row r="196" spans="3:19" ht="15.75" customHeight="1" x14ac:dyDescent="0.2">
      <c r="C196" s="60"/>
      <c r="D196" s="54"/>
      <c r="E196" s="54"/>
      <c r="F196" s="54"/>
      <c r="G196" s="54"/>
      <c r="I196" s="54"/>
      <c r="J196" s="54"/>
      <c r="K196" s="60"/>
      <c r="L196" s="54"/>
      <c r="M196" s="54"/>
      <c r="N196" s="54"/>
      <c r="O196" s="54"/>
      <c r="P196" s="54"/>
      <c r="Q196" s="54"/>
      <c r="R196" s="54"/>
      <c r="S196" s="54"/>
    </row>
    <row r="197" spans="3:19" ht="15.75" customHeight="1" x14ac:dyDescent="0.2">
      <c r="C197" s="60"/>
      <c r="D197" s="54"/>
      <c r="E197" s="54"/>
      <c r="F197" s="54"/>
      <c r="G197" s="54"/>
      <c r="I197" s="54"/>
      <c r="J197" s="54"/>
      <c r="K197" s="60"/>
      <c r="L197" s="54"/>
      <c r="M197" s="54"/>
      <c r="N197" s="54"/>
      <c r="O197" s="54"/>
      <c r="P197" s="54"/>
      <c r="Q197" s="54"/>
      <c r="R197" s="54"/>
      <c r="S197" s="54"/>
    </row>
    <row r="198" spans="3:19" ht="15.75" customHeight="1" x14ac:dyDescent="0.2">
      <c r="C198" s="60"/>
      <c r="D198" s="54"/>
      <c r="E198" s="54"/>
      <c r="F198" s="54"/>
      <c r="G198" s="54"/>
      <c r="I198" s="54"/>
      <c r="J198" s="54"/>
      <c r="K198" s="60"/>
      <c r="L198" s="54"/>
      <c r="M198" s="54"/>
      <c r="N198" s="54"/>
      <c r="O198" s="54"/>
      <c r="P198" s="54"/>
      <c r="Q198" s="54"/>
      <c r="R198" s="54"/>
      <c r="S198" s="54"/>
    </row>
    <row r="199" spans="3:19" ht="15.75" customHeight="1" x14ac:dyDescent="0.2">
      <c r="C199" s="60"/>
      <c r="D199" s="54"/>
      <c r="E199" s="54"/>
      <c r="F199" s="54"/>
      <c r="G199" s="54"/>
      <c r="I199" s="54"/>
      <c r="J199" s="54"/>
      <c r="K199" s="60"/>
      <c r="L199" s="54"/>
      <c r="M199" s="54"/>
      <c r="N199" s="54"/>
      <c r="O199" s="54"/>
      <c r="P199" s="54"/>
      <c r="Q199" s="54"/>
      <c r="R199" s="54"/>
      <c r="S199" s="54"/>
    </row>
    <row r="200" spans="3:19" ht="15.75" customHeight="1" x14ac:dyDescent="0.2">
      <c r="C200" s="60"/>
      <c r="D200" s="54"/>
      <c r="E200" s="54"/>
      <c r="F200" s="54"/>
      <c r="G200" s="54"/>
      <c r="I200" s="54"/>
      <c r="J200" s="54"/>
      <c r="K200" s="60"/>
      <c r="L200" s="54"/>
      <c r="M200" s="54"/>
      <c r="N200" s="54"/>
      <c r="O200" s="54"/>
      <c r="P200" s="54"/>
      <c r="Q200" s="54"/>
      <c r="R200" s="54"/>
      <c r="S200" s="54"/>
    </row>
    <row r="201" spans="3:19" ht="15.75" customHeight="1" x14ac:dyDescent="0.2">
      <c r="C201" s="60"/>
      <c r="D201" s="54"/>
      <c r="E201" s="54"/>
      <c r="F201" s="54"/>
      <c r="G201" s="54"/>
      <c r="I201" s="54"/>
      <c r="J201" s="54"/>
      <c r="K201" s="60"/>
      <c r="L201" s="54"/>
      <c r="M201" s="54"/>
      <c r="N201" s="54"/>
      <c r="O201" s="54"/>
      <c r="P201" s="54"/>
      <c r="Q201" s="54"/>
      <c r="R201" s="54"/>
      <c r="S201" s="54"/>
    </row>
    <row r="202" spans="3:19" ht="15.75" customHeight="1" x14ac:dyDescent="0.2">
      <c r="C202" s="60"/>
      <c r="D202" s="54"/>
      <c r="E202" s="54"/>
      <c r="F202" s="54"/>
      <c r="G202" s="54"/>
      <c r="I202" s="54"/>
      <c r="J202" s="54"/>
      <c r="K202" s="60"/>
      <c r="L202" s="54"/>
      <c r="M202" s="54"/>
      <c r="N202" s="54"/>
      <c r="O202" s="54"/>
      <c r="P202" s="54"/>
      <c r="Q202" s="54"/>
      <c r="R202" s="54"/>
      <c r="S202" s="54"/>
    </row>
    <row r="203" spans="3:19" ht="15.75" customHeight="1" x14ac:dyDescent="0.2">
      <c r="C203" s="60"/>
      <c r="D203" s="54"/>
      <c r="E203" s="54"/>
      <c r="F203" s="54"/>
      <c r="G203" s="54"/>
      <c r="I203" s="54"/>
      <c r="J203" s="54"/>
      <c r="K203" s="60"/>
      <c r="L203" s="54"/>
      <c r="M203" s="54"/>
      <c r="N203" s="54"/>
      <c r="O203" s="54"/>
      <c r="P203" s="54"/>
      <c r="Q203" s="54"/>
      <c r="R203" s="54"/>
      <c r="S203" s="54"/>
    </row>
    <row r="204" spans="3:19" ht="15.75" customHeight="1" x14ac:dyDescent="0.2">
      <c r="C204" s="60"/>
      <c r="D204" s="54"/>
      <c r="E204" s="54"/>
      <c r="F204" s="54"/>
      <c r="G204" s="54"/>
      <c r="I204" s="54"/>
      <c r="J204" s="54"/>
      <c r="K204" s="60"/>
      <c r="L204" s="54"/>
      <c r="M204" s="54"/>
      <c r="N204" s="54"/>
      <c r="O204" s="54"/>
      <c r="P204" s="54"/>
      <c r="Q204" s="54"/>
      <c r="R204" s="54"/>
      <c r="S204" s="54"/>
    </row>
    <row r="205" spans="3:19" ht="15.75" customHeight="1" x14ac:dyDescent="0.2">
      <c r="C205" s="60"/>
      <c r="D205" s="54"/>
      <c r="E205" s="54"/>
      <c r="F205" s="54"/>
      <c r="G205" s="54"/>
      <c r="I205" s="54"/>
      <c r="J205" s="54"/>
      <c r="K205" s="60"/>
      <c r="L205" s="54"/>
      <c r="M205" s="54"/>
      <c r="N205" s="54"/>
      <c r="O205" s="54"/>
      <c r="P205" s="54"/>
      <c r="Q205" s="54"/>
      <c r="R205" s="54"/>
      <c r="S205" s="54"/>
    </row>
    <row r="206" spans="3:19" ht="15.75" customHeight="1" x14ac:dyDescent="0.2">
      <c r="C206" s="60"/>
      <c r="D206" s="54"/>
      <c r="E206" s="54"/>
      <c r="F206" s="54"/>
      <c r="G206" s="54"/>
      <c r="I206" s="54"/>
      <c r="J206" s="54"/>
      <c r="K206" s="60"/>
      <c r="L206" s="54"/>
      <c r="M206" s="54"/>
      <c r="N206" s="54"/>
      <c r="O206" s="54"/>
      <c r="P206" s="54"/>
      <c r="Q206" s="54"/>
      <c r="R206" s="54"/>
      <c r="S206" s="54"/>
    </row>
    <row r="207" spans="3:19" ht="15.75" customHeight="1" x14ac:dyDescent="0.2">
      <c r="C207" s="60"/>
      <c r="D207" s="54"/>
      <c r="E207" s="54"/>
      <c r="F207" s="54"/>
      <c r="G207" s="54"/>
      <c r="I207" s="54"/>
      <c r="J207" s="54"/>
      <c r="K207" s="60"/>
      <c r="L207" s="54"/>
      <c r="M207" s="54"/>
      <c r="N207" s="54"/>
      <c r="O207" s="54"/>
      <c r="P207" s="54"/>
      <c r="Q207" s="54"/>
      <c r="R207" s="54"/>
      <c r="S207" s="54"/>
    </row>
    <row r="208" spans="3:19" ht="15.75" customHeight="1" x14ac:dyDescent="0.2">
      <c r="C208" s="60"/>
      <c r="D208" s="54"/>
      <c r="E208" s="54"/>
      <c r="F208" s="54"/>
      <c r="G208" s="54"/>
      <c r="I208" s="54"/>
      <c r="J208" s="54"/>
      <c r="K208" s="60"/>
      <c r="L208" s="54"/>
      <c r="M208" s="54"/>
      <c r="N208" s="54"/>
      <c r="O208" s="54"/>
      <c r="P208" s="54"/>
      <c r="Q208" s="54"/>
      <c r="R208" s="54"/>
      <c r="S208" s="54"/>
    </row>
    <row r="209" spans="3:19" ht="15.75" customHeight="1" x14ac:dyDescent="0.2">
      <c r="C209" s="60"/>
      <c r="D209" s="54"/>
      <c r="E209" s="54"/>
      <c r="F209" s="54"/>
      <c r="G209" s="54"/>
      <c r="I209" s="54"/>
      <c r="J209" s="54"/>
      <c r="K209" s="60"/>
      <c r="L209" s="54"/>
      <c r="M209" s="54"/>
      <c r="N209" s="54"/>
      <c r="O209" s="54"/>
      <c r="P209" s="54"/>
      <c r="Q209" s="54"/>
      <c r="R209" s="54"/>
      <c r="S209" s="54"/>
    </row>
    <row r="210" spans="3:19" ht="15.75" customHeight="1" x14ac:dyDescent="0.2">
      <c r="C210" s="60"/>
      <c r="D210" s="54"/>
      <c r="E210" s="54"/>
      <c r="F210" s="54"/>
      <c r="G210" s="54"/>
      <c r="I210" s="54"/>
      <c r="J210" s="54"/>
      <c r="K210" s="60"/>
      <c r="L210" s="54"/>
      <c r="M210" s="54"/>
      <c r="N210" s="54"/>
      <c r="O210" s="54"/>
      <c r="P210" s="54"/>
      <c r="Q210" s="54"/>
      <c r="R210" s="54"/>
      <c r="S210" s="54"/>
    </row>
    <row r="211" spans="3:19" ht="15.75" customHeight="1" x14ac:dyDescent="0.2">
      <c r="C211" s="60"/>
      <c r="D211" s="54"/>
      <c r="E211" s="54"/>
      <c r="F211" s="54"/>
      <c r="G211" s="54"/>
      <c r="I211" s="54"/>
      <c r="J211" s="54"/>
      <c r="K211" s="60"/>
      <c r="L211" s="54"/>
      <c r="M211" s="54"/>
      <c r="N211" s="54"/>
      <c r="O211" s="54"/>
      <c r="P211" s="54"/>
      <c r="Q211" s="54"/>
      <c r="R211" s="54"/>
      <c r="S211" s="54"/>
    </row>
    <row r="212" spans="3:19" ht="15.75" customHeight="1" x14ac:dyDescent="0.2">
      <c r="C212" s="60"/>
      <c r="D212" s="54"/>
      <c r="E212" s="54"/>
      <c r="F212" s="54"/>
      <c r="G212" s="54"/>
      <c r="I212" s="54"/>
      <c r="J212" s="54"/>
      <c r="K212" s="60"/>
      <c r="L212" s="54"/>
      <c r="M212" s="54"/>
      <c r="N212" s="54"/>
      <c r="O212" s="54"/>
      <c r="P212" s="54"/>
      <c r="Q212" s="54"/>
      <c r="R212" s="54"/>
      <c r="S212" s="54"/>
    </row>
    <row r="213" spans="3:19" ht="15.75" customHeight="1" x14ac:dyDescent="0.2">
      <c r="C213" s="60"/>
      <c r="D213" s="54"/>
      <c r="E213" s="54"/>
      <c r="F213" s="54"/>
      <c r="G213" s="54"/>
      <c r="I213" s="54"/>
      <c r="J213" s="54"/>
      <c r="K213" s="60"/>
      <c r="L213" s="54"/>
      <c r="M213" s="54"/>
      <c r="N213" s="54"/>
      <c r="O213" s="54"/>
      <c r="P213" s="54"/>
      <c r="Q213" s="54"/>
      <c r="R213" s="54"/>
      <c r="S213" s="54"/>
    </row>
    <row r="214" spans="3:19" ht="15.75" customHeight="1" x14ac:dyDescent="0.2">
      <c r="C214" s="60"/>
      <c r="D214" s="54"/>
      <c r="E214" s="54"/>
      <c r="F214" s="54"/>
      <c r="G214" s="54"/>
      <c r="I214" s="54"/>
      <c r="J214" s="54"/>
      <c r="K214" s="60"/>
      <c r="L214" s="54"/>
      <c r="M214" s="54"/>
      <c r="N214" s="54"/>
      <c r="O214" s="54"/>
      <c r="P214" s="54"/>
      <c r="Q214" s="54"/>
      <c r="R214" s="54"/>
      <c r="S214" s="54"/>
    </row>
    <row r="215" spans="3:19" ht="15.75" customHeight="1" x14ac:dyDescent="0.2">
      <c r="C215" s="60"/>
      <c r="D215" s="54"/>
      <c r="E215" s="54"/>
      <c r="F215" s="54"/>
      <c r="G215" s="54"/>
      <c r="I215" s="54"/>
      <c r="J215" s="54"/>
      <c r="K215" s="60"/>
      <c r="L215" s="54"/>
      <c r="M215" s="54"/>
      <c r="N215" s="54"/>
      <c r="O215" s="54"/>
      <c r="P215" s="54"/>
      <c r="Q215" s="54"/>
      <c r="R215" s="54"/>
      <c r="S215" s="54"/>
    </row>
    <row r="216" spans="3:19" ht="15.75" customHeight="1" x14ac:dyDescent="0.2">
      <c r="C216" s="60"/>
      <c r="D216" s="54"/>
      <c r="E216" s="54"/>
      <c r="F216" s="54"/>
      <c r="G216" s="54"/>
      <c r="I216" s="54"/>
      <c r="J216" s="54"/>
      <c r="K216" s="60"/>
      <c r="L216" s="54"/>
      <c r="M216" s="54"/>
      <c r="N216" s="54"/>
      <c r="O216" s="54"/>
      <c r="P216" s="54"/>
      <c r="Q216" s="54"/>
      <c r="R216" s="54"/>
      <c r="S216" s="54"/>
    </row>
    <row r="217" spans="3:19" ht="15.75" customHeight="1" x14ac:dyDescent="0.2">
      <c r="C217" s="60"/>
      <c r="D217" s="54"/>
      <c r="E217" s="54"/>
      <c r="F217" s="54"/>
      <c r="G217" s="54"/>
      <c r="I217" s="54"/>
      <c r="J217" s="54"/>
      <c r="K217" s="60"/>
      <c r="L217" s="54"/>
      <c r="M217" s="54"/>
      <c r="N217" s="54"/>
      <c r="O217" s="54"/>
      <c r="P217" s="54"/>
      <c r="Q217" s="54"/>
      <c r="R217" s="54"/>
      <c r="S217" s="54"/>
    </row>
    <row r="218" spans="3:19" ht="15.75" customHeight="1" x14ac:dyDescent="0.2">
      <c r="C218" s="60"/>
      <c r="D218" s="54"/>
      <c r="E218" s="54"/>
      <c r="F218" s="54"/>
      <c r="G218" s="54"/>
      <c r="I218" s="54"/>
      <c r="J218" s="54"/>
      <c r="K218" s="60"/>
      <c r="L218" s="54"/>
      <c r="M218" s="54"/>
      <c r="N218" s="54"/>
      <c r="O218" s="54"/>
      <c r="P218" s="54"/>
      <c r="Q218" s="54"/>
      <c r="R218" s="54"/>
      <c r="S218" s="54"/>
    </row>
    <row r="219" spans="3:19" ht="15.75" customHeight="1" x14ac:dyDescent="0.2">
      <c r="C219" s="60"/>
      <c r="D219" s="54"/>
      <c r="E219" s="54"/>
      <c r="F219" s="54"/>
      <c r="G219" s="54"/>
      <c r="I219" s="54"/>
      <c r="J219" s="54"/>
      <c r="K219" s="60"/>
      <c r="L219" s="54"/>
      <c r="M219" s="54"/>
      <c r="N219" s="54"/>
      <c r="O219" s="54"/>
      <c r="P219" s="54"/>
      <c r="Q219" s="54"/>
      <c r="R219" s="54"/>
      <c r="S219" s="54"/>
    </row>
    <row r="220" spans="3:19" ht="15.75" customHeight="1" x14ac:dyDescent="0.2">
      <c r="C220" s="60"/>
      <c r="D220" s="54"/>
      <c r="E220" s="54"/>
      <c r="F220" s="54"/>
      <c r="G220" s="54"/>
      <c r="I220" s="54"/>
      <c r="J220" s="54"/>
      <c r="K220" s="60"/>
      <c r="L220" s="54"/>
      <c r="M220" s="54"/>
      <c r="N220" s="54"/>
      <c r="O220" s="54"/>
      <c r="P220" s="54"/>
      <c r="Q220" s="54"/>
      <c r="R220" s="54"/>
      <c r="S220" s="54"/>
    </row>
    <row r="221" spans="3:19" ht="15.75" customHeight="1" x14ac:dyDescent="0.2">
      <c r="C221" s="60"/>
      <c r="D221" s="54"/>
      <c r="E221" s="54"/>
      <c r="F221" s="54"/>
      <c r="G221" s="54"/>
      <c r="I221" s="54"/>
      <c r="J221" s="54"/>
      <c r="K221" s="60"/>
      <c r="L221" s="54"/>
      <c r="M221" s="54"/>
      <c r="N221" s="54"/>
      <c r="O221" s="54"/>
      <c r="P221" s="54"/>
      <c r="Q221" s="54"/>
      <c r="R221" s="54"/>
      <c r="S221" s="54"/>
    </row>
    <row r="222" spans="3:19" ht="15.75" customHeight="1" x14ac:dyDescent="0.2">
      <c r="C222" s="60"/>
      <c r="D222" s="54"/>
      <c r="E222" s="54"/>
      <c r="F222" s="54"/>
      <c r="G222" s="54"/>
      <c r="I222" s="54"/>
      <c r="J222" s="54"/>
      <c r="K222" s="60"/>
      <c r="L222" s="54"/>
      <c r="M222" s="54"/>
      <c r="N222" s="54"/>
      <c r="O222" s="54"/>
      <c r="P222" s="54"/>
      <c r="Q222" s="54"/>
      <c r="R222" s="54"/>
      <c r="S222" s="54"/>
    </row>
    <row r="223" spans="3:19" ht="15.75" customHeight="1" x14ac:dyDescent="0.2">
      <c r="C223" s="60"/>
      <c r="D223" s="54"/>
      <c r="E223" s="54"/>
      <c r="F223" s="54"/>
      <c r="G223" s="54"/>
      <c r="I223" s="54"/>
      <c r="J223" s="54"/>
      <c r="K223" s="60"/>
      <c r="L223" s="54"/>
      <c r="M223" s="54"/>
      <c r="N223" s="54"/>
      <c r="O223" s="54"/>
      <c r="P223" s="54"/>
      <c r="Q223" s="54"/>
      <c r="R223" s="54"/>
      <c r="S223" s="54"/>
    </row>
    <row r="224" spans="3:19" ht="15.75" customHeight="1" x14ac:dyDescent="0.2">
      <c r="C224" s="60"/>
      <c r="D224" s="54"/>
      <c r="E224" s="54"/>
      <c r="F224" s="54"/>
      <c r="G224" s="54"/>
      <c r="I224" s="54"/>
      <c r="J224" s="54"/>
      <c r="K224" s="60"/>
      <c r="L224" s="54"/>
      <c r="M224" s="54"/>
      <c r="N224" s="54"/>
      <c r="O224" s="54"/>
      <c r="P224" s="54"/>
      <c r="Q224" s="54"/>
      <c r="R224" s="54"/>
      <c r="S224" s="54"/>
    </row>
    <row r="225" spans="3:19" ht="15.75" customHeight="1" x14ac:dyDescent="0.2">
      <c r="C225" s="60"/>
      <c r="D225" s="54"/>
      <c r="E225" s="54"/>
      <c r="F225" s="54"/>
      <c r="G225" s="54"/>
      <c r="I225" s="54"/>
      <c r="J225" s="54"/>
      <c r="K225" s="60"/>
      <c r="L225" s="54"/>
      <c r="M225" s="54"/>
      <c r="N225" s="54"/>
      <c r="O225" s="54"/>
      <c r="P225" s="54"/>
      <c r="Q225" s="54"/>
      <c r="R225" s="54"/>
      <c r="S225" s="54"/>
    </row>
    <row r="226" spans="3:19" ht="15.75" customHeight="1" x14ac:dyDescent="0.2">
      <c r="C226" s="60"/>
      <c r="D226" s="54"/>
      <c r="E226" s="54"/>
      <c r="F226" s="54"/>
      <c r="G226" s="54"/>
      <c r="I226" s="54"/>
      <c r="J226" s="54"/>
      <c r="K226" s="60"/>
      <c r="L226" s="54"/>
      <c r="M226" s="54"/>
      <c r="N226" s="54"/>
      <c r="O226" s="54"/>
      <c r="P226" s="54"/>
      <c r="Q226" s="54"/>
      <c r="R226" s="54"/>
      <c r="S226" s="54"/>
    </row>
    <row r="227" spans="3:19" ht="15.75" customHeight="1" x14ac:dyDescent="0.2">
      <c r="C227" s="60"/>
      <c r="D227" s="54"/>
      <c r="E227" s="54"/>
      <c r="F227" s="54"/>
      <c r="G227" s="54"/>
      <c r="I227" s="54"/>
      <c r="J227" s="54"/>
      <c r="K227" s="60"/>
      <c r="L227" s="54"/>
      <c r="M227" s="54"/>
      <c r="N227" s="54"/>
      <c r="O227" s="54"/>
      <c r="P227" s="54"/>
      <c r="Q227" s="54"/>
      <c r="R227" s="54"/>
      <c r="S227" s="54"/>
    </row>
    <row r="228" spans="3:19" ht="15.75" customHeight="1" x14ac:dyDescent="0.2">
      <c r="C228" s="60"/>
      <c r="D228" s="54"/>
      <c r="E228" s="54"/>
      <c r="F228" s="54"/>
      <c r="G228" s="54"/>
      <c r="I228" s="54"/>
      <c r="J228" s="54"/>
      <c r="K228" s="60"/>
      <c r="L228" s="54"/>
      <c r="M228" s="54"/>
      <c r="N228" s="54"/>
      <c r="O228" s="54"/>
      <c r="P228" s="54"/>
      <c r="Q228" s="54"/>
      <c r="R228" s="54"/>
      <c r="S228" s="54"/>
    </row>
    <row r="229" spans="3:19" ht="15.75" customHeight="1" x14ac:dyDescent="0.2">
      <c r="C229" s="60"/>
      <c r="D229" s="54"/>
      <c r="E229" s="54"/>
      <c r="F229" s="54"/>
      <c r="G229" s="54"/>
      <c r="I229" s="54"/>
      <c r="J229" s="54"/>
      <c r="K229" s="60"/>
      <c r="L229" s="54"/>
      <c r="M229" s="54"/>
      <c r="N229" s="54"/>
      <c r="O229" s="54"/>
      <c r="P229" s="54"/>
      <c r="Q229" s="54"/>
      <c r="R229" s="54"/>
      <c r="S229" s="54"/>
    </row>
    <row r="230" spans="3:19" ht="15.75" customHeight="1" x14ac:dyDescent="0.2">
      <c r="C230" s="60"/>
      <c r="D230" s="54"/>
      <c r="E230" s="54"/>
      <c r="F230" s="54"/>
      <c r="G230" s="54"/>
      <c r="I230" s="54"/>
      <c r="J230" s="54"/>
      <c r="K230" s="60"/>
      <c r="L230" s="54"/>
      <c r="M230" s="54"/>
      <c r="N230" s="54"/>
      <c r="O230" s="54"/>
      <c r="P230" s="54"/>
      <c r="Q230" s="54"/>
      <c r="R230" s="54"/>
      <c r="S230" s="54"/>
    </row>
    <row r="231" spans="3:19" ht="15.75" customHeight="1" x14ac:dyDescent="0.2"/>
    <row r="232" spans="3:19" ht="15.75" customHeight="1" x14ac:dyDescent="0.2"/>
    <row r="233" spans="3:19" ht="15.75" customHeight="1" x14ac:dyDescent="0.2"/>
    <row r="234" spans="3:19" ht="15.75" customHeight="1" x14ac:dyDescent="0.2"/>
    <row r="235" spans="3:19" ht="15.75" customHeight="1" x14ac:dyDescent="0.2"/>
    <row r="236" spans="3:19" ht="15.75" customHeight="1" x14ac:dyDescent="0.2"/>
    <row r="237" spans="3:19" ht="15.75" customHeight="1" x14ac:dyDescent="0.2"/>
    <row r="238" spans="3:19" ht="15.75" customHeight="1" x14ac:dyDescent="0.2"/>
    <row r="239" spans="3:19" ht="15.75" customHeight="1" x14ac:dyDescent="0.2"/>
    <row r="240" spans="3:19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">
    <mergeCell ref="A21:B21"/>
    <mergeCell ref="A25:B25"/>
  </mergeCells>
  <conditionalFormatting sqref="H6:H21 H24:H25 H27">
    <cfRule type="cellIs" dxfId="30" priority="1" operator="lessThan">
      <formula>0</formula>
    </cfRule>
  </conditionalFormatting>
  <printOptions horizontalCentered="1" verticalCentered="1"/>
  <pageMargins left="0.25" right="0.25" top="0.75" bottom="0.75" header="0.3" footer="0.3"/>
  <pageSetup fitToHeight="0" orientation="landscape" r:id="rId1"/>
  <headerFooter>
    <oddHeader>&amp;A</oddHeader>
    <oddFooter>Page &amp;P of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sqref="A1:B1"/>
    </sheetView>
  </sheetViews>
  <sheetFormatPr defaultColWidth="12.5703125" defaultRowHeight="15" customHeight="1" outlineLevelCol="1" x14ac:dyDescent="0.2"/>
  <cols>
    <col min="2" max="2" width="40" customWidth="1"/>
    <col min="3" max="3" width="3.42578125" hidden="1" customWidth="1" outlineLevel="1"/>
    <col min="4" max="10" width="0.140625" hidden="1" customWidth="1" outlineLevel="1"/>
    <col min="11" max="11" width="3.42578125" hidden="1" customWidth="1" outlineLevel="1"/>
    <col min="12" max="12" width="12.5703125" collapsed="1"/>
    <col min="13" max="13" width="14.85546875" customWidth="1"/>
    <col min="22" max="22" width="3.140625" customWidth="1"/>
  </cols>
  <sheetData>
    <row r="1" spans="1:19" ht="30.75" customHeight="1" x14ac:dyDescent="0.35">
      <c r="A1" s="567" t="s">
        <v>881</v>
      </c>
      <c r="B1" s="558"/>
      <c r="C1" s="324"/>
      <c r="D1" s="103"/>
      <c r="E1" s="265"/>
      <c r="F1" s="265"/>
      <c r="G1" s="315"/>
      <c r="H1" s="211"/>
      <c r="I1" s="5"/>
      <c r="J1" s="5"/>
      <c r="K1" s="324"/>
      <c r="L1" s="265"/>
      <c r="M1" s="314"/>
      <c r="N1" s="265"/>
      <c r="O1" s="314"/>
      <c r="P1" s="266"/>
      <c r="Q1" s="266"/>
      <c r="R1" s="315"/>
      <c r="S1" s="315"/>
    </row>
    <row r="2" spans="1:19" ht="48" customHeight="1" x14ac:dyDescent="0.2">
      <c r="A2" s="3" t="s">
        <v>50</v>
      </c>
      <c r="B2" s="3" t="s">
        <v>51</v>
      </c>
      <c r="C2" s="292"/>
      <c r="D2" s="99" t="s">
        <v>52</v>
      </c>
      <c r="E2" s="100" t="s">
        <v>53</v>
      </c>
      <c r="F2" s="100" t="s">
        <v>54</v>
      </c>
      <c r="G2" s="100" t="s">
        <v>55</v>
      </c>
      <c r="H2" s="24" t="s">
        <v>56</v>
      </c>
      <c r="I2" s="24" t="s">
        <v>57</v>
      </c>
      <c r="J2" s="101" t="s">
        <v>58</v>
      </c>
      <c r="K2" s="292"/>
      <c r="L2" s="3" t="s">
        <v>59</v>
      </c>
      <c r="M2" s="3" t="s">
        <v>60</v>
      </c>
      <c r="N2" s="3" t="s">
        <v>61</v>
      </c>
      <c r="O2" s="3" t="s">
        <v>62</v>
      </c>
      <c r="P2" s="293" t="s">
        <v>541</v>
      </c>
      <c r="Q2" s="293" t="s">
        <v>64</v>
      </c>
      <c r="R2" s="293" t="s">
        <v>65</v>
      </c>
      <c r="S2" s="293" t="s">
        <v>66</v>
      </c>
    </row>
    <row r="3" spans="1:19" ht="15.75" customHeight="1" x14ac:dyDescent="0.25">
      <c r="A3" s="103" t="s">
        <v>753</v>
      </c>
      <c r="B3" s="103" t="s">
        <v>68</v>
      </c>
      <c r="C3" s="280"/>
      <c r="D3" s="142">
        <v>0</v>
      </c>
      <c r="E3" s="142" t="e">
        <f>D3*#REF!</f>
        <v>#REF!</v>
      </c>
      <c r="F3" s="142" t="e">
        <f>D3*#REF!</f>
        <v>#REF!</v>
      </c>
      <c r="G3" s="142" t="e">
        <f>(D3*#REF!)*#REF!</f>
        <v>#REF!</v>
      </c>
      <c r="H3" s="33">
        <f t="shared" ref="H3:H21" si="0">IFERROR(((Q3-G3)/G3),0)</f>
        <v>0</v>
      </c>
      <c r="I3" s="16" t="e">
        <f t="shared" ref="I3:I21" si="1">Q3-G3</f>
        <v>#REF!</v>
      </c>
      <c r="J3" s="18">
        <v>0</v>
      </c>
      <c r="K3" s="280"/>
      <c r="L3" s="216">
        <v>131453</v>
      </c>
      <c r="M3" s="216">
        <v>159816.60999999999</v>
      </c>
      <c r="N3" s="216">
        <v>204830</v>
      </c>
      <c r="O3" s="216">
        <f>VLOOKUP(A3,TB!A:F,3)</f>
        <v>145154.47</v>
      </c>
      <c r="P3" s="142">
        <f t="shared" ref="P3:P7" si="2">O3/20*26</f>
        <v>188700.81099999999</v>
      </c>
      <c r="Q3" s="142">
        <v>219200</v>
      </c>
      <c r="R3" s="281">
        <f>VLOOKUP(A3,TB!A:F,6)</f>
        <v>219200</v>
      </c>
      <c r="S3" s="281">
        <f t="shared" ref="S3:S20" si="3">Q3-R3</f>
        <v>0</v>
      </c>
    </row>
    <row r="4" spans="1:19" ht="15.75" customHeight="1" x14ac:dyDescent="0.25">
      <c r="A4" s="103" t="s">
        <v>754</v>
      </c>
      <c r="B4" s="103" t="s">
        <v>70</v>
      </c>
      <c r="C4" s="280"/>
      <c r="D4" s="142">
        <v>0</v>
      </c>
      <c r="E4" s="142" t="e">
        <f>D4*#REF!</f>
        <v>#REF!</v>
      </c>
      <c r="F4" s="142" t="e">
        <f>D4*#REF!</f>
        <v>#REF!</v>
      </c>
      <c r="G4" s="142" t="e">
        <f>(D4*#REF!)*#REF!</f>
        <v>#REF!</v>
      </c>
      <c r="H4" s="33">
        <f t="shared" si="0"/>
        <v>0</v>
      </c>
      <c r="I4" s="16" t="e">
        <f t="shared" si="1"/>
        <v>#REF!</v>
      </c>
      <c r="J4" s="18">
        <v>0</v>
      </c>
      <c r="K4" s="280"/>
      <c r="L4" s="216">
        <v>1473</v>
      </c>
      <c r="M4" s="216">
        <v>4448.6099999999997</v>
      </c>
      <c r="N4" s="216">
        <v>6500</v>
      </c>
      <c r="O4" s="216">
        <f>VLOOKUP(A4,TB!A:F,3)</f>
        <v>3562.59</v>
      </c>
      <c r="P4" s="142">
        <f t="shared" si="2"/>
        <v>4631.3670000000002</v>
      </c>
      <c r="Q4" s="142">
        <v>6500</v>
      </c>
      <c r="R4" s="281">
        <f>VLOOKUP(A4,TB!A:F,6)</f>
        <v>6500</v>
      </c>
      <c r="S4" s="281">
        <f t="shared" si="3"/>
        <v>0</v>
      </c>
    </row>
    <row r="5" spans="1:19" ht="15.75" customHeight="1" x14ac:dyDescent="0.25">
      <c r="A5" s="103" t="s">
        <v>755</v>
      </c>
      <c r="B5" s="103" t="s">
        <v>132</v>
      </c>
      <c r="C5" s="280"/>
      <c r="D5" s="142">
        <v>0</v>
      </c>
      <c r="E5" s="142" t="e">
        <f>D5*#REF!</f>
        <v>#REF!</v>
      </c>
      <c r="F5" s="142" t="e">
        <f>D5*#REF!</f>
        <v>#REF!</v>
      </c>
      <c r="G5" s="142" t="e">
        <f>(D5*#REF!)*#REF!</f>
        <v>#REF!</v>
      </c>
      <c r="H5" s="33">
        <f t="shared" si="0"/>
        <v>0</v>
      </c>
      <c r="I5" s="16" t="e">
        <f t="shared" si="1"/>
        <v>#REF!</v>
      </c>
      <c r="J5" s="18">
        <v>0</v>
      </c>
      <c r="K5" s="280"/>
      <c r="L5" s="216">
        <v>78724</v>
      </c>
      <c r="M5" s="216">
        <v>71576.3</v>
      </c>
      <c r="N5" s="216">
        <v>64498</v>
      </c>
      <c r="O5" s="216">
        <f>VLOOKUP(A5,TB!A:F,3)</f>
        <v>49197.13</v>
      </c>
      <c r="P5" s="142">
        <f t="shared" si="2"/>
        <v>63956.269</v>
      </c>
      <c r="Q5" s="142">
        <v>86000</v>
      </c>
      <c r="R5" s="281">
        <f>VLOOKUP(A5,TB!A:F,6)</f>
        <v>86000</v>
      </c>
      <c r="S5" s="281">
        <f t="shared" si="3"/>
        <v>0</v>
      </c>
    </row>
    <row r="6" spans="1:19" ht="15.75" customHeight="1" x14ac:dyDescent="0.25">
      <c r="A6" s="103" t="s">
        <v>756</v>
      </c>
      <c r="B6" s="103" t="s">
        <v>108</v>
      </c>
      <c r="C6" s="280"/>
      <c r="D6" s="142">
        <v>0</v>
      </c>
      <c r="E6" s="142" t="e">
        <f>D6*#REF!</f>
        <v>#REF!</v>
      </c>
      <c r="F6" s="142" t="e">
        <f>D6*#REF!</f>
        <v>#REF!</v>
      </c>
      <c r="G6" s="142" t="e">
        <f>(D6*#REF!)*#REF!</f>
        <v>#REF!</v>
      </c>
      <c r="H6" s="33">
        <f t="shared" si="0"/>
        <v>0</v>
      </c>
      <c r="I6" s="16" t="e">
        <f t="shared" si="1"/>
        <v>#REF!</v>
      </c>
      <c r="J6" s="18">
        <v>0</v>
      </c>
      <c r="K6" s="280"/>
      <c r="L6" s="216">
        <v>0</v>
      </c>
      <c r="M6" s="216">
        <v>0</v>
      </c>
      <c r="N6" s="216">
        <v>0</v>
      </c>
      <c r="O6" s="216">
        <f>VLOOKUP(A6,TB!A:F,3)</f>
        <v>49197.13</v>
      </c>
      <c r="P6" s="142">
        <f t="shared" si="2"/>
        <v>63956.269</v>
      </c>
      <c r="Q6" s="142">
        <v>0</v>
      </c>
      <c r="R6" s="281">
        <v>0</v>
      </c>
      <c r="S6" s="281">
        <f t="shared" si="3"/>
        <v>0</v>
      </c>
    </row>
    <row r="7" spans="1:19" ht="15.75" customHeight="1" x14ac:dyDescent="0.25">
      <c r="A7" s="103" t="s">
        <v>757</v>
      </c>
      <c r="B7" s="103" t="s">
        <v>72</v>
      </c>
      <c r="C7" s="280"/>
      <c r="D7" s="142">
        <v>0</v>
      </c>
      <c r="E7" s="142" t="e">
        <f>D7*#REF!</f>
        <v>#REF!</v>
      </c>
      <c r="F7" s="142" t="e">
        <f>D7*#REF!</f>
        <v>#REF!</v>
      </c>
      <c r="G7" s="142" t="e">
        <f>(D7*#REF!)*#REF!</f>
        <v>#REF!</v>
      </c>
      <c r="H7" s="33">
        <f t="shared" si="0"/>
        <v>0</v>
      </c>
      <c r="I7" s="16" t="e">
        <f t="shared" si="1"/>
        <v>#REF!</v>
      </c>
      <c r="J7" s="18">
        <v>0</v>
      </c>
      <c r="K7" s="280"/>
      <c r="L7" s="216">
        <v>71360</v>
      </c>
      <c r="M7" s="216">
        <v>79982.98</v>
      </c>
      <c r="N7" s="216">
        <v>99908</v>
      </c>
      <c r="O7" s="216">
        <f>VLOOKUP(A7,TB!A:F,3)</f>
        <v>70541.740000000005</v>
      </c>
      <c r="P7" s="142">
        <f t="shared" si="2"/>
        <v>91704.262000000017</v>
      </c>
      <c r="Q7" s="142">
        <v>109600</v>
      </c>
      <c r="R7" s="281">
        <f>VLOOKUP(A7,TB!A:F,6)</f>
        <v>109600</v>
      </c>
      <c r="S7" s="281">
        <f t="shared" si="3"/>
        <v>0</v>
      </c>
    </row>
    <row r="8" spans="1:19" ht="15.75" customHeight="1" x14ac:dyDescent="0.25">
      <c r="A8" s="103" t="s">
        <v>758</v>
      </c>
      <c r="B8" s="103" t="s">
        <v>74</v>
      </c>
      <c r="C8" s="280"/>
      <c r="D8" s="142">
        <v>0</v>
      </c>
      <c r="E8" s="142" t="e">
        <f>D8*#REF!</f>
        <v>#REF!</v>
      </c>
      <c r="F8" s="142" t="e">
        <f>D8*#REF!</f>
        <v>#REF!</v>
      </c>
      <c r="G8" s="142" t="e">
        <f>(D8*#REF!)*#REF!</f>
        <v>#REF!</v>
      </c>
      <c r="H8" s="33">
        <f t="shared" si="0"/>
        <v>0</v>
      </c>
      <c r="I8" s="16" t="e">
        <f t="shared" si="1"/>
        <v>#REF!</v>
      </c>
      <c r="J8" s="18">
        <v>0</v>
      </c>
      <c r="K8" s="280"/>
      <c r="L8" s="216">
        <v>147</v>
      </c>
      <c r="M8" s="216">
        <v>0</v>
      </c>
      <c r="N8" s="216">
        <v>500</v>
      </c>
      <c r="O8" s="216">
        <f>VLOOKUP(A8,TB!A:F,3)</f>
        <v>0</v>
      </c>
      <c r="P8" s="272">
        <f t="shared" ref="P8:P12" si="4">N8</f>
        <v>500</v>
      </c>
      <c r="Q8" s="142">
        <v>500</v>
      </c>
      <c r="R8" s="281">
        <f>VLOOKUP(A8,TB!A:F,6)</f>
        <v>500</v>
      </c>
      <c r="S8" s="281">
        <f t="shared" si="3"/>
        <v>0</v>
      </c>
    </row>
    <row r="9" spans="1:19" ht="15.75" customHeight="1" x14ac:dyDescent="0.25">
      <c r="A9" s="103" t="s">
        <v>759</v>
      </c>
      <c r="B9" s="103" t="s">
        <v>76</v>
      </c>
      <c r="C9" s="280"/>
      <c r="D9" s="142">
        <v>0</v>
      </c>
      <c r="E9" s="142" t="e">
        <f>D9*#REF!</f>
        <v>#REF!</v>
      </c>
      <c r="F9" s="142" t="e">
        <f>D9*#REF!</f>
        <v>#REF!</v>
      </c>
      <c r="G9" s="142" t="e">
        <f>(D9*#REF!)*#REF!</f>
        <v>#REF!</v>
      </c>
      <c r="H9" s="33">
        <f t="shared" si="0"/>
        <v>0</v>
      </c>
      <c r="I9" s="16" t="e">
        <f t="shared" si="1"/>
        <v>#REF!</v>
      </c>
      <c r="J9" s="18">
        <v>0</v>
      </c>
      <c r="K9" s="280"/>
      <c r="L9" s="216">
        <v>0</v>
      </c>
      <c r="M9" s="216">
        <v>0</v>
      </c>
      <c r="N9" s="216">
        <v>1000</v>
      </c>
      <c r="O9" s="216">
        <f>VLOOKUP(A9,TB!A:F,3)</f>
        <v>0</v>
      </c>
      <c r="P9" s="272">
        <f t="shared" si="4"/>
        <v>1000</v>
      </c>
      <c r="Q9" s="142">
        <v>500</v>
      </c>
      <c r="R9" s="281">
        <f>VLOOKUP(A9,TB!A:F,6)</f>
        <v>500</v>
      </c>
      <c r="S9" s="281">
        <f t="shared" si="3"/>
        <v>0</v>
      </c>
    </row>
    <row r="10" spans="1:19" ht="15.75" customHeight="1" x14ac:dyDescent="0.25">
      <c r="A10" s="103" t="s">
        <v>760</v>
      </c>
      <c r="B10" s="103" t="s">
        <v>80</v>
      </c>
      <c r="C10" s="280"/>
      <c r="D10" s="142">
        <v>0</v>
      </c>
      <c r="E10" s="142" t="e">
        <f>D10*#REF!</f>
        <v>#REF!</v>
      </c>
      <c r="F10" s="142" t="e">
        <f>D10*#REF!</f>
        <v>#REF!</v>
      </c>
      <c r="G10" s="142" t="e">
        <f>(D10*#REF!)*#REF!</f>
        <v>#REF!</v>
      </c>
      <c r="H10" s="33">
        <f t="shared" si="0"/>
        <v>0</v>
      </c>
      <c r="I10" s="16" t="e">
        <f t="shared" si="1"/>
        <v>#REF!</v>
      </c>
      <c r="J10" s="18">
        <v>0</v>
      </c>
      <c r="K10" s="280"/>
      <c r="L10" s="216">
        <v>5600</v>
      </c>
      <c r="M10" s="216">
        <v>1585.54</v>
      </c>
      <c r="N10" s="216">
        <v>3000</v>
      </c>
      <c r="O10" s="216">
        <f>VLOOKUP(A10,TB!A:F,3)</f>
        <v>2074.5</v>
      </c>
      <c r="P10" s="272">
        <f t="shared" si="4"/>
        <v>3000</v>
      </c>
      <c r="Q10" s="142">
        <v>3010</v>
      </c>
      <c r="R10" s="281">
        <f>VLOOKUP(A10,TB!A:F,6)</f>
        <v>3010</v>
      </c>
      <c r="S10" s="281">
        <f t="shared" si="3"/>
        <v>0</v>
      </c>
    </row>
    <row r="11" spans="1:19" ht="15.75" customHeight="1" x14ac:dyDescent="0.25">
      <c r="A11" s="103" t="s">
        <v>761</v>
      </c>
      <c r="B11" s="103" t="s">
        <v>82</v>
      </c>
      <c r="C11" s="280"/>
      <c r="D11" s="142">
        <v>0</v>
      </c>
      <c r="E11" s="142" t="e">
        <f>D11*#REF!</f>
        <v>#REF!</v>
      </c>
      <c r="F11" s="142" t="e">
        <f>D11*#REF!</f>
        <v>#REF!</v>
      </c>
      <c r="G11" s="142" t="e">
        <f>(D11*#REF!)*#REF!</f>
        <v>#REF!</v>
      </c>
      <c r="H11" s="33">
        <f t="shared" si="0"/>
        <v>0</v>
      </c>
      <c r="I11" s="16" t="e">
        <f t="shared" si="1"/>
        <v>#REF!</v>
      </c>
      <c r="J11" s="18">
        <v>0</v>
      </c>
      <c r="K11" s="280"/>
      <c r="L11" s="216">
        <v>21054</v>
      </c>
      <c r="M11" s="216">
        <v>65665.67</v>
      </c>
      <c r="N11" s="216">
        <v>64000</v>
      </c>
      <c r="O11" s="216">
        <f>VLOOKUP(A11,TB!A:F,3)</f>
        <v>25390.87</v>
      </c>
      <c r="P11" s="272">
        <f t="shared" si="4"/>
        <v>64000</v>
      </c>
      <c r="Q11" s="142">
        <v>30000</v>
      </c>
      <c r="R11" s="281">
        <f>VLOOKUP(A11,TB!A:F,6)</f>
        <v>30000</v>
      </c>
      <c r="S11" s="281">
        <f t="shared" si="3"/>
        <v>0</v>
      </c>
    </row>
    <row r="12" spans="1:19" ht="15.75" customHeight="1" x14ac:dyDescent="0.25">
      <c r="A12" s="103" t="s">
        <v>762</v>
      </c>
      <c r="B12" s="103" t="s">
        <v>115</v>
      </c>
      <c r="C12" s="280"/>
      <c r="D12" s="142">
        <v>0</v>
      </c>
      <c r="E12" s="142" t="e">
        <f>D12*#REF!</f>
        <v>#REF!</v>
      </c>
      <c r="F12" s="142" t="e">
        <f>D12*#REF!</f>
        <v>#REF!</v>
      </c>
      <c r="G12" s="142" t="e">
        <f>(D12*#REF!)*#REF!</f>
        <v>#REF!</v>
      </c>
      <c r="H12" s="33">
        <f t="shared" si="0"/>
        <v>0</v>
      </c>
      <c r="I12" s="16" t="e">
        <f t="shared" si="1"/>
        <v>#REF!</v>
      </c>
      <c r="J12" s="18">
        <v>0</v>
      </c>
      <c r="K12" s="280"/>
      <c r="L12" s="216">
        <v>16320</v>
      </c>
      <c r="M12" s="216">
        <v>8172.88</v>
      </c>
      <c r="N12" s="216">
        <v>35225</v>
      </c>
      <c r="O12" s="216">
        <f>VLOOKUP(A12,TB!A:F,3)</f>
        <v>16637.16</v>
      </c>
      <c r="P12" s="142">
        <f t="shared" si="4"/>
        <v>35225</v>
      </c>
      <c r="Q12" s="142">
        <v>15389</v>
      </c>
      <c r="R12" s="281">
        <f>VLOOKUP(A12,TB!A:F,6)</f>
        <v>15388.51</v>
      </c>
      <c r="S12" s="281">
        <f t="shared" si="3"/>
        <v>0.48999999999978172</v>
      </c>
    </row>
    <row r="13" spans="1:19" ht="15.75" customHeight="1" x14ac:dyDescent="0.25">
      <c r="A13" s="103" t="s">
        <v>763</v>
      </c>
      <c r="B13" s="103" t="s">
        <v>84</v>
      </c>
      <c r="C13" s="280"/>
      <c r="D13" s="142">
        <v>0</v>
      </c>
      <c r="E13" s="142" t="e">
        <f>D13*#REF!</f>
        <v>#REF!</v>
      </c>
      <c r="F13" s="142" t="e">
        <f>D13*#REF!</f>
        <v>#REF!</v>
      </c>
      <c r="G13" s="142" t="e">
        <f>(D13*#REF!)*#REF!</f>
        <v>#REF!</v>
      </c>
      <c r="H13" s="33">
        <f t="shared" si="0"/>
        <v>0</v>
      </c>
      <c r="I13" s="16" t="e">
        <f t="shared" si="1"/>
        <v>#REF!</v>
      </c>
      <c r="J13" s="18">
        <v>0</v>
      </c>
      <c r="K13" s="280"/>
      <c r="L13" s="216">
        <v>182</v>
      </c>
      <c r="M13" s="216">
        <v>0</v>
      </c>
      <c r="N13" s="216">
        <v>0</v>
      </c>
      <c r="O13" s="216">
        <f>VLOOKUP(A13,TB!A:F,3)</f>
        <v>0</v>
      </c>
      <c r="P13" s="142">
        <f t="shared" ref="P13:P14" si="5">O13/9*12</f>
        <v>0</v>
      </c>
      <c r="Q13" s="142">
        <v>0</v>
      </c>
      <c r="R13" s="281">
        <f>VLOOKUP(A13,TB!A:F,6)</f>
        <v>0</v>
      </c>
      <c r="S13" s="281">
        <f t="shared" si="3"/>
        <v>0</v>
      </c>
    </row>
    <row r="14" spans="1:19" ht="15.75" customHeight="1" x14ac:dyDescent="0.25">
      <c r="A14" s="103" t="s">
        <v>764</v>
      </c>
      <c r="B14" s="103" t="s">
        <v>210</v>
      </c>
      <c r="C14" s="280"/>
      <c r="D14" s="142">
        <v>0</v>
      </c>
      <c r="E14" s="142" t="e">
        <f>D14*#REF!</f>
        <v>#REF!</v>
      </c>
      <c r="F14" s="142" t="e">
        <f>D14*#REF!</f>
        <v>#REF!</v>
      </c>
      <c r="G14" s="142" t="e">
        <f>(D14*#REF!)*#REF!</f>
        <v>#REF!</v>
      </c>
      <c r="H14" s="33">
        <f t="shared" si="0"/>
        <v>0</v>
      </c>
      <c r="I14" s="16" t="e">
        <f t="shared" si="1"/>
        <v>#REF!</v>
      </c>
      <c r="J14" s="18">
        <v>0</v>
      </c>
      <c r="K14" s="280"/>
      <c r="L14" s="216">
        <v>848</v>
      </c>
      <c r="M14" s="216">
        <v>0</v>
      </c>
      <c r="N14" s="216">
        <v>0</v>
      </c>
      <c r="O14" s="216">
        <f>VLOOKUP(A14,TB!A:F,3)</f>
        <v>0</v>
      </c>
      <c r="P14" s="142">
        <f t="shared" si="5"/>
        <v>0</v>
      </c>
      <c r="Q14" s="142">
        <v>0</v>
      </c>
      <c r="R14" s="281">
        <f>VLOOKUP(A14,TB!A:F,6)</f>
        <v>0</v>
      </c>
      <c r="S14" s="281">
        <f t="shared" si="3"/>
        <v>0</v>
      </c>
    </row>
    <row r="15" spans="1:19" ht="15.75" customHeight="1" x14ac:dyDescent="0.25">
      <c r="A15" s="103" t="s">
        <v>765</v>
      </c>
      <c r="B15" s="103" t="s">
        <v>86</v>
      </c>
      <c r="C15" s="280"/>
      <c r="D15" s="142">
        <v>0</v>
      </c>
      <c r="E15" s="142" t="e">
        <f>D15*#REF!</f>
        <v>#REF!</v>
      </c>
      <c r="F15" s="142" t="e">
        <f>D15*#REF!</f>
        <v>#REF!</v>
      </c>
      <c r="G15" s="142" t="e">
        <f>(D15*#REF!)*#REF!</f>
        <v>#REF!</v>
      </c>
      <c r="H15" s="33">
        <f t="shared" si="0"/>
        <v>0</v>
      </c>
      <c r="I15" s="16" t="e">
        <f t="shared" si="1"/>
        <v>#REF!</v>
      </c>
      <c r="J15" s="18">
        <v>0</v>
      </c>
      <c r="K15" s="280"/>
      <c r="L15" s="216">
        <v>0</v>
      </c>
      <c r="M15" s="216">
        <v>0</v>
      </c>
      <c r="N15" s="216">
        <v>80000</v>
      </c>
      <c r="O15" s="216">
        <f>VLOOKUP(A15,TB!A:F,3)</f>
        <v>29194</v>
      </c>
      <c r="P15" s="272">
        <f t="shared" ref="P15:P19" si="6">N15</f>
        <v>80000</v>
      </c>
      <c r="Q15" s="142">
        <v>45040</v>
      </c>
      <c r="R15" s="281">
        <f>VLOOKUP(A15,TB!A:F,6)</f>
        <v>45040</v>
      </c>
      <c r="S15" s="281">
        <f t="shared" si="3"/>
        <v>0</v>
      </c>
    </row>
    <row r="16" spans="1:19" ht="15.75" customHeight="1" x14ac:dyDescent="0.25">
      <c r="A16" s="103" t="s">
        <v>766</v>
      </c>
      <c r="B16" s="103" t="s">
        <v>88</v>
      </c>
      <c r="C16" s="280"/>
      <c r="D16" s="142">
        <v>0</v>
      </c>
      <c r="E16" s="142" t="e">
        <f>D16*#REF!</f>
        <v>#REF!</v>
      </c>
      <c r="F16" s="142" t="e">
        <f>D16*#REF!</f>
        <v>#REF!</v>
      </c>
      <c r="G16" s="142" t="e">
        <f>(D16*#REF!)*#REF!</f>
        <v>#REF!</v>
      </c>
      <c r="H16" s="33">
        <f t="shared" si="0"/>
        <v>0</v>
      </c>
      <c r="I16" s="16" t="e">
        <f t="shared" si="1"/>
        <v>#REF!</v>
      </c>
      <c r="J16" s="18">
        <v>0</v>
      </c>
      <c r="K16" s="280"/>
      <c r="L16" s="216">
        <v>0</v>
      </c>
      <c r="M16" s="216">
        <v>524</v>
      </c>
      <c r="N16" s="216">
        <v>2000</v>
      </c>
      <c r="O16" s="216">
        <f>VLOOKUP(A16,TB!A:F,3)</f>
        <v>402</v>
      </c>
      <c r="P16" s="272">
        <f t="shared" si="6"/>
        <v>2000</v>
      </c>
      <c r="Q16" s="142">
        <v>1000</v>
      </c>
      <c r="R16" s="281">
        <f>VLOOKUP(A16,TB!A:F,6)</f>
        <v>1000</v>
      </c>
      <c r="S16" s="281">
        <f t="shared" si="3"/>
        <v>0</v>
      </c>
    </row>
    <row r="17" spans="1:29" ht="15.75" customHeight="1" x14ac:dyDescent="0.25">
      <c r="A17" s="103" t="s">
        <v>767</v>
      </c>
      <c r="B17" s="103" t="s">
        <v>90</v>
      </c>
      <c r="C17" s="280"/>
      <c r="D17" s="142">
        <v>0</v>
      </c>
      <c r="E17" s="142" t="e">
        <f>D17*#REF!</f>
        <v>#REF!</v>
      </c>
      <c r="F17" s="142" t="e">
        <f>D17*#REF!</f>
        <v>#REF!</v>
      </c>
      <c r="G17" s="142" t="e">
        <f>(D17*#REF!)*#REF!</f>
        <v>#REF!</v>
      </c>
      <c r="H17" s="33">
        <f t="shared" si="0"/>
        <v>0</v>
      </c>
      <c r="I17" s="16" t="e">
        <f t="shared" si="1"/>
        <v>#REF!</v>
      </c>
      <c r="J17" s="18">
        <v>0</v>
      </c>
      <c r="K17" s="280"/>
      <c r="L17" s="216">
        <v>0</v>
      </c>
      <c r="M17" s="216">
        <v>99.84</v>
      </c>
      <c r="N17" s="216">
        <v>3000</v>
      </c>
      <c r="O17" s="216">
        <f>VLOOKUP(A17,TB!A:F,3)</f>
        <v>0</v>
      </c>
      <c r="P17" s="272">
        <f t="shared" si="6"/>
        <v>3000</v>
      </c>
      <c r="Q17" s="142">
        <v>3000</v>
      </c>
      <c r="R17" s="281">
        <f>VLOOKUP(A17,TB!A:F,6)</f>
        <v>3000</v>
      </c>
      <c r="S17" s="281">
        <f t="shared" si="3"/>
        <v>0</v>
      </c>
    </row>
    <row r="18" spans="1:29" ht="15.75" customHeight="1" x14ac:dyDescent="0.25">
      <c r="A18" s="103" t="s">
        <v>768</v>
      </c>
      <c r="B18" s="103" t="s">
        <v>252</v>
      </c>
      <c r="C18" s="280"/>
      <c r="D18" s="142">
        <v>0</v>
      </c>
      <c r="E18" s="142" t="e">
        <f>D18*#REF!</f>
        <v>#REF!</v>
      </c>
      <c r="F18" s="142" t="e">
        <f>D18*#REF!</f>
        <v>#REF!</v>
      </c>
      <c r="G18" s="142" t="e">
        <f>(D18*#REF!)*#REF!</f>
        <v>#REF!</v>
      </c>
      <c r="H18" s="33">
        <f t="shared" si="0"/>
        <v>0</v>
      </c>
      <c r="I18" s="16" t="e">
        <f t="shared" si="1"/>
        <v>#REF!</v>
      </c>
      <c r="J18" s="18">
        <v>0</v>
      </c>
      <c r="K18" s="280"/>
      <c r="L18" s="216">
        <v>22206</v>
      </c>
      <c r="M18" s="216">
        <v>20420.349999999999</v>
      </c>
      <c r="N18" s="216">
        <v>25000</v>
      </c>
      <c r="O18" s="216">
        <f>VLOOKUP(A18,TB!A:F,3)</f>
        <v>19418.7</v>
      </c>
      <c r="P18" s="272">
        <f t="shared" si="6"/>
        <v>25000</v>
      </c>
      <c r="Q18" s="142">
        <v>34900</v>
      </c>
      <c r="R18" s="281">
        <f>VLOOKUP(A18,TB!A:F,6)</f>
        <v>34900</v>
      </c>
      <c r="S18" s="281">
        <f t="shared" si="3"/>
        <v>0</v>
      </c>
    </row>
    <row r="19" spans="1:29" ht="15.75" customHeight="1" x14ac:dyDescent="0.25">
      <c r="A19" s="103" t="s">
        <v>769</v>
      </c>
      <c r="B19" s="103" t="s">
        <v>502</v>
      </c>
      <c r="C19" s="280"/>
      <c r="D19" s="142">
        <v>0</v>
      </c>
      <c r="E19" s="142" t="e">
        <f>D19*#REF!</f>
        <v>#REF!</v>
      </c>
      <c r="F19" s="142" t="e">
        <f>D19*#REF!</f>
        <v>#REF!</v>
      </c>
      <c r="G19" s="142" t="e">
        <f>(D19*#REF!)*#REF!</f>
        <v>#REF!</v>
      </c>
      <c r="H19" s="33">
        <f t="shared" si="0"/>
        <v>0</v>
      </c>
      <c r="I19" s="16" t="e">
        <f t="shared" si="1"/>
        <v>#REF!</v>
      </c>
      <c r="J19" s="18">
        <v>0</v>
      </c>
      <c r="K19" s="280"/>
      <c r="L19" s="216">
        <v>1132</v>
      </c>
      <c r="M19" s="216">
        <v>2029.31</v>
      </c>
      <c r="N19" s="216">
        <v>6000</v>
      </c>
      <c r="O19" s="216">
        <f>VLOOKUP(A19,TB!A:F,3)</f>
        <v>2312.7600000000002</v>
      </c>
      <c r="P19" s="272">
        <f t="shared" si="6"/>
        <v>6000</v>
      </c>
      <c r="Q19" s="142">
        <v>5400</v>
      </c>
      <c r="R19" s="281">
        <f>VLOOKUP(A19,TB!A:F,6)</f>
        <v>5400</v>
      </c>
      <c r="S19" s="281">
        <f t="shared" si="3"/>
        <v>0</v>
      </c>
    </row>
    <row r="20" spans="1:29" ht="15.75" customHeight="1" x14ac:dyDescent="0.25">
      <c r="A20" s="103" t="s">
        <v>770</v>
      </c>
      <c r="B20" s="103" t="s">
        <v>92</v>
      </c>
      <c r="C20" s="280"/>
      <c r="D20" s="142">
        <v>0</v>
      </c>
      <c r="E20" s="142" t="e">
        <f>D20*#REF!</f>
        <v>#REF!</v>
      </c>
      <c r="F20" s="142" t="e">
        <f>D20*#REF!</f>
        <v>#REF!</v>
      </c>
      <c r="G20" s="142" t="e">
        <f>(D20*#REF!)*#REF!</f>
        <v>#REF!</v>
      </c>
      <c r="H20" s="33">
        <f t="shared" si="0"/>
        <v>0</v>
      </c>
      <c r="I20" s="16" t="e">
        <f t="shared" si="1"/>
        <v>#REF!</v>
      </c>
      <c r="J20" s="18">
        <v>0</v>
      </c>
      <c r="K20" s="280"/>
      <c r="L20" s="216">
        <v>4327</v>
      </c>
      <c r="M20" s="216">
        <v>0</v>
      </c>
      <c r="N20" s="216">
        <v>0</v>
      </c>
      <c r="O20" s="216">
        <f>VLOOKUP(A20,TB!A:F,3)</f>
        <v>0</v>
      </c>
      <c r="P20" s="142">
        <f>O20/9*12</f>
        <v>0</v>
      </c>
      <c r="Q20" s="142">
        <v>0</v>
      </c>
      <c r="R20" s="281">
        <f>VLOOKUP(A20,TB!A:F,6)</f>
        <v>0</v>
      </c>
      <c r="S20" s="281">
        <f t="shared" si="3"/>
        <v>0</v>
      </c>
    </row>
    <row r="21" spans="1:29" ht="15.75" customHeight="1" x14ac:dyDescent="0.25">
      <c r="A21" s="47" t="s">
        <v>771</v>
      </c>
      <c r="B21" s="48"/>
      <c r="C21" s="282"/>
      <c r="D21" s="50">
        <f t="shared" ref="D21:G21" si="7">SUM(D3:D20)</f>
        <v>0</v>
      </c>
      <c r="E21" s="50" t="e">
        <f t="shared" si="7"/>
        <v>#REF!</v>
      </c>
      <c r="F21" s="50" t="e">
        <f t="shared" si="7"/>
        <v>#REF!</v>
      </c>
      <c r="G21" s="50" t="e">
        <f t="shared" si="7"/>
        <v>#REF!</v>
      </c>
      <c r="H21" s="42">
        <f t="shared" si="0"/>
        <v>0</v>
      </c>
      <c r="I21" s="50" t="e">
        <f t="shared" si="1"/>
        <v>#REF!</v>
      </c>
      <c r="J21" s="283">
        <f>SUM(J3:J20)</f>
        <v>0</v>
      </c>
      <c r="K21" s="282"/>
      <c r="L21" s="12">
        <f t="shared" ref="L21:S21" si="8">SUM(L3:L20)</f>
        <v>354826</v>
      </c>
      <c r="M21" s="12">
        <f t="shared" si="8"/>
        <v>414322.08999999991</v>
      </c>
      <c r="N21" s="12">
        <f t="shared" si="8"/>
        <v>595461</v>
      </c>
      <c r="O21" s="12">
        <f t="shared" si="8"/>
        <v>413083.05</v>
      </c>
      <c r="P21" s="50">
        <f t="shared" si="8"/>
        <v>632673.978</v>
      </c>
      <c r="Q21" s="50">
        <f t="shared" si="8"/>
        <v>560039</v>
      </c>
      <c r="R21" s="12">
        <f t="shared" si="8"/>
        <v>560038.51</v>
      </c>
      <c r="S21" s="12">
        <f t="shared" si="8"/>
        <v>0.48999999999978172</v>
      </c>
    </row>
    <row r="22" spans="1:29" ht="15.75" customHeight="1" x14ac:dyDescent="0.2">
      <c r="A22" s="5"/>
      <c r="B22" s="5"/>
      <c r="C22" s="284"/>
      <c r="D22" s="5"/>
      <c r="E22" s="5"/>
      <c r="F22" s="5"/>
      <c r="G22" s="5"/>
      <c r="H22" s="5"/>
      <c r="I22" s="5"/>
      <c r="J22" s="5"/>
      <c r="K22" s="284"/>
      <c r="L22" s="7"/>
      <c r="M22" s="7"/>
      <c r="N22" s="7"/>
      <c r="O22" s="7"/>
      <c r="P22" s="7"/>
      <c r="Q22" s="7"/>
      <c r="R22" s="213"/>
      <c r="S22" s="213"/>
    </row>
    <row r="23" spans="1:29" ht="15.75" customHeight="1" x14ac:dyDescent="0.25">
      <c r="A23" s="103" t="s">
        <v>772</v>
      </c>
      <c r="B23" s="103" t="s">
        <v>99</v>
      </c>
      <c r="C23" s="280"/>
      <c r="D23" s="142">
        <v>0</v>
      </c>
      <c r="E23" s="142" t="e">
        <f>D23*#REF!</f>
        <v>#REF!</v>
      </c>
      <c r="F23" s="142" t="e">
        <f>D23*#REF!</f>
        <v>#REF!</v>
      </c>
      <c r="G23" s="142" t="e">
        <f>(D23*#REF!)*#REF!</f>
        <v>#REF!</v>
      </c>
      <c r="H23" s="33">
        <f t="shared" ref="H23:H24" si="9">IFERROR(((Q23-G23)/G23),0)</f>
        <v>0</v>
      </c>
      <c r="I23" s="16" t="e">
        <f t="shared" ref="I23:I24" si="10">Q23-G23</f>
        <v>#REF!</v>
      </c>
      <c r="J23" s="18">
        <v>0</v>
      </c>
      <c r="K23" s="280"/>
      <c r="L23" s="216">
        <v>0</v>
      </c>
      <c r="M23" s="216">
        <v>13843</v>
      </c>
      <c r="N23" s="216">
        <v>0</v>
      </c>
      <c r="O23" s="216">
        <f>VLOOKUP(A23,TB!A:F,3)</f>
        <v>0</v>
      </c>
      <c r="P23" s="142">
        <f>O23</f>
        <v>0</v>
      </c>
      <c r="Q23" s="142">
        <v>0</v>
      </c>
      <c r="R23" s="281">
        <f>VLOOKUP(A23,TB!A:F,6)</f>
        <v>0</v>
      </c>
      <c r="S23" s="281">
        <f>Q23-R23</f>
        <v>0</v>
      </c>
    </row>
    <row r="24" spans="1:29" ht="15.75" customHeight="1" x14ac:dyDescent="0.25">
      <c r="A24" s="47" t="s">
        <v>771</v>
      </c>
      <c r="B24" s="48"/>
      <c r="C24" s="282"/>
      <c r="D24" s="50">
        <f t="shared" ref="D24:G24" si="11">SUM(D23)</f>
        <v>0</v>
      </c>
      <c r="E24" s="50" t="e">
        <f t="shared" si="11"/>
        <v>#REF!</v>
      </c>
      <c r="F24" s="50" t="e">
        <f t="shared" si="11"/>
        <v>#REF!</v>
      </c>
      <c r="G24" s="50" t="e">
        <f t="shared" si="11"/>
        <v>#REF!</v>
      </c>
      <c r="H24" s="42">
        <f t="shared" si="9"/>
        <v>0</v>
      </c>
      <c r="I24" s="50" t="e">
        <f t="shared" si="10"/>
        <v>#REF!</v>
      </c>
      <c r="J24" s="283">
        <v>0</v>
      </c>
      <c r="K24" s="282"/>
      <c r="L24" s="12">
        <f t="shared" ref="L24:S24" si="12">SUM(L23)</f>
        <v>0</v>
      </c>
      <c r="M24" s="12">
        <f t="shared" si="12"/>
        <v>13843</v>
      </c>
      <c r="N24" s="12">
        <f t="shared" si="12"/>
        <v>0</v>
      </c>
      <c r="O24" s="12">
        <f t="shared" si="12"/>
        <v>0</v>
      </c>
      <c r="P24" s="50">
        <f t="shared" si="12"/>
        <v>0</v>
      </c>
      <c r="Q24" s="50">
        <f t="shared" si="12"/>
        <v>0</v>
      </c>
      <c r="R24" s="12">
        <f t="shared" si="12"/>
        <v>0</v>
      </c>
      <c r="S24" s="12">
        <f t="shared" si="12"/>
        <v>0</v>
      </c>
    </row>
    <row r="25" spans="1:29" ht="15.75" customHeight="1" x14ac:dyDescent="0.2">
      <c r="A25" s="5"/>
      <c r="B25" s="5"/>
      <c r="C25" s="284"/>
      <c r="D25" s="5"/>
      <c r="E25" s="5"/>
      <c r="F25" s="5"/>
      <c r="G25" s="5"/>
      <c r="H25" s="5"/>
      <c r="I25" s="5"/>
      <c r="J25" s="5"/>
      <c r="K25" s="284"/>
      <c r="L25" s="5"/>
      <c r="M25" s="5"/>
      <c r="N25" s="5"/>
      <c r="O25" s="5"/>
      <c r="P25" s="5"/>
      <c r="Q25" s="5"/>
      <c r="R25" s="267"/>
      <c r="S25" s="267"/>
    </row>
    <row r="26" spans="1:29" ht="15.75" customHeight="1" x14ac:dyDescent="0.25">
      <c r="A26" s="47" t="s">
        <v>773</v>
      </c>
      <c r="B26" s="6"/>
      <c r="C26" s="321"/>
      <c r="D26" s="50">
        <f t="shared" ref="D26:G26" si="13">D21+D24</f>
        <v>0</v>
      </c>
      <c r="E26" s="50" t="e">
        <f t="shared" si="13"/>
        <v>#REF!</v>
      </c>
      <c r="F26" s="50" t="e">
        <f t="shared" si="13"/>
        <v>#REF!</v>
      </c>
      <c r="G26" s="50" t="e">
        <f t="shared" si="13"/>
        <v>#REF!</v>
      </c>
      <c r="H26" s="42">
        <f>IFERROR(((Q26-G26)/G26),0)</f>
        <v>0</v>
      </c>
      <c r="I26" s="50" t="e">
        <f>Q26-G26</f>
        <v>#REF!</v>
      </c>
      <c r="J26" s="283">
        <v>0</v>
      </c>
      <c r="K26" s="321"/>
      <c r="L26" s="12">
        <f t="shared" ref="L26:S26" si="14">L21+L24</f>
        <v>354826</v>
      </c>
      <c r="M26" s="12">
        <f t="shared" si="14"/>
        <v>428165.08999999991</v>
      </c>
      <c r="N26" s="12">
        <f t="shared" si="14"/>
        <v>595461</v>
      </c>
      <c r="O26" s="12">
        <f t="shared" si="14"/>
        <v>413083.05</v>
      </c>
      <c r="P26" s="50">
        <f t="shared" si="14"/>
        <v>632673.978</v>
      </c>
      <c r="Q26" s="50">
        <f t="shared" si="14"/>
        <v>560039</v>
      </c>
      <c r="R26" s="12">
        <f t="shared" si="14"/>
        <v>560038.51</v>
      </c>
      <c r="S26" s="12">
        <f t="shared" si="14"/>
        <v>0.48999999999978172</v>
      </c>
    </row>
    <row r="27" spans="1:29" ht="15.75" customHeight="1" x14ac:dyDescent="0.2">
      <c r="A27" s="5"/>
      <c r="B27" s="5"/>
      <c r="C27" s="284"/>
      <c r="D27" s="5"/>
      <c r="E27" s="5"/>
      <c r="F27" s="5"/>
      <c r="G27" s="5"/>
      <c r="H27" s="5"/>
      <c r="I27" s="5"/>
      <c r="J27" s="5"/>
      <c r="K27" s="284"/>
      <c r="L27" s="5"/>
      <c r="M27" s="5"/>
      <c r="N27" s="5"/>
      <c r="O27" s="5"/>
      <c r="P27" s="5"/>
      <c r="Q27" s="5"/>
      <c r="R27" s="267"/>
      <c r="S27" s="267"/>
    </row>
    <row r="28" spans="1:29" ht="15.75" customHeight="1" x14ac:dyDescent="0.2">
      <c r="A28" s="11" t="s">
        <v>184</v>
      </c>
      <c r="B28" s="5"/>
      <c r="C28" s="284"/>
      <c r="D28" s="5"/>
      <c r="E28" s="5"/>
      <c r="F28" s="5"/>
      <c r="G28" s="5"/>
      <c r="H28" s="5"/>
      <c r="I28" s="5"/>
      <c r="J28" s="5"/>
      <c r="K28" s="284"/>
      <c r="L28" s="5"/>
      <c r="M28" s="5"/>
      <c r="N28" s="5"/>
      <c r="O28" s="5"/>
      <c r="P28" s="5"/>
      <c r="Q28" s="5"/>
      <c r="R28" s="267"/>
      <c r="S28" s="267"/>
    </row>
    <row r="29" spans="1:29" ht="15.75" customHeight="1" x14ac:dyDescent="0.25">
      <c r="A29" s="6" t="s">
        <v>774</v>
      </c>
      <c r="B29" s="6" t="s">
        <v>775</v>
      </c>
      <c r="C29" s="285"/>
      <c r="D29" s="16">
        <v>0</v>
      </c>
      <c r="E29" s="142" t="e">
        <f>D29*#REF!</f>
        <v>#REF!</v>
      </c>
      <c r="F29" s="142" t="e">
        <f>D29*#REF!</f>
        <v>#REF!</v>
      </c>
      <c r="G29" s="142" t="e">
        <f>(D29*#REF!)*#REF!</f>
        <v>#REF!</v>
      </c>
      <c r="H29" s="33">
        <f t="shared" ref="H29:H30" si="15">IFERROR(((Q29-G29)/G29),0)</f>
        <v>0</v>
      </c>
      <c r="I29" s="16" t="e">
        <f t="shared" ref="I29:I30" si="16">Q29-G29</f>
        <v>#REF!</v>
      </c>
      <c r="J29" s="18">
        <v>0</v>
      </c>
      <c r="K29" s="285"/>
      <c r="L29" s="7">
        <v>-34570</v>
      </c>
      <c r="M29" s="7">
        <v>-63463.63</v>
      </c>
      <c r="N29" s="7">
        <v>-91000</v>
      </c>
      <c r="O29" s="216">
        <f>VLOOKUP(A29,TB!A:F,3)</f>
        <v>-45306.36</v>
      </c>
      <c r="P29" s="322">
        <f>N29</f>
        <v>-91000</v>
      </c>
      <c r="Q29" s="7">
        <v>-90000</v>
      </c>
      <c r="R29" s="281">
        <f>VLOOKUP(A29,TB!A:F,6)</f>
        <v>-90000</v>
      </c>
      <c r="S29" s="281">
        <f>Q29-R29</f>
        <v>0</v>
      </c>
    </row>
    <row r="30" spans="1:29" ht="15.75" customHeight="1" x14ac:dyDescent="0.2">
      <c r="A30" s="11" t="s">
        <v>189</v>
      </c>
      <c r="B30" s="48"/>
      <c r="C30" s="282"/>
      <c r="D30" s="50">
        <f t="shared" ref="D30:G30" si="17">SUM(D29)</f>
        <v>0</v>
      </c>
      <c r="E30" s="50" t="e">
        <f t="shared" si="17"/>
        <v>#REF!</v>
      </c>
      <c r="F30" s="50" t="e">
        <f t="shared" si="17"/>
        <v>#REF!</v>
      </c>
      <c r="G30" s="50" t="e">
        <f t="shared" si="17"/>
        <v>#REF!</v>
      </c>
      <c r="H30" s="42">
        <f t="shared" si="15"/>
        <v>0</v>
      </c>
      <c r="I30" s="50" t="e">
        <f t="shared" si="16"/>
        <v>#REF!</v>
      </c>
      <c r="J30" s="50">
        <f>SUM(J29)</f>
        <v>0</v>
      </c>
      <c r="K30" s="282"/>
      <c r="L30" s="12">
        <f t="shared" ref="L30:S30" si="18">SUM(L29)</f>
        <v>-34570</v>
      </c>
      <c r="M30" s="12">
        <f t="shared" si="18"/>
        <v>-63463.63</v>
      </c>
      <c r="N30" s="12">
        <f t="shared" si="18"/>
        <v>-91000</v>
      </c>
      <c r="O30" s="12">
        <f t="shared" si="18"/>
        <v>-45306.36</v>
      </c>
      <c r="P30" s="50">
        <f t="shared" si="18"/>
        <v>-91000</v>
      </c>
      <c r="Q30" s="50">
        <f t="shared" si="18"/>
        <v>-90000</v>
      </c>
      <c r="R30" s="12">
        <f t="shared" si="18"/>
        <v>-90000</v>
      </c>
      <c r="S30" s="12">
        <f t="shared" si="18"/>
        <v>0</v>
      </c>
    </row>
    <row r="31" spans="1:29" ht="15.75" customHeight="1" x14ac:dyDescent="0.2">
      <c r="A31" s="5"/>
      <c r="B31" s="5"/>
      <c r="C31" s="284"/>
      <c r="D31" s="5"/>
      <c r="E31" s="5"/>
      <c r="F31" s="5"/>
      <c r="G31" s="5"/>
      <c r="H31" s="5"/>
      <c r="I31" s="5"/>
      <c r="J31" s="5"/>
      <c r="K31" s="284"/>
      <c r="L31" s="5"/>
      <c r="M31" s="5"/>
      <c r="N31" s="5"/>
      <c r="O31" s="5"/>
      <c r="P31" s="5"/>
      <c r="Q31" s="5"/>
      <c r="R31" s="267"/>
      <c r="S31" s="267"/>
    </row>
    <row r="32" spans="1:29" ht="15.75" customHeight="1" x14ac:dyDescent="0.2">
      <c r="A32" s="11" t="s">
        <v>190</v>
      </c>
      <c r="B32" s="6"/>
      <c r="C32" s="286"/>
      <c r="D32" s="178">
        <f t="shared" ref="D32:G32" si="19">D26+D30</f>
        <v>0</v>
      </c>
      <c r="E32" s="178" t="e">
        <f t="shared" si="19"/>
        <v>#REF!</v>
      </c>
      <c r="F32" s="178" t="e">
        <f t="shared" si="19"/>
        <v>#REF!</v>
      </c>
      <c r="G32" s="178" t="e">
        <f t="shared" si="19"/>
        <v>#REF!</v>
      </c>
      <c r="H32" s="273">
        <f>IFERROR(((Q32-G32)/G32),0)</f>
        <v>0</v>
      </c>
      <c r="I32" s="178" t="e">
        <f>Q32-G32</f>
        <v>#REF!</v>
      </c>
      <c r="J32" s="178">
        <f>J30+J24+J21</f>
        <v>0</v>
      </c>
      <c r="K32" s="286"/>
      <c r="L32" s="227">
        <f t="shared" ref="L32:S32" si="20">L26+L30</f>
        <v>320256</v>
      </c>
      <c r="M32" s="227">
        <f t="shared" si="20"/>
        <v>364701.4599999999</v>
      </c>
      <c r="N32" s="227">
        <f t="shared" si="20"/>
        <v>504461</v>
      </c>
      <c r="O32" s="227">
        <f t="shared" si="20"/>
        <v>367776.69</v>
      </c>
      <c r="P32" s="178">
        <f t="shared" si="20"/>
        <v>541673.978</v>
      </c>
      <c r="Q32" s="178">
        <f t="shared" si="20"/>
        <v>470039</v>
      </c>
      <c r="R32" s="227">
        <f t="shared" si="20"/>
        <v>470038.51</v>
      </c>
      <c r="S32" s="227">
        <f t="shared" si="20"/>
        <v>0.48999999999978172</v>
      </c>
      <c r="U32" s="326">
        <v>900000</v>
      </c>
      <c r="V32" s="56"/>
      <c r="W32" s="56"/>
      <c r="X32" s="56"/>
      <c r="Y32" s="56"/>
      <c r="Z32" s="56"/>
      <c r="AA32" s="56"/>
      <c r="AB32" s="56"/>
      <c r="AC32" s="56"/>
    </row>
    <row r="33" spans="3:21" ht="15.75" customHeight="1" x14ac:dyDescent="0.2">
      <c r="C33" s="287"/>
      <c r="K33" s="287"/>
      <c r="R33" s="83"/>
      <c r="S33" s="83"/>
      <c r="U33" s="326">
        <f>+U32/53</f>
        <v>16981.132075471698</v>
      </c>
    </row>
    <row r="34" spans="3:21" ht="15.75" customHeight="1" x14ac:dyDescent="0.2">
      <c r="C34" s="287"/>
      <c r="K34" s="287"/>
    </row>
    <row r="35" spans="3:21" ht="15.75" customHeight="1" x14ac:dyDescent="0.2">
      <c r="C35" s="288"/>
      <c r="K35" s="288"/>
      <c r="L35" s="199" t="e">
        <f t="shared" ref="L35:R35" si="21">#REF!</f>
        <v>#REF!</v>
      </c>
      <c r="M35" s="199" t="e">
        <f t="shared" si="21"/>
        <v>#REF!</v>
      </c>
      <c r="N35" s="199" t="e">
        <f t="shared" si="21"/>
        <v>#REF!</v>
      </c>
      <c r="O35" s="199" t="e">
        <f t="shared" si="21"/>
        <v>#REF!</v>
      </c>
      <c r="P35" s="199" t="e">
        <f t="shared" si="21"/>
        <v>#REF!</v>
      </c>
      <c r="Q35" s="199" t="e">
        <f t="shared" si="21"/>
        <v>#REF!</v>
      </c>
      <c r="R35" s="173" t="e">
        <f t="shared" si="21"/>
        <v>#REF!</v>
      </c>
    </row>
    <row r="36" spans="3:21" ht="15.75" customHeight="1" x14ac:dyDescent="0.2">
      <c r="C36" s="289"/>
      <c r="K36" s="289"/>
      <c r="L36" s="290">
        <f t="shared" ref="L36:R36" si="22">L32</f>
        <v>320256</v>
      </c>
      <c r="M36" s="290">
        <f t="shared" si="22"/>
        <v>364701.4599999999</v>
      </c>
      <c r="N36" s="290">
        <f t="shared" si="22"/>
        <v>504461</v>
      </c>
      <c r="O36" s="290">
        <f t="shared" si="22"/>
        <v>367776.69</v>
      </c>
      <c r="P36" s="290">
        <f t="shared" si="22"/>
        <v>541673.978</v>
      </c>
      <c r="Q36" s="290">
        <f t="shared" si="22"/>
        <v>470039</v>
      </c>
      <c r="R36" s="291">
        <f t="shared" si="22"/>
        <v>470038.51</v>
      </c>
    </row>
    <row r="37" spans="3:21" ht="15.75" customHeight="1" x14ac:dyDescent="0.2">
      <c r="C37" s="287"/>
      <c r="K37" s="287"/>
    </row>
    <row r="38" spans="3:21" ht="15.75" customHeight="1" x14ac:dyDescent="0.2">
      <c r="C38" s="287"/>
      <c r="K38" s="287"/>
    </row>
    <row r="39" spans="3:21" ht="15.75" customHeight="1" x14ac:dyDescent="0.2">
      <c r="C39" s="287"/>
      <c r="K39" s="287"/>
    </row>
    <row r="40" spans="3:21" ht="15.75" customHeight="1" x14ac:dyDescent="0.2">
      <c r="C40" s="287"/>
      <c r="K40" s="287"/>
    </row>
    <row r="41" spans="3:21" ht="15.75" customHeight="1" x14ac:dyDescent="0.2">
      <c r="C41" s="287"/>
      <c r="K41" s="287"/>
    </row>
    <row r="42" spans="3:21" ht="15.75" customHeight="1" x14ac:dyDescent="0.2">
      <c r="C42" s="287"/>
      <c r="K42" s="287"/>
    </row>
    <row r="43" spans="3:21" ht="15.75" customHeight="1" x14ac:dyDescent="0.2">
      <c r="C43" s="287"/>
      <c r="K43" s="287"/>
    </row>
    <row r="44" spans="3:21" ht="15.75" customHeight="1" x14ac:dyDescent="0.2">
      <c r="C44" s="287"/>
      <c r="K44" s="287"/>
    </row>
    <row r="45" spans="3:21" ht="15.75" customHeight="1" x14ac:dyDescent="0.2">
      <c r="C45" s="287"/>
      <c r="K45" s="287"/>
    </row>
    <row r="46" spans="3:21" ht="15.75" customHeight="1" x14ac:dyDescent="0.2">
      <c r="C46" s="287"/>
      <c r="K46" s="287"/>
    </row>
    <row r="47" spans="3:21" ht="15.75" customHeight="1" x14ac:dyDescent="0.2">
      <c r="C47" s="287"/>
      <c r="K47" s="287"/>
    </row>
    <row r="48" spans="3:21" ht="15.75" customHeight="1" x14ac:dyDescent="0.2">
      <c r="C48" s="287"/>
      <c r="K48" s="287"/>
    </row>
    <row r="49" spans="3:11" ht="15.75" customHeight="1" x14ac:dyDescent="0.2">
      <c r="C49" s="287"/>
      <c r="K49" s="287"/>
    </row>
    <row r="50" spans="3:11" ht="15.75" customHeight="1" x14ac:dyDescent="0.2">
      <c r="C50" s="287"/>
      <c r="K50" s="287"/>
    </row>
    <row r="51" spans="3:11" ht="15.75" customHeight="1" x14ac:dyDescent="0.2">
      <c r="C51" s="287"/>
      <c r="K51" s="287"/>
    </row>
    <row r="52" spans="3:11" ht="15.75" customHeight="1" x14ac:dyDescent="0.2">
      <c r="C52" s="287"/>
      <c r="K52" s="287"/>
    </row>
    <row r="53" spans="3:11" ht="15.75" customHeight="1" x14ac:dyDescent="0.2">
      <c r="C53" s="287"/>
      <c r="K53" s="287"/>
    </row>
    <row r="54" spans="3:11" ht="15.75" customHeight="1" x14ac:dyDescent="0.2">
      <c r="C54" s="287"/>
      <c r="K54" s="287"/>
    </row>
    <row r="55" spans="3:11" ht="15.75" customHeight="1" x14ac:dyDescent="0.2">
      <c r="C55" s="287"/>
      <c r="K55" s="287"/>
    </row>
    <row r="56" spans="3:11" ht="15.75" customHeight="1" x14ac:dyDescent="0.2">
      <c r="C56" s="287"/>
      <c r="K56" s="287"/>
    </row>
    <row r="57" spans="3:11" ht="15.75" customHeight="1" x14ac:dyDescent="0.2">
      <c r="C57" s="287"/>
      <c r="K57" s="287"/>
    </row>
    <row r="58" spans="3:11" ht="15.75" customHeight="1" x14ac:dyDescent="0.2">
      <c r="C58" s="287"/>
      <c r="K58" s="287"/>
    </row>
    <row r="59" spans="3:11" ht="15.75" customHeight="1" x14ac:dyDescent="0.2">
      <c r="C59" s="287"/>
      <c r="K59" s="287"/>
    </row>
    <row r="60" spans="3:11" ht="15.75" customHeight="1" x14ac:dyDescent="0.2">
      <c r="C60" s="287"/>
      <c r="K60" s="287"/>
    </row>
    <row r="61" spans="3:11" ht="15.75" customHeight="1" x14ac:dyDescent="0.2">
      <c r="C61" s="287"/>
      <c r="K61" s="287"/>
    </row>
    <row r="62" spans="3:11" ht="15.75" customHeight="1" x14ac:dyDescent="0.2">
      <c r="C62" s="287"/>
      <c r="K62" s="287"/>
    </row>
    <row r="63" spans="3:11" ht="15.75" customHeight="1" x14ac:dyDescent="0.2">
      <c r="C63" s="287"/>
      <c r="K63" s="287"/>
    </row>
    <row r="64" spans="3:11" ht="15.75" customHeight="1" x14ac:dyDescent="0.2">
      <c r="C64" s="287"/>
      <c r="K64" s="287"/>
    </row>
    <row r="65" spans="3:11" ht="15.75" customHeight="1" x14ac:dyDescent="0.2">
      <c r="C65" s="287"/>
      <c r="K65" s="287"/>
    </row>
    <row r="66" spans="3:11" ht="15.75" customHeight="1" x14ac:dyDescent="0.2">
      <c r="C66" s="287"/>
      <c r="K66" s="287"/>
    </row>
    <row r="67" spans="3:11" ht="15.75" customHeight="1" x14ac:dyDescent="0.2">
      <c r="C67" s="287"/>
      <c r="K67" s="287"/>
    </row>
    <row r="68" spans="3:11" ht="15.75" customHeight="1" x14ac:dyDescent="0.2">
      <c r="C68" s="287"/>
      <c r="K68" s="287"/>
    </row>
    <row r="69" spans="3:11" ht="15.75" customHeight="1" x14ac:dyDescent="0.2">
      <c r="C69" s="287"/>
      <c r="K69" s="287"/>
    </row>
    <row r="70" spans="3:11" ht="15.75" customHeight="1" x14ac:dyDescent="0.2">
      <c r="C70" s="287"/>
      <c r="K70" s="287"/>
    </row>
    <row r="71" spans="3:11" ht="15.75" customHeight="1" x14ac:dyDescent="0.2">
      <c r="C71" s="287"/>
      <c r="K71" s="287"/>
    </row>
    <row r="72" spans="3:11" ht="15.75" customHeight="1" x14ac:dyDescent="0.2">
      <c r="C72" s="287"/>
      <c r="K72" s="287"/>
    </row>
    <row r="73" spans="3:11" ht="15.75" customHeight="1" x14ac:dyDescent="0.2">
      <c r="C73" s="287"/>
      <c r="K73" s="287"/>
    </row>
    <row r="74" spans="3:11" ht="15.75" customHeight="1" x14ac:dyDescent="0.2">
      <c r="C74" s="287"/>
      <c r="K74" s="287"/>
    </row>
    <row r="75" spans="3:11" ht="15.75" customHeight="1" x14ac:dyDescent="0.2">
      <c r="C75" s="287"/>
      <c r="K75" s="287"/>
    </row>
    <row r="76" spans="3:11" ht="15.75" customHeight="1" x14ac:dyDescent="0.2">
      <c r="C76" s="287"/>
      <c r="K76" s="287"/>
    </row>
    <row r="77" spans="3:11" ht="15.75" customHeight="1" x14ac:dyDescent="0.2">
      <c r="C77" s="287"/>
      <c r="K77" s="287"/>
    </row>
    <row r="78" spans="3:11" ht="15.75" customHeight="1" x14ac:dyDescent="0.2">
      <c r="C78" s="287"/>
      <c r="K78" s="287"/>
    </row>
    <row r="79" spans="3:11" ht="15.75" customHeight="1" x14ac:dyDescent="0.2">
      <c r="C79" s="287"/>
      <c r="K79" s="287"/>
    </row>
    <row r="80" spans="3:11" ht="15.75" customHeight="1" x14ac:dyDescent="0.2">
      <c r="C80" s="287"/>
      <c r="K80" s="287"/>
    </row>
    <row r="81" spans="1:19" ht="15.75" customHeight="1" x14ac:dyDescent="0.2">
      <c r="C81" s="287"/>
      <c r="K81" s="287"/>
    </row>
    <row r="82" spans="1:19" ht="15.75" customHeight="1" x14ac:dyDescent="0.2">
      <c r="C82" s="287"/>
      <c r="K82" s="287"/>
    </row>
    <row r="83" spans="1:19" ht="15.75" customHeight="1" x14ac:dyDescent="0.2">
      <c r="C83" s="287"/>
      <c r="K83" s="287"/>
    </row>
    <row r="84" spans="1:19" ht="15.75" customHeight="1" x14ac:dyDescent="0.2">
      <c r="C84" s="287"/>
      <c r="K84" s="287"/>
    </row>
    <row r="85" spans="1:19" ht="15.75" customHeight="1" x14ac:dyDescent="0.2">
      <c r="C85" s="287"/>
      <c r="K85" s="287"/>
    </row>
    <row r="86" spans="1:19" ht="15.75" customHeight="1" x14ac:dyDescent="0.2">
      <c r="C86" s="287"/>
      <c r="K86" s="287"/>
    </row>
    <row r="87" spans="1:19" ht="15.75" customHeight="1" x14ac:dyDescent="0.2">
      <c r="C87" s="287"/>
      <c r="K87" s="287"/>
    </row>
    <row r="88" spans="1:19" ht="15.75" customHeight="1" x14ac:dyDescent="0.2">
      <c r="C88" s="287"/>
      <c r="K88" s="287"/>
    </row>
    <row r="89" spans="1:19" ht="15.75" customHeight="1" x14ac:dyDescent="0.2">
      <c r="A89" s="3" t="s">
        <v>50</v>
      </c>
      <c r="B89" s="3" t="s">
        <v>51</v>
      </c>
      <c r="C89" s="292"/>
      <c r="D89" s="99" t="s">
        <v>52</v>
      </c>
      <c r="E89" s="100" t="s">
        <v>53</v>
      </c>
      <c r="F89" s="100" t="s">
        <v>54</v>
      </c>
      <c r="G89" s="100" t="s">
        <v>55</v>
      </c>
      <c r="H89" s="24" t="s">
        <v>56</v>
      </c>
      <c r="I89" s="24" t="s">
        <v>57</v>
      </c>
      <c r="J89" s="101" t="s">
        <v>58</v>
      </c>
      <c r="K89" s="292"/>
      <c r="L89" s="3" t="s">
        <v>59</v>
      </c>
      <c r="M89" s="3" t="s">
        <v>60</v>
      </c>
      <c r="N89" s="3" t="s">
        <v>61</v>
      </c>
      <c r="O89" s="3" t="s">
        <v>62</v>
      </c>
      <c r="P89" s="293" t="s">
        <v>541</v>
      </c>
      <c r="Q89" s="293" t="s">
        <v>64</v>
      </c>
      <c r="R89" s="293" t="s">
        <v>65</v>
      </c>
      <c r="S89" s="293" t="s">
        <v>586</v>
      </c>
    </row>
    <row r="90" spans="1:19" ht="15.75" customHeight="1" x14ac:dyDescent="0.25">
      <c r="A90" s="565" t="s">
        <v>776</v>
      </c>
      <c r="B90" s="566"/>
      <c r="C90" s="566"/>
      <c r="D90" s="566"/>
      <c r="E90" s="566"/>
      <c r="F90" s="65"/>
      <c r="G90" s="275"/>
      <c r="H90" s="234"/>
      <c r="L90" s="65"/>
      <c r="M90" s="165"/>
      <c r="N90" s="65"/>
      <c r="O90" s="165"/>
      <c r="P90" s="157"/>
      <c r="Q90" s="157"/>
      <c r="R90" s="275"/>
      <c r="S90" s="275"/>
    </row>
    <row r="91" spans="1:19" ht="15.75" customHeight="1" x14ac:dyDescent="0.25">
      <c r="A91" s="66" t="s">
        <v>777</v>
      </c>
      <c r="B91" s="66" t="s">
        <v>68</v>
      </c>
      <c r="C91" s="295"/>
      <c r="D91" s="160">
        <v>61497</v>
      </c>
      <c r="E91" s="160" t="e">
        <f>D91*#REF!</f>
        <v>#REF!</v>
      </c>
      <c r="F91" s="160" t="e">
        <f>D91*#REF!</f>
        <v>#REF!</v>
      </c>
      <c r="G91" s="160" t="e">
        <f>(D91*#REF!)*#REF!</f>
        <v>#REF!</v>
      </c>
      <c r="H91" s="296">
        <f t="shared" ref="H91:H110" si="23">IFERROR(((Q91-G91)/G91),0)</f>
        <v>0</v>
      </c>
      <c r="I91" s="147" t="e">
        <f t="shared" ref="I91:I110" si="24">Q91-G91</f>
        <v>#REF!</v>
      </c>
      <c r="J91" s="97">
        <v>0</v>
      </c>
      <c r="K91" s="295"/>
      <c r="L91" s="20">
        <v>72451</v>
      </c>
      <c r="M91" s="20">
        <v>73886.2</v>
      </c>
      <c r="N91" s="20">
        <v>78302</v>
      </c>
      <c r="O91" s="20">
        <f>VLOOKUP(A91,TB!A:F,3)</f>
        <v>59240.800000000003</v>
      </c>
      <c r="P91" s="160">
        <f t="shared" ref="P91:P94" si="25">O91/20*26</f>
        <v>77013.039999999994</v>
      </c>
      <c r="Q91" s="160">
        <v>85200</v>
      </c>
      <c r="R91" s="233">
        <f>VLOOKUP(A91,TB!A:F,6)</f>
        <v>85200</v>
      </c>
      <c r="S91" s="233">
        <f t="shared" ref="S91:S109" si="26">Q91-R91</f>
        <v>0</v>
      </c>
    </row>
    <row r="92" spans="1:19" ht="15.75" customHeight="1" x14ac:dyDescent="0.25">
      <c r="A92" s="66" t="s">
        <v>778</v>
      </c>
      <c r="B92" s="66" t="s">
        <v>70</v>
      </c>
      <c r="C92" s="295"/>
      <c r="D92" s="160">
        <v>0</v>
      </c>
      <c r="E92" s="160" t="e">
        <f>D92*#REF!</f>
        <v>#REF!</v>
      </c>
      <c r="F92" s="160" t="e">
        <f>D92*#REF!</f>
        <v>#REF!</v>
      </c>
      <c r="G92" s="160" t="e">
        <f>(D92*#REF!)*#REF!</f>
        <v>#REF!</v>
      </c>
      <c r="H92" s="296">
        <f t="shared" si="23"/>
        <v>0</v>
      </c>
      <c r="I92" s="147" t="e">
        <f t="shared" si="24"/>
        <v>#REF!</v>
      </c>
      <c r="J92" s="97">
        <v>0</v>
      </c>
      <c r="K92" s="295"/>
      <c r="L92" s="20">
        <v>0</v>
      </c>
      <c r="M92" s="20">
        <v>0</v>
      </c>
      <c r="N92" s="20">
        <v>4000</v>
      </c>
      <c r="O92" s="20">
        <f>VLOOKUP(A92,TB!A:F,3)</f>
        <v>0</v>
      </c>
      <c r="P92" s="160">
        <f t="shared" si="25"/>
        <v>0</v>
      </c>
      <c r="Q92" s="160">
        <v>4000</v>
      </c>
      <c r="R92" s="233">
        <f>VLOOKUP(A92,TB!A:F,6)</f>
        <v>4000</v>
      </c>
      <c r="S92" s="233">
        <f t="shared" si="26"/>
        <v>0</v>
      </c>
    </row>
    <row r="93" spans="1:19" ht="15.75" customHeight="1" x14ac:dyDescent="0.25">
      <c r="A93" s="66" t="s">
        <v>779</v>
      </c>
      <c r="B93" s="66" t="s">
        <v>132</v>
      </c>
      <c r="C93" s="295"/>
      <c r="D93" s="160">
        <v>0</v>
      </c>
      <c r="E93" s="160" t="e">
        <f>D93*#REF!</f>
        <v>#REF!</v>
      </c>
      <c r="F93" s="160" t="e">
        <f>D93*#REF!</f>
        <v>#REF!</v>
      </c>
      <c r="G93" s="160" t="e">
        <f>(D93*#REF!)*#REF!</f>
        <v>#REF!</v>
      </c>
      <c r="H93" s="296">
        <f t="shared" si="23"/>
        <v>0</v>
      </c>
      <c r="I93" s="147" t="e">
        <f t="shared" si="24"/>
        <v>#REF!</v>
      </c>
      <c r="J93" s="97">
        <v>0</v>
      </c>
      <c r="K93" s="295"/>
      <c r="L93" s="20">
        <v>0</v>
      </c>
      <c r="M93" s="20">
        <v>18381.5</v>
      </c>
      <c r="N93" s="20">
        <v>24371</v>
      </c>
      <c r="O93" s="20">
        <f>VLOOKUP(A93,TB!A:F,3)</f>
        <v>1430</v>
      </c>
      <c r="P93" s="160">
        <f t="shared" si="25"/>
        <v>1859</v>
      </c>
      <c r="Q93" s="160">
        <v>26000</v>
      </c>
      <c r="R93" s="233">
        <f>VLOOKUP(A93,TB!A:F,6)</f>
        <v>26000</v>
      </c>
      <c r="S93" s="233">
        <f t="shared" si="26"/>
        <v>0</v>
      </c>
    </row>
    <row r="94" spans="1:19" ht="15.75" customHeight="1" x14ac:dyDescent="0.25">
      <c r="A94" s="66" t="s">
        <v>780</v>
      </c>
      <c r="B94" s="66" t="s">
        <v>72</v>
      </c>
      <c r="C94" s="295"/>
      <c r="D94" s="160">
        <v>33572</v>
      </c>
      <c r="E94" s="160" t="e">
        <f>D94*#REF!</f>
        <v>#REF!</v>
      </c>
      <c r="F94" s="160" t="e">
        <f>D94*#REF!</f>
        <v>#REF!</v>
      </c>
      <c r="G94" s="160" t="e">
        <f>(D94*#REF!)*#REF!</f>
        <v>#REF!</v>
      </c>
      <c r="H94" s="296">
        <f t="shared" si="23"/>
        <v>0</v>
      </c>
      <c r="I94" s="147" t="e">
        <f t="shared" si="24"/>
        <v>#REF!</v>
      </c>
      <c r="J94" s="97">
        <v>0</v>
      </c>
      <c r="K94" s="295"/>
      <c r="L94" s="20">
        <v>39206</v>
      </c>
      <c r="M94" s="20">
        <v>46854.55</v>
      </c>
      <c r="N94" s="20">
        <v>55321</v>
      </c>
      <c r="O94" s="20">
        <f>VLOOKUP(A94,TB!A:F,3)</f>
        <v>33161.879999999997</v>
      </c>
      <c r="P94" s="160">
        <f t="shared" si="25"/>
        <v>43110.443999999996</v>
      </c>
      <c r="Q94" s="160">
        <v>50300</v>
      </c>
      <c r="R94" s="233">
        <f>VLOOKUP(A94,TB!A:F,6)</f>
        <v>50300</v>
      </c>
      <c r="S94" s="233">
        <f t="shared" si="26"/>
        <v>0</v>
      </c>
    </row>
    <row r="95" spans="1:19" ht="15.75" customHeight="1" x14ac:dyDescent="0.25">
      <c r="A95" s="66" t="s">
        <v>781</v>
      </c>
      <c r="B95" s="66" t="s">
        <v>74</v>
      </c>
      <c r="C95" s="295"/>
      <c r="D95" s="160">
        <v>789</v>
      </c>
      <c r="E95" s="160" t="e">
        <f>D95*#REF!</f>
        <v>#REF!</v>
      </c>
      <c r="F95" s="160" t="e">
        <f>D95*#REF!</f>
        <v>#REF!</v>
      </c>
      <c r="G95" s="160" t="e">
        <f>(D95*#REF!)*#REF!</f>
        <v>#REF!</v>
      </c>
      <c r="H95" s="296">
        <f t="shared" si="23"/>
        <v>0</v>
      </c>
      <c r="I95" s="147" t="e">
        <f t="shared" si="24"/>
        <v>#REF!</v>
      </c>
      <c r="J95" s="97">
        <v>0</v>
      </c>
      <c r="K95" s="295"/>
      <c r="L95" s="20">
        <v>279</v>
      </c>
      <c r="M95" s="20">
        <v>439</v>
      </c>
      <c r="N95" s="20">
        <v>2500</v>
      </c>
      <c r="O95" s="20">
        <f>VLOOKUP(A95,TB!A:F,3)</f>
        <v>80</v>
      </c>
      <c r="P95" s="163">
        <f t="shared" ref="P95:P96" si="27">N95</f>
        <v>2500</v>
      </c>
      <c r="Q95" s="160">
        <v>1000</v>
      </c>
      <c r="R95" s="233">
        <f>VLOOKUP(A95,TB!A:F,6)</f>
        <v>1000</v>
      </c>
      <c r="S95" s="233">
        <f t="shared" si="26"/>
        <v>0</v>
      </c>
    </row>
    <row r="96" spans="1:19" ht="15.75" customHeight="1" x14ac:dyDescent="0.25">
      <c r="A96" s="66" t="s">
        <v>782</v>
      </c>
      <c r="B96" s="66" t="s">
        <v>76</v>
      </c>
      <c r="C96" s="295"/>
      <c r="D96" s="160">
        <v>113</v>
      </c>
      <c r="E96" s="160" t="e">
        <f>D96*#REF!</f>
        <v>#REF!</v>
      </c>
      <c r="F96" s="160" t="e">
        <f>D96*#REF!</f>
        <v>#REF!</v>
      </c>
      <c r="G96" s="160" t="e">
        <f>(D96*#REF!)*#REF!</f>
        <v>#REF!</v>
      </c>
      <c r="H96" s="296">
        <f t="shared" si="23"/>
        <v>0</v>
      </c>
      <c r="I96" s="147" t="e">
        <f t="shared" si="24"/>
        <v>#REF!</v>
      </c>
      <c r="J96" s="97">
        <v>0</v>
      </c>
      <c r="K96" s="295"/>
      <c r="L96" s="20">
        <v>0</v>
      </c>
      <c r="M96" s="20">
        <v>1177</v>
      </c>
      <c r="N96" s="20">
        <v>3500</v>
      </c>
      <c r="O96" s="20">
        <f>VLOOKUP(A96,TB!A:F,3)</f>
        <v>143.81</v>
      </c>
      <c r="P96" s="163">
        <f t="shared" si="27"/>
        <v>3500</v>
      </c>
      <c r="Q96" s="160">
        <v>3500</v>
      </c>
      <c r="R96" s="233">
        <f>VLOOKUP(A96,TB!A:F,6)</f>
        <v>3500</v>
      </c>
      <c r="S96" s="233">
        <f t="shared" si="26"/>
        <v>0</v>
      </c>
    </row>
    <row r="97" spans="1:19" ht="15.75" customHeight="1" x14ac:dyDescent="0.25">
      <c r="A97" s="66" t="s">
        <v>783</v>
      </c>
      <c r="B97" s="66" t="s">
        <v>80</v>
      </c>
      <c r="C97" s="295"/>
      <c r="D97" s="160">
        <v>465</v>
      </c>
      <c r="E97" s="160" t="e">
        <f>D97*#REF!</f>
        <v>#REF!</v>
      </c>
      <c r="F97" s="160" t="e">
        <f>D97*#REF!</f>
        <v>#REF!</v>
      </c>
      <c r="G97" s="160" t="e">
        <f>(D97*#REF!)*#REF!</f>
        <v>#REF!</v>
      </c>
      <c r="H97" s="296">
        <f t="shared" si="23"/>
        <v>0</v>
      </c>
      <c r="I97" s="147" t="e">
        <f t="shared" si="24"/>
        <v>#REF!</v>
      </c>
      <c r="J97" s="97">
        <v>0</v>
      </c>
      <c r="K97" s="295"/>
      <c r="L97" s="20">
        <v>0</v>
      </c>
      <c r="M97" s="20">
        <v>566.62</v>
      </c>
      <c r="N97" s="20">
        <v>1000</v>
      </c>
      <c r="O97" s="20">
        <f>VLOOKUP(A97,TB!A:F,3)</f>
        <v>1146.07</v>
      </c>
      <c r="P97" s="163">
        <f>O97/9*12</f>
        <v>1528.0933333333332</v>
      </c>
      <c r="Q97" s="160">
        <v>1500</v>
      </c>
      <c r="R97" s="233">
        <f>VLOOKUP(A97,TB!A:F,6)</f>
        <v>1500</v>
      </c>
      <c r="S97" s="233">
        <f t="shared" si="26"/>
        <v>0</v>
      </c>
    </row>
    <row r="98" spans="1:19" ht="15.75" customHeight="1" x14ac:dyDescent="0.25">
      <c r="A98" s="66" t="s">
        <v>784</v>
      </c>
      <c r="B98" s="66" t="s">
        <v>82</v>
      </c>
      <c r="C98" s="295"/>
      <c r="D98" s="160">
        <v>2844</v>
      </c>
      <c r="E98" s="160" t="e">
        <f>D98*#REF!</f>
        <v>#REF!</v>
      </c>
      <c r="F98" s="160" t="e">
        <f>D98*#REF!</f>
        <v>#REF!</v>
      </c>
      <c r="G98" s="160" t="e">
        <f>(D98*#REF!)*#REF!</f>
        <v>#REF!</v>
      </c>
      <c r="H98" s="296">
        <f t="shared" si="23"/>
        <v>0</v>
      </c>
      <c r="I98" s="147" t="e">
        <f t="shared" si="24"/>
        <v>#REF!</v>
      </c>
      <c r="J98" s="97">
        <v>0</v>
      </c>
      <c r="K98" s="295"/>
      <c r="L98" s="20">
        <v>3392</v>
      </c>
      <c r="M98" s="20">
        <v>1304.6300000000001</v>
      </c>
      <c r="N98" s="20">
        <v>3500</v>
      </c>
      <c r="O98" s="20">
        <f>VLOOKUP(A98,TB!A:F,3)</f>
        <v>1332.57</v>
      </c>
      <c r="P98" s="163">
        <f t="shared" ref="P98:P99" si="28">N98</f>
        <v>3500</v>
      </c>
      <c r="Q98" s="160">
        <v>3500</v>
      </c>
      <c r="R98" s="233">
        <f>VLOOKUP(A98,TB!A:F,6)</f>
        <v>3500</v>
      </c>
      <c r="S98" s="233">
        <f t="shared" si="26"/>
        <v>0</v>
      </c>
    </row>
    <row r="99" spans="1:19" ht="15.75" customHeight="1" x14ac:dyDescent="0.25">
      <c r="A99" s="66" t="s">
        <v>785</v>
      </c>
      <c r="B99" s="66" t="s">
        <v>115</v>
      </c>
      <c r="C99" s="295"/>
      <c r="D99" s="160">
        <v>4763</v>
      </c>
      <c r="E99" s="160" t="e">
        <f>D99*#REF!</f>
        <v>#REF!</v>
      </c>
      <c r="F99" s="160" t="e">
        <f>D99*#REF!</f>
        <v>#REF!</v>
      </c>
      <c r="G99" s="160" t="e">
        <f>(D99*#REF!)*#REF!</f>
        <v>#REF!</v>
      </c>
      <c r="H99" s="296">
        <f t="shared" si="23"/>
        <v>0</v>
      </c>
      <c r="I99" s="147" t="e">
        <f t="shared" si="24"/>
        <v>#REF!</v>
      </c>
      <c r="J99" s="97">
        <v>0</v>
      </c>
      <c r="K99" s="295"/>
      <c r="L99" s="20">
        <v>7121</v>
      </c>
      <c r="M99" s="20">
        <v>1621.04</v>
      </c>
      <c r="N99" s="20">
        <v>29000</v>
      </c>
      <c r="O99" s="20">
        <f>VLOOKUP(A99,TB!A:F,3)</f>
        <v>2144.17</v>
      </c>
      <c r="P99" s="163">
        <f t="shared" si="28"/>
        <v>29000</v>
      </c>
      <c r="Q99" s="160">
        <v>29000</v>
      </c>
      <c r="R99" s="233">
        <f>VLOOKUP(A99,TB!A:F,6)</f>
        <v>29000</v>
      </c>
      <c r="S99" s="233">
        <f t="shared" si="26"/>
        <v>0</v>
      </c>
    </row>
    <row r="100" spans="1:19" ht="15.75" customHeight="1" x14ac:dyDescent="0.25">
      <c r="A100" s="66" t="s">
        <v>786</v>
      </c>
      <c r="B100" s="66" t="s">
        <v>787</v>
      </c>
      <c r="C100" s="295"/>
      <c r="D100" s="160">
        <v>0</v>
      </c>
      <c r="E100" s="160" t="e">
        <f>D100*#REF!</f>
        <v>#REF!</v>
      </c>
      <c r="F100" s="160" t="e">
        <f>D100*#REF!</f>
        <v>#REF!</v>
      </c>
      <c r="G100" s="160" t="e">
        <f>(D100*#REF!)*#REF!</f>
        <v>#REF!</v>
      </c>
      <c r="H100" s="296">
        <f t="shared" si="23"/>
        <v>0</v>
      </c>
      <c r="I100" s="147" t="e">
        <f t="shared" si="24"/>
        <v>#REF!</v>
      </c>
      <c r="J100" s="97">
        <v>0</v>
      </c>
      <c r="K100" s="295"/>
      <c r="L100" s="20">
        <v>0</v>
      </c>
      <c r="M100" s="20">
        <v>0</v>
      </c>
      <c r="N100" s="20">
        <v>0</v>
      </c>
      <c r="O100" s="20">
        <f>VLOOKUP(A100,TB!A:F,3)</f>
        <v>2144.17</v>
      </c>
      <c r="P100" s="160">
        <f>O100/9*12</f>
        <v>2858.8933333333334</v>
      </c>
      <c r="Q100" s="160">
        <v>0</v>
      </c>
      <c r="R100" s="233">
        <v>0</v>
      </c>
      <c r="S100" s="233">
        <f t="shared" si="26"/>
        <v>0</v>
      </c>
    </row>
    <row r="101" spans="1:19" ht="15.75" customHeight="1" x14ac:dyDescent="0.25">
      <c r="A101" s="66" t="s">
        <v>788</v>
      </c>
      <c r="B101" s="66" t="s">
        <v>84</v>
      </c>
      <c r="C101" s="295"/>
      <c r="D101" s="160">
        <v>1105</v>
      </c>
      <c r="E101" s="160" t="e">
        <f>D101*#REF!</f>
        <v>#REF!</v>
      </c>
      <c r="F101" s="160" t="e">
        <f>D101*#REF!</f>
        <v>#REF!</v>
      </c>
      <c r="G101" s="160" t="e">
        <f>(D101*#REF!)*#REF!</f>
        <v>#REF!</v>
      </c>
      <c r="H101" s="296">
        <f t="shared" si="23"/>
        <v>0</v>
      </c>
      <c r="I101" s="147" t="e">
        <f t="shared" si="24"/>
        <v>#REF!</v>
      </c>
      <c r="J101" s="97">
        <v>0</v>
      </c>
      <c r="K101" s="295"/>
      <c r="L101" s="20">
        <v>11244</v>
      </c>
      <c r="M101" s="20">
        <v>9050.2900000000009</v>
      </c>
      <c r="N101" s="20">
        <v>12000</v>
      </c>
      <c r="O101" s="20">
        <f>VLOOKUP(A101,TB!A:F,3)</f>
        <v>9329.19</v>
      </c>
      <c r="P101" s="163">
        <f>N101</f>
        <v>12000</v>
      </c>
      <c r="Q101" s="160">
        <v>13000</v>
      </c>
      <c r="R101" s="233">
        <f>VLOOKUP(A101,TB!A:F,6)</f>
        <v>13000</v>
      </c>
      <c r="S101" s="233">
        <f t="shared" si="26"/>
        <v>0</v>
      </c>
    </row>
    <row r="102" spans="1:19" ht="15.75" customHeight="1" x14ac:dyDescent="0.25">
      <c r="A102" s="66" t="s">
        <v>789</v>
      </c>
      <c r="B102" s="66" t="s">
        <v>210</v>
      </c>
      <c r="C102" s="295"/>
      <c r="D102" s="160">
        <v>9253</v>
      </c>
      <c r="E102" s="160" t="e">
        <f>D102*#REF!</f>
        <v>#REF!</v>
      </c>
      <c r="F102" s="160" t="e">
        <f>D102*#REF!</f>
        <v>#REF!</v>
      </c>
      <c r="G102" s="160" t="e">
        <f>(D102*#REF!)*#REF!</f>
        <v>#REF!</v>
      </c>
      <c r="H102" s="296">
        <f t="shared" si="23"/>
        <v>0</v>
      </c>
      <c r="I102" s="147" t="e">
        <f t="shared" si="24"/>
        <v>#REF!</v>
      </c>
      <c r="J102" s="97">
        <v>0</v>
      </c>
      <c r="K102" s="295"/>
      <c r="L102" s="20">
        <v>10417</v>
      </c>
      <c r="M102" s="20">
        <v>971.55</v>
      </c>
      <c r="N102" s="20">
        <v>0</v>
      </c>
      <c r="O102" s="20">
        <f>VLOOKUP(A102,TB!A:F,3)</f>
        <v>0</v>
      </c>
      <c r="P102" s="160">
        <f>O102/9*12</f>
        <v>0</v>
      </c>
      <c r="Q102" s="160">
        <v>0</v>
      </c>
      <c r="R102" s="233">
        <f>VLOOKUP(A102,TB!A:F,6)</f>
        <v>0</v>
      </c>
      <c r="S102" s="233">
        <f t="shared" si="26"/>
        <v>0</v>
      </c>
    </row>
    <row r="103" spans="1:19" ht="15.75" customHeight="1" x14ac:dyDescent="0.25">
      <c r="A103" s="66" t="s">
        <v>790</v>
      </c>
      <c r="B103" s="66" t="s">
        <v>88</v>
      </c>
      <c r="C103" s="295"/>
      <c r="D103" s="160">
        <v>0</v>
      </c>
      <c r="E103" s="160" t="e">
        <f>D103*#REF!</f>
        <v>#REF!</v>
      </c>
      <c r="F103" s="160" t="e">
        <f>D103*#REF!</f>
        <v>#REF!</v>
      </c>
      <c r="G103" s="160" t="e">
        <f>(D103*#REF!)*#REF!</f>
        <v>#REF!</v>
      </c>
      <c r="H103" s="296">
        <f t="shared" si="23"/>
        <v>0</v>
      </c>
      <c r="I103" s="147" t="e">
        <f t="shared" si="24"/>
        <v>#REF!</v>
      </c>
      <c r="J103" s="97">
        <v>0</v>
      </c>
      <c r="K103" s="295"/>
      <c r="L103" s="20">
        <v>0</v>
      </c>
      <c r="M103" s="20">
        <v>0</v>
      </c>
      <c r="N103" s="20">
        <v>1500</v>
      </c>
      <c r="O103" s="20">
        <f>VLOOKUP(A103,TB!A:F,3)</f>
        <v>0</v>
      </c>
      <c r="P103" s="163">
        <f>N103</f>
        <v>1500</v>
      </c>
      <c r="Q103" s="160">
        <v>2500</v>
      </c>
      <c r="R103" s="233">
        <f>VLOOKUP(A103,TB!A:F,6)</f>
        <v>2500</v>
      </c>
      <c r="S103" s="233">
        <f t="shared" si="26"/>
        <v>0</v>
      </c>
    </row>
    <row r="104" spans="1:19" ht="15.75" customHeight="1" x14ac:dyDescent="0.25">
      <c r="A104" s="66" t="s">
        <v>791</v>
      </c>
      <c r="B104" s="66" t="s">
        <v>90</v>
      </c>
      <c r="C104" s="295"/>
      <c r="D104" s="160">
        <v>1516</v>
      </c>
      <c r="E104" s="160" t="e">
        <f>D104*#REF!</f>
        <v>#REF!</v>
      </c>
      <c r="F104" s="160" t="e">
        <f>D104*#REF!</f>
        <v>#REF!</v>
      </c>
      <c r="G104" s="160" t="e">
        <f>(D104*#REF!)*#REF!</f>
        <v>#REF!</v>
      </c>
      <c r="H104" s="296">
        <f t="shared" si="23"/>
        <v>0</v>
      </c>
      <c r="I104" s="147" t="e">
        <f t="shared" si="24"/>
        <v>#REF!</v>
      </c>
      <c r="J104" s="97">
        <v>0</v>
      </c>
      <c r="K104" s="295"/>
      <c r="L104" s="20">
        <v>264</v>
      </c>
      <c r="M104" s="20">
        <v>1044.95</v>
      </c>
      <c r="N104" s="20">
        <v>2800</v>
      </c>
      <c r="O104" s="20">
        <f>VLOOKUP(A104,TB!A:F,3)</f>
        <v>3116.11</v>
      </c>
      <c r="P104" s="160">
        <f>O104/9*12</f>
        <v>4154.8133333333335</v>
      </c>
      <c r="Q104" s="160">
        <v>2800</v>
      </c>
      <c r="R104" s="233">
        <f>VLOOKUP(A104,TB!A:F,6)</f>
        <v>2800</v>
      </c>
      <c r="S104" s="233">
        <f t="shared" si="26"/>
        <v>0</v>
      </c>
    </row>
    <row r="105" spans="1:19" ht="15.75" customHeight="1" x14ac:dyDescent="0.25">
      <c r="A105" s="66" t="s">
        <v>792</v>
      </c>
      <c r="B105" s="66" t="s">
        <v>252</v>
      </c>
      <c r="C105" s="295"/>
      <c r="D105" s="160">
        <v>951</v>
      </c>
      <c r="E105" s="160" t="e">
        <f>D105*#REF!</f>
        <v>#REF!</v>
      </c>
      <c r="F105" s="160" t="e">
        <f>D105*#REF!</f>
        <v>#REF!</v>
      </c>
      <c r="G105" s="160" t="e">
        <f>(D105*#REF!)*#REF!</f>
        <v>#REF!</v>
      </c>
      <c r="H105" s="296">
        <f t="shared" si="23"/>
        <v>0</v>
      </c>
      <c r="I105" s="147" t="e">
        <f t="shared" si="24"/>
        <v>#REF!</v>
      </c>
      <c r="J105" s="97">
        <v>0</v>
      </c>
      <c r="K105" s="295"/>
      <c r="L105" s="20">
        <v>0</v>
      </c>
      <c r="M105" s="20">
        <v>945.56</v>
      </c>
      <c r="N105" s="20">
        <v>1000</v>
      </c>
      <c r="O105" s="20">
        <f>VLOOKUP(A105,TB!A:F,3)</f>
        <v>69</v>
      </c>
      <c r="P105" s="163">
        <f>N105</f>
        <v>1000</v>
      </c>
      <c r="Q105" s="160">
        <v>1000</v>
      </c>
      <c r="R105" s="233">
        <f>VLOOKUP(A105,TB!A:F,6)</f>
        <v>1000</v>
      </c>
      <c r="S105" s="233">
        <f t="shared" si="26"/>
        <v>0</v>
      </c>
    </row>
    <row r="106" spans="1:19" ht="15.75" customHeight="1" x14ac:dyDescent="0.25">
      <c r="A106" s="66" t="s">
        <v>793</v>
      </c>
      <c r="B106" s="66" t="s">
        <v>466</v>
      </c>
      <c r="C106" s="295"/>
      <c r="D106" s="160">
        <v>0</v>
      </c>
      <c r="E106" s="160" t="e">
        <f>D106*#REF!</f>
        <v>#REF!</v>
      </c>
      <c r="F106" s="160" t="e">
        <f>D106*#REF!</f>
        <v>#REF!</v>
      </c>
      <c r="G106" s="160" t="e">
        <f>(D106*#REF!)*#REF!</f>
        <v>#REF!</v>
      </c>
      <c r="H106" s="296">
        <f t="shared" si="23"/>
        <v>0</v>
      </c>
      <c r="I106" s="147" t="e">
        <f t="shared" si="24"/>
        <v>#REF!</v>
      </c>
      <c r="J106" s="97">
        <v>0</v>
      </c>
      <c r="K106" s="295"/>
      <c r="L106" s="20">
        <v>152800</v>
      </c>
      <c r="M106" s="20">
        <v>0</v>
      </c>
      <c r="N106" s="20">
        <v>0</v>
      </c>
      <c r="O106" s="20">
        <f>VLOOKUP(A106,TB!A:F,3)</f>
        <v>0</v>
      </c>
      <c r="P106" s="160">
        <f>O106/9*12</f>
        <v>0</v>
      </c>
      <c r="Q106" s="160">
        <v>0</v>
      </c>
      <c r="R106" s="233">
        <f>VLOOKUP(A106,TB!A:F,6)</f>
        <v>0</v>
      </c>
      <c r="S106" s="233">
        <f t="shared" si="26"/>
        <v>0</v>
      </c>
    </row>
    <row r="107" spans="1:19" ht="15.75" customHeight="1" x14ac:dyDescent="0.25">
      <c r="A107" s="66" t="s">
        <v>794</v>
      </c>
      <c r="B107" s="66" t="s">
        <v>502</v>
      </c>
      <c r="C107" s="295"/>
      <c r="D107" s="160">
        <v>0</v>
      </c>
      <c r="E107" s="160" t="e">
        <f>D107*#REF!</f>
        <v>#REF!</v>
      </c>
      <c r="F107" s="160" t="e">
        <f>D107*#REF!</f>
        <v>#REF!</v>
      </c>
      <c r="G107" s="160" t="e">
        <f>(D107*#REF!)*#REF!</f>
        <v>#REF!</v>
      </c>
      <c r="H107" s="296">
        <f t="shared" si="23"/>
        <v>0</v>
      </c>
      <c r="I107" s="147" t="e">
        <f t="shared" si="24"/>
        <v>#REF!</v>
      </c>
      <c r="J107" s="97">
        <v>0</v>
      </c>
      <c r="K107" s="295"/>
      <c r="L107" s="20">
        <v>694</v>
      </c>
      <c r="M107" s="20">
        <v>35.39</v>
      </c>
      <c r="N107" s="20">
        <v>1000</v>
      </c>
      <c r="O107" s="20">
        <f>VLOOKUP(A107,TB!A:F,3)</f>
        <v>232.96</v>
      </c>
      <c r="P107" s="163">
        <f t="shared" ref="P107:P109" si="29">N107</f>
        <v>1000</v>
      </c>
      <c r="Q107" s="160">
        <v>1000</v>
      </c>
      <c r="R107" s="233">
        <f>VLOOKUP(A107,TB!A:F,6)</f>
        <v>1000</v>
      </c>
      <c r="S107" s="233">
        <f t="shared" si="26"/>
        <v>0</v>
      </c>
    </row>
    <row r="108" spans="1:19" ht="15.75" customHeight="1" x14ac:dyDescent="0.25">
      <c r="A108" s="66" t="s">
        <v>795</v>
      </c>
      <c r="B108" s="66" t="s">
        <v>92</v>
      </c>
      <c r="C108" s="295"/>
      <c r="D108" s="160">
        <v>0</v>
      </c>
      <c r="E108" s="160" t="e">
        <f>D108*#REF!</f>
        <v>#REF!</v>
      </c>
      <c r="F108" s="160" t="e">
        <f>D108*#REF!</f>
        <v>#REF!</v>
      </c>
      <c r="G108" s="160" t="e">
        <f>(D108*#REF!)*#REF!</f>
        <v>#REF!</v>
      </c>
      <c r="H108" s="296">
        <f t="shared" si="23"/>
        <v>0</v>
      </c>
      <c r="I108" s="147" t="e">
        <f t="shared" si="24"/>
        <v>#REF!</v>
      </c>
      <c r="J108" s="97">
        <v>0</v>
      </c>
      <c r="K108" s="295"/>
      <c r="L108" s="20">
        <v>682</v>
      </c>
      <c r="M108" s="20">
        <v>0</v>
      </c>
      <c r="N108" s="20">
        <v>700</v>
      </c>
      <c r="O108" s="20">
        <f>VLOOKUP(A108,TB!A:F,3)</f>
        <v>0</v>
      </c>
      <c r="P108" s="163">
        <f t="shared" si="29"/>
        <v>700</v>
      </c>
      <c r="Q108" s="160">
        <v>1000</v>
      </c>
      <c r="R108" s="233">
        <f>VLOOKUP(A108,TB!A:F,6)</f>
        <v>1000</v>
      </c>
      <c r="S108" s="233">
        <f t="shared" si="26"/>
        <v>0</v>
      </c>
    </row>
    <row r="109" spans="1:19" ht="15.75" customHeight="1" x14ac:dyDescent="0.25">
      <c r="A109" s="66" t="s">
        <v>796</v>
      </c>
      <c r="B109" s="66" t="s">
        <v>797</v>
      </c>
      <c r="C109" s="295"/>
      <c r="D109" s="160">
        <v>4998</v>
      </c>
      <c r="E109" s="160" t="e">
        <f>D109*#REF!</f>
        <v>#REF!</v>
      </c>
      <c r="F109" s="160" t="e">
        <f>D109*#REF!</f>
        <v>#REF!</v>
      </c>
      <c r="G109" s="160" t="e">
        <f>(D109*#REF!)*#REF!</f>
        <v>#REF!</v>
      </c>
      <c r="H109" s="296">
        <f t="shared" si="23"/>
        <v>0</v>
      </c>
      <c r="I109" s="147" t="e">
        <f t="shared" si="24"/>
        <v>#REF!</v>
      </c>
      <c r="J109" s="97">
        <v>0</v>
      </c>
      <c r="K109" s="295"/>
      <c r="L109" s="20">
        <v>3448</v>
      </c>
      <c r="M109" s="20">
        <v>4249.41</v>
      </c>
      <c r="N109" s="20">
        <v>8000</v>
      </c>
      <c r="O109" s="20">
        <f>VLOOKUP(A109,TB!A:F,3)</f>
        <v>4490.03</v>
      </c>
      <c r="P109" s="163">
        <f t="shared" si="29"/>
        <v>8000</v>
      </c>
      <c r="Q109" s="160">
        <v>8000</v>
      </c>
      <c r="R109" s="233">
        <f>VLOOKUP(A109,TB!A:F,6)</f>
        <v>8000</v>
      </c>
      <c r="S109" s="233">
        <f t="shared" si="26"/>
        <v>0</v>
      </c>
    </row>
    <row r="110" spans="1:19" ht="15.75" customHeight="1" x14ac:dyDescent="0.25">
      <c r="A110" s="74" t="s">
        <v>798</v>
      </c>
      <c r="B110" s="75"/>
      <c r="C110" s="299"/>
      <c r="D110" s="189">
        <f t="shared" ref="D110:G110" si="30">SUM(D91:D109)</f>
        <v>121866</v>
      </c>
      <c r="E110" s="189" t="e">
        <f t="shared" si="30"/>
        <v>#REF!</v>
      </c>
      <c r="F110" s="189" t="e">
        <f t="shared" si="30"/>
        <v>#REF!</v>
      </c>
      <c r="G110" s="189" t="e">
        <f t="shared" si="30"/>
        <v>#REF!</v>
      </c>
      <c r="H110" s="300">
        <f t="shared" si="23"/>
        <v>0</v>
      </c>
      <c r="I110" s="189" t="e">
        <f t="shared" si="24"/>
        <v>#REF!</v>
      </c>
      <c r="J110" s="301">
        <f>SUM(J91:J109)</f>
        <v>0</v>
      </c>
      <c r="K110" s="299"/>
      <c r="L110" s="77">
        <f t="shared" ref="L110:S110" si="31">SUM(L91:L109)</f>
        <v>301998</v>
      </c>
      <c r="M110" s="77">
        <f t="shared" si="31"/>
        <v>160527.69000000003</v>
      </c>
      <c r="N110" s="77">
        <f t="shared" si="31"/>
        <v>228494</v>
      </c>
      <c r="O110" s="77">
        <f t="shared" si="31"/>
        <v>118060.76000000001</v>
      </c>
      <c r="P110" s="189">
        <f t="shared" si="31"/>
        <v>193224.28399999999</v>
      </c>
      <c r="Q110" s="189">
        <f t="shared" si="31"/>
        <v>233300</v>
      </c>
      <c r="R110" s="77">
        <f t="shared" si="31"/>
        <v>233300</v>
      </c>
      <c r="S110" s="77">
        <f t="shared" si="31"/>
        <v>0</v>
      </c>
    </row>
    <row r="111" spans="1:19" ht="15.75" customHeight="1" x14ac:dyDescent="0.2">
      <c r="C111" s="287"/>
      <c r="K111" s="287"/>
      <c r="L111" s="54"/>
      <c r="M111" s="54"/>
      <c r="N111" s="54"/>
      <c r="O111" s="54"/>
      <c r="P111" s="54"/>
      <c r="Q111" s="54"/>
      <c r="R111" s="83"/>
      <c r="S111" s="83"/>
    </row>
    <row r="112" spans="1:19" ht="15.75" customHeight="1" x14ac:dyDescent="0.2">
      <c r="A112" s="69" t="s">
        <v>184</v>
      </c>
      <c r="C112" s="287"/>
      <c r="K112" s="287"/>
      <c r="L112" s="54"/>
      <c r="M112" s="54"/>
      <c r="N112" s="54"/>
      <c r="O112" s="54"/>
      <c r="P112" s="54"/>
      <c r="Q112" s="54"/>
      <c r="R112" s="83"/>
      <c r="S112" s="83"/>
    </row>
    <row r="113" spans="1:19" ht="15.75" customHeight="1" x14ac:dyDescent="0.25">
      <c r="A113" s="51" t="s">
        <v>799</v>
      </c>
      <c r="B113" s="51" t="s">
        <v>800</v>
      </c>
      <c r="C113" s="307"/>
      <c r="D113" s="147">
        <v>-23243</v>
      </c>
      <c r="E113" s="160" t="e">
        <f>D113*#REF!</f>
        <v>#REF!</v>
      </c>
      <c r="F113" s="160" t="e">
        <f>D113*#REF!</f>
        <v>#REF!</v>
      </c>
      <c r="G113" s="160" t="e">
        <f>(D113*#REF!)*#REF!</f>
        <v>#REF!</v>
      </c>
      <c r="H113" s="296">
        <f t="shared" ref="H113:H114" si="32">IFERROR(((Q113-G113)/G113),0)</f>
        <v>0</v>
      </c>
      <c r="I113" s="147" t="e">
        <f t="shared" ref="I113:I114" si="33">Q113-G113</f>
        <v>#REF!</v>
      </c>
      <c r="J113" s="97">
        <v>0</v>
      </c>
      <c r="K113" s="307"/>
      <c r="L113" s="54">
        <v>0</v>
      </c>
      <c r="M113" s="54">
        <v>0</v>
      </c>
      <c r="N113" s="54">
        <v>0</v>
      </c>
      <c r="O113" s="20">
        <v>0</v>
      </c>
      <c r="P113" s="54"/>
      <c r="Q113" s="54">
        <v>0</v>
      </c>
      <c r="R113" s="81">
        <v>0</v>
      </c>
      <c r="S113" s="233">
        <f>Q113-R113</f>
        <v>0</v>
      </c>
    </row>
    <row r="114" spans="1:19" ht="15.75" customHeight="1" x14ac:dyDescent="0.2">
      <c r="A114" s="239" t="s">
        <v>189</v>
      </c>
      <c r="B114" s="75"/>
      <c r="C114" s="299"/>
      <c r="D114" s="189">
        <f t="shared" ref="D114:G114" si="34">SUM(D113)</f>
        <v>-23243</v>
      </c>
      <c r="E114" s="189" t="e">
        <f t="shared" si="34"/>
        <v>#REF!</v>
      </c>
      <c r="F114" s="189" t="e">
        <f t="shared" si="34"/>
        <v>#REF!</v>
      </c>
      <c r="G114" s="189" t="e">
        <f t="shared" si="34"/>
        <v>#REF!</v>
      </c>
      <c r="H114" s="300">
        <f t="shared" si="32"/>
        <v>0</v>
      </c>
      <c r="I114" s="189" t="e">
        <f t="shared" si="33"/>
        <v>#REF!</v>
      </c>
      <c r="J114" s="189">
        <f>SUM(J113)</f>
        <v>0</v>
      </c>
      <c r="K114" s="299"/>
      <c r="L114" s="77">
        <f t="shared" ref="L114:S114" si="35">SUM(L113)</f>
        <v>0</v>
      </c>
      <c r="M114" s="77">
        <f t="shared" si="35"/>
        <v>0</v>
      </c>
      <c r="N114" s="77">
        <f t="shared" si="35"/>
        <v>0</v>
      </c>
      <c r="O114" s="77">
        <f t="shared" si="35"/>
        <v>0</v>
      </c>
      <c r="P114" s="189">
        <f t="shared" si="35"/>
        <v>0</v>
      </c>
      <c r="Q114" s="189">
        <f t="shared" si="35"/>
        <v>0</v>
      </c>
      <c r="R114" s="77">
        <f t="shared" si="35"/>
        <v>0</v>
      </c>
      <c r="S114" s="77">
        <f t="shared" si="35"/>
        <v>0</v>
      </c>
    </row>
    <row r="115" spans="1:19" ht="15.75" customHeight="1" x14ac:dyDescent="0.2">
      <c r="C115" s="287"/>
      <c r="K115" s="287"/>
      <c r="L115" s="54"/>
      <c r="M115" s="54"/>
      <c r="N115" s="54"/>
      <c r="O115" s="54"/>
      <c r="P115" s="54"/>
      <c r="Q115" s="54"/>
      <c r="R115" s="83"/>
      <c r="S115" s="83"/>
    </row>
    <row r="116" spans="1:19" ht="15.75" customHeight="1" x14ac:dyDescent="0.2">
      <c r="A116" s="69" t="s">
        <v>190</v>
      </c>
      <c r="B116" s="51"/>
      <c r="C116" s="309"/>
      <c r="D116" s="193">
        <f t="shared" ref="D116:G116" si="36">D110+D114</f>
        <v>98623</v>
      </c>
      <c r="E116" s="193" t="e">
        <f t="shared" si="36"/>
        <v>#REF!</v>
      </c>
      <c r="F116" s="193" t="e">
        <f t="shared" si="36"/>
        <v>#REF!</v>
      </c>
      <c r="G116" s="193" t="e">
        <f t="shared" si="36"/>
        <v>#REF!</v>
      </c>
      <c r="H116" s="310">
        <f>IFERROR(((Q116-G116)/G116),0)</f>
        <v>0</v>
      </c>
      <c r="I116" s="193" t="e">
        <f>Q116-G116</f>
        <v>#REF!</v>
      </c>
      <c r="J116" s="193">
        <f>J114+J110+J107</f>
        <v>0</v>
      </c>
      <c r="K116" s="309"/>
      <c r="L116" s="245">
        <f t="shared" ref="L116:S116" si="37">L110+L114</f>
        <v>301998</v>
      </c>
      <c r="M116" s="245">
        <f t="shared" si="37"/>
        <v>160527.69000000003</v>
      </c>
      <c r="N116" s="245">
        <f t="shared" si="37"/>
        <v>228494</v>
      </c>
      <c r="O116" s="245">
        <f t="shared" si="37"/>
        <v>118060.76000000001</v>
      </c>
      <c r="P116" s="193">
        <f t="shared" si="37"/>
        <v>193224.28399999999</v>
      </c>
      <c r="Q116" s="193">
        <f t="shared" si="37"/>
        <v>233300</v>
      </c>
      <c r="R116" s="245">
        <f t="shared" si="37"/>
        <v>233300</v>
      </c>
      <c r="S116" s="245">
        <f t="shared" si="37"/>
        <v>0</v>
      </c>
    </row>
    <row r="117" spans="1:19" ht="15.75" customHeight="1" x14ac:dyDescent="0.2">
      <c r="C117" s="287"/>
      <c r="K117" s="287"/>
      <c r="L117" s="62"/>
      <c r="M117" s="62"/>
      <c r="N117" s="62"/>
      <c r="O117" s="62"/>
      <c r="P117" s="62"/>
      <c r="Q117" s="62"/>
      <c r="R117" s="62"/>
    </row>
    <row r="118" spans="1:19" ht="15.75" customHeight="1" x14ac:dyDescent="0.2">
      <c r="C118" s="288"/>
      <c r="K118" s="288"/>
      <c r="L118" s="199" t="e">
        <f t="shared" ref="L118:R118" si="38">#REF!</f>
        <v>#REF!</v>
      </c>
      <c r="M118" s="199" t="e">
        <f t="shared" si="38"/>
        <v>#REF!</v>
      </c>
      <c r="N118" s="199" t="e">
        <f t="shared" si="38"/>
        <v>#REF!</v>
      </c>
      <c r="O118" s="199" t="e">
        <f t="shared" si="38"/>
        <v>#REF!</v>
      </c>
      <c r="P118" s="199" t="e">
        <f t="shared" si="38"/>
        <v>#REF!</v>
      </c>
      <c r="Q118" s="199" t="e">
        <f t="shared" si="38"/>
        <v>#REF!</v>
      </c>
      <c r="R118" s="173" t="e">
        <f t="shared" si="38"/>
        <v>#REF!</v>
      </c>
    </row>
    <row r="119" spans="1:19" ht="15.75" customHeight="1" x14ac:dyDescent="0.2">
      <c r="C119" s="289"/>
      <c r="K119" s="289"/>
      <c r="L119" s="290">
        <f t="shared" ref="L119:R119" si="39">L116</f>
        <v>301998</v>
      </c>
      <c r="M119" s="290">
        <f t="shared" si="39"/>
        <v>160527.69000000003</v>
      </c>
      <c r="N119" s="290">
        <f t="shared" si="39"/>
        <v>228494</v>
      </c>
      <c r="O119" s="290">
        <f t="shared" si="39"/>
        <v>118060.76000000001</v>
      </c>
      <c r="P119" s="290">
        <f t="shared" si="39"/>
        <v>193224.28399999999</v>
      </c>
      <c r="Q119" s="290">
        <f t="shared" si="39"/>
        <v>233300</v>
      </c>
      <c r="R119" s="291">
        <f t="shared" si="39"/>
        <v>233300</v>
      </c>
    </row>
    <row r="120" spans="1:19" ht="15.75" customHeight="1" x14ac:dyDescent="0.2">
      <c r="C120" s="287"/>
      <c r="K120" s="287"/>
    </row>
    <row r="121" spans="1:19" ht="15.75" customHeight="1" x14ac:dyDescent="0.2">
      <c r="C121" s="287"/>
      <c r="K121" s="287"/>
    </row>
    <row r="122" spans="1:19" ht="15.75" customHeight="1" x14ac:dyDescent="0.2">
      <c r="C122" s="287"/>
      <c r="K122" s="287"/>
    </row>
    <row r="123" spans="1:19" ht="15.75" customHeight="1" x14ac:dyDescent="0.2">
      <c r="C123" s="287"/>
      <c r="K123" s="287"/>
    </row>
    <row r="124" spans="1:19" ht="15.75" customHeight="1" x14ac:dyDescent="0.2">
      <c r="C124" s="287"/>
      <c r="K124" s="287"/>
    </row>
    <row r="125" spans="1:19" ht="15.75" customHeight="1" x14ac:dyDescent="0.2">
      <c r="C125" s="287"/>
      <c r="K125" s="287"/>
    </row>
    <row r="126" spans="1:19" ht="15.75" customHeight="1" x14ac:dyDescent="0.2">
      <c r="C126" s="287"/>
      <c r="K126" s="287"/>
    </row>
    <row r="127" spans="1:19" ht="15.75" customHeight="1" x14ac:dyDescent="0.2">
      <c r="C127" s="287"/>
      <c r="K127" s="287"/>
    </row>
    <row r="128" spans="1:19" ht="15.75" customHeight="1" x14ac:dyDescent="0.2">
      <c r="C128" s="287"/>
      <c r="K128" s="287"/>
    </row>
    <row r="129" spans="3:11" ht="15.75" customHeight="1" x14ac:dyDescent="0.2">
      <c r="C129" s="287"/>
      <c r="K129" s="287"/>
    </row>
    <row r="130" spans="3:11" ht="15.75" customHeight="1" x14ac:dyDescent="0.2">
      <c r="C130" s="287"/>
      <c r="K130" s="287"/>
    </row>
    <row r="131" spans="3:11" ht="15.75" customHeight="1" x14ac:dyDescent="0.2">
      <c r="C131" s="287"/>
      <c r="K131" s="287"/>
    </row>
    <row r="132" spans="3:11" ht="15.75" customHeight="1" x14ac:dyDescent="0.2">
      <c r="C132" s="287"/>
      <c r="K132" s="287"/>
    </row>
    <row r="133" spans="3:11" ht="15.75" customHeight="1" x14ac:dyDescent="0.2">
      <c r="C133" s="287"/>
      <c r="K133" s="287"/>
    </row>
    <row r="134" spans="3:11" ht="15.75" customHeight="1" x14ac:dyDescent="0.2">
      <c r="C134" s="287"/>
      <c r="K134" s="287"/>
    </row>
    <row r="135" spans="3:11" ht="15.75" customHeight="1" x14ac:dyDescent="0.2">
      <c r="C135" s="287"/>
      <c r="K135" s="287"/>
    </row>
    <row r="136" spans="3:11" ht="15.75" customHeight="1" x14ac:dyDescent="0.2">
      <c r="C136" s="287"/>
      <c r="K136" s="287"/>
    </row>
    <row r="137" spans="3:11" ht="15.75" customHeight="1" x14ac:dyDescent="0.2">
      <c r="C137" s="287"/>
      <c r="K137" s="287"/>
    </row>
    <row r="138" spans="3:11" ht="15.75" customHeight="1" x14ac:dyDescent="0.2">
      <c r="C138" s="287"/>
      <c r="K138" s="287"/>
    </row>
    <row r="139" spans="3:11" ht="15.75" customHeight="1" x14ac:dyDescent="0.2">
      <c r="C139" s="287"/>
      <c r="K139" s="287"/>
    </row>
    <row r="140" spans="3:11" ht="15.75" customHeight="1" x14ac:dyDescent="0.2">
      <c r="C140" s="287"/>
      <c r="K140" s="287"/>
    </row>
    <row r="141" spans="3:11" ht="15.75" customHeight="1" x14ac:dyDescent="0.2">
      <c r="C141" s="287"/>
      <c r="K141" s="287"/>
    </row>
    <row r="142" spans="3:11" ht="15.75" customHeight="1" x14ac:dyDescent="0.2">
      <c r="C142" s="287"/>
      <c r="K142" s="287"/>
    </row>
    <row r="143" spans="3:11" ht="15.75" customHeight="1" x14ac:dyDescent="0.2">
      <c r="C143" s="287"/>
      <c r="K143" s="287"/>
    </row>
    <row r="144" spans="3:11" ht="15.75" customHeight="1" x14ac:dyDescent="0.2">
      <c r="C144" s="287"/>
      <c r="K144" s="287"/>
    </row>
    <row r="145" spans="3:11" ht="15.75" customHeight="1" x14ac:dyDescent="0.2">
      <c r="C145" s="287"/>
      <c r="K145" s="287"/>
    </row>
    <row r="146" spans="3:11" ht="15.75" customHeight="1" x14ac:dyDescent="0.2">
      <c r="C146" s="287"/>
      <c r="K146" s="287"/>
    </row>
    <row r="147" spans="3:11" ht="15.75" customHeight="1" x14ac:dyDescent="0.2">
      <c r="C147" s="287"/>
      <c r="K147" s="287"/>
    </row>
    <row r="148" spans="3:11" ht="15.75" customHeight="1" x14ac:dyDescent="0.2">
      <c r="C148" s="287"/>
      <c r="K148" s="287"/>
    </row>
    <row r="149" spans="3:11" ht="15.75" customHeight="1" x14ac:dyDescent="0.2">
      <c r="C149" s="287"/>
      <c r="K149" s="287"/>
    </row>
    <row r="150" spans="3:11" ht="15.75" customHeight="1" x14ac:dyDescent="0.2">
      <c r="C150" s="287"/>
      <c r="K150" s="287"/>
    </row>
    <row r="151" spans="3:11" ht="15.75" customHeight="1" x14ac:dyDescent="0.2">
      <c r="C151" s="287"/>
      <c r="K151" s="287"/>
    </row>
    <row r="152" spans="3:11" ht="15.75" customHeight="1" x14ac:dyDescent="0.2">
      <c r="C152" s="287"/>
      <c r="K152" s="287"/>
    </row>
    <row r="153" spans="3:11" ht="15.75" customHeight="1" x14ac:dyDescent="0.2">
      <c r="C153" s="287"/>
      <c r="K153" s="287"/>
    </row>
    <row r="154" spans="3:11" ht="15.75" customHeight="1" x14ac:dyDescent="0.2">
      <c r="C154" s="287"/>
      <c r="K154" s="287"/>
    </row>
    <row r="155" spans="3:11" ht="15.75" customHeight="1" x14ac:dyDescent="0.2">
      <c r="C155" s="287"/>
      <c r="K155" s="287"/>
    </row>
    <row r="156" spans="3:11" ht="15.75" customHeight="1" x14ac:dyDescent="0.2">
      <c r="C156" s="287"/>
      <c r="K156" s="287"/>
    </row>
    <row r="157" spans="3:11" ht="15.75" customHeight="1" x14ac:dyDescent="0.2">
      <c r="C157" s="287"/>
      <c r="K157" s="287"/>
    </row>
    <row r="158" spans="3:11" ht="15.75" customHeight="1" x14ac:dyDescent="0.2">
      <c r="C158" s="287"/>
      <c r="K158" s="287"/>
    </row>
    <row r="159" spans="3:11" ht="15.75" customHeight="1" x14ac:dyDescent="0.2">
      <c r="C159" s="287"/>
      <c r="K159" s="287"/>
    </row>
    <row r="160" spans="3:11" ht="15.75" customHeight="1" x14ac:dyDescent="0.2">
      <c r="C160" s="287"/>
      <c r="K160" s="287"/>
    </row>
    <row r="161" spans="3:11" ht="15.75" customHeight="1" x14ac:dyDescent="0.2">
      <c r="C161" s="287"/>
      <c r="K161" s="287"/>
    </row>
    <row r="162" spans="3:11" ht="15.75" customHeight="1" x14ac:dyDescent="0.2">
      <c r="C162" s="287"/>
      <c r="K162" s="287"/>
    </row>
    <row r="163" spans="3:11" ht="15.75" customHeight="1" x14ac:dyDescent="0.2">
      <c r="C163" s="287"/>
      <c r="K163" s="287"/>
    </row>
    <row r="164" spans="3:11" ht="15.75" customHeight="1" x14ac:dyDescent="0.2">
      <c r="C164" s="287"/>
      <c r="K164" s="287"/>
    </row>
    <row r="165" spans="3:11" ht="15.75" customHeight="1" x14ac:dyDescent="0.2">
      <c r="C165" s="287"/>
      <c r="K165" s="287"/>
    </row>
    <row r="166" spans="3:11" ht="15.75" customHeight="1" x14ac:dyDescent="0.2">
      <c r="C166" s="287"/>
      <c r="K166" s="287"/>
    </row>
    <row r="167" spans="3:11" ht="15.75" customHeight="1" x14ac:dyDescent="0.2">
      <c r="C167" s="287"/>
      <c r="K167" s="287"/>
    </row>
    <row r="168" spans="3:11" ht="15.75" customHeight="1" x14ac:dyDescent="0.2">
      <c r="C168" s="287"/>
      <c r="K168" s="287"/>
    </row>
    <row r="169" spans="3:11" ht="15.75" customHeight="1" x14ac:dyDescent="0.2">
      <c r="C169" s="287"/>
      <c r="K169" s="287"/>
    </row>
    <row r="170" spans="3:11" ht="15.75" customHeight="1" x14ac:dyDescent="0.2">
      <c r="C170" s="287"/>
      <c r="K170" s="287"/>
    </row>
    <row r="171" spans="3:11" ht="15.75" customHeight="1" x14ac:dyDescent="0.2">
      <c r="C171" s="287"/>
      <c r="K171" s="287"/>
    </row>
    <row r="172" spans="3:11" ht="15.75" customHeight="1" x14ac:dyDescent="0.2">
      <c r="C172" s="287"/>
      <c r="K172" s="287"/>
    </row>
    <row r="173" spans="3:11" ht="15.75" customHeight="1" x14ac:dyDescent="0.2">
      <c r="C173" s="287"/>
      <c r="K173" s="287"/>
    </row>
    <row r="174" spans="3:11" ht="15.75" customHeight="1" x14ac:dyDescent="0.2">
      <c r="C174" s="287"/>
      <c r="K174" s="287"/>
    </row>
    <row r="175" spans="3:11" ht="15.75" customHeight="1" x14ac:dyDescent="0.2">
      <c r="C175" s="287"/>
      <c r="K175" s="287"/>
    </row>
    <row r="176" spans="3:11" ht="15.75" customHeight="1" x14ac:dyDescent="0.2">
      <c r="C176" s="287"/>
      <c r="K176" s="287"/>
    </row>
    <row r="177" spans="3:11" ht="15.75" customHeight="1" x14ac:dyDescent="0.2">
      <c r="C177" s="287"/>
      <c r="K177" s="287"/>
    </row>
    <row r="178" spans="3:11" ht="15.75" customHeight="1" x14ac:dyDescent="0.2">
      <c r="C178" s="287"/>
      <c r="K178" s="287"/>
    </row>
    <row r="179" spans="3:11" ht="15.75" customHeight="1" x14ac:dyDescent="0.2">
      <c r="C179" s="287"/>
      <c r="K179" s="287"/>
    </row>
    <row r="180" spans="3:11" ht="15.75" customHeight="1" x14ac:dyDescent="0.2">
      <c r="C180" s="287"/>
      <c r="K180" s="287"/>
    </row>
    <row r="181" spans="3:11" ht="15.75" customHeight="1" x14ac:dyDescent="0.2">
      <c r="C181" s="287"/>
      <c r="K181" s="287"/>
    </row>
    <row r="182" spans="3:11" ht="15.75" customHeight="1" x14ac:dyDescent="0.2">
      <c r="C182" s="287"/>
      <c r="K182" s="287"/>
    </row>
    <row r="183" spans="3:11" ht="15.75" customHeight="1" x14ac:dyDescent="0.2">
      <c r="C183" s="287"/>
      <c r="K183" s="287"/>
    </row>
    <row r="184" spans="3:11" ht="15.75" customHeight="1" x14ac:dyDescent="0.2">
      <c r="C184" s="287"/>
      <c r="K184" s="287"/>
    </row>
    <row r="185" spans="3:11" ht="15.75" customHeight="1" x14ac:dyDescent="0.2">
      <c r="C185" s="287"/>
      <c r="K185" s="287"/>
    </row>
    <row r="186" spans="3:11" ht="15.75" customHeight="1" x14ac:dyDescent="0.2">
      <c r="C186" s="287"/>
      <c r="K186" s="287"/>
    </row>
    <row r="187" spans="3:11" ht="15.75" customHeight="1" x14ac:dyDescent="0.2">
      <c r="C187" s="287"/>
      <c r="K187" s="287"/>
    </row>
    <row r="188" spans="3:11" ht="15.75" customHeight="1" x14ac:dyDescent="0.2">
      <c r="C188" s="287"/>
      <c r="K188" s="287"/>
    </row>
    <row r="189" spans="3:11" ht="15.75" customHeight="1" x14ac:dyDescent="0.2">
      <c r="C189" s="287"/>
      <c r="K189" s="287"/>
    </row>
    <row r="190" spans="3:11" ht="15.75" customHeight="1" x14ac:dyDescent="0.2">
      <c r="C190" s="287"/>
      <c r="K190" s="287"/>
    </row>
    <row r="191" spans="3:11" ht="15.75" customHeight="1" x14ac:dyDescent="0.2">
      <c r="C191" s="287"/>
      <c r="K191" s="287"/>
    </row>
    <row r="192" spans="3:11" ht="15.75" customHeight="1" x14ac:dyDescent="0.2">
      <c r="C192" s="287"/>
      <c r="K192" s="287"/>
    </row>
    <row r="193" spans="3:11" ht="15.75" customHeight="1" x14ac:dyDescent="0.2">
      <c r="C193" s="287"/>
      <c r="K193" s="287"/>
    </row>
    <row r="194" spans="3:11" ht="15.75" customHeight="1" x14ac:dyDescent="0.2">
      <c r="C194" s="287"/>
      <c r="K194" s="287"/>
    </row>
    <row r="195" spans="3:11" ht="15.75" customHeight="1" x14ac:dyDescent="0.2">
      <c r="C195" s="287"/>
      <c r="K195" s="287"/>
    </row>
    <row r="196" spans="3:11" ht="15.75" customHeight="1" x14ac:dyDescent="0.2">
      <c r="C196" s="287"/>
      <c r="K196" s="287"/>
    </row>
    <row r="197" spans="3:11" ht="15.75" customHeight="1" x14ac:dyDescent="0.2">
      <c r="C197" s="287"/>
      <c r="K197" s="287"/>
    </row>
    <row r="198" spans="3:11" ht="15.75" customHeight="1" x14ac:dyDescent="0.2">
      <c r="C198" s="287"/>
      <c r="K198" s="287"/>
    </row>
    <row r="199" spans="3:11" ht="15.75" customHeight="1" x14ac:dyDescent="0.2">
      <c r="C199" s="287"/>
      <c r="K199" s="287"/>
    </row>
    <row r="200" spans="3:11" ht="15.75" customHeight="1" x14ac:dyDescent="0.2">
      <c r="C200" s="287"/>
      <c r="K200" s="287"/>
    </row>
    <row r="201" spans="3:11" ht="15.75" customHeight="1" x14ac:dyDescent="0.2">
      <c r="C201" s="287"/>
      <c r="K201" s="287"/>
    </row>
    <row r="202" spans="3:11" ht="15.75" customHeight="1" x14ac:dyDescent="0.2">
      <c r="C202" s="287"/>
      <c r="K202" s="287"/>
    </row>
    <row r="203" spans="3:11" ht="15.75" customHeight="1" x14ac:dyDescent="0.2">
      <c r="C203" s="287"/>
      <c r="K203" s="287"/>
    </row>
    <row r="204" spans="3:11" ht="15.75" customHeight="1" x14ac:dyDescent="0.2">
      <c r="C204" s="287"/>
      <c r="K204" s="287"/>
    </row>
    <row r="205" spans="3:11" ht="15.75" customHeight="1" x14ac:dyDescent="0.2">
      <c r="C205" s="287"/>
      <c r="K205" s="287"/>
    </row>
    <row r="206" spans="3:11" ht="15.75" customHeight="1" x14ac:dyDescent="0.2">
      <c r="C206" s="287"/>
      <c r="K206" s="287"/>
    </row>
    <row r="207" spans="3:11" ht="15.75" customHeight="1" x14ac:dyDescent="0.2">
      <c r="C207" s="287"/>
      <c r="K207" s="287"/>
    </row>
    <row r="208" spans="3:11" ht="15.75" customHeight="1" x14ac:dyDescent="0.2">
      <c r="C208" s="287"/>
      <c r="K208" s="287"/>
    </row>
    <row r="209" spans="3:11" ht="15.75" customHeight="1" x14ac:dyDescent="0.2">
      <c r="C209" s="287"/>
      <c r="K209" s="287"/>
    </row>
    <row r="210" spans="3:11" ht="15.75" customHeight="1" x14ac:dyDescent="0.2">
      <c r="C210" s="287"/>
      <c r="K210" s="287"/>
    </row>
    <row r="211" spans="3:11" ht="15.75" customHeight="1" x14ac:dyDescent="0.2">
      <c r="C211" s="287"/>
      <c r="K211" s="287"/>
    </row>
    <row r="212" spans="3:11" ht="15.75" customHeight="1" x14ac:dyDescent="0.2">
      <c r="C212" s="287"/>
      <c r="K212" s="287"/>
    </row>
    <row r="213" spans="3:11" ht="15.75" customHeight="1" x14ac:dyDescent="0.2">
      <c r="C213" s="287"/>
      <c r="K213" s="287"/>
    </row>
    <row r="214" spans="3:11" ht="15.75" customHeight="1" x14ac:dyDescent="0.2">
      <c r="C214" s="287"/>
      <c r="K214" s="287"/>
    </row>
    <row r="215" spans="3:11" ht="15.75" customHeight="1" x14ac:dyDescent="0.2">
      <c r="C215" s="287"/>
      <c r="K215" s="287"/>
    </row>
    <row r="216" spans="3:11" ht="15.75" customHeight="1" x14ac:dyDescent="0.2">
      <c r="C216" s="287"/>
      <c r="K216" s="287"/>
    </row>
    <row r="217" spans="3:11" ht="15.75" customHeight="1" x14ac:dyDescent="0.2">
      <c r="C217" s="287"/>
      <c r="K217" s="287"/>
    </row>
    <row r="218" spans="3:11" ht="15.75" customHeight="1" x14ac:dyDescent="0.2">
      <c r="C218" s="287"/>
      <c r="K218" s="287"/>
    </row>
    <row r="219" spans="3:11" ht="15.75" customHeight="1" x14ac:dyDescent="0.2">
      <c r="C219" s="287"/>
      <c r="K219" s="287"/>
    </row>
    <row r="220" spans="3:11" ht="15.75" customHeight="1" x14ac:dyDescent="0.2">
      <c r="C220" s="287"/>
      <c r="K220" s="287"/>
    </row>
    <row r="221" spans="3:11" ht="15.75" customHeight="1" x14ac:dyDescent="0.2">
      <c r="C221" s="287"/>
      <c r="K221" s="287"/>
    </row>
    <row r="222" spans="3:11" ht="15.75" customHeight="1" x14ac:dyDescent="0.2">
      <c r="C222" s="287"/>
      <c r="K222" s="287"/>
    </row>
    <row r="223" spans="3:11" ht="15.75" customHeight="1" x14ac:dyDescent="0.2">
      <c r="C223" s="287"/>
      <c r="K223" s="287"/>
    </row>
    <row r="224" spans="3:11" ht="15.75" customHeight="1" x14ac:dyDescent="0.2">
      <c r="C224" s="287"/>
      <c r="K224" s="287"/>
    </row>
    <row r="225" spans="3:11" ht="15.75" customHeight="1" x14ac:dyDescent="0.2">
      <c r="C225" s="287"/>
      <c r="K225" s="287"/>
    </row>
    <row r="226" spans="3:11" ht="15.75" customHeight="1" x14ac:dyDescent="0.2">
      <c r="C226" s="287"/>
      <c r="K226" s="287"/>
    </row>
    <row r="227" spans="3:11" ht="15.75" customHeight="1" x14ac:dyDescent="0.2">
      <c r="C227" s="287"/>
      <c r="K227" s="287"/>
    </row>
    <row r="228" spans="3:11" ht="15.75" customHeight="1" x14ac:dyDescent="0.2">
      <c r="C228" s="287"/>
      <c r="K228" s="287"/>
    </row>
    <row r="229" spans="3:11" ht="15.75" customHeight="1" x14ac:dyDescent="0.2">
      <c r="C229" s="287"/>
      <c r="K229" s="287"/>
    </row>
    <row r="230" spans="3:11" ht="15.75" customHeight="1" x14ac:dyDescent="0.2">
      <c r="C230" s="287"/>
      <c r="K230" s="287"/>
    </row>
    <row r="231" spans="3:11" ht="15.75" customHeight="1" x14ac:dyDescent="0.2">
      <c r="C231" s="287"/>
      <c r="K231" s="287"/>
    </row>
    <row r="232" spans="3:11" ht="15.75" customHeight="1" x14ac:dyDescent="0.2">
      <c r="C232" s="287"/>
      <c r="K232" s="287"/>
    </row>
    <row r="233" spans="3:11" ht="15.75" customHeight="1" x14ac:dyDescent="0.2">
      <c r="C233" s="287"/>
      <c r="K233" s="287"/>
    </row>
    <row r="234" spans="3:11" ht="15.75" customHeight="1" x14ac:dyDescent="0.2">
      <c r="C234" s="287"/>
      <c r="K234" s="287"/>
    </row>
    <row r="235" spans="3:11" ht="15.75" customHeight="1" x14ac:dyDescent="0.2">
      <c r="C235" s="287"/>
      <c r="K235" s="287"/>
    </row>
    <row r="236" spans="3:11" ht="15.75" customHeight="1" x14ac:dyDescent="0.2">
      <c r="C236" s="287"/>
      <c r="K236" s="287"/>
    </row>
    <row r="237" spans="3:11" ht="15.75" customHeight="1" x14ac:dyDescent="0.2">
      <c r="C237" s="287"/>
      <c r="K237" s="287"/>
    </row>
    <row r="238" spans="3:11" ht="15.75" customHeight="1" x14ac:dyDescent="0.2">
      <c r="C238" s="287"/>
      <c r="K238" s="287"/>
    </row>
    <row r="239" spans="3:11" ht="15.75" customHeight="1" x14ac:dyDescent="0.2">
      <c r="C239" s="287"/>
      <c r="K239" s="287"/>
    </row>
    <row r="240" spans="3:11" ht="15.75" customHeight="1" x14ac:dyDescent="0.2">
      <c r="C240" s="287"/>
      <c r="K240" s="287"/>
    </row>
    <row r="241" spans="3:11" ht="15.75" customHeight="1" x14ac:dyDescent="0.2">
      <c r="C241" s="287"/>
      <c r="K241" s="287"/>
    </row>
    <row r="242" spans="3:11" ht="15.75" customHeight="1" x14ac:dyDescent="0.2">
      <c r="C242" s="287"/>
      <c r="K242" s="287"/>
    </row>
    <row r="243" spans="3:11" ht="15.75" customHeight="1" x14ac:dyDescent="0.2">
      <c r="C243" s="287"/>
      <c r="K243" s="287"/>
    </row>
    <row r="244" spans="3:11" ht="15.75" customHeight="1" x14ac:dyDescent="0.2">
      <c r="C244" s="287"/>
      <c r="K244" s="287"/>
    </row>
    <row r="245" spans="3:11" ht="15.75" customHeight="1" x14ac:dyDescent="0.2">
      <c r="C245" s="287"/>
      <c r="K245" s="287"/>
    </row>
    <row r="246" spans="3:11" ht="15.75" customHeight="1" x14ac:dyDescent="0.2">
      <c r="C246" s="287"/>
      <c r="K246" s="287"/>
    </row>
    <row r="247" spans="3:11" ht="15.75" customHeight="1" x14ac:dyDescent="0.2">
      <c r="C247" s="287"/>
      <c r="K247" s="287"/>
    </row>
    <row r="248" spans="3:11" ht="15.75" customHeight="1" x14ac:dyDescent="0.2">
      <c r="C248" s="287"/>
      <c r="K248" s="287"/>
    </row>
    <row r="249" spans="3:11" ht="15.75" customHeight="1" x14ac:dyDescent="0.2">
      <c r="C249" s="287"/>
      <c r="K249" s="287"/>
    </row>
    <row r="250" spans="3:11" ht="15.75" customHeight="1" x14ac:dyDescent="0.2">
      <c r="C250" s="287"/>
      <c r="K250" s="287"/>
    </row>
    <row r="251" spans="3:11" ht="15.75" customHeight="1" x14ac:dyDescent="0.2">
      <c r="C251" s="287"/>
      <c r="K251" s="287"/>
    </row>
    <row r="252" spans="3:11" ht="15.75" customHeight="1" x14ac:dyDescent="0.2">
      <c r="C252" s="287"/>
      <c r="K252" s="287"/>
    </row>
    <row r="253" spans="3:11" ht="15.75" customHeight="1" x14ac:dyDescent="0.2">
      <c r="C253" s="287"/>
      <c r="K253" s="287"/>
    </row>
    <row r="254" spans="3:11" ht="15.75" customHeight="1" x14ac:dyDescent="0.2">
      <c r="C254" s="287"/>
      <c r="K254" s="287"/>
    </row>
    <row r="255" spans="3:11" ht="15.75" customHeight="1" x14ac:dyDescent="0.2">
      <c r="C255" s="287"/>
      <c r="K255" s="287"/>
    </row>
    <row r="256" spans="3:11" ht="15.75" customHeight="1" x14ac:dyDescent="0.2">
      <c r="C256" s="287"/>
      <c r="K256" s="287"/>
    </row>
    <row r="257" spans="3:11" ht="15.75" customHeight="1" x14ac:dyDescent="0.2">
      <c r="C257" s="287"/>
      <c r="K257" s="287"/>
    </row>
    <row r="258" spans="3:11" ht="15.75" customHeight="1" x14ac:dyDescent="0.2">
      <c r="C258" s="287"/>
      <c r="K258" s="287"/>
    </row>
    <row r="259" spans="3:11" ht="15.75" customHeight="1" x14ac:dyDescent="0.2">
      <c r="C259" s="287"/>
      <c r="K259" s="287"/>
    </row>
    <row r="260" spans="3:11" ht="15.75" customHeight="1" x14ac:dyDescent="0.2">
      <c r="C260" s="287"/>
      <c r="K260" s="287"/>
    </row>
    <row r="261" spans="3:11" ht="15.75" customHeight="1" x14ac:dyDescent="0.2">
      <c r="C261" s="287"/>
      <c r="K261" s="287"/>
    </row>
    <row r="262" spans="3:11" ht="15.75" customHeight="1" x14ac:dyDescent="0.2">
      <c r="C262" s="287"/>
      <c r="K262" s="287"/>
    </row>
    <row r="263" spans="3:11" ht="15.75" customHeight="1" x14ac:dyDescent="0.2">
      <c r="C263" s="287"/>
      <c r="K263" s="287"/>
    </row>
    <row r="264" spans="3:11" ht="15.75" customHeight="1" x14ac:dyDescent="0.2">
      <c r="C264" s="287"/>
      <c r="K264" s="287"/>
    </row>
    <row r="265" spans="3:11" ht="15.75" customHeight="1" x14ac:dyDescent="0.2">
      <c r="C265" s="287"/>
      <c r="K265" s="287"/>
    </row>
    <row r="266" spans="3:11" ht="15.75" customHeight="1" x14ac:dyDescent="0.2">
      <c r="C266" s="287"/>
      <c r="K266" s="287"/>
    </row>
    <row r="267" spans="3:11" ht="15.75" customHeight="1" x14ac:dyDescent="0.2">
      <c r="C267" s="287"/>
      <c r="K267" s="287"/>
    </row>
    <row r="268" spans="3:11" ht="15.75" customHeight="1" x14ac:dyDescent="0.2">
      <c r="C268" s="287"/>
      <c r="K268" s="287"/>
    </row>
    <row r="269" spans="3:11" ht="15.75" customHeight="1" x14ac:dyDescent="0.2">
      <c r="C269" s="287"/>
      <c r="K269" s="287"/>
    </row>
    <row r="270" spans="3:11" ht="15.75" customHeight="1" x14ac:dyDescent="0.2">
      <c r="C270" s="287"/>
      <c r="K270" s="287"/>
    </row>
    <row r="271" spans="3:11" ht="15.75" customHeight="1" x14ac:dyDescent="0.2">
      <c r="C271" s="287"/>
      <c r="K271" s="287"/>
    </row>
    <row r="272" spans="3:11" ht="15.75" customHeight="1" x14ac:dyDescent="0.2">
      <c r="C272" s="287"/>
      <c r="K272" s="287"/>
    </row>
    <row r="273" spans="3:11" ht="15.75" customHeight="1" x14ac:dyDescent="0.2">
      <c r="C273" s="287"/>
      <c r="K273" s="287"/>
    </row>
    <row r="274" spans="3:11" ht="15.75" customHeight="1" x14ac:dyDescent="0.2">
      <c r="C274" s="287"/>
      <c r="K274" s="287"/>
    </row>
    <row r="275" spans="3:11" ht="15.75" customHeight="1" x14ac:dyDescent="0.2">
      <c r="C275" s="287"/>
      <c r="K275" s="287"/>
    </row>
    <row r="276" spans="3:11" ht="15.75" customHeight="1" x14ac:dyDescent="0.2">
      <c r="C276" s="287"/>
      <c r="K276" s="287"/>
    </row>
    <row r="277" spans="3:11" ht="15.75" customHeight="1" x14ac:dyDescent="0.2">
      <c r="C277" s="287"/>
      <c r="K277" s="287"/>
    </row>
    <row r="278" spans="3:11" ht="15.75" customHeight="1" x14ac:dyDescent="0.2">
      <c r="C278" s="287"/>
      <c r="K278" s="287"/>
    </row>
    <row r="279" spans="3:11" ht="15.75" customHeight="1" x14ac:dyDescent="0.2">
      <c r="C279" s="287"/>
      <c r="K279" s="287"/>
    </row>
    <row r="280" spans="3:11" ht="15.75" customHeight="1" x14ac:dyDescent="0.2">
      <c r="C280" s="287"/>
      <c r="K280" s="287"/>
    </row>
    <row r="281" spans="3:11" ht="15.75" customHeight="1" x14ac:dyDescent="0.2">
      <c r="C281" s="287"/>
      <c r="K281" s="287"/>
    </row>
    <row r="282" spans="3:11" ht="15.75" customHeight="1" x14ac:dyDescent="0.2">
      <c r="C282" s="287"/>
      <c r="K282" s="287"/>
    </row>
    <row r="283" spans="3:11" ht="15.75" customHeight="1" x14ac:dyDescent="0.2">
      <c r="C283" s="287"/>
      <c r="K283" s="287"/>
    </row>
    <row r="284" spans="3:11" ht="15.75" customHeight="1" x14ac:dyDescent="0.2">
      <c r="C284" s="287"/>
      <c r="K284" s="287"/>
    </row>
    <row r="285" spans="3:11" ht="15.75" customHeight="1" x14ac:dyDescent="0.2">
      <c r="C285" s="287"/>
      <c r="K285" s="287"/>
    </row>
    <row r="286" spans="3:11" ht="15.75" customHeight="1" x14ac:dyDescent="0.2">
      <c r="C286" s="287"/>
      <c r="K286" s="287"/>
    </row>
    <row r="287" spans="3:11" ht="15.75" customHeight="1" x14ac:dyDescent="0.2">
      <c r="C287" s="287"/>
      <c r="K287" s="287"/>
    </row>
    <row r="288" spans="3:11" ht="15.75" customHeight="1" x14ac:dyDescent="0.2">
      <c r="C288" s="287"/>
      <c r="K288" s="287"/>
    </row>
    <row r="289" spans="3:11" ht="15.75" customHeight="1" x14ac:dyDescent="0.2">
      <c r="C289" s="287"/>
      <c r="K289" s="287"/>
    </row>
    <row r="290" spans="3:11" ht="15.75" customHeight="1" x14ac:dyDescent="0.2">
      <c r="C290" s="287"/>
      <c r="K290" s="287"/>
    </row>
    <row r="291" spans="3:11" ht="15.75" customHeight="1" x14ac:dyDescent="0.2">
      <c r="C291" s="287"/>
      <c r="K291" s="287"/>
    </row>
    <row r="292" spans="3:11" ht="15.75" customHeight="1" x14ac:dyDescent="0.2">
      <c r="C292" s="287"/>
      <c r="K292" s="287"/>
    </row>
    <row r="293" spans="3:11" ht="15.75" customHeight="1" x14ac:dyDescent="0.2">
      <c r="C293" s="287"/>
      <c r="K293" s="287"/>
    </row>
    <row r="294" spans="3:11" ht="15.75" customHeight="1" x14ac:dyDescent="0.2">
      <c r="C294" s="287"/>
      <c r="K294" s="287"/>
    </row>
    <row r="295" spans="3:11" ht="15.75" customHeight="1" x14ac:dyDescent="0.2">
      <c r="C295" s="287"/>
      <c r="K295" s="287"/>
    </row>
    <row r="296" spans="3:11" ht="15.75" customHeight="1" x14ac:dyDescent="0.2">
      <c r="C296" s="287"/>
      <c r="K296" s="287"/>
    </row>
    <row r="297" spans="3:11" ht="15.75" customHeight="1" x14ac:dyDescent="0.2">
      <c r="C297" s="287"/>
      <c r="K297" s="287"/>
    </row>
    <row r="298" spans="3:11" ht="15.75" customHeight="1" x14ac:dyDescent="0.2">
      <c r="C298" s="287"/>
      <c r="K298" s="287"/>
    </row>
    <row r="299" spans="3:11" ht="15.75" customHeight="1" x14ac:dyDescent="0.2">
      <c r="C299" s="287"/>
      <c r="K299" s="287"/>
    </row>
    <row r="300" spans="3:11" ht="15.75" customHeight="1" x14ac:dyDescent="0.2">
      <c r="C300" s="287"/>
      <c r="K300" s="287"/>
    </row>
    <row r="301" spans="3:11" ht="15.75" customHeight="1" x14ac:dyDescent="0.2">
      <c r="C301" s="287"/>
      <c r="K301" s="287"/>
    </row>
    <row r="302" spans="3:11" ht="15.75" customHeight="1" x14ac:dyDescent="0.2">
      <c r="C302" s="287"/>
      <c r="K302" s="287"/>
    </row>
    <row r="303" spans="3:11" ht="15.75" customHeight="1" x14ac:dyDescent="0.2">
      <c r="C303" s="287"/>
      <c r="K303" s="287"/>
    </row>
    <row r="304" spans="3:11" ht="15.75" customHeight="1" x14ac:dyDescent="0.2">
      <c r="C304" s="287"/>
      <c r="K304" s="287"/>
    </row>
    <row r="305" spans="3:11" ht="15.75" customHeight="1" x14ac:dyDescent="0.2">
      <c r="C305" s="287"/>
      <c r="K305" s="287"/>
    </row>
    <row r="306" spans="3:11" ht="15.75" customHeight="1" x14ac:dyDescent="0.2">
      <c r="C306" s="287"/>
      <c r="K306" s="287"/>
    </row>
    <row r="307" spans="3:11" ht="15.75" customHeight="1" x14ac:dyDescent="0.2">
      <c r="C307" s="287"/>
      <c r="K307" s="287"/>
    </row>
    <row r="308" spans="3:11" ht="15.75" customHeight="1" x14ac:dyDescent="0.2">
      <c r="C308" s="287"/>
      <c r="K308" s="287"/>
    </row>
    <row r="309" spans="3:11" ht="15.75" customHeight="1" x14ac:dyDescent="0.2">
      <c r="C309" s="287"/>
      <c r="K309" s="287"/>
    </row>
    <row r="310" spans="3:11" ht="15.75" customHeight="1" x14ac:dyDescent="0.2">
      <c r="C310" s="287"/>
      <c r="K310" s="287"/>
    </row>
    <row r="311" spans="3:11" ht="15.75" customHeight="1" x14ac:dyDescent="0.2">
      <c r="C311" s="287"/>
      <c r="K311" s="287"/>
    </row>
    <row r="312" spans="3:11" ht="15.75" customHeight="1" x14ac:dyDescent="0.2">
      <c r="C312" s="287"/>
      <c r="K312" s="287"/>
    </row>
    <row r="313" spans="3:11" ht="15.75" customHeight="1" x14ac:dyDescent="0.2">
      <c r="C313" s="287"/>
      <c r="K313" s="287"/>
    </row>
    <row r="314" spans="3:11" ht="15.75" customHeight="1" x14ac:dyDescent="0.2">
      <c r="C314" s="287"/>
      <c r="K314" s="287"/>
    </row>
    <row r="315" spans="3:11" ht="15.75" customHeight="1" x14ac:dyDescent="0.2">
      <c r="C315" s="287"/>
      <c r="K315" s="287"/>
    </row>
    <row r="316" spans="3:11" ht="15.75" customHeight="1" x14ac:dyDescent="0.2">
      <c r="C316" s="287"/>
      <c r="K316" s="287"/>
    </row>
    <row r="317" spans="3:11" ht="15.75" customHeight="1" x14ac:dyDescent="0.2">
      <c r="C317" s="287"/>
      <c r="K317" s="287"/>
    </row>
    <row r="318" spans="3:11" ht="15.75" customHeight="1" x14ac:dyDescent="0.2">
      <c r="C318" s="287"/>
      <c r="K318" s="287"/>
    </row>
    <row r="319" spans="3:11" ht="15.75" customHeight="1" x14ac:dyDescent="0.2">
      <c r="C319" s="287"/>
      <c r="K319" s="287"/>
    </row>
    <row r="320" spans="3:11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">
    <mergeCell ref="A1:B1"/>
    <mergeCell ref="A90:E90"/>
  </mergeCells>
  <conditionalFormatting sqref="H3:H21 H23:H24 H26 H29 H91:H110 H113">
    <cfRule type="cellIs" dxfId="13" priority="1" operator="lessThan">
      <formula>0</formula>
    </cfRule>
  </conditionalFormatting>
  <printOptions horizontalCentered="1" verticalCentered="1"/>
  <pageMargins left="0.25" right="0.25" top="0.75" bottom="0.75" header="0.3" footer="0.3"/>
  <pageSetup scale="87" fitToHeight="0" orientation="landscape" r:id="rId1"/>
  <headerFooter>
    <oddHeader>&amp;A</oddHeader>
    <oddFooter>Page &amp;P of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8"/>
  <sheetViews>
    <sheetView workbookViewId="0"/>
  </sheetViews>
  <sheetFormatPr defaultRowHeight="12.75" x14ac:dyDescent="0.2"/>
  <cols>
    <col min="1" max="1" width="13" customWidth="1"/>
    <col min="2" max="2" width="39.42578125" customWidth="1"/>
    <col min="3" max="11" width="13" hidden="1" customWidth="1"/>
    <col min="12" max="19" width="13" customWidth="1"/>
  </cols>
  <sheetData>
    <row r="1" spans="1:19" ht="32.25" customHeight="1" x14ac:dyDescent="0.2">
      <c r="A1" s="542" t="s">
        <v>776</v>
      </c>
      <c r="B1" s="543"/>
      <c r="C1" s="543"/>
      <c r="D1" s="543"/>
      <c r="E1" s="543"/>
      <c r="F1" s="544"/>
      <c r="G1" s="544"/>
      <c r="H1" s="544"/>
      <c r="I1" s="544"/>
      <c r="J1" s="544"/>
      <c r="K1" s="544"/>
      <c r="L1" s="544"/>
      <c r="M1" s="499"/>
      <c r="N1" s="499"/>
      <c r="O1" s="499"/>
      <c r="P1" s="499"/>
      <c r="Q1" s="499"/>
      <c r="R1" s="499"/>
      <c r="S1" s="499"/>
    </row>
    <row r="2" spans="1:19" ht="47.25" customHeight="1" x14ac:dyDescent="0.2">
      <c r="A2" s="508" t="s">
        <v>50</v>
      </c>
      <c r="B2" s="508" t="s">
        <v>51</v>
      </c>
      <c r="C2" s="535"/>
      <c r="D2" s="536" t="s">
        <v>52</v>
      </c>
      <c r="E2" s="472" t="s">
        <v>53</v>
      </c>
      <c r="F2" s="472" t="s">
        <v>54</v>
      </c>
      <c r="G2" s="472" t="s">
        <v>55</v>
      </c>
      <c r="H2" s="537" t="s">
        <v>56</v>
      </c>
      <c r="I2" s="537" t="s">
        <v>57</v>
      </c>
      <c r="J2" s="538" t="s">
        <v>58</v>
      </c>
      <c r="K2" s="535"/>
      <c r="L2" s="508" t="s">
        <v>59</v>
      </c>
      <c r="M2" s="508" t="s">
        <v>60</v>
      </c>
      <c r="N2" s="508" t="s">
        <v>61</v>
      </c>
      <c r="O2" s="508" t="s">
        <v>62</v>
      </c>
      <c r="P2" s="539" t="s">
        <v>541</v>
      </c>
      <c r="Q2" s="539" t="s">
        <v>64</v>
      </c>
      <c r="R2" s="539" t="s">
        <v>65</v>
      </c>
      <c r="S2" s="539" t="s">
        <v>66</v>
      </c>
    </row>
    <row r="3" spans="1:19" ht="15.75" customHeight="1" x14ac:dyDescent="0.25">
      <c r="A3" s="512" t="s">
        <v>777</v>
      </c>
      <c r="B3" s="512" t="s">
        <v>68</v>
      </c>
      <c r="C3" s="513"/>
      <c r="D3" s="514">
        <v>61497</v>
      </c>
      <c r="E3" s="514" t="e">
        <f>D3*#REF!</f>
        <v>#REF!</v>
      </c>
      <c r="F3" s="514" t="e">
        <f>D3*#REF!</f>
        <v>#REF!</v>
      </c>
      <c r="G3" s="514" t="e">
        <f>(D3*#REF!)*#REF!</f>
        <v>#REF!</v>
      </c>
      <c r="H3" s="515">
        <f t="shared" ref="H3:H22" si="0">IFERROR(((Q3-G3)/G3),0)</f>
        <v>0</v>
      </c>
      <c r="I3" s="479" t="e">
        <f t="shared" ref="I3:I22" si="1">Q3-G3</f>
        <v>#REF!</v>
      </c>
      <c r="J3" s="507">
        <v>0</v>
      </c>
      <c r="K3" s="513"/>
      <c r="L3" s="516">
        <v>72451</v>
      </c>
      <c r="M3" s="516">
        <v>73886.2</v>
      </c>
      <c r="N3" s="516">
        <v>78302</v>
      </c>
      <c r="O3" s="516">
        <f>VLOOKUP(A3,TB!A:F,3)</f>
        <v>59240.800000000003</v>
      </c>
      <c r="P3" s="514">
        <f t="shared" ref="P3:P6" si="2">O3/20*26</f>
        <v>77013.039999999994</v>
      </c>
      <c r="Q3" s="514">
        <v>85200</v>
      </c>
      <c r="R3" s="517">
        <f>VLOOKUP(A3,TB!A:F,6)</f>
        <v>85200</v>
      </c>
      <c r="S3" s="517">
        <f t="shared" ref="S3:S21" si="3">Q3-R3</f>
        <v>0</v>
      </c>
    </row>
    <row r="4" spans="1:19" ht="15.75" customHeight="1" x14ac:dyDescent="0.25">
      <c r="A4" s="512" t="s">
        <v>778</v>
      </c>
      <c r="B4" s="512" t="s">
        <v>70</v>
      </c>
      <c r="C4" s="513"/>
      <c r="D4" s="514">
        <v>0</v>
      </c>
      <c r="E4" s="514" t="e">
        <f>D4*#REF!</f>
        <v>#REF!</v>
      </c>
      <c r="F4" s="514" t="e">
        <f>D4*#REF!</f>
        <v>#REF!</v>
      </c>
      <c r="G4" s="514" t="e">
        <f>(D4*#REF!)*#REF!</f>
        <v>#REF!</v>
      </c>
      <c r="H4" s="515">
        <f t="shared" si="0"/>
        <v>0</v>
      </c>
      <c r="I4" s="479" t="e">
        <f t="shared" si="1"/>
        <v>#REF!</v>
      </c>
      <c r="J4" s="507">
        <v>0</v>
      </c>
      <c r="K4" s="513"/>
      <c r="L4" s="516">
        <v>0</v>
      </c>
      <c r="M4" s="516">
        <v>0</v>
      </c>
      <c r="N4" s="516">
        <v>4000</v>
      </c>
      <c r="O4" s="516">
        <f>VLOOKUP(A4,TB!A:F,3)</f>
        <v>0</v>
      </c>
      <c r="P4" s="514">
        <f t="shared" si="2"/>
        <v>0</v>
      </c>
      <c r="Q4" s="514">
        <v>4000</v>
      </c>
      <c r="R4" s="517">
        <f>VLOOKUP(A4,TB!A:F,6)</f>
        <v>4000</v>
      </c>
      <c r="S4" s="517">
        <f t="shared" si="3"/>
        <v>0</v>
      </c>
    </row>
    <row r="5" spans="1:19" ht="15.75" customHeight="1" x14ac:dyDescent="0.25">
      <c r="A5" s="512" t="s">
        <v>779</v>
      </c>
      <c r="B5" s="512" t="s">
        <v>132</v>
      </c>
      <c r="C5" s="513"/>
      <c r="D5" s="514">
        <v>0</v>
      </c>
      <c r="E5" s="514" t="e">
        <f>D5*#REF!</f>
        <v>#REF!</v>
      </c>
      <c r="F5" s="514" t="e">
        <f>D5*#REF!</f>
        <v>#REF!</v>
      </c>
      <c r="G5" s="514" t="e">
        <f>(D5*#REF!)*#REF!</f>
        <v>#REF!</v>
      </c>
      <c r="H5" s="515">
        <f t="shared" si="0"/>
        <v>0</v>
      </c>
      <c r="I5" s="479" t="e">
        <f t="shared" si="1"/>
        <v>#REF!</v>
      </c>
      <c r="J5" s="507">
        <v>0</v>
      </c>
      <c r="K5" s="513"/>
      <c r="L5" s="516">
        <v>0</v>
      </c>
      <c r="M5" s="516">
        <v>18381.5</v>
      </c>
      <c r="N5" s="516">
        <v>24371</v>
      </c>
      <c r="O5" s="516">
        <f>VLOOKUP(A5,TB!A:F,3)</f>
        <v>1430</v>
      </c>
      <c r="P5" s="514">
        <f t="shared" si="2"/>
        <v>1859</v>
      </c>
      <c r="Q5" s="514">
        <v>26000</v>
      </c>
      <c r="R5" s="517">
        <f>VLOOKUP(A5,TB!A:F,6)</f>
        <v>26000</v>
      </c>
      <c r="S5" s="517">
        <f t="shared" si="3"/>
        <v>0</v>
      </c>
    </row>
    <row r="6" spans="1:19" ht="15.75" customHeight="1" x14ac:dyDescent="0.25">
      <c r="A6" s="512" t="s">
        <v>780</v>
      </c>
      <c r="B6" s="512" t="s">
        <v>72</v>
      </c>
      <c r="C6" s="513"/>
      <c r="D6" s="514">
        <v>33572</v>
      </c>
      <c r="E6" s="514" t="e">
        <f>D6*#REF!</f>
        <v>#REF!</v>
      </c>
      <c r="F6" s="514" t="e">
        <f>D6*#REF!</f>
        <v>#REF!</v>
      </c>
      <c r="G6" s="514" t="e">
        <f>(D6*#REF!)*#REF!</f>
        <v>#REF!</v>
      </c>
      <c r="H6" s="515">
        <f t="shared" si="0"/>
        <v>0</v>
      </c>
      <c r="I6" s="479" t="e">
        <f t="shared" si="1"/>
        <v>#REF!</v>
      </c>
      <c r="J6" s="507">
        <v>0</v>
      </c>
      <c r="K6" s="513"/>
      <c r="L6" s="516">
        <v>39206</v>
      </c>
      <c r="M6" s="516">
        <v>46854.55</v>
      </c>
      <c r="N6" s="516">
        <v>55321</v>
      </c>
      <c r="O6" s="516">
        <f>VLOOKUP(A6,TB!A:F,3)</f>
        <v>33161.879999999997</v>
      </c>
      <c r="P6" s="514">
        <f t="shared" si="2"/>
        <v>43110.443999999996</v>
      </c>
      <c r="Q6" s="514">
        <v>50300</v>
      </c>
      <c r="R6" s="517">
        <f>VLOOKUP(A6,TB!A:F,6)</f>
        <v>50300</v>
      </c>
      <c r="S6" s="517">
        <f t="shared" si="3"/>
        <v>0</v>
      </c>
    </row>
    <row r="7" spans="1:19" ht="15.75" customHeight="1" x14ac:dyDescent="0.25">
      <c r="A7" s="512" t="s">
        <v>781</v>
      </c>
      <c r="B7" s="512" t="s">
        <v>74</v>
      </c>
      <c r="C7" s="513"/>
      <c r="D7" s="514">
        <v>789</v>
      </c>
      <c r="E7" s="514" t="e">
        <f>D7*#REF!</f>
        <v>#REF!</v>
      </c>
      <c r="F7" s="514" t="e">
        <f>D7*#REF!</f>
        <v>#REF!</v>
      </c>
      <c r="G7" s="514" t="e">
        <f>(D7*#REF!)*#REF!</f>
        <v>#REF!</v>
      </c>
      <c r="H7" s="515">
        <f t="shared" si="0"/>
        <v>0</v>
      </c>
      <c r="I7" s="479" t="e">
        <f t="shared" si="1"/>
        <v>#REF!</v>
      </c>
      <c r="J7" s="507">
        <v>0</v>
      </c>
      <c r="K7" s="513"/>
      <c r="L7" s="516">
        <v>279</v>
      </c>
      <c r="M7" s="516">
        <v>439</v>
      </c>
      <c r="N7" s="516">
        <v>2500</v>
      </c>
      <c r="O7" s="516">
        <f>VLOOKUP(A7,TB!A:F,3)</f>
        <v>80</v>
      </c>
      <c r="P7" s="518">
        <f t="shared" ref="P7:P8" si="4">N7</f>
        <v>2500</v>
      </c>
      <c r="Q7" s="514">
        <v>1000</v>
      </c>
      <c r="R7" s="517">
        <f>VLOOKUP(A7,TB!A:F,6)</f>
        <v>1000</v>
      </c>
      <c r="S7" s="517">
        <f t="shared" si="3"/>
        <v>0</v>
      </c>
    </row>
    <row r="8" spans="1:19" ht="15.75" customHeight="1" x14ac:dyDescent="0.25">
      <c r="A8" s="512" t="s">
        <v>782</v>
      </c>
      <c r="B8" s="512" t="s">
        <v>76</v>
      </c>
      <c r="C8" s="513"/>
      <c r="D8" s="514">
        <v>113</v>
      </c>
      <c r="E8" s="514" t="e">
        <f>D8*#REF!</f>
        <v>#REF!</v>
      </c>
      <c r="F8" s="514" t="e">
        <f>D8*#REF!</f>
        <v>#REF!</v>
      </c>
      <c r="G8" s="514" t="e">
        <f>(D8*#REF!)*#REF!</f>
        <v>#REF!</v>
      </c>
      <c r="H8" s="515">
        <f t="shared" si="0"/>
        <v>0</v>
      </c>
      <c r="I8" s="479" t="e">
        <f t="shared" si="1"/>
        <v>#REF!</v>
      </c>
      <c r="J8" s="507">
        <v>0</v>
      </c>
      <c r="K8" s="513"/>
      <c r="L8" s="516">
        <v>0</v>
      </c>
      <c r="M8" s="516">
        <v>1177</v>
      </c>
      <c r="N8" s="516">
        <v>3500</v>
      </c>
      <c r="O8" s="516">
        <f>VLOOKUP(A8,TB!A:F,3)</f>
        <v>143.81</v>
      </c>
      <c r="P8" s="518">
        <f t="shared" si="4"/>
        <v>3500</v>
      </c>
      <c r="Q8" s="514">
        <v>3500</v>
      </c>
      <c r="R8" s="517">
        <f>VLOOKUP(A8,TB!A:F,6)</f>
        <v>3500</v>
      </c>
      <c r="S8" s="517">
        <f t="shared" si="3"/>
        <v>0</v>
      </c>
    </row>
    <row r="9" spans="1:19" ht="15.75" customHeight="1" x14ac:dyDescent="0.25">
      <c r="A9" s="512" t="s">
        <v>783</v>
      </c>
      <c r="B9" s="512" t="s">
        <v>80</v>
      </c>
      <c r="C9" s="513"/>
      <c r="D9" s="514">
        <v>465</v>
      </c>
      <c r="E9" s="514" t="e">
        <f>D9*#REF!</f>
        <v>#REF!</v>
      </c>
      <c r="F9" s="514" t="e">
        <f>D9*#REF!</f>
        <v>#REF!</v>
      </c>
      <c r="G9" s="514" t="e">
        <f>(D9*#REF!)*#REF!</f>
        <v>#REF!</v>
      </c>
      <c r="H9" s="515">
        <f t="shared" si="0"/>
        <v>0</v>
      </c>
      <c r="I9" s="479" t="e">
        <f t="shared" si="1"/>
        <v>#REF!</v>
      </c>
      <c r="J9" s="507">
        <v>0</v>
      </c>
      <c r="K9" s="513"/>
      <c r="L9" s="516">
        <v>0</v>
      </c>
      <c r="M9" s="516">
        <v>566.62</v>
      </c>
      <c r="N9" s="516">
        <v>1000</v>
      </c>
      <c r="O9" s="516">
        <f>VLOOKUP(A9,TB!A:F,3)</f>
        <v>1146.07</v>
      </c>
      <c r="P9" s="518">
        <f>O9/9*12</f>
        <v>1528.0933333333332</v>
      </c>
      <c r="Q9" s="514">
        <v>1500</v>
      </c>
      <c r="R9" s="517">
        <f>VLOOKUP(A9,TB!A:F,6)</f>
        <v>1500</v>
      </c>
      <c r="S9" s="517">
        <f t="shared" si="3"/>
        <v>0</v>
      </c>
    </row>
    <row r="10" spans="1:19" ht="15.75" customHeight="1" x14ac:dyDescent="0.25">
      <c r="A10" s="512" t="s">
        <v>784</v>
      </c>
      <c r="B10" s="512" t="s">
        <v>82</v>
      </c>
      <c r="C10" s="513"/>
      <c r="D10" s="514">
        <v>2844</v>
      </c>
      <c r="E10" s="514" t="e">
        <f>D10*#REF!</f>
        <v>#REF!</v>
      </c>
      <c r="F10" s="514" t="e">
        <f>D10*#REF!</f>
        <v>#REF!</v>
      </c>
      <c r="G10" s="514" t="e">
        <f>(D10*#REF!)*#REF!</f>
        <v>#REF!</v>
      </c>
      <c r="H10" s="515">
        <f t="shared" si="0"/>
        <v>0</v>
      </c>
      <c r="I10" s="479" t="e">
        <f t="shared" si="1"/>
        <v>#REF!</v>
      </c>
      <c r="J10" s="507">
        <v>0</v>
      </c>
      <c r="K10" s="513"/>
      <c r="L10" s="516">
        <v>3392</v>
      </c>
      <c r="M10" s="516">
        <v>1304.6300000000001</v>
      </c>
      <c r="N10" s="516">
        <v>3500</v>
      </c>
      <c r="O10" s="516">
        <f>VLOOKUP(A10,TB!A:F,3)</f>
        <v>1332.57</v>
      </c>
      <c r="P10" s="518">
        <f t="shared" ref="P10:P11" si="5">N10</f>
        <v>3500</v>
      </c>
      <c r="Q10" s="514">
        <v>3500</v>
      </c>
      <c r="R10" s="517">
        <f>VLOOKUP(A10,TB!A:F,6)</f>
        <v>3500</v>
      </c>
      <c r="S10" s="517">
        <f t="shared" si="3"/>
        <v>0</v>
      </c>
    </row>
    <row r="11" spans="1:19" ht="15.75" customHeight="1" x14ac:dyDescent="0.25">
      <c r="A11" s="512" t="s">
        <v>785</v>
      </c>
      <c r="B11" s="512" t="s">
        <v>115</v>
      </c>
      <c r="C11" s="513"/>
      <c r="D11" s="514">
        <v>4763</v>
      </c>
      <c r="E11" s="514" t="e">
        <f>D11*#REF!</f>
        <v>#REF!</v>
      </c>
      <c r="F11" s="514" t="e">
        <f>D11*#REF!</f>
        <v>#REF!</v>
      </c>
      <c r="G11" s="514" t="e">
        <f>(D11*#REF!)*#REF!</f>
        <v>#REF!</v>
      </c>
      <c r="H11" s="515">
        <f t="shared" si="0"/>
        <v>0</v>
      </c>
      <c r="I11" s="479" t="e">
        <f t="shared" si="1"/>
        <v>#REF!</v>
      </c>
      <c r="J11" s="507">
        <v>0</v>
      </c>
      <c r="K11" s="513"/>
      <c r="L11" s="516">
        <v>7121</v>
      </c>
      <c r="M11" s="516">
        <v>1621.04</v>
      </c>
      <c r="N11" s="516">
        <v>29000</v>
      </c>
      <c r="O11" s="516">
        <f>VLOOKUP(A11,TB!A:F,3)</f>
        <v>2144.17</v>
      </c>
      <c r="P11" s="518">
        <f t="shared" si="5"/>
        <v>29000</v>
      </c>
      <c r="Q11" s="514">
        <v>29000</v>
      </c>
      <c r="R11" s="517">
        <f>VLOOKUP(A11,TB!A:F,6)</f>
        <v>29000</v>
      </c>
      <c r="S11" s="517">
        <f t="shared" si="3"/>
        <v>0</v>
      </c>
    </row>
    <row r="12" spans="1:19" ht="15.75" customHeight="1" x14ac:dyDescent="0.25">
      <c r="A12" s="512" t="s">
        <v>786</v>
      </c>
      <c r="B12" s="512" t="s">
        <v>787</v>
      </c>
      <c r="C12" s="513"/>
      <c r="D12" s="514">
        <v>0</v>
      </c>
      <c r="E12" s="514" t="e">
        <f>D12*#REF!</f>
        <v>#REF!</v>
      </c>
      <c r="F12" s="514" t="e">
        <f>D12*#REF!</f>
        <v>#REF!</v>
      </c>
      <c r="G12" s="514" t="e">
        <f>(D12*#REF!)*#REF!</f>
        <v>#REF!</v>
      </c>
      <c r="H12" s="515">
        <f t="shared" si="0"/>
        <v>0</v>
      </c>
      <c r="I12" s="479" t="e">
        <f t="shared" si="1"/>
        <v>#REF!</v>
      </c>
      <c r="J12" s="507">
        <v>0</v>
      </c>
      <c r="K12" s="513"/>
      <c r="L12" s="516">
        <v>0</v>
      </c>
      <c r="M12" s="516">
        <v>0</v>
      </c>
      <c r="N12" s="516">
        <v>0</v>
      </c>
      <c r="O12" s="516">
        <f>VLOOKUP(A12,TB!A:F,3)</f>
        <v>2144.17</v>
      </c>
      <c r="P12" s="514">
        <f>O12/9*12</f>
        <v>2858.8933333333334</v>
      </c>
      <c r="Q12" s="514">
        <v>0</v>
      </c>
      <c r="R12" s="517">
        <v>0</v>
      </c>
      <c r="S12" s="517">
        <f t="shared" si="3"/>
        <v>0</v>
      </c>
    </row>
    <row r="13" spans="1:19" ht="15.75" customHeight="1" x14ac:dyDescent="0.25">
      <c r="A13" s="512" t="s">
        <v>788</v>
      </c>
      <c r="B13" s="512" t="s">
        <v>84</v>
      </c>
      <c r="C13" s="513"/>
      <c r="D13" s="514">
        <v>1105</v>
      </c>
      <c r="E13" s="514" t="e">
        <f>D13*#REF!</f>
        <v>#REF!</v>
      </c>
      <c r="F13" s="514" t="e">
        <f>D13*#REF!</f>
        <v>#REF!</v>
      </c>
      <c r="G13" s="514" t="e">
        <f>(D13*#REF!)*#REF!</f>
        <v>#REF!</v>
      </c>
      <c r="H13" s="515">
        <f t="shared" si="0"/>
        <v>0</v>
      </c>
      <c r="I13" s="479" t="e">
        <f t="shared" si="1"/>
        <v>#REF!</v>
      </c>
      <c r="J13" s="507">
        <v>0</v>
      </c>
      <c r="K13" s="513"/>
      <c r="L13" s="516">
        <v>11244</v>
      </c>
      <c r="M13" s="516">
        <v>9050.2900000000009</v>
      </c>
      <c r="N13" s="516">
        <v>12000</v>
      </c>
      <c r="O13" s="516">
        <f>VLOOKUP(A13,TB!A:F,3)</f>
        <v>9329.19</v>
      </c>
      <c r="P13" s="518">
        <f>N13</f>
        <v>12000</v>
      </c>
      <c r="Q13" s="514">
        <v>13000</v>
      </c>
      <c r="R13" s="517">
        <f>VLOOKUP(A13,TB!A:F,6)</f>
        <v>13000</v>
      </c>
      <c r="S13" s="517">
        <f t="shared" si="3"/>
        <v>0</v>
      </c>
    </row>
    <row r="14" spans="1:19" ht="15.75" customHeight="1" x14ac:dyDescent="0.25">
      <c r="A14" s="512" t="s">
        <v>789</v>
      </c>
      <c r="B14" s="512" t="s">
        <v>210</v>
      </c>
      <c r="C14" s="513"/>
      <c r="D14" s="514">
        <v>9253</v>
      </c>
      <c r="E14" s="514" t="e">
        <f>D14*#REF!</f>
        <v>#REF!</v>
      </c>
      <c r="F14" s="514" t="e">
        <f>D14*#REF!</f>
        <v>#REF!</v>
      </c>
      <c r="G14" s="514" t="e">
        <f>(D14*#REF!)*#REF!</f>
        <v>#REF!</v>
      </c>
      <c r="H14" s="515">
        <f t="shared" si="0"/>
        <v>0</v>
      </c>
      <c r="I14" s="479" t="e">
        <f t="shared" si="1"/>
        <v>#REF!</v>
      </c>
      <c r="J14" s="507">
        <v>0</v>
      </c>
      <c r="K14" s="513"/>
      <c r="L14" s="516">
        <v>10417</v>
      </c>
      <c r="M14" s="516">
        <v>971.55</v>
      </c>
      <c r="N14" s="516">
        <v>0</v>
      </c>
      <c r="O14" s="516">
        <f>VLOOKUP(A14,TB!A:F,3)</f>
        <v>0</v>
      </c>
      <c r="P14" s="514">
        <f>O14/9*12</f>
        <v>0</v>
      </c>
      <c r="Q14" s="514">
        <v>0</v>
      </c>
      <c r="R14" s="517">
        <f>VLOOKUP(A14,TB!A:F,6)</f>
        <v>0</v>
      </c>
      <c r="S14" s="517">
        <f t="shared" si="3"/>
        <v>0</v>
      </c>
    </row>
    <row r="15" spans="1:19" ht="15.75" customHeight="1" x14ac:dyDescent="0.25">
      <c r="A15" s="512" t="s">
        <v>790</v>
      </c>
      <c r="B15" s="512" t="s">
        <v>88</v>
      </c>
      <c r="C15" s="513"/>
      <c r="D15" s="514">
        <v>0</v>
      </c>
      <c r="E15" s="514" t="e">
        <f>D15*#REF!</f>
        <v>#REF!</v>
      </c>
      <c r="F15" s="514" t="e">
        <f>D15*#REF!</f>
        <v>#REF!</v>
      </c>
      <c r="G15" s="514" t="e">
        <f>(D15*#REF!)*#REF!</f>
        <v>#REF!</v>
      </c>
      <c r="H15" s="515">
        <f t="shared" si="0"/>
        <v>0</v>
      </c>
      <c r="I15" s="479" t="e">
        <f t="shared" si="1"/>
        <v>#REF!</v>
      </c>
      <c r="J15" s="507">
        <v>0</v>
      </c>
      <c r="K15" s="513"/>
      <c r="L15" s="516">
        <v>0</v>
      </c>
      <c r="M15" s="516">
        <v>0</v>
      </c>
      <c r="N15" s="516">
        <v>1500</v>
      </c>
      <c r="O15" s="516">
        <f>VLOOKUP(A15,TB!A:F,3)</f>
        <v>0</v>
      </c>
      <c r="P15" s="518">
        <f>N15</f>
        <v>1500</v>
      </c>
      <c r="Q15" s="514">
        <v>2500</v>
      </c>
      <c r="R15" s="517">
        <f>VLOOKUP(A15,TB!A:F,6)</f>
        <v>2500</v>
      </c>
      <c r="S15" s="517">
        <f t="shared" si="3"/>
        <v>0</v>
      </c>
    </row>
    <row r="16" spans="1:19" ht="15.75" customHeight="1" x14ac:dyDescent="0.25">
      <c r="A16" s="512" t="s">
        <v>791</v>
      </c>
      <c r="B16" s="512" t="s">
        <v>90</v>
      </c>
      <c r="C16" s="513"/>
      <c r="D16" s="514">
        <v>1516</v>
      </c>
      <c r="E16" s="514" t="e">
        <f>D16*#REF!</f>
        <v>#REF!</v>
      </c>
      <c r="F16" s="514" t="e">
        <f>D16*#REF!</f>
        <v>#REF!</v>
      </c>
      <c r="G16" s="514" t="e">
        <f>(D16*#REF!)*#REF!</f>
        <v>#REF!</v>
      </c>
      <c r="H16" s="515">
        <f t="shared" si="0"/>
        <v>0</v>
      </c>
      <c r="I16" s="479" t="e">
        <f t="shared" si="1"/>
        <v>#REF!</v>
      </c>
      <c r="J16" s="507">
        <v>0</v>
      </c>
      <c r="K16" s="513"/>
      <c r="L16" s="516">
        <v>264</v>
      </c>
      <c r="M16" s="516">
        <v>1044.95</v>
      </c>
      <c r="N16" s="516">
        <v>2800</v>
      </c>
      <c r="O16" s="516">
        <f>VLOOKUP(A16,TB!A:F,3)</f>
        <v>3116.11</v>
      </c>
      <c r="P16" s="514">
        <f>O16/9*12</f>
        <v>4154.8133333333335</v>
      </c>
      <c r="Q16" s="514">
        <v>2800</v>
      </c>
      <c r="R16" s="517">
        <f>VLOOKUP(A16,TB!A:F,6)</f>
        <v>2800</v>
      </c>
      <c r="S16" s="517">
        <f t="shared" si="3"/>
        <v>0</v>
      </c>
    </row>
    <row r="17" spans="1:19" ht="15.75" customHeight="1" x14ac:dyDescent="0.25">
      <c r="A17" s="512" t="s">
        <v>792</v>
      </c>
      <c r="B17" s="512" t="s">
        <v>252</v>
      </c>
      <c r="C17" s="513"/>
      <c r="D17" s="514">
        <v>951</v>
      </c>
      <c r="E17" s="514" t="e">
        <f>D17*#REF!</f>
        <v>#REF!</v>
      </c>
      <c r="F17" s="514" t="e">
        <f>D17*#REF!</f>
        <v>#REF!</v>
      </c>
      <c r="G17" s="514" t="e">
        <f>(D17*#REF!)*#REF!</f>
        <v>#REF!</v>
      </c>
      <c r="H17" s="515">
        <f t="shared" si="0"/>
        <v>0</v>
      </c>
      <c r="I17" s="479" t="e">
        <f t="shared" si="1"/>
        <v>#REF!</v>
      </c>
      <c r="J17" s="507">
        <v>0</v>
      </c>
      <c r="K17" s="513"/>
      <c r="L17" s="516">
        <v>0</v>
      </c>
      <c r="M17" s="516">
        <v>945.56</v>
      </c>
      <c r="N17" s="516">
        <v>1000</v>
      </c>
      <c r="O17" s="516">
        <f>VLOOKUP(A17,TB!A:F,3)</f>
        <v>69</v>
      </c>
      <c r="P17" s="518">
        <f>N17</f>
        <v>1000</v>
      </c>
      <c r="Q17" s="514">
        <v>1000</v>
      </c>
      <c r="R17" s="517">
        <f>VLOOKUP(A17,TB!A:F,6)</f>
        <v>1000</v>
      </c>
      <c r="S17" s="517">
        <f t="shared" si="3"/>
        <v>0</v>
      </c>
    </row>
    <row r="18" spans="1:19" ht="15.75" customHeight="1" x14ac:dyDescent="0.25">
      <c r="A18" s="512" t="s">
        <v>793</v>
      </c>
      <c r="B18" s="512" t="s">
        <v>466</v>
      </c>
      <c r="C18" s="513"/>
      <c r="D18" s="514">
        <v>0</v>
      </c>
      <c r="E18" s="514" t="e">
        <f>D18*#REF!</f>
        <v>#REF!</v>
      </c>
      <c r="F18" s="514" t="e">
        <f>D18*#REF!</f>
        <v>#REF!</v>
      </c>
      <c r="G18" s="514" t="e">
        <f>(D18*#REF!)*#REF!</f>
        <v>#REF!</v>
      </c>
      <c r="H18" s="515">
        <f t="shared" si="0"/>
        <v>0</v>
      </c>
      <c r="I18" s="479" t="e">
        <f t="shared" si="1"/>
        <v>#REF!</v>
      </c>
      <c r="J18" s="507">
        <v>0</v>
      </c>
      <c r="K18" s="513"/>
      <c r="L18" s="516">
        <v>152800</v>
      </c>
      <c r="M18" s="516">
        <v>0</v>
      </c>
      <c r="N18" s="516">
        <v>0</v>
      </c>
      <c r="O18" s="516">
        <f>VLOOKUP(A18,TB!A:F,3)</f>
        <v>0</v>
      </c>
      <c r="P18" s="514">
        <f>O18/9*12</f>
        <v>0</v>
      </c>
      <c r="Q18" s="514">
        <v>0</v>
      </c>
      <c r="R18" s="517">
        <f>VLOOKUP(A18,TB!A:F,6)</f>
        <v>0</v>
      </c>
      <c r="S18" s="517">
        <f t="shared" si="3"/>
        <v>0</v>
      </c>
    </row>
    <row r="19" spans="1:19" ht="15.75" customHeight="1" x14ac:dyDescent="0.25">
      <c r="A19" s="512" t="s">
        <v>794</v>
      </c>
      <c r="B19" s="512" t="s">
        <v>502</v>
      </c>
      <c r="C19" s="513"/>
      <c r="D19" s="514">
        <v>0</v>
      </c>
      <c r="E19" s="514" t="e">
        <f>D19*#REF!</f>
        <v>#REF!</v>
      </c>
      <c r="F19" s="514" t="e">
        <f>D19*#REF!</f>
        <v>#REF!</v>
      </c>
      <c r="G19" s="514" t="e">
        <f>(D19*#REF!)*#REF!</f>
        <v>#REF!</v>
      </c>
      <c r="H19" s="515">
        <f t="shared" si="0"/>
        <v>0</v>
      </c>
      <c r="I19" s="479" t="e">
        <f t="shared" si="1"/>
        <v>#REF!</v>
      </c>
      <c r="J19" s="507">
        <v>0</v>
      </c>
      <c r="K19" s="513"/>
      <c r="L19" s="516">
        <v>694</v>
      </c>
      <c r="M19" s="516">
        <v>35.39</v>
      </c>
      <c r="N19" s="516">
        <v>1000</v>
      </c>
      <c r="O19" s="516">
        <f>VLOOKUP(A19,TB!A:F,3)</f>
        <v>232.96</v>
      </c>
      <c r="P19" s="518">
        <f t="shared" ref="P19:P21" si="6">N19</f>
        <v>1000</v>
      </c>
      <c r="Q19" s="514">
        <v>1000</v>
      </c>
      <c r="R19" s="517">
        <f>VLOOKUP(A19,TB!A:F,6)</f>
        <v>1000</v>
      </c>
      <c r="S19" s="517">
        <f t="shared" si="3"/>
        <v>0</v>
      </c>
    </row>
    <row r="20" spans="1:19" ht="15.75" customHeight="1" x14ac:dyDescent="0.25">
      <c r="A20" s="512" t="s">
        <v>795</v>
      </c>
      <c r="B20" s="512" t="s">
        <v>92</v>
      </c>
      <c r="C20" s="513"/>
      <c r="D20" s="514">
        <v>0</v>
      </c>
      <c r="E20" s="514" t="e">
        <f>D20*#REF!</f>
        <v>#REF!</v>
      </c>
      <c r="F20" s="514" t="e">
        <f>D20*#REF!</f>
        <v>#REF!</v>
      </c>
      <c r="G20" s="514" t="e">
        <f>(D20*#REF!)*#REF!</f>
        <v>#REF!</v>
      </c>
      <c r="H20" s="515">
        <f t="shared" si="0"/>
        <v>0</v>
      </c>
      <c r="I20" s="479" t="e">
        <f t="shared" si="1"/>
        <v>#REF!</v>
      </c>
      <c r="J20" s="507">
        <v>0</v>
      </c>
      <c r="K20" s="513"/>
      <c r="L20" s="516">
        <v>682</v>
      </c>
      <c r="M20" s="516">
        <v>0</v>
      </c>
      <c r="N20" s="516">
        <v>700</v>
      </c>
      <c r="O20" s="516">
        <f>VLOOKUP(A20,TB!A:F,3)</f>
        <v>0</v>
      </c>
      <c r="P20" s="518">
        <f t="shared" si="6"/>
        <v>700</v>
      </c>
      <c r="Q20" s="514">
        <v>1000</v>
      </c>
      <c r="R20" s="517">
        <f>VLOOKUP(A20,TB!A:F,6)</f>
        <v>1000</v>
      </c>
      <c r="S20" s="517">
        <f t="shared" si="3"/>
        <v>0</v>
      </c>
    </row>
    <row r="21" spans="1:19" ht="15.75" customHeight="1" x14ac:dyDescent="0.25">
      <c r="A21" s="512" t="s">
        <v>796</v>
      </c>
      <c r="B21" s="512" t="s">
        <v>797</v>
      </c>
      <c r="C21" s="513"/>
      <c r="D21" s="514">
        <v>4998</v>
      </c>
      <c r="E21" s="514" t="e">
        <f>D21*#REF!</f>
        <v>#REF!</v>
      </c>
      <c r="F21" s="514" t="e">
        <f>D21*#REF!</f>
        <v>#REF!</v>
      </c>
      <c r="G21" s="514" t="e">
        <f>(D21*#REF!)*#REF!</f>
        <v>#REF!</v>
      </c>
      <c r="H21" s="515">
        <f t="shared" si="0"/>
        <v>0</v>
      </c>
      <c r="I21" s="479" t="e">
        <f t="shared" si="1"/>
        <v>#REF!</v>
      </c>
      <c r="J21" s="507">
        <v>0</v>
      </c>
      <c r="K21" s="513"/>
      <c r="L21" s="516">
        <v>3448</v>
      </c>
      <c r="M21" s="516">
        <v>4249.41</v>
      </c>
      <c r="N21" s="516">
        <v>8000</v>
      </c>
      <c r="O21" s="516">
        <f>VLOOKUP(A21,TB!A:F,3)</f>
        <v>4490.03</v>
      </c>
      <c r="P21" s="518">
        <f t="shared" si="6"/>
        <v>8000</v>
      </c>
      <c r="Q21" s="514">
        <v>8000</v>
      </c>
      <c r="R21" s="517">
        <f>VLOOKUP(A21,TB!A:F,6)</f>
        <v>8000</v>
      </c>
      <c r="S21" s="517">
        <f t="shared" si="3"/>
        <v>0</v>
      </c>
    </row>
    <row r="22" spans="1:19" ht="15.75" customHeight="1" x14ac:dyDescent="0.25">
      <c r="A22" s="519" t="s">
        <v>798</v>
      </c>
      <c r="B22" s="520"/>
      <c r="C22" s="521"/>
      <c r="D22" s="522">
        <f t="shared" ref="D22:G22" si="7">SUM(D3:D21)</f>
        <v>121866</v>
      </c>
      <c r="E22" s="522" t="e">
        <f t="shared" si="7"/>
        <v>#REF!</v>
      </c>
      <c r="F22" s="522" t="e">
        <f t="shared" si="7"/>
        <v>#REF!</v>
      </c>
      <c r="G22" s="522" t="e">
        <f t="shared" si="7"/>
        <v>#REF!</v>
      </c>
      <c r="H22" s="523">
        <f t="shared" si="0"/>
        <v>0</v>
      </c>
      <c r="I22" s="522" t="e">
        <f t="shared" si="1"/>
        <v>#REF!</v>
      </c>
      <c r="J22" s="524">
        <f>SUM(J3:J21)</f>
        <v>0</v>
      </c>
      <c r="K22" s="521"/>
      <c r="L22" s="525">
        <f t="shared" ref="L22:S22" si="8">SUM(L3:L21)</f>
        <v>301998</v>
      </c>
      <c r="M22" s="525">
        <f t="shared" si="8"/>
        <v>160527.69000000003</v>
      </c>
      <c r="N22" s="525">
        <f t="shared" si="8"/>
        <v>228494</v>
      </c>
      <c r="O22" s="525">
        <f t="shared" si="8"/>
        <v>118060.76000000001</v>
      </c>
      <c r="P22" s="522">
        <f t="shared" si="8"/>
        <v>193224.28399999999</v>
      </c>
      <c r="Q22" s="522">
        <f t="shared" si="8"/>
        <v>233300</v>
      </c>
      <c r="R22" s="525">
        <f t="shared" si="8"/>
        <v>233300</v>
      </c>
      <c r="S22" s="525">
        <f t="shared" si="8"/>
        <v>0</v>
      </c>
    </row>
    <row r="23" spans="1:19" ht="15.75" customHeight="1" x14ac:dyDescent="0.2">
      <c r="A23" s="499"/>
      <c r="B23" s="499"/>
      <c r="C23" s="526"/>
      <c r="D23" s="499"/>
      <c r="E23" s="499"/>
      <c r="F23" s="499"/>
      <c r="G23" s="499"/>
      <c r="H23" s="499"/>
      <c r="I23" s="499"/>
      <c r="J23" s="499"/>
      <c r="K23" s="526"/>
      <c r="L23" s="463"/>
      <c r="M23" s="463"/>
      <c r="N23" s="463"/>
      <c r="O23" s="463"/>
      <c r="P23" s="463"/>
      <c r="Q23" s="463"/>
      <c r="R23" s="527"/>
      <c r="S23" s="527"/>
    </row>
    <row r="24" spans="1:19" ht="15.75" customHeight="1" x14ac:dyDescent="0.2">
      <c r="A24" s="528" t="s">
        <v>184</v>
      </c>
      <c r="B24" s="499"/>
      <c r="C24" s="526"/>
      <c r="D24" s="499"/>
      <c r="E24" s="499"/>
      <c r="F24" s="499"/>
      <c r="G24" s="499"/>
      <c r="H24" s="499"/>
      <c r="I24" s="499"/>
      <c r="J24" s="499"/>
      <c r="K24" s="526"/>
      <c r="L24" s="463"/>
      <c r="M24" s="463"/>
      <c r="N24" s="463"/>
      <c r="O24" s="463"/>
      <c r="P24" s="463"/>
      <c r="Q24" s="463"/>
      <c r="R24" s="527"/>
      <c r="S24" s="527"/>
    </row>
    <row r="25" spans="1:19" ht="15.75" customHeight="1" x14ac:dyDescent="0.25">
      <c r="A25" s="501" t="s">
        <v>799</v>
      </c>
      <c r="B25" s="501" t="s">
        <v>800</v>
      </c>
      <c r="C25" s="529"/>
      <c r="D25" s="479">
        <v>-23243</v>
      </c>
      <c r="E25" s="514" t="e">
        <f>D25*#REF!</f>
        <v>#REF!</v>
      </c>
      <c r="F25" s="514" t="e">
        <f>D25*#REF!</f>
        <v>#REF!</v>
      </c>
      <c r="G25" s="514" t="e">
        <f>(D25*#REF!)*#REF!</f>
        <v>#REF!</v>
      </c>
      <c r="H25" s="515">
        <f t="shared" ref="H25:H26" si="9">IFERROR(((Q25-G25)/G25),0)</f>
        <v>0</v>
      </c>
      <c r="I25" s="479" t="e">
        <f t="shared" ref="I25:I26" si="10">Q25-G25</f>
        <v>#REF!</v>
      </c>
      <c r="J25" s="507">
        <v>0</v>
      </c>
      <c r="K25" s="529"/>
      <c r="L25" s="463">
        <v>0</v>
      </c>
      <c r="M25" s="463">
        <v>0</v>
      </c>
      <c r="N25" s="463">
        <v>0</v>
      </c>
      <c r="O25" s="516">
        <v>0</v>
      </c>
      <c r="P25" s="463"/>
      <c r="Q25" s="463">
        <v>0</v>
      </c>
      <c r="R25" s="530">
        <v>0</v>
      </c>
      <c r="S25" s="517">
        <f>Q25-R25</f>
        <v>0</v>
      </c>
    </row>
    <row r="26" spans="1:19" ht="15.75" customHeight="1" x14ac:dyDescent="0.2">
      <c r="A26" s="528" t="s">
        <v>189</v>
      </c>
      <c r="B26" s="520"/>
      <c r="C26" s="521"/>
      <c r="D26" s="522">
        <f t="shared" ref="D26:G26" si="11">SUM(D25)</f>
        <v>-23243</v>
      </c>
      <c r="E26" s="522" t="e">
        <f t="shared" si="11"/>
        <v>#REF!</v>
      </c>
      <c r="F26" s="522" t="e">
        <f t="shared" si="11"/>
        <v>#REF!</v>
      </c>
      <c r="G26" s="522" t="e">
        <f t="shared" si="11"/>
        <v>#REF!</v>
      </c>
      <c r="H26" s="523">
        <f t="shared" si="9"/>
        <v>0</v>
      </c>
      <c r="I26" s="522" t="e">
        <f t="shared" si="10"/>
        <v>#REF!</v>
      </c>
      <c r="J26" s="522">
        <f>SUM(J25)</f>
        <v>0</v>
      </c>
      <c r="K26" s="521"/>
      <c r="L26" s="525">
        <f t="shared" ref="L26:S26" si="12">SUM(L25)</f>
        <v>0</v>
      </c>
      <c r="M26" s="525">
        <f t="shared" si="12"/>
        <v>0</v>
      </c>
      <c r="N26" s="525">
        <f t="shared" si="12"/>
        <v>0</v>
      </c>
      <c r="O26" s="525">
        <f t="shared" si="12"/>
        <v>0</v>
      </c>
      <c r="P26" s="522">
        <f t="shared" si="12"/>
        <v>0</v>
      </c>
      <c r="Q26" s="522">
        <f t="shared" si="12"/>
        <v>0</v>
      </c>
      <c r="R26" s="525">
        <f t="shared" si="12"/>
        <v>0</v>
      </c>
      <c r="S26" s="525">
        <f t="shared" si="12"/>
        <v>0</v>
      </c>
    </row>
    <row r="27" spans="1:19" ht="15.75" customHeight="1" x14ac:dyDescent="0.2">
      <c r="A27" s="499"/>
      <c r="B27" s="499"/>
      <c r="C27" s="526"/>
      <c r="D27" s="499"/>
      <c r="E27" s="499"/>
      <c r="F27" s="499"/>
      <c r="G27" s="499"/>
      <c r="H27" s="499"/>
      <c r="I27" s="499"/>
      <c r="J27" s="499"/>
      <c r="K27" s="526"/>
      <c r="L27" s="463"/>
      <c r="M27" s="463"/>
      <c r="N27" s="463"/>
      <c r="O27" s="463"/>
      <c r="P27" s="463"/>
      <c r="Q27" s="463"/>
      <c r="R27" s="527"/>
      <c r="S27" s="527"/>
    </row>
    <row r="28" spans="1:19" ht="15.75" customHeight="1" x14ac:dyDescent="0.2">
      <c r="A28" s="528" t="s">
        <v>190</v>
      </c>
      <c r="B28" s="501"/>
      <c r="C28" s="531"/>
      <c r="D28" s="532">
        <f t="shared" ref="D28:G28" si="13">D22+D26</f>
        <v>98623</v>
      </c>
      <c r="E28" s="532" t="e">
        <f t="shared" si="13"/>
        <v>#REF!</v>
      </c>
      <c r="F28" s="532" t="e">
        <f t="shared" si="13"/>
        <v>#REF!</v>
      </c>
      <c r="G28" s="532" t="e">
        <f t="shared" si="13"/>
        <v>#REF!</v>
      </c>
      <c r="H28" s="533">
        <f>IFERROR(((Q28-G28)/G28),0)</f>
        <v>0</v>
      </c>
      <c r="I28" s="532" t="e">
        <f>Q28-G28</f>
        <v>#REF!</v>
      </c>
      <c r="J28" s="532">
        <f>J26+J22+J19</f>
        <v>0</v>
      </c>
      <c r="K28" s="531"/>
      <c r="L28" s="534">
        <f t="shared" ref="L28:S28" si="14">L22+L26</f>
        <v>301998</v>
      </c>
      <c r="M28" s="534">
        <f t="shared" si="14"/>
        <v>160527.69000000003</v>
      </c>
      <c r="N28" s="534">
        <f t="shared" si="14"/>
        <v>228494</v>
      </c>
      <c r="O28" s="534">
        <f t="shared" si="14"/>
        <v>118060.76000000001</v>
      </c>
      <c r="P28" s="532">
        <f t="shared" si="14"/>
        <v>193224.28399999999</v>
      </c>
      <c r="Q28" s="532">
        <f t="shared" si="14"/>
        <v>233300</v>
      </c>
      <c r="R28" s="534">
        <f t="shared" si="14"/>
        <v>233300</v>
      </c>
      <c r="S28" s="534">
        <f t="shared" si="14"/>
        <v>0</v>
      </c>
    </row>
  </sheetData>
  <conditionalFormatting sqref="H3:H22 H25">
    <cfRule type="cellIs" dxfId="12" priority="1" operator="lessThan">
      <formula>0</formula>
    </cfRule>
  </conditionalFormatting>
  <printOptions horizontalCentered="1" verticalCentered="1"/>
  <pageMargins left="0.25" right="0.25" top="0.75" bottom="0.75" header="0.3" footer="0.3"/>
  <pageSetup scale="87" fitToHeight="0" orientation="landscape" r:id="rId1"/>
  <headerFooter>
    <oddHeader>&amp;A</oddHeader>
    <oddFooter>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  <pageSetUpPr fitToPage="1"/>
  </sheetPr>
  <dimension ref="A1:AE949"/>
  <sheetViews>
    <sheetView topLeftCell="A134" workbookViewId="0"/>
  </sheetViews>
  <sheetFormatPr defaultColWidth="12.5703125" defaultRowHeight="15" customHeight="1" outlineLevelRow="1" outlineLevelCol="1" x14ac:dyDescent="0.2"/>
  <cols>
    <col min="2" max="2" width="31.42578125" customWidth="1" collapsed="1"/>
    <col min="3" max="3" width="3.5703125" hidden="1" customWidth="1" outlineLevel="1"/>
    <col min="4" max="5" width="12.140625" hidden="1" customWidth="1" outlineLevel="1"/>
    <col min="6" max="6" width="12.28515625" hidden="1" customWidth="1" outlineLevel="1"/>
    <col min="7" max="10" width="11.140625" hidden="1" customWidth="1" outlineLevel="1"/>
    <col min="11" max="11" width="3.5703125" hidden="1" customWidth="1" outlineLevel="1"/>
    <col min="12" max="17" width="11.140625" customWidth="1"/>
    <col min="18" max="18" width="11" customWidth="1"/>
    <col min="19" max="19" width="12" customWidth="1"/>
    <col min="20" max="20" width="12.42578125" customWidth="1"/>
    <col min="21" max="21" width="10.5703125" customWidth="1"/>
    <col min="22" max="22" width="11.7109375" customWidth="1"/>
    <col min="24" max="24" width="10.7109375" customWidth="1"/>
  </cols>
  <sheetData>
    <row r="1" spans="1:19" ht="15.75" hidden="1" customHeight="1" x14ac:dyDescent="0.25">
      <c r="A1" s="5"/>
      <c r="B1" s="5"/>
      <c r="C1" s="15"/>
      <c r="D1" s="7"/>
      <c r="E1" s="128" t="s">
        <v>48</v>
      </c>
      <c r="F1" s="128" t="s">
        <v>882</v>
      </c>
      <c r="G1" s="7"/>
      <c r="H1" s="203"/>
      <c r="I1" s="7"/>
      <c r="J1" s="7"/>
      <c r="K1" s="31"/>
      <c r="L1" s="7"/>
      <c r="M1" s="7"/>
      <c r="N1" s="7"/>
      <c r="O1" s="7"/>
      <c r="P1" s="7"/>
      <c r="Q1" s="7"/>
      <c r="R1" s="7"/>
      <c r="S1" s="7"/>
    </row>
    <row r="2" spans="1:19" ht="15.75" hidden="1" customHeight="1" x14ac:dyDescent="0.2">
      <c r="A2" s="5"/>
      <c r="B2" s="5"/>
      <c r="C2" s="15"/>
      <c r="D2" s="7"/>
      <c r="E2" s="7"/>
      <c r="F2" s="7"/>
      <c r="G2" s="7"/>
      <c r="H2" s="203"/>
      <c r="I2" s="7"/>
      <c r="J2" s="7"/>
      <c r="K2" s="31"/>
      <c r="L2" s="7"/>
      <c r="M2" s="7"/>
      <c r="N2" s="7"/>
      <c r="O2" s="7"/>
      <c r="P2" s="7"/>
      <c r="Q2" s="7"/>
      <c r="R2" s="7"/>
      <c r="S2" s="7"/>
    </row>
    <row r="3" spans="1:19" ht="15.75" hidden="1" customHeight="1" x14ac:dyDescent="0.2">
      <c r="A3" s="5"/>
      <c r="B3" s="5"/>
      <c r="C3" s="15"/>
      <c r="D3" s="7"/>
      <c r="E3" s="7"/>
      <c r="F3" s="7"/>
      <c r="G3" s="7"/>
      <c r="H3" s="203"/>
      <c r="I3" s="7"/>
      <c r="J3" s="7"/>
      <c r="K3" s="31"/>
      <c r="L3" s="7"/>
      <c r="M3" s="7"/>
      <c r="N3" s="7"/>
      <c r="O3" s="7"/>
      <c r="P3" s="7"/>
      <c r="Q3" s="7"/>
      <c r="R3" s="7"/>
      <c r="S3" s="7"/>
    </row>
    <row r="4" spans="1:19" ht="15.75" hidden="1" customHeight="1" outlineLevel="1" x14ac:dyDescent="0.2">
      <c r="A4" s="3" t="s">
        <v>50</v>
      </c>
      <c r="B4" s="3" t="s">
        <v>51</v>
      </c>
      <c r="C4" s="21"/>
      <c r="D4" s="4" t="s">
        <v>52</v>
      </c>
      <c r="E4" s="4" t="s">
        <v>883</v>
      </c>
      <c r="F4" s="4" t="s">
        <v>884</v>
      </c>
      <c r="G4" s="4" t="s">
        <v>885</v>
      </c>
      <c r="H4" s="327"/>
      <c r="I4" s="4"/>
      <c r="J4" s="4"/>
      <c r="K4" s="130"/>
      <c r="L4" s="4" t="s">
        <v>59</v>
      </c>
      <c r="M4" s="4" t="s">
        <v>60</v>
      </c>
      <c r="N4" s="4" t="s">
        <v>436</v>
      </c>
      <c r="O4" s="4" t="s">
        <v>437</v>
      </c>
      <c r="P4" s="70"/>
      <c r="Q4" s="70" t="s">
        <v>438</v>
      </c>
      <c r="R4" s="7"/>
      <c r="S4" s="68" t="s">
        <v>56</v>
      </c>
    </row>
    <row r="5" spans="1:19" ht="15.75" hidden="1" customHeight="1" outlineLevel="1" x14ac:dyDescent="0.25">
      <c r="A5" s="103"/>
      <c r="B5" s="103"/>
      <c r="C5" s="104"/>
      <c r="D5" s="265"/>
      <c r="E5" s="265"/>
      <c r="F5" s="265"/>
      <c r="G5" s="265"/>
      <c r="H5" s="328"/>
      <c r="I5" s="265"/>
      <c r="J5" s="265"/>
      <c r="K5" s="264"/>
      <c r="L5" s="265"/>
      <c r="M5" s="265"/>
      <c r="N5" s="265"/>
      <c r="O5" s="265"/>
      <c r="P5" s="265"/>
      <c r="Q5" s="265"/>
      <c r="R5" s="7"/>
      <c r="S5" s="63"/>
    </row>
    <row r="6" spans="1:19" ht="15.75" hidden="1" customHeight="1" outlineLevel="1" x14ac:dyDescent="0.25">
      <c r="A6" s="103" t="s">
        <v>886</v>
      </c>
      <c r="B6" s="103" t="s">
        <v>68</v>
      </c>
      <c r="C6" s="270"/>
      <c r="D6" s="216">
        <v>340351.99</v>
      </c>
      <c r="E6" s="216">
        <v>452541.87</v>
      </c>
      <c r="F6" s="216">
        <v>0</v>
      </c>
      <c r="G6" s="216">
        <v>0</v>
      </c>
      <c r="H6" s="329"/>
      <c r="I6" s="216"/>
      <c r="J6" s="216"/>
      <c r="K6" s="270"/>
      <c r="L6" s="216">
        <v>0</v>
      </c>
      <c r="M6" s="216">
        <v>0</v>
      </c>
      <c r="N6" s="216">
        <v>0</v>
      </c>
      <c r="O6" s="216">
        <v>0</v>
      </c>
      <c r="P6" s="216"/>
      <c r="Q6" s="216">
        <v>0</v>
      </c>
      <c r="R6" s="7"/>
      <c r="S6" s="63">
        <f t="shared" ref="S6:S25" si="0">IFERROR(Q6/D6,0)</f>
        <v>0</v>
      </c>
    </row>
    <row r="7" spans="1:19" ht="15.75" hidden="1" customHeight="1" outlineLevel="1" x14ac:dyDescent="0.25">
      <c r="A7" s="103" t="s">
        <v>887</v>
      </c>
      <c r="B7" s="103" t="s">
        <v>70</v>
      </c>
      <c r="C7" s="330"/>
      <c r="D7" s="216">
        <v>8704.91</v>
      </c>
      <c r="E7" s="216">
        <v>8147.08</v>
      </c>
      <c r="F7" s="216">
        <v>0</v>
      </c>
      <c r="G7" s="216">
        <v>0</v>
      </c>
      <c r="H7" s="329"/>
      <c r="I7" s="216"/>
      <c r="J7" s="216"/>
      <c r="K7" s="270"/>
      <c r="L7" s="216">
        <v>0</v>
      </c>
      <c r="M7" s="216">
        <v>0</v>
      </c>
      <c r="N7" s="216">
        <v>0</v>
      </c>
      <c r="O7" s="216">
        <v>0</v>
      </c>
      <c r="P7" s="216"/>
      <c r="Q7" s="216">
        <v>0</v>
      </c>
      <c r="R7" s="7"/>
      <c r="S7" s="63">
        <f t="shared" si="0"/>
        <v>0</v>
      </c>
    </row>
    <row r="8" spans="1:19" ht="15.75" hidden="1" customHeight="1" outlineLevel="1" x14ac:dyDescent="0.25">
      <c r="A8" s="103" t="s">
        <v>888</v>
      </c>
      <c r="B8" s="103" t="s">
        <v>132</v>
      </c>
      <c r="C8" s="270"/>
      <c r="D8" s="216">
        <v>25095.65</v>
      </c>
      <c r="E8" s="216">
        <v>21636.74</v>
      </c>
      <c r="F8" s="216">
        <v>0</v>
      </c>
      <c r="G8" s="216">
        <v>0</v>
      </c>
      <c r="H8" s="329"/>
      <c r="I8" s="216"/>
      <c r="J8" s="216"/>
      <c r="K8" s="270"/>
      <c r="L8" s="216">
        <v>0</v>
      </c>
      <c r="M8" s="216">
        <v>0</v>
      </c>
      <c r="N8" s="216">
        <v>0</v>
      </c>
      <c r="O8" s="216">
        <v>0</v>
      </c>
      <c r="P8" s="216"/>
      <c r="Q8" s="216">
        <v>0</v>
      </c>
      <c r="R8" s="7"/>
      <c r="S8" s="63">
        <f t="shared" si="0"/>
        <v>0</v>
      </c>
    </row>
    <row r="9" spans="1:19" ht="15.75" hidden="1" customHeight="1" outlineLevel="1" x14ac:dyDescent="0.25">
      <c r="A9" s="103" t="s">
        <v>889</v>
      </c>
      <c r="B9" s="103" t="s">
        <v>108</v>
      </c>
      <c r="C9" s="270"/>
      <c r="D9" s="216">
        <v>14652.5</v>
      </c>
      <c r="E9" s="216">
        <v>22446</v>
      </c>
      <c r="F9" s="216">
        <v>0</v>
      </c>
      <c r="G9" s="216">
        <v>0</v>
      </c>
      <c r="H9" s="329"/>
      <c r="I9" s="216"/>
      <c r="J9" s="216"/>
      <c r="K9" s="270"/>
      <c r="L9" s="216">
        <v>0</v>
      </c>
      <c r="M9" s="216">
        <v>0</v>
      </c>
      <c r="N9" s="216">
        <v>0</v>
      </c>
      <c r="O9" s="216">
        <v>0</v>
      </c>
      <c r="P9" s="216"/>
      <c r="Q9" s="216">
        <v>0</v>
      </c>
      <c r="R9" s="7"/>
      <c r="S9" s="63">
        <f t="shared" si="0"/>
        <v>0</v>
      </c>
    </row>
    <row r="10" spans="1:19" ht="15.75" hidden="1" customHeight="1" outlineLevel="1" x14ac:dyDescent="0.25">
      <c r="A10" s="103" t="s">
        <v>890</v>
      </c>
      <c r="B10" s="103" t="s">
        <v>72</v>
      </c>
      <c r="C10" s="270"/>
      <c r="D10" s="216">
        <v>175597.9</v>
      </c>
      <c r="E10" s="216">
        <v>230975.56</v>
      </c>
      <c r="F10" s="216">
        <v>0</v>
      </c>
      <c r="G10" s="216">
        <v>0</v>
      </c>
      <c r="H10" s="329"/>
      <c r="I10" s="216"/>
      <c r="J10" s="216"/>
      <c r="K10" s="270"/>
      <c r="L10" s="216">
        <v>0</v>
      </c>
      <c r="M10" s="216">
        <v>0</v>
      </c>
      <c r="N10" s="216">
        <v>0</v>
      </c>
      <c r="O10" s="216">
        <v>0</v>
      </c>
      <c r="P10" s="216"/>
      <c r="Q10" s="216">
        <v>0</v>
      </c>
      <c r="R10" s="7"/>
      <c r="S10" s="63">
        <f t="shared" si="0"/>
        <v>0</v>
      </c>
    </row>
    <row r="11" spans="1:19" ht="15.75" hidden="1" customHeight="1" outlineLevel="1" x14ac:dyDescent="0.25">
      <c r="A11" s="103" t="s">
        <v>891</v>
      </c>
      <c r="B11" s="103" t="s">
        <v>892</v>
      </c>
      <c r="C11" s="271"/>
      <c r="D11" s="216">
        <v>120</v>
      </c>
      <c r="E11" s="216">
        <v>0</v>
      </c>
      <c r="F11" s="216">
        <v>0</v>
      </c>
      <c r="G11" s="216">
        <v>0</v>
      </c>
      <c r="H11" s="329"/>
      <c r="I11" s="216"/>
      <c r="J11" s="216"/>
      <c r="K11" s="270"/>
      <c r="L11" s="216">
        <v>0</v>
      </c>
      <c r="M11" s="216">
        <v>0</v>
      </c>
      <c r="N11" s="216">
        <v>0</v>
      </c>
      <c r="O11" s="216">
        <v>0</v>
      </c>
      <c r="P11" s="216"/>
      <c r="Q11" s="216">
        <v>0</v>
      </c>
      <c r="R11" s="7"/>
      <c r="S11" s="63">
        <f t="shared" si="0"/>
        <v>0</v>
      </c>
    </row>
    <row r="12" spans="1:19" ht="15.75" hidden="1" customHeight="1" outlineLevel="1" x14ac:dyDescent="0.25">
      <c r="A12" s="103" t="s">
        <v>893</v>
      </c>
      <c r="B12" s="103" t="s">
        <v>74</v>
      </c>
      <c r="C12" s="270"/>
      <c r="D12" s="216">
        <v>2564.4499999999998</v>
      </c>
      <c r="E12" s="216">
        <v>7943.68</v>
      </c>
      <c r="F12" s="216">
        <v>0</v>
      </c>
      <c r="G12" s="216">
        <v>0</v>
      </c>
      <c r="H12" s="329"/>
      <c r="I12" s="216"/>
      <c r="J12" s="216"/>
      <c r="K12" s="270"/>
      <c r="L12" s="216">
        <v>0</v>
      </c>
      <c r="M12" s="216">
        <v>0</v>
      </c>
      <c r="N12" s="216">
        <v>0</v>
      </c>
      <c r="O12" s="216">
        <v>0</v>
      </c>
      <c r="P12" s="216"/>
      <c r="Q12" s="216">
        <v>0</v>
      </c>
      <c r="R12" s="7"/>
      <c r="S12" s="63">
        <f t="shared" si="0"/>
        <v>0</v>
      </c>
    </row>
    <row r="13" spans="1:19" ht="15.75" hidden="1" customHeight="1" outlineLevel="1" x14ac:dyDescent="0.25">
      <c r="A13" s="103" t="s">
        <v>894</v>
      </c>
      <c r="B13" s="103" t="s">
        <v>76</v>
      </c>
      <c r="C13" s="270"/>
      <c r="D13" s="216">
        <v>2978.21</v>
      </c>
      <c r="E13" s="216">
        <v>811</v>
      </c>
      <c r="F13" s="216">
        <v>0</v>
      </c>
      <c r="G13" s="216">
        <v>0</v>
      </c>
      <c r="H13" s="329"/>
      <c r="I13" s="216"/>
      <c r="J13" s="216"/>
      <c r="K13" s="270"/>
      <c r="L13" s="216">
        <v>0</v>
      </c>
      <c r="M13" s="216">
        <v>0</v>
      </c>
      <c r="N13" s="216">
        <v>0</v>
      </c>
      <c r="O13" s="216">
        <v>0</v>
      </c>
      <c r="P13" s="216"/>
      <c r="Q13" s="216">
        <v>0</v>
      </c>
      <c r="R13" s="7"/>
      <c r="S13" s="63">
        <f t="shared" si="0"/>
        <v>0</v>
      </c>
    </row>
    <row r="14" spans="1:19" ht="15.75" hidden="1" customHeight="1" outlineLevel="1" x14ac:dyDescent="0.25">
      <c r="A14" s="103" t="s">
        <v>895</v>
      </c>
      <c r="B14" s="103" t="s">
        <v>80</v>
      </c>
      <c r="C14" s="270"/>
      <c r="D14" s="216">
        <v>3815.93</v>
      </c>
      <c r="E14" s="216">
        <v>3939.19</v>
      </c>
      <c r="F14" s="216">
        <v>0</v>
      </c>
      <c r="G14" s="216">
        <v>0</v>
      </c>
      <c r="H14" s="329"/>
      <c r="I14" s="216"/>
      <c r="J14" s="216"/>
      <c r="K14" s="270"/>
      <c r="L14" s="216">
        <v>0</v>
      </c>
      <c r="M14" s="216">
        <v>0</v>
      </c>
      <c r="N14" s="216">
        <v>0</v>
      </c>
      <c r="O14" s="216">
        <v>0</v>
      </c>
      <c r="P14" s="216"/>
      <c r="Q14" s="216">
        <v>0</v>
      </c>
      <c r="R14" s="7"/>
      <c r="S14" s="63">
        <f t="shared" si="0"/>
        <v>0</v>
      </c>
    </row>
    <row r="15" spans="1:19" ht="15.75" hidden="1" customHeight="1" outlineLevel="1" x14ac:dyDescent="0.25">
      <c r="A15" s="103" t="s">
        <v>896</v>
      </c>
      <c r="B15" s="103" t="s">
        <v>82</v>
      </c>
      <c r="C15" s="330"/>
      <c r="D15" s="216">
        <v>53997.56</v>
      </c>
      <c r="E15" s="216">
        <v>79031.97</v>
      </c>
      <c r="F15" s="216">
        <v>0</v>
      </c>
      <c r="G15" s="216">
        <v>0</v>
      </c>
      <c r="H15" s="329"/>
      <c r="I15" s="216"/>
      <c r="J15" s="216"/>
      <c r="K15" s="270"/>
      <c r="L15" s="216">
        <v>0</v>
      </c>
      <c r="M15" s="216">
        <v>0</v>
      </c>
      <c r="N15" s="216">
        <v>0</v>
      </c>
      <c r="O15" s="216">
        <v>0</v>
      </c>
      <c r="P15" s="216"/>
      <c r="Q15" s="216">
        <v>0</v>
      </c>
      <c r="R15" s="7"/>
      <c r="S15" s="63">
        <f t="shared" si="0"/>
        <v>0</v>
      </c>
    </row>
    <row r="16" spans="1:19" ht="15.75" hidden="1" customHeight="1" outlineLevel="1" x14ac:dyDescent="0.25">
      <c r="A16" s="103" t="s">
        <v>897</v>
      </c>
      <c r="B16" s="103" t="s">
        <v>898</v>
      </c>
      <c r="C16" s="330"/>
      <c r="D16" s="216">
        <v>5987.57</v>
      </c>
      <c r="E16" s="216">
        <v>6552.92</v>
      </c>
      <c r="F16" s="216">
        <v>0</v>
      </c>
      <c r="G16" s="216">
        <v>0</v>
      </c>
      <c r="H16" s="329"/>
      <c r="I16" s="216"/>
      <c r="J16" s="216"/>
      <c r="K16" s="270"/>
      <c r="L16" s="216">
        <v>0</v>
      </c>
      <c r="M16" s="216">
        <v>0</v>
      </c>
      <c r="N16" s="216">
        <v>0</v>
      </c>
      <c r="O16" s="216">
        <v>0</v>
      </c>
      <c r="P16" s="216"/>
      <c r="Q16" s="216">
        <v>0</v>
      </c>
      <c r="R16" s="7"/>
      <c r="S16" s="63">
        <f t="shared" si="0"/>
        <v>0</v>
      </c>
    </row>
    <row r="17" spans="1:19" ht="15.75" hidden="1" customHeight="1" outlineLevel="1" x14ac:dyDescent="0.25">
      <c r="A17" s="103" t="s">
        <v>899</v>
      </c>
      <c r="B17" s="103" t="s">
        <v>277</v>
      </c>
      <c r="C17" s="270"/>
      <c r="D17" s="216">
        <v>2474.7800000000002</v>
      </c>
      <c r="E17" s="216">
        <v>3363.04</v>
      </c>
      <c r="F17" s="216">
        <v>0</v>
      </c>
      <c r="G17" s="216">
        <v>0</v>
      </c>
      <c r="H17" s="329"/>
      <c r="I17" s="216"/>
      <c r="J17" s="216"/>
      <c r="K17" s="270"/>
      <c r="L17" s="216">
        <v>0</v>
      </c>
      <c r="M17" s="216">
        <v>0</v>
      </c>
      <c r="N17" s="216">
        <v>0</v>
      </c>
      <c r="O17" s="216">
        <v>0</v>
      </c>
      <c r="P17" s="216"/>
      <c r="Q17" s="216">
        <v>0</v>
      </c>
      <c r="R17" s="7"/>
      <c r="S17" s="63">
        <f t="shared" si="0"/>
        <v>0</v>
      </c>
    </row>
    <row r="18" spans="1:19" ht="15.75" hidden="1" customHeight="1" outlineLevel="1" x14ac:dyDescent="0.25">
      <c r="A18" s="103" t="s">
        <v>900</v>
      </c>
      <c r="B18" s="103" t="s">
        <v>84</v>
      </c>
      <c r="C18" s="330"/>
      <c r="D18" s="216">
        <v>5079.13</v>
      </c>
      <c r="E18" s="216">
        <v>4599.74</v>
      </c>
      <c r="F18" s="216">
        <v>0</v>
      </c>
      <c r="G18" s="216">
        <v>0</v>
      </c>
      <c r="H18" s="329"/>
      <c r="I18" s="216"/>
      <c r="J18" s="216"/>
      <c r="K18" s="270"/>
      <c r="L18" s="216">
        <v>0</v>
      </c>
      <c r="M18" s="216">
        <v>0</v>
      </c>
      <c r="N18" s="216">
        <v>0</v>
      </c>
      <c r="O18" s="216">
        <v>0</v>
      </c>
      <c r="P18" s="216"/>
      <c r="Q18" s="216">
        <v>0</v>
      </c>
      <c r="R18" s="7"/>
      <c r="S18" s="63">
        <f t="shared" si="0"/>
        <v>0</v>
      </c>
    </row>
    <row r="19" spans="1:19" ht="15.75" hidden="1" customHeight="1" outlineLevel="1" x14ac:dyDescent="0.25">
      <c r="A19" s="103" t="s">
        <v>901</v>
      </c>
      <c r="B19" s="103" t="s">
        <v>210</v>
      </c>
      <c r="C19" s="271"/>
      <c r="D19" s="216">
        <v>0</v>
      </c>
      <c r="E19" s="216">
        <v>0</v>
      </c>
      <c r="F19" s="216">
        <v>0</v>
      </c>
      <c r="G19" s="216">
        <v>0</v>
      </c>
      <c r="H19" s="329"/>
      <c r="I19" s="216"/>
      <c r="J19" s="216"/>
      <c r="K19" s="270"/>
      <c r="L19" s="216">
        <v>0</v>
      </c>
      <c r="M19" s="216">
        <v>0</v>
      </c>
      <c r="N19" s="216">
        <v>0</v>
      </c>
      <c r="O19" s="216">
        <v>0</v>
      </c>
      <c r="P19" s="216"/>
      <c r="Q19" s="216">
        <v>0</v>
      </c>
      <c r="R19" s="7"/>
      <c r="S19" s="63">
        <f t="shared" si="0"/>
        <v>0</v>
      </c>
    </row>
    <row r="20" spans="1:19" ht="15.75" hidden="1" customHeight="1" outlineLevel="1" x14ac:dyDescent="0.25">
      <c r="A20" s="103" t="s">
        <v>902</v>
      </c>
      <c r="B20" s="103" t="s">
        <v>88</v>
      </c>
      <c r="C20" s="330"/>
      <c r="D20" s="216">
        <v>4627.34</v>
      </c>
      <c r="E20" s="216">
        <v>300</v>
      </c>
      <c r="F20" s="216">
        <v>0</v>
      </c>
      <c r="G20" s="216">
        <v>0</v>
      </c>
      <c r="H20" s="329"/>
      <c r="I20" s="216"/>
      <c r="J20" s="216"/>
      <c r="K20" s="270"/>
      <c r="L20" s="216">
        <v>0</v>
      </c>
      <c r="M20" s="216">
        <v>0</v>
      </c>
      <c r="N20" s="216">
        <v>0</v>
      </c>
      <c r="O20" s="216">
        <v>0</v>
      </c>
      <c r="P20" s="216"/>
      <c r="Q20" s="216">
        <v>0</v>
      </c>
      <c r="R20" s="7"/>
      <c r="S20" s="63">
        <f t="shared" si="0"/>
        <v>0</v>
      </c>
    </row>
    <row r="21" spans="1:19" ht="15.75" hidden="1" customHeight="1" outlineLevel="1" x14ac:dyDescent="0.25">
      <c r="A21" s="103" t="s">
        <v>903</v>
      </c>
      <c r="B21" s="103" t="s">
        <v>904</v>
      </c>
      <c r="C21" s="270"/>
      <c r="D21" s="216">
        <v>1719.52</v>
      </c>
      <c r="E21" s="216">
        <v>284</v>
      </c>
      <c r="F21" s="216">
        <v>0</v>
      </c>
      <c r="G21" s="216">
        <v>0</v>
      </c>
      <c r="H21" s="329"/>
      <c r="I21" s="216"/>
      <c r="J21" s="216"/>
      <c r="K21" s="270"/>
      <c r="L21" s="216">
        <v>0</v>
      </c>
      <c r="M21" s="216">
        <v>0</v>
      </c>
      <c r="N21" s="216">
        <v>0</v>
      </c>
      <c r="O21" s="216">
        <v>0</v>
      </c>
      <c r="P21" s="216"/>
      <c r="Q21" s="216">
        <v>0</v>
      </c>
      <c r="R21" s="7"/>
      <c r="S21" s="63">
        <f t="shared" si="0"/>
        <v>0</v>
      </c>
    </row>
    <row r="22" spans="1:19" ht="15.75" hidden="1" customHeight="1" outlineLevel="1" x14ac:dyDescent="0.25">
      <c r="A22" s="103" t="s">
        <v>905</v>
      </c>
      <c r="B22" s="103" t="s">
        <v>906</v>
      </c>
      <c r="C22" s="330"/>
      <c r="D22" s="216">
        <v>4730.87</v>
      </c>
      <c r="E22" s="216">
        <v>275.61</v>
      </c>
      <c r="F22" s="216">
        <v>0</v>
      </c>
      <c r="G22" s="216">
        <v>0</v>
      </c>
      <c r="H22" s="329"/>
      <c r="I22" s="216"/>
      <c r="J22" s="216"/>
      <c r="K22" s="270"/>
      <c r="L22" s="216">
        <v>0</v>
      </c>
      <c r="M22" s="216">
        <v>0</v>
      </c>
      <c r="N22" s="216">
        <v>0</v>
      </c>
      <c r="O22" s="216">
        <v>0</v>
      </c>
      <c r="P22" s="216"/>
      <c r="Q22" s="216">
        <v>0</v>
      </c>
      <c r="R22" s="7"/>
      <c r="S22" s="63">
        <f t="shared" si="0"/>
        <v>0</v>
      </c>
    </row>
    <row r="23" spans="1:19" ht="15.75" hidden="1" customHeight="1" outlineLevel="1" x14ac:dyDescent="0.25">
      <c r="A23" s="103" t="s">
        <v>907</v>
      </c>
      <c r="B23" s="103" t="s">
        <v>908</v>
      </c>
      <c r="C23" s="330"/>
      <c r="D23" s="216">
        <v>1900</v>
      </c>
      <c r="E23" s="216">
        <v>0</v>
      </c>
      <c r="F23" s="216">
        <v>0</v>
      </c>
      <c r="G23" s="216">
        <v>0</v>
      </c>
      <c r="H23" s="329"/>
      <c r="I23" s="216"/>
      <c r="J23" s="216"/>
      <c r="K23" s="270"/>
      <c r="L23" s="216">
        <v>0</v>
      </c>
      <c r="M23" s="216">
        <v>0</v>
      </c>
      <c r="N23" s="216">
        <v>0</v>
      </c>
      <c r="O23" s="216">
        <v>0</v>
      </c>
      <c r="P23" s="216"/>
      <c r="Q23" s="216">
        <v>0</v>
      </c>
      <c r="R23" s="7"/>
      <c r="S23" s="63">
        <f t="shared" si="0"/>
        <v>0</v>
      </c>
    </row>
    <row r="24" spans="1:19" ht="15.75" hidden="1" customHeight="1" outlineLevel="1" x14ac:dyDescent="0.25">
      <c r="A24" s="103" t="s">
        <v>909</v>
      </c>
      <c r="B24" s="103" t="s">
        <v>180</v>
      </c>
      <c r="C24" s="330"/>
      <c r="D24" s="216">
        <v>9842.91</v>
      </c>
      <c r="E24" s="216">
        <v>2962.93</v>
      </c>
      <c r="F24" s="216">
        <v>0</v>
      </c>
      <c r="G24" s="216">
        <v>0</v>
      </c>
      <c r="H24" s="329"/>
      <c r="I24" s="216"/>
      <c r="J24" s="216"/>
      <c r="K24" s="270"/>
      <c r="L24" s="216">
        <v>0</v>
      </c>
      <c r="M24" s="216">
        <v>0</v>
      </c>
      <c r="N24" s="216">
        <v>0</v>
      </c>
      <c r="O24" s="216">
        <v>0</v>
      </c>
      <c r="P24" s="216"/>
      <c r="Q24" s="216">
        <v>0</v>
      </c>
      <c r="R24" s="7"/>
      <c r="S24" s="63">
        <f t="shared" si="0"/>
        <v>0</v>
      </c>
    </row>
    <row r="25" spans="1:19" ht="15.75" hidden="1" customHeight="1" outlineLevel="1" x14ac:dyDescent="0.25">
      <c r="A25" s="103" t="s">
        <v>910</v>
      </c>
      <c r="B25" s="103" t="s">
        <v>99</v>
      </c>
      <c r="C25" s="330"/>
      <c r="D25" s="216">
        <v>736259.97</v>
      </c>
      <c r="E25" s="216">
        <v>109494.6</v>
      </c>
      <c r="F25" s="216">
        <v>0</v>
      </c>
      <c r="G25" s="216">
        <v>0</v>
      </c>
      <c r="H25" s="329"/>
      <c r="I25" s="216"/>
      <c r="J25" s="216"/>
      <c r="K25" s="270"/>
      <c r="L25" s="216">
        <v>0</v>
      </c>
      <c r="M25" s="216">
        <v>0</v>
      </c>
      <c r="N25" s="216">
        <v>0</v>
      </c>
      <c r="O25" s="216">
        <v>0</v>
      </c>
      <c r="P25" s="216"/>
      <c r="Q25" s="216">
        <v>0</v>
      </c>
      <c r="R25" s="7"/>
      <c r="S25" s="63">
        <f t="shared" si="0"/>
        <v>0</v>
      </c>
    </row>
    <row r="26" spans="1:19" ht="15.75" hidden="1" customHeight="1" outlineLevel="1" x14ac:dyDescent="0.2">
      <c r="A26" s="5"/>
      <c r="B26" s="5"/>
      <c r="C26" s="15"/>
      <c r="D26" s="7"/>
      <c r="E26" s="7"/>
      <c r="F26" s="7"/>
      <c r="G26" s="7"/>
      <c r="H26" s="203"/>
      <c r="I26" s="7"/>
      <c r="J26" s="7"/>
      <c r="K26" s="31"/>
      <c r="L26" s="7"/>
      <c r="M26" s="7"/>
      <c r="N26" s="7"/>
      <c r="O26" s="7"/>
      <c r="P26" s="7"/>
      <c r="Q26" s="7"/>
      <c r="R26" s="7"/>
      <c r="S26" s="63"/>
    </row>
    <row r="27" spans="1:19" ht="15.75" hidden="1" customHeight="1" outlineLevel="1" x14ac:dyDescent="0.2">
      <c r="A27" s="6" t="s">
        <v>911</v>
      </c>
      <c r="B27" s="6" t="s">
        <v>68</v>
      </c>
      <c r="C27" s="15"/>
      <c r="D27" s="7">
        <v>0</v>
      </c>
      <c r="E27" s="7">
        <v>0</v>
      </c>
      <c r="F27" s="7">
        <v>0</v>
      </c>
      <c r="G27" s="7">
        <v>357934.96</v>
      </c>
      <c r="H27" s="203"/>
      <c r="I27" s="7"/>
      <c r="J27" s="7"/>
      <c r="K27" s="31"/>
      <c r="L27" s="7">
        <v>425288.46</v>
      </c>
      <c r="M27" s="7">
        <v>502761.13</v>
      </c>
      <c r="N27" s="7">
        <v>889424.82</v>
      </c>
      <c r="O27" s="7">
        <v>1325740</v>
      </c>
      <c r="P27" s="7"/>
      <c r="Q27" s="7">
        <v>1464900</v>
      </c>
      <c r="R27" s="7"/>
      <c r="S27" s="63">
        <f t="shared" ref="S27:S62" si="1">IFERROR(Q27/D27,0)</f>
        <v>0</v>
      </c>
    </row>
    <row r="28" spans="1:19" ht="15.75" hidden="1" customHeight="1" outlineLevel="1" x14ac:dyDescent="0.2">
      <c r="A28" s="6" t="s">
        <v>912</v>
      </c>
      <c r="B28" s="6" t="s">
        <v>70</v>
      </c>
      <c r="C28" s="15"/>
      <c r="D28" s="7">
        <v>0</v>
      </c>
      <c r="E28" s="7">
        <v>0</v>
      </c>
      <c r="F28" s="7">
        <v>0</v>
      </c>
      <c r="G28" s="7">
        <v>26379.77</v>
      </c>
      <c r="H28" s="203"/>
      <c r="I28" s="7"/>
      <c r="J28" s="7"/>
      <c r="K28" s="31"/>
      <c r="L28" s="7">
        <v>26131.38</v>
      </c>
      <c r="M28" s="7">
        <v>40503.339999999997</v>
      </c>
      <c r="N28" s="7">
        <v>77937.259999999995</v>
      </c>
      <c r="O28" s="7">
        <v>110000</v>
      </c>
      <c r="P28" s="7"/>
      <c r="Q28" s="7">
        <v>110000</v>
      </c>
      <c r="R28" s="7"/>
      <c r="S28" s="63">
        <f t="shared" si="1"/>
        <v>0</v>
      </c>
    </row>
    <row r="29" spans="1:19" ht="15.75" hidden="1" customHeight="1" outlineLevel="1" x14ac:dyDescent="0.2">
      <c r="A29" s="6" t="s">
        <v>913</v>
      </c>
      <c r="B29" s="6" t="s">
        <v>132</v>
      </c>
      <c r="C29" s="15"/>
      <c r="D29" s="7">
        <v>0</v>
      </c>
      <c r="E29" s="7">
        <v>0</v>
      </c>
      <c r="F29" s="7">
        <v>0</v>
      </c>
      <c r="G29" s="7">
        <v>47395.51</v>
      </c>
      <c r="H29" s="203"/>
      <c r="I29" s="7"/>
      <c r="J29" s="7"/>
      <c r="K29" s="31"/>
      <c r="L29" s="7">
        <v>70519.289999999994</v>
      </c>
      <c r="M29" s="7">
        <v>102161.46</v>
      </c>
      <c r="N29" s="7">
        <v>250770.58</v>
      </c>
      <c r="O29" s="7">
        <v>487045</v>
      </c>
      <c r="P29" s="7"/>
      <c r="Q29" s="7">
        <v>572200</v>
      </c>
      <c r="R29" s="7"/>
      <c r="S29" s="63">
        <f t="shared" si="1"/>
        <v>0</v>
      </c>
    </row>
    <row r="30" spans="1:19" ht="15.75" hidden="1" customHeight="1" outlineLevel="1" x14ac:dyDescent="0.2">
      <c r="A30" s="6" t="s">
        <v>914</v>
      </c>
      <c r="B30" s="6" t="s">
        <v>108</v>
      </c>
      <c r="C30" s="15"/>
      <c r="D30" s="7">
        <v>0</v>
      </c>
      <c r="E30" s="7">
        <v>0</v>
      </c>
      <c r="F30" s="7">
        <v>0</v>
      </c>
      <c r="G30" s="7">
        <v>33703.75</v>
      </c>
      <c r="H30" s="203"/>
      <c r="I30" s="7"/>
      <c r="J30" s="7"/>
      <c r="K30" s="31"/>
      <c r="L30" s="7">
        <v>31665.16</v>
      </c>
      <c r="M30" s="7">
        <v>0</v>
      </c>
      <c r="N30" s="7">
        <v>0</v>
      </c>
      <c r="O30" s="7">
        <v>0</v>
      </c>
      <c r="P30" s="7"/>
      <c r="Q30" s="7">
        <v>0</v>
      </c>
      <c r="R30" s="7"/>
      <c r="S30" s="63">
        <f t="shared" si="1"/>
        <v>0</v>
      </c>
    </row>
    <row r="31" spans="1:19" ht="15.75" hidden="1" customHeight="1" outlineLevel="1" x14ac:dyDescent="0.2">
      <c r="A31" s="6" t="s">
        <v>915</v>
      </c>
      <c r="B31" s="6" t="s">
        <v>72</v>
      </c>
      <c r="C31" s="15"/>
      <c r="D31" s="7">
        <v>0</v>
      </c>
      <c r="E31" s="7">
        <v>0</v>
      </c>
      <c r="F31" s="7">
        <v>0</v>
      </c>
      <c r="G31" s="7">
        <v>158164.32999999999</v>
      </c>
      <c r="H31" s="203"/>
      <c r="I31" s="7"/>
      <c r="J31" s="7"/>
      <c r="K31" s="31"/>
      <c r="L31" s="7">
        <v>185491.24</v>
      </c>
      <c r="M31" s="7">
        <v>242143.35999999999</v>
      </c>
      <c r="N31" s="7">
        <v>407888.17</v>
      </c>
      <c r="O31" s="7">
        <v>813452</v>
      </c>
      <c r="P31" s="7"/>
      <c r="Q31" s="7">
        <v>746700</v>
      </c>
      <c r="R31" s="7"/>
      <c r="S31" s="63">
        <f t="shared" si="1"/>
        <v>0</v>
      </c>
    </row>
    <row r="32" spans="1:19" ht="15.75" hidden="1" customHeight="1" outlineLevel="1" x14ac:dyDescent="0.2">
      <c r="A32" s="6" t="s">
        <v>916</v>
      </c>
      <c r="B32" s="6" t="s">
        <v>451</v>
      </c>
      <c r="C32" s="15"/>
      <c r="D32" s="7">
        <v>0</v>
      </c>
      <c r="E32" s="7">
        <v>0</v>
      </c>
      <c r="F32" s="7">
        <v>0</v>
      </c>
      <c r="G32" s="7">
        <v>4260.95</v>
      </c>
      <c r="H32" s="203"/>
      <c r="I32" s="7"/>
      <c r="J32" s="7"/>
      <c r="K32" s="31"/>
      <c r="L32" s="7">
        <v>4692.34</v>
      </c>
      <c r="M32" s="7">
        <v>12175.26</v>
      </c>
      <c r="N32" s="7">
        <v>54092.46</v>
      </c>
      <c r="O32" s="7">
        <v>135500</v>
      </c>
      <c r="P32" s="7"/>
      <c r="Q32" s="7">
        <v>135500</v>
      </c>
      <c r="R32" s="7"/>
      <c r="S32" s="63">
        <f t="shared" si="1"/>
        <v>0</v>
      </c>
    </row>
    <row r="33" spans="1:19" ht="15.75" hidden="1" customHeight="1" outlineLevel="1" x14ac:dyDescent="0.2">
      <c r="A33" s="6" t="s">
        <v>917</v>
      </c>
      <c r="B33" s="6" t="s">
        <v>74</v>
      </c>
      <c r="C33" s="15"/>
      <c r="D33" s="7">
        <v>0</v>
      </c>
      <c r="E33" s="7">
        <v>0</v>
      </c>
      <c r="F33" s="7">
        <v>0</v>
      </c>
      <c r="G33" s="7">
        <v>2210.5</v>
      </c>
      <c r="H33" s="203"/>
      <c r="I33" s="7"/>
      <c r="J33" s="7"/>
      <c r="K33" s="31"/>
      <c r="L33" s="7">
        <v>2320.48</v>
      </c>
      <c r="M33" s="7">
        <v>2752.01</v>
      </c>
      <c r="N33" s="7">
        <v>2671.74</v>
      </c>
      <c r="O33" s="7">
        <v>4200</v>
      </c>
      <c r="P33" s="7"/>
      <c r="Q33" s="7">
        <v>3465</v>
      </c>
      <c r="R33" s="7"/>
      <c r="S33" s="63">
        <f t="shared" si="1"/>
        <v>0</v>
      </c>
    </row>
    <row r="34" spans="1:19" ht="15.75" hidden="1" customHeight="1" outlineLevel="1" x14ac:dyDescent="0.2">
      <c r="A34" s="6" t="s">
        <v>918</v>
      </c>
      <c r="B34" s="6" t="s">
        <v>76</v>
      </c>
      <c r="C34" s="15"/>
      <c r="D34" s="7">
        <v>0</v>
      </c>
      <c r="E34" s="7">
        <v>0</v>
      </c>
      <c r="F34" s="7">
        <v>0</v>
      </c>
      <c r="G34" s="7">
        <v>3525.14</v>
      </c>
      <c r="H34" s="203"/>
      <c r="I34" s="7"/>
      <c r="J34" s="7"/>
      <c r="K34" s="31"/>
      <c r="L34" s="7">
        <v>1442.62</v>
      </c>
      <c r="M34" s="7">
        <v>5748.93</v>
      </c>
      <c r="N34" s="7">
        <v>1299.8900000000001</v>
      </c>
      <c r="O34" s="7">
        <v>8200</v>
      </c>
      <c r="P34" s="7"/>
      <c r="Q34" s="7">
        <v>12000</v>
      </c>
      <c r="R34" s="7"/>
      <c r="S34" s="63">
        <f t="shared" si="1"/>
        <v>0</v>
      </c>
    </row>
    <row r="35" spans="1:19" ht="15.75" hidden="1" customHeight="1" outlineLevel="1" x14ac:dyDescent="0.2">
      <c r="A35" s="6" t="s">
        <v>919</v>
      </c>
      <c r="B35" s="6" t="s">
        <v>80</v>
      </c>
      <c r="C35" s="15"/>
      <c r="D35" s="7">
        <v>0</v>
      </c>
      <c r="E35" s="7">
        <v>0</v>
      </c>
      <c r="F35" s="7">
        <v>80.38</v>
      </c>
      <c r="G35" s="7">
        <v>1131.7</v>
      </c>
      <c r="H35" s="203"/>
      <c r="I35" s="7"/>
      <c r="J35" s="7"/>
      <c r="K35" s="31"/>
      <c r="L35" s="7">
        <v>2398.5300000000002</v>
      </c>
      <c r="M35" s="7">
        <v>2443.94</v>
      </c>
      <c r="N35" s="7">
        <v>3393.13</v>
      </c>
      <c r="O35" s="7">
        <v>5500</v>
      </c>
      <c r="P35" s="7"/>
      <c r="Q35" s="7">
        <v>3000</v>
      </c>
      <c r="R35" s="7"/>
      <c r="S35" s="63">
        <f t="shared" si="1"/>
        <v>0</v>
      </c>
    </row>
    <row r="36" spans="1:19" ht="15.75" hidden="1" customHeight="1" outlineLevel="1" x14ac:dyDescent="0.2">
      <c r="A36" s="6" t="s">
        <v>920</v>
      </c>
      <c r="B36" s="6" t="s">
        <v>82</v>
      </c>
      <c r="C36" s="15"/>
      <c r="D36" s="7">
        <v>0</v>
      </c>
      <c r="E36" s="7">
        <v>0</v>
      </c>
      <c r="F36" s="7">
        <v>0</v>
      </c>
      <c r="G36" s="7">
        <v>32462.05</v>
      </c>
      <c r="H36" s="203"/>
      <c r="I36" s="7"/>
      <c r="J36" s="7"/>
      <c r="K36" s="31"/>
      <c r="L36" s="7">
        <v>93848.17</v>
      </c>
      <c r="M36" s="7">
        <v>86356.35</v>
      </c>
      <c r="N36" s="7">
        <v>80028.77</v>
      </c>
      <c r="O36" s="7">
        <v>135500</v>
      </c>
      <c r="P36" s="7"/>
      <c r="Q36" s="7">
        <v>130000</v>
      </c>
      <c r="R36" s="7"/>
      <c r="S36" s="63">
        <f t="shared" si="1"/>
        <v>0</v>
      </c>
    </row>
    <row r="37" spans="1:19" ht="15.75" hidden="1" customHeight="1" outlineLevel="1" x14ac:dyDescent="0.2">
      <c r="A37" s="6" t="s">
        <v>921</v>
      </c>
      <c r="B37" s="6" t="s">
        <v>115</v>
      </c>
      <c r="C37" s="15"/>
      <c r="D37" s="7">
        <v>0</v>
      </c>
      <c r="E37" s="7">
        <v>0</v>
      </c>
      <c r="F37" s="7">
        <v>0</v>
      </c>
      <c r="G37" s="7">
        <v>11390.38</v>
      </c>
      <c r="H37" s="203"/>
      <c r="I37" s="7"/>
      <c r="J37" s="7"/>
      <c r="K37" s="31"/>
      <c r="L37" s="7">
        <v>11284.57</v>
      </c>
      <c r="M37" s="7">
        <v>22930.22</v>
      </c>
      <c r="N37" s="7">
        <v>17501.86</v>
      </c>
      <c r="O37" s="7">
        <v>30000</v>
      </c>
      <c r="P37" s="7"/>
      <c r="Q37" s="7">
        <v>35000</v>
      </c>
      <c r="R37" s="7"/>
      <c r="S37" s="63">
        <f t="shared" si="1"/>
        <v>0</v>
      </c>
    </row>
    <row r="38" spans="1:19" ht="15.75" hidden="1" customHeight="1" outlineLevel="1" x14ac:dyDescent="0.2">
      <c r="A38" s="6" t="s">
        <v>922</v>
      </c>
      <c r="B38" s="6" t="s">
        <v>898</v>
      </c>
      <c r="C38" s="15"/>
      <c r="D38" s="7">
        <v>0</v>
      </c>
      <c r="E38" s="7">
        <v>0</v>
      </c>
      <c r="F38" s="7">
        <v>0</v>
      </c>
      <c r="G38" s="7">
        <v>5785.77</v>
      </c>
      <c r="H38" s="203"/>
      <c r="I38" s="7"/>
      <c r="J38" s="7"/>
      <c r="K38" s="31"/>
      <c r="L38" s="7">
        <v>6549.32</v>
      </c>
      <c r="M38" s="7">
        <v>7748.95</v>
      </c>
      <c r="N38" s="7">
        <v>3398.26</v>
      </c>
      <c r="O38" s="7">
        <v>9400</v>
      </c>
      <c r="P38" s="7"/>
      <c r="Q38" s="7">
        <v>10000</v>
      </c>
      <c r="R38" s="7"/>
      <c r="S38" s="63">
        <f t="shared" si="1"/>
        <v>0</v>
      </c>
    </row>
    <row r="39" spans="1:19" ht="15.75" hidden="1" customHeight="1" outlineLevel="1" x14ac:dyDescent="0.2">
      <c r="A39" s="6" t="s">
        <v>923</v>
      </c>
      <c r="B39" s="6" t="s">
        <v>277</v>
      </c>
      <c r="C39" s="15"/>
      <c r="D39" s="7">
        <v>0</v>
      </c>
      <c r="E39" s="7">
        <v>0</v>
      </c>
      <c r="F39" s="7">
        <v>0</v>
      </c>
      <c r="G39" s="7">
        <v>4302.05</v>
      </c>
      <c r="H39" s="203"/>
      <c r="I39" s="7"/>
      <c r="J39" s="7"/>
      <c r="K39" s="31"/>
      <c r="L39" s="7">
        <v>13866.66</v>
      </c>
      <c r="M39" s="7">
        <v>16387.22</v>
      </c>
      <c r="N39" s="7">
        <v>14404.09</v>
      </c>
      <c r="O39" s="7">
        <v>27500</v>
      </c>
      <c r="P39" s="7"/>
      <c r="Q39" s="7">
        <v>21100</v>
      </c>
      <c r="R39" s="7"/>
      <c r="S39" s="63">
        <f t="shared" si="1"/>
        <v>0</v>
      </c>
    </row>
    <row r="40" spans="1:19" ht="15.75" hidden="1" customHeight="1" outlineLevel="1" x14ac:dyDescent="0.2">
      <c r="A40" s="6" t="s">
        <v>924</v>
      </c>
      <c r="B40" s="6" t="s">
        <v>84</v>
      </c>
      <c r="C40" s="15"/>
      <c r="D40" s="7">
        <v>0</v>
      </c>
      <c r="E40" s="7">
        <v>0</v>
      </c>
      <c r="F40" s="7">
        <v>0</v>
      </c>
      <c r="G40" s="7">
        <v>3744.73</v>
      </c>
      <c r="H40" s="203"/>
      <c r="I40" s="7"/>
      <c r="J40" s="7"/>
      <c r="K40" s="31"/>
      <c r="L40" s="7">
        <v>4703.7700000000004</v>
      </c>
      <c r="M40" s="7">
        <v>6055.84</v>
      </c>
      <c r="N40" s="7">
        <v>8127.28</v>
      </c>
      <c r="O40" s="7">
        <v>13300</v>
      </c>
      <c r="P40" s="7"/>
      <c r="Q40" s="7">
        <v>5000</v>
      </c>
      <c r="R40" s="7"/>
      <c r="S40" s="63">
        <f t="shared" si="1"/>
        <v>0</v>
      </c>
    </row>
    <row r="41" spans="1:19" ht="15.75" hidden="1" customHeight="1" outlineLevel="1" x14ac:dyDescent="0.2">
      <c r="A41" s="6" t="s">
        <v>925</v>
      </c>
      <c r="B41" s="6" t="s">
        <v>210</v>
      </c>
      <c r="C41" s="15"/>
      <c r="D41" s="7">
        <v>0</v>
      </c>
      <c r="E41" s="7">
        <v>0</v>
      </c>
      <c r="F41" s="7">
        <v>0</v>
      </c>
      <c r="G41" s="7">
        <v>20569.669999999998</v>
      </c>
      <c r="H41" s="203"/>
      <c r="I41" s="7"/>
      <c r="J41" s="7"/>
      <c r="K41" s="31"/>
      <c r="L41" s="7">
        <v>8540.91</v>
      </c>
      <c r="M41" s="7">
        <v>10747.48</v>
      </c>
      <c r="N41" s="7">
        <v>6448.29</v>
      </c>
      <c r="O41" s="7">
        <v>30000</v>
      </c>
      <c r="P41" s="7"/>
      <c r="Q41" s="7">
        <v>30000</v>
      </c>
      <c r="R41" s="7"/>
      <c r="S41" s="63">
        <f t="shared" si="1"/>
        <v>0</v>
      </c>
    </row>
    <row r="42" spans="1:19" ht="15.75" hidden="1" customHeight="1" outlineLevel="1" x14ac:dyDescent="0.2">
      <c r="A42" s="6" t="s">
        <v>926</v>
      </c>
      <c r="B42" s="6" t="s">
        <v>86</v>
      </c>
      <c r="C42" s="15"/>
      <c r="D42" s="7">
        <v>0</v>
      </c>
      <c r="E42" s="7">
        <v>0</v>
      </c>
      <c r="F42" s="7">
        <v>0</v>
      </c>
      <c r="G42" s="7">
        <v>54.72</v>
      </c>
      <c r="H42" s="203"/>
      <c r="I42" s="7"/>
      <c r="J42" s="7"/>
      <c r="K42" s="31"/>
      <c r="L42" s="7">
        <v>12081</v>
      </c>
      <c r="M42" s="7">
        <v>13374.01</v>
      </c>
      <c r="N42" s="7">
        <v>27896.560000000001</v>
      </c>
      <c r="O42" s="7">
        <v>222000</v>
      </c>
      <c r="P42" s="7"/>
      <c r="Q42" s="7">
        <v>255400</v>
      </c>
      <c r="R42" s="7"/>
      <c r="S42" s="63">
        <f t="shared" si="1"/>
        <v>0</v>
      </c>
    </row>
    <row r="43" spans="1:19" ht="15.75" hidden="1" customHeight="1" outlineLevel="1" x14ac:dyDescent="0.2">
      <c r="A43" s="6" t="s">
        <v>927</v>
      </c>
      <c r="B43" s="6" t="s">
        <v>88</v>
      </c>
      <c r="C43" s="15"/>
      <c r="D43" s="7">
        <v>0</v>
      </c>
      <c r="E43" s="7">
        <v>0</v>
      </c>
      <c r="F43" s="7">
        <v>0</v>
      </c>
      <c r="G43" s="7">
        <v>2803.61</v>
      </c>
      <c r="H43" s="203"/>
      <c r="I43" s="7"/>
      <c r="J43" s="7"/>
      <c r="K43" s="31"/>
      <c r="L43" s="7">
        <v>7038.29</v>
      </c>
      <c r="M43" s="7">
        <v>8398.2099999999991</v>
      </c>
      <c r="N43" s="7">
        <v>491.24</v>
      </c>
      <c r="O43" s="7">
        <v>41600</v>
      </c>
      <c r="P43" s="7"/>
      <c r="Q43" s="7">
        <v>35950</v>
      </c>
      <c r="R43" s="7"/>
      <c r="S43" s="63">
        <f t="shared" si="1"/>
        <v>0</v>
      </c>
    </row>
    <row r="44" spans="1:19" ht="15.75" hidden="1" customHeight="1" outlineLevel="1" x14ac:dyDescent="0.2">
      <c r="A44" s="6" t="s">
        <v>928</v>
      </c>
      <c r="B44" s="6" t="s">
        <v>90</v>
      </c>
      <c r="C44" s="15"/>
      <c r="D44" s="7">
        <v>0</v>
      </c>
      <c r="E44" s="7">
        <v>0</v>
      </c>
      <c r="F44" s="7">
        <v>0</v>
      </c>
      <c r="G44" s="7">
        <v>1903</v>
      </c>
      <c r="H44" s="203"/>
      <c r="I44" s="7"/>
      <c r="J44" s="7"/>
      <c r="K44" s="31"/>
      <c r="L44" s="7">
        <v>2703</v>
      </c>
      <c r="M44" s="7">
        <v>1763</v>
      </c>
      <c r="N44" s="7">
        <v>2768.62</v>
      </c>
      <c r="O44" s="7">
        <v>15300</v>
      </c>
      <c r="P44" s="7"/>
      <c r="Q44" s="7">
        <v>7750</v>
      </c>
      <c r="R44" s="7"/>
      <c r="S44" s="63">
        <f t="shared" si="1"/>
        <v>0</v>
      </c>
    </row>
    <row r="45" spans="1:19" ht="15.75" hidden="1" customHeight="1" outlineLevel="1" x14ac:dyDescent="0.2">
      <c r="A45" s="6" t="s">
        <v>929</v>
      </c>
      <c r="B45" s="6" t="s">
        <v>906</v>
      </c>
      <c r="C45" s="15"/>
      <c r="D45" s="7">
        <v>0</v>
      </c>
      <c r="E45" s="7">
        <v>0</v>
      </c>
      <c r="F45" s="7">
        <v>0</v>
      </c>
      <c r="G45" s="7">
        <v>909.12</v>
      </c>
      <c r="H45" s="203"/>
      <c r="I45" s="7"/>
      <c r="J45" s="7"/>
      <c r="K45" s="31"/>
      <c r="L45" s="7">
        <v>750.25</v>
      </c>
      <c r="M45" s="7">
        <v>0</v>
      </c>
      <c r="N45" s="7">
        <v>0</v>
      </c>
      <c r="O45" s="7">
        <v>5000</v>
      </c>
      <c r="P45" s="7"/>
      <c r="Q45" s="7">
        <v>5000</v>
      </c>
      <c r="R45" s="7"/>
      <c r="S45" s="63">
        <f t="shared" si="1"/>
        <v>0</v>
      </c>
    </row>
    <row r="46" spans="1:19" ht="15.75" hidden="1" customHeight="1" outlineLevel="1" x14ac:dyDescent="0.2">
      <c r="A46" s="6" t="s">
        <v>930</v>
      </c>
      <c r="B46" s="6" t="s">
        <v>908</v>
      </c>
      <c r="C46" s="15"/>
      <c r="D46" s="7">
        <v>0</v>
      </c>
      <c r="E46" s="7">
        <v>0</v>
      </c>
      <c r="F46" s="7">
        <v>0</v>
      </c>
      <c r="G46" s="7">
        <v>0</v>
      </c>
      <c r="H46" s="203"/>
      <c r="I46" s="7"/>
      <c r="J46" s="7"/>
      <c r="K46" s="31"/>
      <c r="L46" s="7">
        <v>0</v>
      </c>
      <c r="M46" s="7">
        <v>1425.7</v>
      </c>
      <c r="N46" s="7">
        <v>0</v>
      </c>
      <c r="O46" s="7">
        <v>5000</v>
      </c>
      <c r="P46" s="7"/>
      <c r="Q46" s="7">
        <v>5000</v>
      </c>
      <c r="R46" s="7"/>
      <c r="S46" s="63">
        <f t="shared" si="1"/>
        <v>0</v>
      </c>
    </row>
    <row r="47" spans="1:19" ht="15.75" hidden="1" customHeight="1" outlineLevel="1" x14ac:dyDescent="0.2">
      <c r="A47" s="6" t="s">
        <v>931</v>
      </c>
      <c r="B47" s="6" t="s">
        <v>502</v>
      </c>
      <c r="C47" s="15"/>
      <c r="D47" s="7">
        <v>0</v>
      </c>
      <c r="E47" s="7">
        <v>0</v>
      </c>
      <c r="F47" s="7">
        <v>0</v>
      </c>
      <c r="G47" s="7">
        <v>2436.15</v>
      </c>
      <c r="H47" s="203"/>
      <c r="I47" s="7"/>
      <c r="J47" s="7"/>
      <c r="K47" s="31"/>
      <c r="L47" s="7">
        <v>4205.59</v>
      </c>
      <c r="M47" s="7">
        <v>4990.32</v>
      </c>
      <c r="N47" s="7">
        <v>8546.15</v>
      </c>
      <c r="O47" s="7">
        <v>18000</v>
      </c>
      <c r="P47" s="7"/>
      <c r="Q47" s="7">
        <v>18000</v>
      </c>
      <c r="R47" s="7"/>
      <c r="S47" s="63">
        <f t="shared" si="1"/>
        <v>0</v>
      </c>
    </row>
    <row r="48" spans="1:19" ht="15.75" hidden="1" customHeight="1" outlineLevel="1" x14ac:dyDescent="0.2">
      <c r="A48" s="6" t="s">
        <v>932</v>
      </c>
      <c r="B48" s="6" t="s">
        <v>933</v>
      </c>
      <c r="C48" s="15"/>
      <c r="D48" s="7">
        <v>0</v>
      </c>
      <c r="E48" s="7">
        <v>0</v>
      </c>
      <c r="F48" s="7">
        <v>0</v>
      </c>
      <c r="G48" s="7">
        <v>142.81</v>
      </c>
      <c r="H48" s="203"/>
      <c r="I48" s="7"/>
      <c r="J48" s="7"/>
      <c r="K48" s="31"/>
      <c r="L48" s="7">
        <v>1238.57</v>
      </c>
      <c r="M48" s="7">
        <v>4586.5200000000004</v>
      </c>
      <c r="N48" s="7">
        <v>2938.03</v>
      </c>
      <c r="O48" s="7">
        <v>5000</v>
      </c>
      <c r="P48" s="7"/>
      <c r="Q48" s="7">
        <v>5000</v>
      </c>
      <c r="R48" s="7"/>
      <c r="S48" s="63">
        <f t="shared" si="1"/>
        <v>0</v>
      </c>
    </row>
    <row r="49" spans="1:19" ht="15.75" hidden="1" customHeight="1" outlineLevel="1" x14ac:dyDescent="0.2">
      <c r="A49" s="6" t="s">
        <v>934</v>
      </c>
      <c r="B49" s="6" t="s">
        <v>92</v>
      </c>
      <c r="C49" s="15"/>
      <c r="D49" s="7">
        <v>0</v>
      </c>
      <c r="E49" s="7">
        <v>0</v>
      </c>
      <c r="F49" s="7">
        <v>0</v>
      </c>
      <c r="G49" s="7">
        <v>0</v>
      </c>
      <c r="H49" s="203"/>
      <c r="I49" s="7"/>
      <c r="J49" s="7"/>
      <c r="K49" s="31"/>
      <c r="L49" s="7">
        <v>33228.080000000002</v>
      </c>
      <c r="M49" s="7">
        <v>35250</v>
      </c>
      <c r="N49" s="7">
        <v>3299.12</v>
      </c>
      <c r="O49" s="7">
        <v>50400</v>
      </c>
      <c r="P49" s="7"/>
      <c r="Q49" s="7">
        <v>50400</v>
      </c>
      <c r="R49" s="7"/>
      <c r="S49" s="63">
        <f t="shared" si="1"/>
        <v>0</v>
      </c>
    </row>
    <row r="50" spans="1:19" ht="15.75" hidden="1" customHeight="1" outlineLevel="1" x14ac:dyDescent="0.2">
      <c r="A50" s="6" t="s">
        <v>935</v>
      </c>
      <c r="B50" s="6" t="s">
        <v>936</v>
      </c>
      <c r="C50" s="15"/>
      <c r="D50" s="7">
        <v>0</v>
      </c>
      <c r="E50" s="7">
        <v>0</v>
      </c>
      <c r="F50" s="7">
        <v>0</v>
      </c>
      <c r="G50" s="7">
        <v>8864</v>
      </c>
      <c r="H50" s="203"/>
      <c r="I50" s="7"/>
      <c r="J50" s="7"/>
      <c r="K50" s="31"/>
      <c r="L50" s="7">
        <v>4982.57</v>
      </c>
      <c r="M50" s="7">
        <v>0</v>
      </c>
      <c r="N50" s="7">
        <v>0</v>
      </c>
      <c r="O50" s="7">
        <v>10000</v>
      </c>
      <c r="P50" s="7"/>
      <c r="Q50" s="7">
        <v>10000</v>
      </c>
      <c r="R50" s="7"/>
      <c r="S50" s="63">
        <f t="shared" si="1"/>
        <v>0</v>
      </c>
    </row>
    <row r="51" spans="1:19" ht="15.75" hidden="1" customHeight="1" outlineLevel="1" x14ac:dyDescent="0.2">
      <c r="A51" s="6" t="s">
        <v>937</v>
      </c>
      <c r="B51" s="6" t="s">
        <v>938</v>
      </c>
      <c r="C51" s="15"/>
      <c r="D51" s="7">
        <v>0</v>
      </c>
      <c r="E51" s="7">
        <v>0</v>
      </c>
      <c r="F51" s="7">
        <v>0</v>
      </c>
      <c r="G51" s="7">
        <v>0</v>
      </c>
      <c r="H51" s="203"/>
      <c r="I51" s="7"/>
      <c r="J51" s="7"/>
      <c r="K51" s="31"/>
      <c r="L51" s="7">
        <v>0</v>
      </c>
      <c r="M51" s="7">
        <v>0</v>
      </c>
      <c r="N51" s="7">
        <v>34064.17</v>
      </c>
      <c r="O51" s="7">
        <v>50000</v>
      </c>
      <c r="P51" s="7"/>
      <c r="Q51" s="7">
        <v>50000</v>
      </c>
      <c r="R51" s="7"/>
      <c r="S51" s="63">
        <f t="shared" si="1"/>
        <v>0</v>
      </c>
    </row>
    <row r="52" spans="1:19" ht="15.75" hidden="1" customHeight="1" outlineLevel="1" x14ac:dyDescent="0.2">
      <c r="A52" s="6" t="s">
        <v>939</v>
      </c>
      <c r="B52" s="6" t="s">
        <v>940</v>
      </c>
      <c r="C52" s="15"/>
      <c r="D52" s="7">
        <v>0</v>
      </c>
      <c r="E52" s="7">
        <v>0</v>
      </c>
      <c r="F52" s="7">
        <v>0</v>
      </c>
      <c r="G52" s="7">
        <v>0</v>
      </c>
      <c r="H52" s="203"/>
      <c r="I52" s="7"/>
      <c r="J52" s="7"/>
      <c r="K52" s="31"/>
      <c r="L52" s="7">
        <v>0</v>
      </c>
      <c r="M52" s="7">
        <v>0</v>
      </c>
      <c r="N52" s="7">
        <v>5164.4399999999996</v>
      </c>
      <c r="O52" s="7">
        <v>12000</v>
      </c>
      <c r="P52" s="7"/>
      <c r="Q52" s="7">
        <v>12000</v>
      </c>
      <c r="R52" s="7"/>
      <c r="S52" s="63">
        <f t="shared" si="1"/>
        <v>0</v>
      </c>
    </row>
    <row r="53" spans="1:19" ht="15.75" hidden="1" customHeight="1" outlineLevel="1" x14ac:dyDescent="0.2">
      <c r="A53" s="6" t="s">
        <v>941</v>
      </c>
      <c r="B53" s="6" t="s">
        <v>942</v>
      </c>
      <c r="C53" s="15"/>
      <c r="D53" s="7">
        <v>0</v>
      </c>
      <c r="E53" s="7">
        <v>0</v>
      </c>
      <c r="F53" s="7">
        <v>0</v>
      </c>
      <c r="G53" s="7">
        <v>0</v>
      </c>
      <c r="H53" s="203"/>
      <c r="I53" s="7"/>
      <c r="J53" s="7"/>
      <c r="K53" s="31"/>
      <c r="L53" s="7">
        <v>0</v>
      </c>
      <c r="M53" s="7">
        <v>349.7</v>
      </c>
      <c r="N53" s="7">
        <v>-349.7</v>
      </c>
      <c r="O53" s="7">
        <v>5000</v>
      </c>
      <c r="P53" s="7"/>
      <c r="Q53" s="7">
        <v>5000</v>
      </c>
      <c r="R53" s="7"/>
      <c r="S53" s="63">
        <f t="shared" si="1"/>
        <v>0</v>
      </c>
    </row>
    <row r="54" spans="1:19" ht="15.75" hidden="1" customHeight="1" outlineLevel="1" x14ac:dyDescent="0.2">
      <c r="A54" s="6" t="s">
        <v>943</v>
      </c>
      <c r="B54" s="6" t="s">
        <v>944</v>
      </c>
      <c r="C54" s="15"/>
      <c r="D54" s="7">
        <v>0</v>
      </c>
      <c r="E54" s="7">
        <v>0</v>
      </c>
      <c r="F54" s="7">
        <v>0</v>
      </c>
      <c r="G54" s="7">
        <v>9000</v>
      </c>
      <c r="H54" s="203"/>
      <c r="I54" s="7"/>
      <c r="J54" s="7"/>
      <c r="K54" s="31"/>
      <c r="L54" s="7">
        <v>9866.59</v>
      </c>
      <c r="M54" s="7">
        <v>0</v>
      </c>
      <c r="N54" s="7">
        <v>213.43</v>
      </c>
      <c r="O54" s="7">
        <v>10000</v>
      </c>
      <c r="P54" s="7"/>
      <c r="Q54" s="7">
        <v>10000</v>
      </c>
      <c r="R54" s="7"/>
      <c r="S54" s="63">
        <f t="shared" si="1"/>
        <v>0</v>
      </c>
    </row>
    <row r="55" spans="1:19" ht="15.75" hidden="1" customHeight="1" outlineLevel="1" x14ac:dyDescent="0.2">
      <c r="A55" s="6" t="s">
        <v>945</v>
      </c>
      <c r="B55" s="6" t="s">
        <v>94</v>
      </c>
      <c r="C55" s="15"/>
      <c r="D55" s="7">
        <v>0</v>
      </c>
      <c r="E55" s="7">
        <v>0</v>
      </c>
      <c r="F55" s="7">
        <v>0</v>
      </c>
      <c r="G55" s="7">
        <v>5563.45</v>
      </c>
      <c r="H55" s="203"/>
      <c r="I55" s="7"/>
      <c r="J55" s="7"/>
      <c r="K55" s="31"/>
      <c r="L55" s="7">
        <v>106.38</v>
      </c>
      <c r="M55" s="7">
        <v>420.69</v>
      </c>
      <c r="N55" s="7">
        <v>91.13</v>
      </c>
      <c r="O55" s="7">
        <v>3000</v>
      </c>
      <c r="P55" s="7"/>
      <c r="Q55" s="7">
        <v>0</v>
      </c>
      <c r="R55" s="7"/>
      <c r="S55" s="63">
        <f t="shared" si="1"/>
        <v>0</v>
      </c>
    </row>
    <row r="56" spans="1:19" ht="15.75" hidden="1" customHeight="1" outlineLevel="1" x14ac:dyDescent="0.2">
      <c r="A56" s="6" t="s">
        <v>946</v>
      </c>
      <c r="B56" s="6" t="s">
        <v>947</v>
      </c>
      <c r="C56" s="15"/>
      <c r="D56" s="7">
        <v>0</v>
      </c>
      <c r="E56" s="7">
        <v>0</v>
      </c>
      <c r="F56" s="7">
        <v>0</v>
      </c>
      <c r="G56" s="7">
        <v>11066.48</v>
      </c>
      <c r="H56" s="203"/>
      <c r="I56" s="7"/>
      <c r="J56" s="7"/>
      <c r="K56" s="31"/>
      <c r="L56" s="7">
        <v>7870.2</v>
      </c>
      <c r="M56" s="7">
        <v>2312.9499999999998</v>
      </c>
      <c r="N56" s="7">
        <v>4872.42</v>
      </c>
      <c r="O56" s="7">
        <v>8500</v>
      </c>
      <c r="P56" s="7"/>
      <c r="Q56" s="7">
        <v>10000</v>
      </c>
      <c r="R56" s="7"/>
      <c r="S56" s="63">
        <f t="shared" si="1"/>
        <v>0</v>
      </c>
    </row>
    <row r="57" spans="1:19" ht="15.75" hidden="1" customHeight="1" outlineLevel="1" x14ac:dyDescent="0.2">
      <c r="A57" s="6" t="s">
        <v>948</v>
      </c>
      <c r="B57" s="6" t="s">
        <v>949</v>
      </c>
      <c r="C57" s="15"/>
      <c r="D57" s="7">
        <v>0</v>
      </c>
      <c r="E57" s="7">
        <v>0</v>
      </c>
      <c r="F57" s="7">
        <v>0</v>
      </c>
      <c r="G57" s="7">
        <v>0</v>
      </c>
      <c r="H57" s="203"/>
      <c r="I57" s="7"/>
      <c r="J57" s="7"/>
      <c r="K57" s="31"/>
      <c r="L57" s="7">
        <v>0</v>
      </c>
      <c r="M57" s="7">
        <v>0</v>
      </c>
      <c r="N57" s="7">
        <v>0</v>
      </c>
      <c r="O57" s="7">
        <v>25000</v>
      </c>
      <c r="P57" s="7"/>
      <c r="Q57" s="7">
        <v>25000</v>
      </c>
      <c r="R57" s="7"/>
      <c r="S57" s="63">
        <f t="shared" si="1"/>
        <v>0</v>
      </c>
    </row>
    <row r="58" spans="1:19" ht="15.75" hidden="1" customHeight="1" outlineLevel="1" x14ac:dyDescent="0.2">
      <c r="A58" s="6" t="s">
        <v>950</v>
      </c>
      <c r="B58" s="6" t="s">
        <v>951</v>
      </c>
      <c r="C58" s="15"/>
      <c r="D58" s="7">
        <v>0</v>
      </c>
      <c r="E58" s="7">
        <v>0</v>
      </c>
      <c r="F58" s="7">
        <v>0</v>
      </c>
      <c r="G58" s="7">
        <v>17241.23</v>
      </c>
      <c r="H58" s="203"/>
      <c r="I58" s="7"/>
      <c r="J58" s="7"/>
      <c r="K58" s="31"/>
      <c r="L58" s="7">
        <v>25980.97</v>
      </c>
      <c r="M58" s="7">
        <v>17885.34</v>
      </c>
      <c r="N58" s="7">
        <v>0</v>
      </c>
      <c r="O58" s="7">
        <v>25000</v>
      </c>
      <c r="P58" s="7"/>
      <c r="Q58" s="7">
        <v>25000</v>
      </c>
      <c r="R58" s="7"/>
      <c r="S58" s="63">
        <f t="shared" si="1"/>
        <v>0</v>
      </c>
    </row>
    <row r="59" spans="1:19" ht="15.75" hidden="1" customHeight="1" outlineLevel="1" x14ac:dyDescent="0.2">
      <c r="A59" s="6" t="s">
        <v>952</v>
      </c>
      <c r="B59" s="6" t="s">
        <v>953</v>
      </c>
      <c r="C59" s="15"/>
      <c r="D59" s="7">
        <v>0</v>
      </c>
      <c r="E59" s="7">
        <v>0</v>
      </c>
      <c r="F59" s="7">
        <v>0</v>
      </c>
      <c r="G59" s="7">
        <v>29904.69</v>
      </c>
      <c r="H59" s="203"/>
      <c r="I59" s="7"/>
      <c r="J59" s="7"/>
      <c r="K59" s="31"/>
      <c r="L59" s="7">
        <v>32297.07</v>
      </c>
      <c r="M59" s="7">
        <v>33621.24</v>
      </c>
      <c r="N59" s="7">
        <v>0</v>
      </c>
      <c r="O59" s="7">
        <v>45000</v>
      </c>
      <c r="P59" s="7"/>
      <c r="Q59" s="7">
        <v>40000</v>
      </c>
      <c r="R59" s="7"/>
      <c r="S59" s="63">
        <f t="shared" si="1"/>
        <v>0</v>
      </c>
    </row>
    <row r="60" spans="1:19" ht="15.75" hidden="1" customHeight="1" outlineLevel="1" x14ac:dyDescent="0.2">
      <c r="A60" s="6" t="s">
        <v>954</v>
      </c>
      <c r="B60" s="6" t="s">
        <v>180</v>
      </c>
      <c r="C60" s="15"/>
      <c r="D60" s="7">
        <v>0</v>
      </c>
      <c r="E60" s="7">
        <v>0</v>
      </c>
      <c r="F60" s="7">
        <v>0</v>
      </c>
      <c r="G60" s="7">
        <v>0</v>
      </c>
      <c r="H60" s="203"/>
      <c r="I60" s="7"/>
      <c r="J60" s="7"/>
      <c r="K60" s="31"/>
      <c r="L60" s="7">
        <v>0</v>
      </c>
      <c r="M60" s="7">
        <v>9590.18</v>
      </c>
      <c r="N60" s="7">
        <v>0</v>
      </c>
      <c r="O60" s="7">
        <v>0</v>
      </c>
      <c r="P60" s="7"/>
      <c r="Q60" s="7">
        <v>0</v>
      </c>
      <c r="R60" s="7"/>
      <c r="S60" s="63">
        <f t="shared" si="1"/>
        <v>0</v>
      </c>
    </row>
    <row r="61" spans="1:19" ht="15.75" hidden="1" customHeight="1" outlineLevel="1" x14ac:dyDescent="0.2">
      <c r="A61" s="6" t="s">
        <v>955</v>
      </c>
      <c r="B61" s="6" t="s">
        <v>99</v>
      </c>
      <c r="C61" s="15"/>
      <c r="D61" s="7">
        <v>0</v>
      </c>
      <c r="E61" s="7">
        <v>0</v>
      </c>
      <c r="F61" s="7">
        <v>0</v>
      </c>
      <c r="G61" s="7">
        <v>367851.62</v>
      </c>
      <c r="H61" s="203"/>
      <c r="I61" s="7"/>
      <c r="J61" s="7"/>
      <c r="K61" s="31"/>
      <c r="L61" s="7">
        <v>613811.49</v>
      </c>
      <c r="M61" s="7">
        <v>461726.08</v>
      </c>
      <c r="N61" s="7">
        <v>0</v>
      </c>
      <c r="O61" s="7">
        <v>0</v>
      </c>
      <c r="P61" s="7"/>
      <c r="Q61" s="7">
        <v>0</v>
      </c>
      <c r="R61" s="7"/>
      <c r="S61" s="63">
        <f t="shared" si="1"/>
        <v>0</v>
      </c>
    </row>
    <row r="62" spans="1:19" ht="15.75" hidden="1" customHeight="1" outlineLevel="1" x14ac:dyDescent="0.25">
      <c r="A62" s="47" t="s">
        <v>956</v>
      </c>
      <c r="B62" s="48"/>
      <c r="C62" s="331"/>
      <c r="D62" s="12">
        <f t="shared" ref="D62:F62" si="2">SUM(D6:D61)</f>
        <v>1400501.19</v>
      </c>
      <c r="E62" s="12">
        <f t="shared" si="2"/>
        <v>955305.93</v>
      </c>
      <c r="F62" s="12">
        <f t="shared" si="2"/>
        <v>80.38</v>
      </c>
      <c r="G62" s="12">
        <f>SUM(G27:G61)</f>
        <v>1170702.1400000001</v>
      </c>
      <c r="H62" s="226"/>
      <c r="I62" s="12"/>
      <c r="J62" s="12"/>
      <c r="K62" s="49"/>
      <c r="L62" s="12">
        <f t="shared" ref="L62:O62" si="3">SUM(L27:L61)</f>
        <v>1644902.9499999997</v>
      </c>
      <c r="M62" s="12">
        <f t="shared" si="3"/>
        <v>1656609.4299999997</v>
      </c>
      <c r="N62" s="12">
        <f t="shared" si="3"/>
        <v>1907382.2099999997</v>
      </c>
      <c r="O62" s="12">
        <f t="shared" si="3"/>
        <v>3691137</v>
      </c>
      <c r="P62" s="12"/>
      <c r="Q62" s="12">
        <f>SUM(Q27:Q61)</f>
        <v>3848365</v>
      </c>
      <c r="R62" s="12"/>
      <c r="S62" s="332">
        <f t="shared" si="1"/>
        <v>2.7478484327457089</v>
      </c>
    </row>
    <row r="63" spans="1:19" ht="15.75" hidden="1" customHeight="1" outlineLevel="1" x14ac:dyDescent="0.2">
      <c r="A63" s="5"/>
      <c r="B63" s="5"/>
      <c r="C63" s="15"/>
      <c r="D63" s="7"/>
      <c r="E63" s="7"/>
      <c r="F63" s="7"/>
      <c r="G63" s="7"/>
      <c r="H63" s="203"/>
      <c r="I63" s="7"/>
      <c r="J63" s="7"/>
      <c r="K63" s="31"/>
      <c r="L63" s="7"/>
      <c r="M63" s="7"/>
      <c r="N63" s="7"/>
      <c r="O63" s="7"/>
      <c r="P63" s="7"/>
      <c r="Q63" s="7"/>
      <c r="R63" s="7"/>
      <c r="S63" s="7"/>
    </row>
    <row r="64" spans="1:19" ht="15.75" hidden="1" customHeight="1" outlineLevel="1" x14ac:dyDescent="0.2">
      <c r="A64" s="5"/>
      <c r="B64" s="5"/>
      <c r="C64" s="15"/>
      <c r="D64" s="7"/>
      <c r="E64" s="7"/>
      <c r="F64" s="7"/>
      <c r="G64" s="7"/>
      <c r="H64" s="203"/>
      <c r="I64" s="7"/>
      <c r="J64" s="7"/>
      <c r="K64" s="31"/>
      <c r="L64" s="7"/>
      <c r="M64" s="7"/>
      <c r="N64" s="7"/>
      <c r="O64" s="7"/>
      <c r="P64" s="7"/>
      <c r="Q64" s="7"/>
      <c r="R64" s="7"/>
      <c r="S64" s="7"/>
    </row>
    <row r="65" spans="1:19" ht="15.75" hidden="1" customHeight="1" outlineLevel="1" x14ac:dyDescent="0.25">
      <c r="A65" s="5"/>
      <c r="B65" s="5"/>
      <c r="C65" s="15"/>
      <c r="D65" s="7"/>
      <c r="E65" s="128" t="s">
        <v>48</v>
      </c>
      <c r="F65" s="128" t="s">
        <v>957</v>
      </c>
      <c r="G65" s="7"/>
      <c r="H65" s="203"/>
      <c r="I65" s="7"/>
      <c r="J65" s="7"/>
      <c r="K65" s="31"/>
      <c r="L65" s="7"/>
      <c r="M65" s="7"/>
      <c r="N65" s="7"/>
      <c r="O65" s="7"/>
      <c r="P65" s="7"/>
      <c r="Q65" s="7"/>
      <c r="R65" s="7"/>
      <c r="S65" s="7"/>
    </row>
    <row r="66" spans="1:19" ht="15.75" hidden="1" customHeight="1" outlineLevel="1" x14ac:dyDescent="0.2">
      <c r="A66" s="5"/>
      <c r="B66" s="5"/>
      <c r="C66" s="15"/>
      <c r="D66" s="7"/>
      <c r="E66" s="7"/>
      <c r="F66" s="7"/>
      <c r="G66" s="7"/>
      <c r="H66" s="203"/>
      <c r="I66" s="7"/>
      <c r="J66" s="7"/>
      <c r="K66" s="31"/>
      <c r="L66" s="7"/>
      <c r="M66" s="7"/>
      <c r="N66" s="7"/>
      <c r="O66" s="7"/>
      <c r="P66" s="7"/>
      <c r="Q66" s="7"/>
      <c r="R66" s="7"/>
      <c r="S66" s="7"/>
    </row>
    <row r="67" spans="1:19" ht="15.75" hidden="1" customHeight="1" outlineLevel="1" x14ac:dyDescent="0.2">
      <c r="A67" s="5"/>
      <c r="B67" s="5"/>
      <c r="C67" s="15"/>
      <c r="D67" s="7"/>
      <c r="E67" s="7"/>
      <c r="F67" s="7"/>
      <c r="G67" s="7"/>
      <c r="H67" s="203"/>
      <c r="I67" s="7"/>
      <c r="J67" s="7"/>
      <c r="K67" s="31"/>
      <c r="L67" s="7"/>
      <c r="M67" s="7"/>
      <c r="N67" s="7"/>
      <c r="O67" s="7"/>
      <c r="P67" s="7"/>
      <c r="Q67" s="7"/>
      <c r="R67" s="7"/>
      <c r="S67" s="7"/>
    </row>
    <row r="68" spans="1:19" ht="15.75" hidden="1" customHeight="1" outlineLevel="1" x14ac:dyDescent="0.2">
      <c r="A68" s="3" t="s">
        <v>50</v>
      </c>
      <c r="B68" s="3" t="s">
        <v>51</v>
      </c>
      <c r="C68" s="21"/>
      <c r="D68" s="4" t="s">
        <v>52</v>
      </c>
      <c r="E68" s="4" t="s">
        <v>883</v>
      </c>
      <c r="F68" s="4" t="s">
        <v>884</v>
      </c>
      <c r="G68" s="4" t="s">
        <v>885</v>
      </c>
      <c r="H68" s="327"/>
      <c r="I68" s="4"/>
      <c r="J68" s="4"/>
      <c r="K68" s="130"/>
      <c r="L68" s="4" t="s">
        <v>59</v>
      </c>
      <c r="M68" s="4" t="s">
        <v>60</v>
      </c>
      <c r="N68" s="4" t="s">
        <v>436</v>
      </c>
      <c r="O68" s="4" t="s">
        <v>437</v>
      </c>
      <c r="P68" s="70"/>
      <c r="Q68" s="70" t="s">
        <v>438</v>
      </c>
      <c r="R68" s="7"/>
      <c r="S68" s="68" t="s">
        <v>56</v>
      </c>
    </row>
    <row r="69" spans="1:19" ht="15.75" hidden="1" customHeight="1" outlineLevel="1" x14ac:dyDescent="0.25">
      <c r="A69" s="103"/>
      <c r="B69" s="103"/>
      <c r="C69" s="104"/>
      <c r="D69" s="265"/>
      <c r="E69" s="265"/>
      <c r="F69" s="265"/>
      <c r="G69" s="265"/>
      <c r="H69" s="328"/>
      <c r="I69" s="265"/>
      <c r="J69" s="265"/>
      <c r="K69" s="264"/>
      <c r="L69" s="265"/>
      <c r="M69" s="265"/>
      <c r="N69" s="265"/>
      <c r="O69" s="265"/>
      <c r="P69" s="265"/>
      <c r="Q69" s="265"/>
      <c r="R69" s="7"/>
      <c r="S69" s="63"/>
    </row>
    <row r="70" spans="1:19" ht="15.75" hidden="1" customHeight="1" outlineLevel="1" x14ac:dyDescent="0.25">
      <c r="A70" s="103" t="s">
        <v>958</v>
      </c>
      <c r="B70" s="103" t="s">
        <v>68</v>
      </c>
      <c r="C70" s="270"/>
      <c r="D70" s="216">
        <v>0</v>
      </c>
      <c r="E70" s="216">
        <v>0</v>
      </c>
      <c r="F70" s="216">
        <v>778647.45</v>
      </c>
      <c r="G70" s="216">
        <v>732259.92</v>
      </c>
      <c r="H70" s="329"/>
      <c r="I70" s="216"/>
      <c r="J70" s="216"/>
      <c r="K70" s="270"/>
      <c r="L70" s="216">
        <v>801797.78</v>
      </c>
      <c r="M70" s="216">
        <v>818919.13</v>
      </c>
      <c r="N70" s="216">
        <v>0</v>
      </c>
      <c r="O70" s="216">
        <v>0</v>
      </c>
      <c r="P70" s="216"/>
      <c r="Q70" s="216">
        <v>0</v>
      </c>
      <c r="R70" s="7"/>
      <c r="S70" s="63">
        <f t="shared" ref="S70:S125" si="4">IFERROR(Q70/D70,0)</f>
        <v>0</v>
      </c>
    </row>
    <row r="71" spans="1:19" ht="15.75" hidden="1" customHeight="1" outlineLevel="1" x14ac:dyDescent="0.25">
      <c r="A71" s="103" t="s">
        <v>959</v>
      </c>
      <c r="B71" s="103" t="s">
        <v>70</v>
      </c>
      <c r="C71" s="271"/>
      <c r="D71" s="216">
        <v>0</v>
      </c>
      <c r="E71" s="216">
        <v>0</v>
      </c>
      <c r="F71" s="216">
        <v>43279.66</v>
      </c>
      <c r="G71" s="216">
        <v>45844.35</v>
      </c>
      <c r="H71" s="329"/>
      <c r="I71" s="216"/>
      <c r="J71" s="216"/>
      <c r="K71" s="270"/>
      <c r="L71" s="216">
        <v>54714</v>
      </c>
      <c r="M71" s="216">
        <v>112780.65</v>
      </c>
      <c r="N71" s="216">
        <v>0</v>
      </c>
      <c r="O71" s="216">
        <v>0</v>
      </c>
      <c r="P71" s="216"/>
      <c r="Q71" s="216">
        <v>0</v>
      </c>
      <c r="R71" s="7"/>
      <c r="S71" s="63">
        <f t="shared" si="4"/>
        <v>0</v>
      </c>
    </row>
    <row r="72" spans="1:19" ht="15.75" hidden="1" customHeight="1" outlineLevel="1" x14ac:dyDescent="0.25">
      <c r="A72" s="103" t="s">
        <v>960</v>
      </c>
      <c r="B72" s="103" t="s">
        <v>132</v>
      </c>
      <c r="C72" s="270"/>
      <c r="D72" s="216">
        <v>0</v>
      </c>
      <c r="E72" s="216">
        <v>0</v>
      </c>
      <c r="F72" s="216">
        <v>172290.41</v>
      </c>
      <c r="G72" s="216">
        <v>229354.25</v>
      </c>
      <c r="H72" s="329"/>
      <c r="I72" s="216"/>
      <c r="J72" s="216"/>
      <c r="K72" s="270"/>
      <c r="L72" s="216">
        <v>277340.3</v>
      </c>
      <c r="M72" s="216">
        <v>318670.82</v>
      </c>
      <c r="N72" s="216">
        <v>0</v>
      </c>
      <c r="O72" s="216">
        <v>0</v>
      </c>
      <c r="P72" s="216"/>
      <c r="Q72" s="216">
        <v>0</v>
      </c>
      <c r="R72" s="7"/>
      <c r="S72" s="63">
        <f t="shared" si="4"/>
        <v>0</v>
      </c>
    </row>
    <row r="73" spans="1:19" ht="15.75" hidden="1" customHeight="1" outlineLevel="1" x14ac:dyDescent="0.25">
      <c r="A73" s="103" t="s">
        <v>961</v>
      </c>
      <c r="B73" s="103" t="s">
        <v>108</v>
      </c>
      <c r="C73" s="270"/>
      <c r="D73" s="216">
        <v>0</v>
      </c>
      <c r="E73" s="216">
        <v>0</v>
      </c>
      <c r="F73" s="216">
        <v>0</v>
      </c>
      <c r="G73" s="216">
        <v>0</v>
      </c>
      <c r="H73" s="329"/>
      <c r="I73" s="216"/>
      <c r="J73" s="216"/>
      <c r="K73" s="270"/>
      <c r="L73" s="216">
        <v>0</v>
      </c>
      <c r="M73" s="216">
        <v>0</v>
      </c>
      <c r="N73" s="216">
        <v>0</v>
      </c>
      <c r="O73" s="216">
        <v>0</v>
      </c>
      <c r="P73" s="216"/>
      <c r="Q73" s="216">
        <v>0</v>
      </c>
      <c r="R73" s="7"/>
      <c r="S73" s="63">
        <f t="shared" si="4"/>
        <v>0</v>
      </c>
    </row>
    <row r="74" spans="1:19" ht="15.75" hidden="1" customHeight="1" outlineLevel="1" x14ac:dyDescent="0.25">
      <c r="A74" s="103" t="s">
        <v>962</v>
      </c>
      <c r="B74" s="103" t="s">
        <v>72</v>
      </c>
      <c r="C74" s="270"/>
      <c r="D74" s="216">
        <v>0</v>
      </c>
      <c r="E74" s="216">
        <v>0</v>
      </c>
      <c r="F74" s="216">
        <v>389651.84</v>
      </c>
      <c r="G74" s="216">
        <v>343008.37</v>
      </c>
      <c r="H74" s="329"/>
      <c r="I74" s="216"/>
      <c r="J74" s="216"/>
      <c r="K74" s="270"/>
      <c r="L74" s="216">
        <v>365883.38</v>
      </c>
      <c r="M74" s="216">
        <v>394858.32</v>
      </c>
      <c r="N74" s="216">
        <v>0</v>
      </c>
      <c r="O74" s="216">
        <v>0</v>
      </c>
      <c r="P74" s="216"/>
      <c r="Q74" s="216">
        <v>0</v>
      </c>
      <c r="R74" s="7"/>
      <c r="S74" s="63">
        <f t="shared" si="4"/>
        <v>0</v>
      </c>
    </row>
    <row r="75" spans="1:19" ht="15.75" hidden="1" customHeight="1" outlineLevel="1" x14ac:dyDescent="0.25">
      <c r="A75" s="103" t="s">
        <v>963</v>
      </c>
      <c r="B75" s="103" t="s">
        <v>451</v>
      </c>
      <c r="C75" s="271"/>
      <c r="D75" s="216">
        <v>0</v>
      </c>
      <c r="E75" s="216">
        <v>0</v>
      </c>
      <c r="F75" s="216">
        <v>47409.08</v>
      </c>
      <c r="G75" s="216">
        <v>58003.65</v>
      </c>
      <c r="H75" s="329"/>
      <c r="I75" s="216"/>
      <c r="J75" s="216"/>
      <c r="K75" s="270"/>
      <c r="L75" s="216">
        <v>61624.46</v>
      </c>
      <c r="M75" s="216">
        <v>98237.02</v>
      </c>
      <c r="N75" s="216">
        <v>0</v>
      </c>
      <c r="O75" s="216">
        <v>0</v>
      </c>
      <c r="P75" s="216"/>
      <c r="Q75" s="216">
        <v>0</v>
      </c>
      <c r="R75" s="7"/>
      <c r="S75" s="63">
        <f t="shared" si="4"/>
        <v>0</v>
      </c>
    </row>
    <row r="76" spans="1:19" ht="15.75" hidden="1" customHeight="1" outlineLevel="1" x14ac:dyDescent="0.25">
      <c r="A76" s="103" t="s">
        <v>964</v>
      </c>
      <c r="B76" s="103" t="s">
        <v>74</v>
      </c>
      <c r="C76" s="271"/>
      <c r="D76" s="216">
        <v>0</v>
      </c>
      <c r="E76" s="216">
        <v>0</v>
      </c>
      <c r="F76" s="216">
        <v>3300.5</v>
      </c>
      <c r="G76" s="216">
        <v>0</v>
      </c>
      <c r="H76" s="329"/>
      <c r="I76" s="216"/>
      <c r="J76" s="216"/>
      <c r="K76" s="270"/>
      <c r="L76" s="216">
        <v>0</v>
      </c>
      <c r="M76" s="216">
        <v>0</v>
      </c>
      <c r="N76" s="216">
        <v>0</v>
      </c>
      <c r="O76" s="216">
        <v>0</v>
      </c>
      <c r="P76" s="216"/>
      <c r="Q76" s="216">
        <v>0</v>
      </c>
      <c r="R76" s="7"/>
      <c r="S76" s="63">
        <f t="shared" si="4"/>
        <v>0</v>
      </c>
    </row>
    <row r="77" spans="1:19" ht="15.75" hidden="1" customHeight="1" outlineLevel="1" x14ac:dyDescent="0.25">
      <c r="A77" s="103" t="s">
        <v>965</v>
      </c>
      <c r="B77" s="103" t="s">
        <v>76</v>
      </c>
      <c r="C77" s="271"/>
      <c r="D77" s="216">
        <v>0</v>
      </c>
      <c r="E77" s="216">
        <v>0</v>
      </c>
      <c r="F77" s="216">
        <v>6523.13</v>
      </c>
      <c r="G77" s="216">
        <v>2929.92</v>
      </c>
      <c r="H77" s="329"/>
      <c r="I77" s="216"/>
      <c r="J77" s="216"/>
      <c r="K77" s="270"/>
      <c r="L77" s="216">
        <v>0</v>
      </c>
      <c r="M77" s="216">
        <v>792.92</v>
      </c>
      <c r="N77" s="216">
        <v>0</v>
      </c>
      <c r="O77" s="216">
        <v>0</v>
      </c>
      <c r="P77" s="216"/>
      <c r="Q77" s="216">
        <v>0</v>
      </c>
      <c r="R77" s="7"/>
      <c r="S77" s="63">
        <f t="shared" si="4"/>
        <v>0</v>
      </c>
    </row>
    <row r="78" spans="1:19" ht="15.75" hidden="1" customHeight="1" outlineLevel="1" x14ac:dyDescent="0.25">
      <c r="A78" s="103" t="s">
        <v>966</v>
      </c>
      <c r="B78" s="103" t="s">
        <v>80</v>
      </c>
      <c r="C78" s="271"/>
      <c r="D78" s="216">
        <v>0</v>
      </c>
      <c r="E78" s="216">
        <v>0</v>
      </c>
      <c r="F78" s="216">
        <v>3558.11</v>
      </c>
      <c r="G78" s="216">
        <v>1656.95</v>
      </c>
      <c r="H78" s="329"/>
      <c r="I78" s="216"/>
      <c r="J78" s="216"/>
      <c r="K78" s="270"/>
      <c r="L78" s="216">
        <v>1759.36</v>
      </c>
      <c r="M78" s="216">
        <v>1817.38</v>
      </c>
      <c r="N78" s="216">
        <v>62.7</v>
      </c>
      <c r="O78" s="216">
        <v>0</v>
      </c>
      <c r="P78" s="216"/>
      <c r="Q78" s="216">
        <v>0</v>
      </c>
      <c r="R78" s="7"/>
      <c r="S78" s="63">
        <f t="shared" si="4"/>
        <v>0</v>
      </c>
    </row>
    <row r="79" spans="1:19" ht="15.75" hidden="1" customHeight="1" outlineLevel="1" x14ac:dyDescent="0.25">
      <c r="A79" s="103" t="s">
        <v>967</v>
      </c>
      <c r="B79" s="103" t="s">
        <v>82</v>
      </c>
      <c r="C79" s="271"/>
      <c r="D79" s="216">
        <v>0</v>
      </c>
      <c r="E79" s="216">
        <v>0</v>
      </c>
      <c r="F79" s="216">
        <v>99182.29</v>
      </c>
      <c r="G79" s="216">
        <v>80416.25</v>
      </c>
      <c r="H79" s="329"/>
      <c r="I79" s="216"/>
      <c r="J79" s="216"/>
      <c r="K79" s="270"/>
      <c r="L79" s="216">
        <v>58651.93</v>
      </c>
      <c r="M79" s="216">
        <v>85920.27</v>
      </c>
      <c r="N79" s="216">
        <v>0</v>
      </c>
      <c r="O79" s="216">
        <v>0</v>
      </c>
      <c r="P79" s="216"/>
      <c r="Q79" s="216">
        <v>0</v>
      </c>
      <c r="R79" s="7"/>
      <c r="S79" s="63">
        <f t="shared" si="4"/>
        <v>0</v>
      </c>
    </row>
    <row r="80" spans="1:19" ht="15.75" hidden="1" customHeight="1" outlineLevel="1" x14ac:dyDescent="0.25">
      <c r="A80" s="103" t="s">
        <v>968</v>
      </c>
      <c r="B80" s="103" t="s">
        <v>115</v>
      </c>
      <c r="C80" s="271"/>
      <c r="D80" s="216">
        <v>0</v>
      </c>
      <c r="E80" s="216">
        <v>0</v>
      </c>
      <c r="F80" s="216">
        <v>31683.29</v>
      </c>
      <c r="G80" s="216">
        <v>17348.09</v>
      </c>
      <c r="H80" s="329"/>
      <c r="I80" s="216"/>
      <c r="J80" s="216"/>
      <c r="K80" s="270"/>
      <c r="L80" s="216">
        <v>0</v>
      </c>
      <c r="M80" s="216">
        <v>0</v>
      </c>
      <c r="N80" s="216">
        <v>0</v>
      </c>
      <c r="O80" s="216">
        <v>0</v>
      </c>
      <c r="P80" s="216"/>
      <c r="Q80" s="216">
        <v>0</v>
      </c>
      <c r="R80" s="7"/>
      <c r="S80" s="63">
        <f t="shared" si="4"/>
        <v>0</v>
      </c>
    </row>
    <row r="81" spans="1:19" ht="15.75" hidden="1" customHeight="1" outlineLevel="1" x14ac:dyDescent="0.25">
      <c r="A81" s="103" t="s">
        <v>969</v>
      </c>
      <c r="B81" s="103" t="s">
        <v>898</v>
      </c>
      <c r="C81" s="271"/>
      <c r="D81" s="216">
        <v>0</v>
      </c>
      <c r="E81" s="216">
        <v>0</v>
      </c>
      <c r="F81" s="216">
        <v>9360.9699999999993</v>
      </c>
      <c r="G81" s="216">
        <v>0</v>
      </c>
      <c r="H81" s="329"/>
      <c r="I81" s="216"/>
      <c r="J81" s="216"/>
      <c r="K81" s="270"/>
      <c r="L81" s="216">
        <v>0</v>
      </c>
      <c r="M81" s="216">
        <v>0</v>
      </c>
      <c r="N81" s="216">
        <v>0</v>
      </c>
      <c r="O81" s="216">
        <v>0</v>
      </c>
      <c r="P81" s="216"/>
      <c r="Q81" s="216">
        <v>0</v>
      </c>
      <c r="R81" s="7"/>
      <c r="S81" s="63">
        <f t="shared" si="4"/>
        <v>0</v>
      </c>
    </row>
    <row r="82" spans="1:19" ht="15.75" hidden="1" customHeight="1" outlineLevel="1" x14ac:dyDescent="0.25">
      <c r="A82" s="103" t="s">
        <v>970</v>
      </c>
      <c r="B82" s="103" t="s">
        <v>277</v>
      </c>
      <c r="C82" s="271"/>
      <c r="D82" s="216">
        <v>0</v>
      </c>
      <c r="E82" s="216">
        <v>0</v>
      </c>
      <c r="F82" s="216">
        <v>18561</v>
      </c>
      <c r="G82" s="216">
        <v>17027.62</v>
      </c>
      <c r="H82" s="329"/>
      <c r="I82" s="216"/>
      <c r="J82" s="216"/>
      <c r="K82" s="270"/>
      <c r="L82" s="216">
        <v>9054.5499999999993</v>
      </c>
      <c r="M82" s="216">
        <v>5007.63</v>
      </c>
      <c r="N82" s="216">
        <v>0</v>
      </c>
      <c r="O82" s="216">
        <v>0</v>
      </c>
      <c r="P82" s="216"/>
      <c r="Q82" s="216">
        <v>0</v>
      </c>
      <c r="R82" s="7"/>
      <c r="S82" s="63">
        <f t="shared" si="4"/>
        <v>0</v>
      </c>
    </row>
    <row r="83" spans="1:19" ht="15.75" hidden="1" customHeight="1" outlineLevel="1" x14ac:dyDescent="0.25">
      <c r="A83" s="103" t="s">
        <v>971</v>
      </c>
      <c r="B83" s="103" t="s">
        <v>84</v>
      </c>
      <c r="C83" s="271"/>
      <c r="D83" s="216">
        <v>0</v>
      </c>
      <c r="E83" s="216">
        <v>0</v>
      </c>
      <c r="F83" s="216">
        <v>11926.29</v>
      </c>
      <c r="G83" s="216">
        <v>7584.18</v>
      </c>
      <c r="H83" s="329"/>
      <c r="I83" s="216"/>
      <c r="J83" s="216"/>
      <c r="K83" s="270"/>
      <c r="L83" s="216">
        <v>7493</v>
      </c>
      <c r="M83" s="216">
        <v>6788.77</v>
      </c>
      <c r="N83" s="216">
        <v>0</v>
      </c>
      <c r="O83" s="216">
        <v>0</v>
      </c>
      <c r="P83" s="216"/>
      <c r="Q83" s="216">
        <v>0</v>
      </c>
      <c r="R83" s="7"/>
      <c r="S83" s="63">
        <f t="shared" si="4"/>
        <v>0</v>
      </c>
    </row>
    <row r="84" spans="1:19" ht="15.75" hidden="1" customHeight="1" outlineLevel="1" x14ac:dyDescent="0.25">
      <c r="A84" s="103" t="s">
        <v>972</v>
      </c>
      <c r="B84" s="103" t="s">
        <v>210</v>
      </c>
      <c r="C84" s="271"/>
      <c r="D84" s="216">
        <v>0</v>
      </c>
      <c r="E84" s="216">
        <v>0</v>
      </c>
      <c r="F84" s="216">
        <v>19463.38</v>
      </c>
      <c r="G84" s="216">
        <v>17566.689999999999</v>
      </c>
      <c r="H84" s="329"/>
      <c r="I84" s="216"/>
      <c r="J84" s="216"/>
      <c r="K84" s="270"/>
      <c r="L84" s="216">
        <v>15910.43</v>
      </c>
      <c r="M84" s="216">
        <v>6965.18</v>
      </c>
      <c r="N84" s="216">
        <v>0</v>
      </c>
      <c r="O84" s="216">
        <v>0</v>
      </c>
      <c r="P84" s="216"/>
      <c r="Q84" s="216">
        <v>0</v>
      </c>
      <c r="R84" s="7"/>
      <c r="S84" s="63">
        <f t="shared" si="4"/>
        <v>0</v>
      </c>
    </row>
    <row r="85" spans="1:19" ht="15.75" hidden="1" customHeight="1" outlineLevel="1" x14ac:dyDescent="0.25">
      <c r="A85" s="103" t="s">
        <v>973</v>
      </c>
      <c r="B85" s="103" t="s">
        <v>86</v>
      </c>
      <c r="C85" s="271"/>
      <c r="D85" s="216">
        <v>0</v>
      </c>
      <c r="E85" s="216">
        <v>0</v>
      </c>
      <c r="F85" s="216">
        <v>53610.98</v>
      </c>
      <c r="G85" s="216">
        <v>31652.080000000002</v>
      </c>
      <c r="H85" s="329"/>
      <c r="I85" s="216"/>
      <c r="J85" s="216"/>
      <c r="K85" s="270"/>
      <c r="L85" s="216">
        <v>33601.410000000003</v>
      </c>
      <c r="M85" s="216">
        <v>36232.79</v>
      </c>
      <c r="N85" s="216">
        <v>0</v>
      </c>
      <c r="O85" s="216">
        <v>0</v>
      </c>
      <c r="P85" s="216"/>
      <c r="Q85" s="216">
        <v>0</v>
      </c>
      <c r="R85" s="7"/>
      <c r="S85" s="63">
        <f t="shared" si="4"/>
        <v>0</v>
      </c>
    </row>
    <row r="86" spans="1:19" ht="15.75" hidden="1" customHeight="1" outlineLevel="1" x14ac:dyDescent="0.25">
      <c r="A86" s="103" t="s">
        <v>974</v>
      </c>
      <c r="B86" s="103" t="s">
        <v>88</v>
      </c>
      <c r="C86" s="271"/>
      <c r="D86" s="216">
        <v>0</v>
      </c>
      <c r="E86" s="216">
        <v>0</v>
      </c>
      <c r="F86" s="216">
        <v>22651.39</v>
      </c>
      <c r="G86" s="216">
        <v>24293.85</v>
      </c>
      <c r="H86" s="329"/>
      <c r="I86" s="216"/>
      <c r="J86" s="216"/>
      <c r="K86" s="270"/>
      <c r="L86" s="216">
        <v>33746.379999999997</v>
      </c>
      <c r="M86" s="216">
        <v>25981.279999999999</v>
      </c>
      <c r="N86" s="216">
        <v>0</v>
      </c>
      <c r="O86" s="216">
        <v>0</v>
      </c>
      <c r="P86" s="216"/>
      <c r="Q86" s="216">
        <v>0</v>
      </c>
      <c r="R86" s="7"/>
      <c r="S86" s="63">
        <f t="shared" si="4"/>
        <v>0</v>
      </c>
    </row>
    <row r="87" spans="1:19" ht="15.75" hidden="1" customHeight="1" outlineLevel="1" x14ac:dyDescent="0.25">
      <c r="A87" s="103" t="s">
        <v>975</v>
      </c>
      <c r="B87" s="103" t="s">
        <v>90</v>
      </c>
      <c r="C87" s="271"/>
      <c r="D87" s="216">
        <v>0</v>
      </c>
      <c r="E87" s="216">
        <v>0</v>
      </c>
      <c r="F87" s="216">
        <v>4797.5</v>
      </c>
      <c r="G87" s="216">
        <v>7703.65</v>
      </c>
      <c r="H87" s="329"/>
      <c r="I87" s="216"/>
      <c r="J87" s="216"/>
      <c r="K87" s="270"/>
      <c r="L87" s="216">
        <v>6539.32</v>
      </c>
      <c r="M87" s="216">
        <v>12792.41</v>
      </c>
      <c r="N87" s="216">
        <v>0</v>
      </c>
      <c r="O87" s="216">
        <v>0</v>
      </c>
      <c r="P87" s="216"/>
      <c r="Q87" s="216">
        <v>0</v>
      </c>
      <c r="R87" s="7"/>
      <c r="S87" s="63">
        <f t="shared" si="4"/>
        <v>0</v>
      </c>
    </row>
    <row r="88" spans="1:19" ht="15.75" hidden="1" customHeight="1" outlineLevel="1" x14ac:dyDescent="0.25">
      <c r="A88" s="103" t="s">
        <v>976</v>
      </c>
      <c r="B88" s="103" t="s">
        <v>906</v>
      </c>
      <c r="C88" s="271"/>
      <c r="D88" s="216">
        <v>0</v>
      </c>
      <c r="E88" s="216">
        <v>0</v>
      </c>
      <c r="F88" s="216">
        <v>664.16</v>
      </c>
      <c r="G88" s="216">
        <v>0</v>
      </c>
      <c r="H88" s="329"/>
      <c r="I88" s="216"/>
      <c r="J88" s="216"/>
      <c r="K88" s="270"/>
      <c r="L88" s="216">
        <v>0</v>
      </c>
      <c r="M88" s="216">
        <v>0</v>
      </c>
      <c r="N88" s="216">
        <v>0</v>
      </c>
      <c r="O88" s="216">
        <v>0</v>
      </c>
      <c r="P88" s="216"/>
      <c r="Q88" s="216">
        <v>0</v>
      </c>
      <c r="R88" s="7"/>
      <c r="S88" s="63">
        <f t="shared" si="4"/>
        <v>0</v>
      </c>
    </row>
    <row r="89" spans="1:19" ht="15.75" hidden="1" customHeight="1" outlineLevel="1" x14ac:dyDescent="0.25">
      <c r="A89" s="103" t="s">
        <v>977</v>
      </c>
      <c r="B89" s="103" t="s">
        <v>908</v>
      </c>
      <c r="C89" s="271"/>
      <c r="D89" s="216">
        <v>0</v>
      </c>
      <c r="E89" s="216">
        <v>0</v>
      </c>
      <c r="F89" s="216">
        <v>497.55</v>
      </c>
      <c r="G89" s="216">
        <v>0</v>
      </c>
      <c r="H89" s="329"/>
      <c r="I89" s="216"/>
      <c r="J89" s="216"/>
      <c r="K89" s="270"/>
      <c r="L89" s="216">
        <v>0</v>
      </c>
      <c r="M89" s="216">
        <v>0</v>
      </c>
      <c r="N89" s="216">
        <v>0</v>
      </c>
      <c r="O89" s="216">
        <v>0</v>
      </c>
      <c r="P89" s="216"/>
      <c r="Q89" s="216">
        <v>0</v>
      </c>
      <c r="R89" s="7"/>
      <c r="S89" s="63">
        <f t="shared" si="4"/>
        <v>0</v>
      </c>
    </row>
    <row r="90" spans="1:19" ht="15.75" hidden="1" customHeight="1" outlineLevel="1" x14ac:dyDescent="0.25">
      <c r="A90" s="103" t="s">
        <v>978</v>
      </c>
      <c r="B90" s="103" t="s">
        <v>502</v>
      </c>
      <c r="C90" s="271"/>
      <c r="D90" s="216">
        <v>0</v>
      </c>
      <c r="E90" s="216">
        <v>0</v>
      </c>
      <c r="F90" s="216">
        <v>17540.990000000002</v>
      </c>
      <c r="G90" s="216">
        <v>7850.92</v>
      </c>
      <c r="H90" s="329"/>
      <c r="I90" s="216"/>
      <c r="J90" s="216"/>
      <c r="K90" s="270"/>
      <c r="L90" s="216">
        <v>6033.23</v>
      </c>
      <c r="M90" s="216">
        <v>8432.11</v>
      </c>
      <c r="N90" s="216">
        <v>0</v>
      </c>
      <c r="O90" s="216">
        <v>0</v>
      </c>
      <c r="P90" s="216"/>
      <c r="Q90" s="216">
        <v>0</v>
      </c>
      <c r="R90" s="7"/>
      <c r="S90" s="63">
        <f t="shared" si="4"/>
        <v>0</v>
      </c>
    </row>
    <row r="91" spans="1:19" ht="15.75" hidden="1" customHeight="1" outlineLevel="1" x14ac:dyDescent="0.25">
      <c r="A91" s="103" t="s">
        <v>979</v>
      </c>
      <c r="B91" s="103" t="s">
        <v>933</v>
      </c>
      <c r="C91" s="271"/>
      <c r="D91" s="216">
        <v>0</v>
      </c>
      <c r="E91" s="216">
        <v>0</v>
      </c>
      <c r="F91" s="216">
        <v>168.25</v>
      </c>
      <c r="G91" s="216">
        <v>0</v>
      </c>
      <c r="H91" s="329"/>
      <c r="I91" s="216"/>
      <c r="J91" s="216"/>
      <c r="K91" s="270"/>
      <c r="L91" s="216">
        <v>0</v>
      </c>
      <c r="M91" s="216">
        <v>0</v>
      </c>
      <c r="N91" s="216">
        <v>0</v>
      </c>
      <c r="O91" s="216">
        <v>0</v>
      </c>
      <c r="P91" s="216"/>
      <c r="Q91" s="216">
        <v>0</v>
      </c>
      <c r="R91" s="7"/>
      <c r="S91" s="63">
        <f t="shared" si="4"/>
        <v>0</v>
      </c>
    </row>
    <row r="92" spans="1:19" ht="15.75" hidden="1" customHeight="1" outlineLevel="1" x14ac:dyDescent="0.25">
      <c r="A92" s="103" t="s">
        <v>980</v>
      </c>
      <c r="B92" s="103" t="s">
        <v>92</v>
      </c>
      <c r="C92" s="271"/>
      <c r="D92" s="216">
        <v>0</v>
      </c>
      <c r="E92" s="216">
        <v>0</v>
      </c>
      <c r="F92" s="216">
        <v>0</v>
      </c>
      <c r="G92" s="216">
        <v>0</v>
      </c>
      <c r="H92" s="329"/>
      <c r="I92" s="216"/>
      <c r="J92" s="216"/>
      <c r="K92" s="270"/>
      <c r="L92" s="216">
        <v>10294.73</v>
      </c>
      <c r="M92" s="216">
        <v>10326.24</v>
      </c>
      <c r="N92" s="216">
        <v>0</v>
      </c>
      <c r="O92" s="216">
        <v>0</v>
      </c>
      <c r="P92" s="216"/>
      <c r="Q92" s="216">
        <v>0</v>
      </c>
      <c r="R92" s="7"/>
      <c r="S92" s="63">
        <f t="shared" si="4"/>
        <v>0</v>
      </c>
    </row>
    <row r="93" spans="1:19" ht="15.75" hidden="1" customHeight="1" outlineLevel="1" x14ac:dyDescent="0.25">
      <c r="A93" s="103" t="s">
        <v>981</v>
      </c>
      <c r="B93" s="103" t="s">
        <v>936</v>
      </c>
      <c r="C93" s="271"/>
      <c r="D93" s="216">
        <v>0</v>
      </c>
      <c r="E93" s="216">
        <v>0</v>
      </c>
      <c r="F93" s="216">
        <v>2407.37</v>
      </c>
      <c r="G93" s="216">
        <v>0</v>
      </c>
      <c r="H93" s="329"/>
      <c r="I93" s="216"/>
      <c r="J93" s="216"/>
      <c r="K93" s="270"/>
      <c r="L93" s="216">
        <v>0</v>
      </c>
      <c r="M93" s="216">
        <v>0</v>
      </c>
      <c r="N93" s="216">
        <v>0</v>
      </c>
      <c r="O93" s="216">
        <v>0</v>
      </c>
      <c r="P93" s="216"/>
      <c r="Q93" s="216">
        <v>0</v>
      </c>
      <c r="R93" s="7"/>
      <c r="S93" s="63">
        <f t="shared" si="4"/>
        <v>0</v>
      </c>
    </row>
    <row r="94" spans="1:19" ht="15.75" hidden="1" customHeight="1" outlineLevel="1" x14ac:dyDescent="0.25">
      <c r="A94" s="103" t="s">
        <v>982</v>
      </c>
      <c r="B94" s="103" t="s">
        <v>938</v>
      </c>
      <c r="C94" s="271"/>
      <c r="D94" s="216">
        <v>0</v>
      </c>
      <c r="E94" s="216">
        <v>0</v>
      </c>
      <c r="F94" s="216">
        <v>62154.11</v>
      </c>
      <c r="G94" s="216">
        <v>40272.82</v>
      </c>
      <c r="H94" s="329"/>
      <c r="I94" s="216"/>
      <c r="J94" s="216"/>
      <c r="K94" s="270"/>
      <c r="L94" s="216">
        <v>42906.87</v>
      </c>
      <c r="M94" s="216">
        <v>55752.36</v>
      </c>
      <c r="N94" s="216">
        <v>0</v>
      </c>
      <c r="O94" s="216">
        <v>0</v>
      </c>
      <c r="P94" s="216"/>
      <c r="Q94" s="216">
        <v>0</v>
      </c>
      <c r="R94" s="7"/>
      <c r="S94" s="63">
        <f t="shared" si="4"/>
        <v>0</v>
      </c>
    </row>
    <row r="95" spans="1:19" ht="15.75" hidden="1" customHeight="1" outlineLevel="1" x14ac:dyDescent="0.25">
      <c r="A95" s="103" t="s">
        <v>983</v>
      </c>
      <c r="B95" s="103" t="s">
        <v>940</v>
      </c>
      <c r="C95" s="271"/>
      <c r="D95" s="216">
        <v>0</v>
      </c>
      <c r="E95" s="216">
        <v>0</v>
      </c>
      <c r="F95" s="216">
        <v>32096.18</v>
      </c>
      <c r="G95" s="216">
        <v>82.75</v>
      </c>
      <c r="H95" s="329"/>
      <c r="I95" s="216"/>
      <c r="J95" s="216"/>
      <c r="K95" s="270"/>
      <c r="L95" s="216">
        <v>20365.89</v>
      </c>
      <c r="M95" s="216">
        <v>19767.310000000001</v>
      </c>
      <c r="N95" s="216">
        <v>0</v>
      </c>
      <c r="O95" s="216">
        <v>0</v>
      </c>
      <c r="P95" s="216"/>
      <c r="Q95" s="216">
        <v>0</v>
      </c>
      <c r="R95" s="7"/>
      <c r="S95" s="63">
        <f t="shared" si="4"/>
        <v>0</v>
      </c>
    </row>
    <row r="96" spans="1:19" ht="15.75" hidden="1" customHeight="1" outlineLevel="1" x14ac:dyDescent="0.25">
      <c r="A96" s="103" t="s">
        <v>984</v>
      </c>
      <c r="B96" s="103" t="s">
        <v>942</v>
      </c>
      <c r="C96" s="270"/>
      <c r="D96" s="216">
        <v>0</v>
      </c>
      <c r="E96" s="216">
        <v>0</v>
      </c>
      <c r="F96" s="216">
        <v>0</v>
      </c>
      <c r="G96" s="216">
        <v>914.52</v>
      </c>
      <c r="H96" s="329"/>
      <c r="I96" s="216"/>
      <c r="J96" s="216"/>
      <c r="K96" s="270"/>
      <c r="L96" s="216">
        <v>391.04</v>
      </c>
      <c r="M96" s="216">
        <v>-1510.36</v>
      </c>
      <c r="N96" s="216">
        <v>527.4</v>
      </c>
      <c r="O96" s="216">
        <v>0</v>
      </c>
      <c r="P96" s="216"/>
      <c r="Q96" s="216">
        <v>0</v>
      </c>
      <c r="R96" s="7"/>
      <c r="S96" s="63">
        <f t="shared" si="4"/>
        <v>0</v>
      </c>
    </row>
    <row r="97" spans="1:31" ht="15.75" hidden="1" customHeight="1" outlineLevel="1" x14ac:dyDescent="0.25">
      <c r="A97" s="103" t="s">
        <v>985</v>
      </c>
      <c r="B97" s="103" t="s">
        <v>944</v>
      </c>
      <c r="C97" s="270"/>
      <c r="D97" s="216">
        <v>0</v>
      </c>
      <c r="E97" s="216">
        <v>0</v>
      </c>
      <c r="F97" s="216">
        <v>9990</v>
      </c>
      <c r="G97" s="216">
        <v>0</v>
      </c>
      <c r="H97" s="329"/>
      <c r="I97" s="216"/>
      <c r="J97" s="216"/>
      <c r="K97" s="270"/>
      <c r="L97" s="216">
        <v>0</v>
      </c>
      <c r="M97" s="216">
        <v>0</v>
      </c>
      <c r="N97" s="216">
        <v>0</v>
      </c>
      <c r="O97" s="216">
        <v>0</v>
      </c>
      <c r="P97" s="216"/>
      <c r="Q97" s="216">
        <v>0</v>
      </c>
      <c r="R97" s="7"/>
      <c r="S97" s="63">
        <f t="shared" si="4"/>
        <v>0</v>
      </c>
    </row>
    <row r="98" spans="1:31" ht="15.75" hidden="1" customHeight="1" outlineLevel="1" x14ac:dyDescent="0.25">
      <c r="A98" s="103" t="s">
        <v>986</v>
      </c>
      <c r="B98" s="103" t="s">
        <v>94</v>
      </c>
      <c r="C98" s="270"/>
      <c r="D98" s="216">
        <v>0</v>
      </c>
      <c r="E98" s="216">
        <v>0</v>
      </c>
      <c r="F98" s="216">
        <v>1111.82</v>
      </c>
      <c r="G98" s="216">
        <v>972.68</v>
      </c>
      <c r="H98" s="329"/>
      <c r="I98" s="216"/>
      <c r="J98" s="216"/>
      <c r="K98" s="270"/>
      <c r="L98" s="216">
        <v>38.86</v>
      </c>
      <c r="M98" s="216">
        <v>0</v>
      </c>
      <c r="N98" s="216">
        <v>0</v>
      </c>
      <c r="O98" s="216">
        <v>0</v>
      </c>
      <c r="P98" s="216"/>
      <c r="Q98" s="216">
        <v>0</v>
      </c>
      <c r="R98" s="7"/>
      <c r="S98" s="63">
        <f t="shared" si="4"/>
        <v>0</v>
      </c>
    </row>
    <row r="99" spans="1:31" ht="15.75" hidden="1" customHeight="1" outlineLevel="1" x14ac:dyDescent="0.25">
      <c r="A99" s="103" t="s">
        <v>987</v>
      </c>
      <c r="B99" s="103" t="s">
        <v>947</v>
      </c>
      <c r="C99" s="271"/>
      <c r="D99" s="216">
        <v>0</v>
      </c>
      <c r="E99" s="216">
        <v>0</v>
      </c>
      <c r="F99" s="216">
        <v>6336.63</v>
      </c>
      <c r="G99" s="216">
        <v>0</v>
      </c>
      <c r="H99" s="329"/>
      <c r="I99" s="216"/>
      <c r="J99" s="216"/>
      <c r="K99" s="270"/>
      <c r="L99" s="216">
        <v>0</v>
      </c>
      <c r="M99" s="216">
        <v>0</v>
      </c>
      <c r="N99" s="216">
        <v>0</v>
      </c>
      <c r="O99" s="216">
        <v>0</v>
      </c>
      <c r="P99" s="216"/>
      <c r="Q99" s="216">
        <v>0</v>
      </c>
      <c r="R99" s="7"/>
      <c r="S99" s="63">
        <f t="shared" si="4"/>
        <v>0</v>
      </c>
    </row>
    <row r="100" spans="1:31" ht="15.75" hidden="1" customHeight="1" outlineLevel="1" x14ac:dyDescent="0.25">
      <c r="A100" s="103" t="s">
        <v>988</v>
      </c>
      <c r="B100" s="103" t="s">
        <v>949</v>
      </c>
      <c r="C100" s="271"/>
      <c r="D100" s="216">
        <v>0</v>
      </c>
      <c r="E100" s="216">
        <v>0</v>
      </c>
      <c r="F100" s="216">
        <v>2331.73</v>
      </c>
      <c r="G100" s="216">
        <v>0</v>
      </c>
      <c r="H100" s="329"/>
      <c r="I100" s="216"/>
      <c r="J100" s="216"/>
      <c r="K100" s="270"/>
      <c r="L100" s="216">
        <v>0</v>
      </c>
      <c r="M100" s="216">
        <v>0</v>
      </c>
      <c r="N100" s="216">
        <v>0</v>
      </c>
      <c r="O100" s="216">
        <v>0</v>
      </c>
      <c r="P100" s="216"/>
      <c r="Q100" s="216">
        <v>0</v>
      </c>
      <c r="R100" s="7"/>
      <c r="S100" s="63">
        <f t="shared" si="4"/>
        <v>0</v>
      </c>
    </row>
    <row r="101" spans="1:31" ht="15.75" hidden="1" customHeight="1" outlineLevel="1" x14ac:dyDescent="0.25">
      <c r="A101" s="103" t="s">
        <v>989</v>
      </c>
      <c r="B101" s="103" t="s">
        <v>951</v>
      </c>
      <c r="C101" s="270"/>
      <c r="D101" s="216">
        <v>0</v>
      </c>
      <c r="E101" s="216">
        <v>0</v>
      </c>
      <c r="F101" s="216">
        <v>10938.53</v>
      </c>
      <c r="G101" s="216">
        <v>0</v>
      </c>
      <c r="H101" s="329"/>
      <c r="I101" s="216"/>
      <c r="J101" s="216"/>
      <c r="K101" s="270"/>
      <c r="L101" s="216">
        <v>0</v>
      </c>
      <c r="M101" s="216">
        <v>0</v>
      </c>
      <c r="N101" s="216">
        <v>0</v>
      </c>
      <c r="O101" s="216">
        <v>0</v>
      </c>
      <c r="P101" s="216"/>
      <c r="Q101" s="216">
        <v>0</v>
      </c>
      <c r="R101" s="7"/>
      <c r="S101" s="63">
        <f t="shared" si="4"/>
        <v>0</v>
      </c>
    </row>
    <row r="102" spans="1:31" ht="15.75" hidden="1" customHeight="1" outlineLevel="1" x14ac:dyDescent="0.25">
      <c r="A102" s="103" t="s">
        <v>990</v>
      </c>
      <c r="B102" s="103" t="s">
        <v>953</v>
      </c>
      <c r="C102" s="271"/>
      <c r="D102" s="216">
        <v>0</v>
      </c>
      <c r="E102" s="216">
        <v>0</v>
      </c>
      <c r="F102" s="216">
        <v>5121.49</v>
      </c>
      <c r="G102" s="216">
        <v>0</v>
      </c>
      <c r="H102" s="329"/>
      <c r="I102" s="216"/>
      <c r="J102" s="216"/>
      <c r="K102" s="270"/>
      <c r="L102" s="216">
        <v>0</v>
      </c>
      <c r="M102" s="216">
        <v>0</v>
      </c>
      <c r="N102" s="216">
        <v>0</v>
      </c>
      <c r="O102" s="216">
        <v>0</v>
      </c>
      <c r="P102" s="216"/>
      <c r="Q102" s="216">
        <v>0</v>
      </c>
      <c r="R102" s="7"/>
      <c r="S102" s="63">
        <f t="shared" si="4"/>
        <v>0</v>
      </c>
    </row>
    <row r="103" spans="1:31" ht="15.75" hidden="1" customHeight="1" outlineLevel="1" x14ac:dyDescent="0.25">
      <c r="A103" s="103" t="s">
        <v>991</v>
      </c>
      <c r="B103" s="103" t="s">
        <v>180</v>
      </c>
      <c r="C103" s="271"/>
      <c r="D103" s="216">
        <v>0</v>
      </c>
      <c r="E103" s="216">
        <v>0</v>
      </c>
      <c r="F103" s="216">
        <v>182186.3</v>
      </c>
      <c r="G103" s="216">
        <v>18531.25</v>
      </c>
      <c r="H103" s="329"/>
      <c r="I103" s="216"/>
      <c r="J103" s="216"/>
      <c r="K103" s="270"/>
      <c r="L103" s="216">
        <v>24570.34</v>
      </c>
      <c r="M103" s="216">
        <v>0</v>
      </c>
      <c r="N103" s="216">
        <v>0</v>
      </c>
      <c r="O103" s="216">
        <v>0</v>
      </c>
      <c r="P103" s="216"/>
      <c r="Q103" s="216">
        <v>0</v>
      </c>
      <c r="R103" s="7"/>
      <c r="S103" s="63">
        <f t="shared" si="4"/>
        <v>0</v>
      </c>
    </row>
    <row r="104" spans="1:31" ht="15.75" hidden="1" customHeight="1" outlineLevel="1" x14ac:dyDescent="0.25">
      <c r="A104" s="103" t="s">
        <v>992</v>
      </c>
      <c r="B104" s="103" t="s">
        <v>99</v>
      </c>
      <c r="C104" s="271"/>
      <c r="D104" s="216">
        <v>0</v>
      </c>
      <c r="E104" s="216">
        <v>0</v>
      </c>
      <c r="F104" s="216">
        <v>108929.4</v>
      </c>
      <c r="G104" s="216">
        <v>150823.67000000001</v>
      </c>
      <c r="H104" s="329"/>
      <c r="I104" s="216"/>
      <c r="J104" s="216"/>
      <c r="K104" s="270"/>
      <c r="L104" s="216">
        <v>87317.06</v>
      </c>
      <c r="M104" s="216">
        <v>72793.56</v>
      </c>
      <c r="N104" s="216">
        <v>0</v>
      </c>
      <c r="O104" s="216">
        <v>0</v>
      </c>
      <c r="P104" s="216"/>
      <c r="Q104" s="216">
        <v>0</v>
      </c>
      <c r="R104" s="7"/>
      <c r="S104" s="63">
        <f t="shared" si="4"/>
        <v>0</v>
      </c>
    </row>
    <row r="105" spans="1:31" ht="15.75" hidden="1" customHeight="1" outlineLevel="1" x14ac:dyDescent="0.25">
      <c r="A105" s="47"/>
      <c r="B105" s="48"/>
      <c r="C105" s="331"/>
      <c r="D105" s="12"/>
      <c r="E105" s="12"/>
      <c r="F105" s="12"/>
      <c r="G105" s="12"/>
      <c r="H105" s="226"/>
      <c r="I105" s="12"/>
      <c r="J105" s="12"/>
      <c r="K105" s="49"/>
      <c r="L105" s="12"/>
      <c r="M105" s="12"/>
      <c r="N105" s="12"/>
      <c r="O105" s="12"/>
      <c r="P105" s="12"/>
      <c r="Q105" s="12"/>
      <c r="R105" s="12"/>
      <c r="S105" s="63">
        <f t="shared" si="4"/>
        <v>0</v>
      </c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</row>
    <row r="106" spans="1:31" ht="15.75" hidden="1" customHeight="1" outlineLevel="1" x14ac:dyDescent="0.25">
      <c r="A106" s="314" t="s">
        <v>993</v>
      </c>
      <c r="B106" s="45" t="s">
        <v>70</v>
      </c>
      <c r="C106" s="46"/>
      <c r="D106" s="7">
        <v>142.19999999999999</v>
      </c>
      <c r="E106" s="216">
        <v>164.52</v>
      </c>
      <c r="F106" s="216">
        <v>0</v>
      </c>
      <c r="G106" s="216">
        <v>0</v>
      </c>
      <c r="H106" s="329"/>
      <c r="I106" s="216"/>
      <c r="J106" s="216"/>
      <c r="K106" s="270"/>
      <c r="L106" s="216">
        <v>0</v>
      </c>
      <c r="M106" s="216">
        <v>0</v>
      </c>
      <c r="N106" s="216">
        <v>0</v>
      </c>
      <c r="O106" s="216">
        <v>0</v>
      </c>
      <c r="P106" s="216"/>
      <c r="Q106" s="216">
        <v>0</v>
      </c>
      <c r="R106" s="12"/>
      <c r="S106" s="63">
        <f t="shared" si="4"/>
        <v>0</v>
      </c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</row>
    <row r="107" spans="1:31" ht="15.75" hidden="1" customHeight="1" outlineLevel="1" x14ac:dyDescent="0.25">
      <c r="A107" s="314" t="s">
        <v>994</v>
      </c>
      <c r="B107" s="45" t="s">
        <v>132</v>
      </c>
      <c r="C107" s="46"/>
      <c r="D107" s="7">
        <v>99848.98</v>
      </c>
      <c r="E107" s="216">
        <v>114068.8</v>
      </c>
      <c r="F107" s="216">
        <v>0</v>
      </c>
      <c r="G107" s="216">
        <v>0</v>
      </c>
      <c r="H107" s="329"/>
      <c r="I107" s="216"/>
      <c r="J107" s="216"/>
      <c r="K107" s="270"/>
      <c r="L107" s="216">
        <v>0</v>
      </c>
      <c r="M107" s="216">
        <v>0</v>
      </c>
      <c r="N107" s="216">
        <v>0</v>
      </c>
      <c r="O107" s="216">
        <v>0</v>
      </c>
      <c r="P107" s="216"/>
      <c r="Q107" s="216">
        <v>0</v>
      </c>
      <c r="R107" s="12"/>
      <c r="S107" s="63">
        <f t="shared" si="4"/>
        <v>0</v>
      </c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</row>
    <row r="108" spans="1:31" ht="15.75" hidden="1" customHeight="1" outlineLevel="1" x14ac:dyDescent="0.25">
      <c r="A108" s="314" t="s">
        <v>995</v>
      </c>
      <c r="B108" s="45" t="s">
        <v>72</v>
      </c>
      <c r="C108" s="46"/>
      <c r="D108" s="7">
        <v>9909.3799999999992</v>
      </c>
      <c r="E108" s="216">
        <v>114068.8</v>
      </c>
      <c r="F108" s="216">
        <v>0</v>
      </c>
      <c r="G108" s="216">
        <v>0</v>
      </c>
      <c r="H108" s="329"/>
      <c r="I108" s="216"/>
      <c r="J108" s="216"/>
      <c r="K108" s="270"/>
      <c r="L108" s="216">
        <v>0</v>
      </c>
      <c r="M108" s="216">
        <v>0</v>
      </c>
      <c r="N108" s="216">
        <v>0</v>
      </c>
      <c r="O108" s="216">
        <v>0</v>
      </c>
      <c r="P108" s="216"/>
      <c r="Q108" s="216">
        <v>0</v>
      </c>
      <c r="R108" s="12"/>
      <c r="S108" s="63">
        <f t="shared" si="4"/>
        <v>0</v>
      </c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</row>
    <row r="109" spans="1:31" ht="15.75" hidden="1" customHeight="1" outlineLevel="1" x14ac:dyDescent="0.25">
      <c r="A109" s="314" t="s">
        <v>996</v>
      </c>
      <c r="B109" s="45" t="s">
        <v>74</v>
      </c>
      <c r="C109" s="46"/>
      <c r="D109" s="7">
        <v>133.25</v>
      </c>
      <c r="E109" s="216">
        <v>0</v>
      </c>
      <c r="F109" s="216">
        <v>0</v>
      </c>
      <c r="G109" s="216">
        <v>0</v>
      </c>
      <c r="H109" s="329"/>
      <c r="I109" s="216"/>
      <c r="J109" s="216"/>
      <c r="K109" s="270"/>
      <c r="L109" s="216">
        <v>0</v>
      </c>
      <c r="M109" s="216">
        <v>0</v>
      </c>
      <c r="N109" s="216">
        <v>0</v>
      </c>
      <c r="O109" s="216">
        <v>0</v>
      </c>
      <c r="P109" s="216"/>
      <c r="Q109" s="216">
        <v>0</v>
      </c>
      <c r="R109" s="12"/>
      <c r="S109" s="63">
        <f t="shared" si="4"/>
        <v>0</v>
      </c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</row>
    <row r="110" spans="1:31" ht="15.75" hidden="1" customHeight="1" outlineLevel="1" x14ac:dyDescent="0.25">
      <c r="A110" s="314" t="s">
        <v>997</v>
      </c>
      <c r="B110" s="45" t="s">
        <v>76</v>
      </c>
      <c r="C110" s="46"/>
      <c r="D110" s="7">
        <v>2564</v>
      </c>
      <c r="E110" s="216">
        <v>5382.56</v>
      </c>
      <c r="F110" s="216">
        <v>0</v>
      </c>
      <c r="G110" s="216">
        <v>0</v>
      </c>
      <c r="H110" s="329"/>
      <c r="I110" s="216"/>
      <c r="J110" s="216"/>
      <c r="K110" s="270"/>
      <c r="L110" s="216">
        <v>0</v>
      </c>
      <c r="M110" s="216">
        <v>0</v>
      </c>
      <c r="N110" s="216">
        <v>0</v>
      </c>
      <c r="O110" s="216">
        <v>0</v>
      </c>
      <c r="P110" s="216"/>
      <c r="Q110" s="216">
        <v>0</v>
      </c>
      <c r="R110" s="12"/>
      <c r="S110" s="63">
        <f t="shared" si="4"/>
        <v>0</v>
      </c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</row>
    <row r="111" spans="1:31" ht="15.75" hidden="1" customHeight="1" outlineLevel="1" x14ac:dyDescent="0.25">
      <c r="A111" s="314" t="s">
        <v>998</v>
      </c>
      <c r="B111" s="45" t="s">
        <v>80</v>
      </c>
      <c r="C111" s="46"/>
      <c r="D111" s="7">
        <v>200.86</v>
      </c>
      <c r="E111" s="216">
        <v>149.78</v>
      </c>
      <c r="F111" s="216">
        <v>0</v>
      </c>
      <c r="G111" s="216">
        <v>0</v>
      </c>
      <c r="H111" s="329"/>
      <c r="I111" s="216"/>
      <c r="J111" s="216"/>
      <c r="K111" s="270"/>
      <c r="L111" s="216">
        <v>0</v>
      </c>
      <c r="M111" s="216">
        <v>0</v>
      </c>
      <c r="N111" s="216">
        <v>0</v>
      </c>
      <c r="O111" s="216">
        <v>0</v>
      </c>
      <c r="P111" s="216"/>
      <c r="Q111" s="216">
        <v>0</v>
      </c>
      <c r="R111" s="12"/>
      <c r="S111" s="63">
        <f t="shared" si="4"/>
        <v>0</v>
      </c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</row>
    <row r="112" spans="1:31" ht="15.75" hidden="1" customHeight="1" outlineLevel="1" x14ac:dyDescent="0.25">
      <c r="A112" s="314" t="s">
        <v>999</v>
      </c>
      <c r="B112" s="45" t="s">
        <v>82</v>
      </c>
      <c r="C112" s="46"/>
      <c r="D112" s="7">
        <v>3628.04</v>
      </c>
      <c r="E112" s="216">
        <v>1884.81</v>
      </c>
      <c r="F112" s="216">
        <v>0</v>
      </c>
      <c r="G112" s="216">
        <v>0</v>
      </c>
      <c r="H112" s="329"/>
      <c r="I112" s="216"/>
      <c r="J112" s="216"/>
      <c r="K112" s="270"/>
      <c r="L112" s="216">
        <v>0</v>
      </c>
      <c r="M112" s="216">
        <v>0</v>
      </c>
      <c r="N112" s="216">
        <v>0</v>
      </c>
      <c r="O112" s="216">
        <v>0</v>
      </c>
      <c r="P112" s="216"/>
      <c r="Q112" s="216">
        <v>0</v>
      </c>
      <c r="R112" s="12"/>
      <c r="S112" s="63">
        <f t="shared" si="4"/>
        <v>0</v>
      </c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</row>
    <row r="113" spans="1:31" ht="15.75" hidden="1" customHeight="1" outlineLevel="1" x14ac:dyDescent="0.25">
      <c r="A113" s="314" t="s">
        <v>1000</v>
      </c>
      <c r="B113" s="45" t="s">
        <v>115</v>
      </c>
      <c r="C113" s="46"/>
      <c r="D113" s="7">
        <v>1065.47</v>
      </c>
      <c r="E113" s="216">
        <v>6951.1</v>
      </c>
      <c r="F113" s="216">
        <v>0</v>
      </c>
      <c r="G113" s="216">
        <v>0</v>
      </c>
      <c r="H113" s="329"/>
      <c r="I113" s="216"/>
      <c r="J113" s="216"/>
      <c r="K113" s="270"/>
      <c r="L113" s="216">
        <v>0</v>
      </c>
      <c r="M113" s="216">
        <v>0</v>
      </c>
      <c r="N113" s="216">
        <v>0</v>
      </c>
      <c r="O113" s="216">
        <v>0</v>
      </c>
      <c r="P113" s="216"/>
      <c r="Q113" s="216">
        <v>0</v>
      </c>
      <c r="R113" s="12"/>
      <c r="S113" s="63">
        <f t="shared" si="4"/>
        <v>0</v>
      </c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</row>
    <row r="114" spans="1:31" ht="15.75" hidden="1" customHeight="1" outlineLevel="1" x14ac:dyDescent="0.25">
      <c r="A114" s="314" t="s">
        <v>1001</v>
      </c>
      <c r="B114" s="45" t="s">
        <v>277</v>
      </c>
      <c r="C114" s="46"/>
      <c r="D114" s="7">
        <v>5147.92</v>
      </c>
      <c r="E114" s="216">
        <v>5902.12</v>
      </c>
      <c r="F114" s="216">
        <v>0</v>
      </c>
      <c r="G114" s="216">
        <v>0</v>
      </c>
      <c r="H114" s="329"/>
      <c r="I114" s="216"/>
      <c r="J114" s="216"/>
      <c r="K114" s="270"/>
      <c r="L114" s="216">
        <v>0</v>
      </c>
      <c r="M114" s="216">
        <v>0</v>
      </c>
      <c r="N114" s="216">
        <v>0</v>
      </c>
      <c r="O114" s="216">
        <v>0</v>
      </c>
      <c r="P114" s="216"/>
      <c r="Q114" s="216">
        <v>0</v>
      </c>
      <c r="R114" s="12"/>
      <c r="S114" s="63">
        <f t="shared" si="4"/>
        <v>0</v>
      </c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</row>
    <row r="115" spans="1:31" ht="15.75" hidden="1" customHeight="1" outlineLevel="1" x14ac:dyDescent="0.25">
      <c r="A115" s="314" t="s">
        <v>1002</v>
      </c>
      <c r="B115" s="45" t="s">
        <v>84</v>
      </c>
      <c r="C115" s="46"/>
      <c r="D115" s="7">
        <v>12843.05</v>
      </c>
      <c r="E115" s="216">
        <v>11795.31</v>
      </c>
      <c r="F115" s="216">
        <v>0</v>
      </c>
      <c r="G115" s="216">
        <v>0</v>
      </c>
      <c r="H115" s="329"/>
      <c r="I115" s="216"/>
      <c r="J115" s="216"/>
      <c r="K115" s="270"/>
      <c r="L115" s="216">
        <v>0</v>
      </c>
      <c r="M115" s="216">
        <v>0</v>
      </c>
      <c r="N115" s="216">
        <v>0</v>
      </c>
      <c r="O115" s="216">
        <v>0</v>
      </c>
      <c r="P115" s="216"/>
      <c r="Q115" s="216">
        <v>0</v>
      </c>
      <c r="R115" s="12"/>
      <c r="S115" s="63">
        <f t="shared" si="4"/>
        <v>0</v>
      </c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</row>
    <row r="116" spans="1:31" ht="15.75" hidden="1" customHeight="1" outlineLevel="1" x14ac:dyDescent="0.25">
      <c r="A116" s="314" t="s">
        <v>1003</v>
      </c>
      <c r="B116" s="45" t="s">
        <v>210</v>
      </c>
      <c r="C116" s="46"/>
      <c r="D116" s="7">
        <v>3950.83</v>
      </c>
      <c r="E116" s="216">
        <v>651.33000000000004</v>
      </c>
      <c r="F116" s="216">
        <v>0</v>
      </c>
      <c r="G116" s="216">
        <v>0</v>
      </c>
      <c r="H116" s="329"/>
      <c r="I116" s="216"/>
      <c r="J116" s="216"/>
      <c r="K116" s="270"/>
      <c r="L116" s="216">
        <v>0</v>
      </c>
      <c r="M116" s="216">
        <v>0</v>
      </c>
      <c r="N116" s="216">
        <v>0</v>
      </c>
      <c r="O116" s="216">
        <v>0</v>
      </c>
      <c r="P116" s="216"/>
      <c r="Q116" s="216">
        <v>0</v>
      </c>
      <c r="R116" s="12"/>
      <c r="S116" s="63">
        <f t="shared" si="4"/>
        <v>0</v>
      </c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</row>
    <row r="117" spans="1:31" ht="15.75" hidden="1" customHeight="1" outlineLevel="1" x14ac:dyDescent="0.25">
      <c r="A117" s="314" t="s">
        <v>1004</v>
      </c>
      <c r="B117" s="45" t="s">
        <v>1005</v>
      </c>
      <c r="C117" s="46"/>
      <c r="D117" s="7">
        <v>7000</v>
      </c>
      <c r="E117" s="216">
        <v>7000</v>
      </c>
      <c r="F117" s="216">
        <v>0</v>
      </c>
      <c r="G117" s="216">
        <v>0</v>
      </c>
      <c r="H117" s="329"/>
      <c r="I117" s="216"/>
      <c r="J117" s="216"/>
      <c r="K117" s="270"/>
      <c r="L117" s="216">
        <v>0</v>
      </c>
      <c r="M117" s="216">
        <v>0</v>
      </c>
      <c r="N117" s="216">
        <v>0</v>
      </c>
      <c r="O117" s="216">
        <v>0</v>
      </c>
      <c r="P117" s="216"/>
      <c r="Q117" s="216">
        <v>0</v>
      </c>
      <c r="R117" s="12"/>
      <c r="S117" s="63">
        <f t="shared" si="4"/>
        <v>0</v>
      </c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</row>
    <row r="118" spans="1:31" ht="15.75" hidden="1" customHeight="1" outlineLevel="1" x14ac:dyDescent="0.25">
      <c r="A118" s="314" t="s">
        <v>1006</v>
      </c>
      <c r="B118" s="45" t="s">
        <v>559</v>
      </c>
      <c r="C118" s="46"/>
      <c r="D118" s="7">
        <v>12000</v>
      </c>
      <c r="E118" s="216">
        <v>12000</v>
      </c>
      <c r="F118" s="216">
        <v>0</v>
      </c>
      <c r="G118" s="216">
        <v>0</v>
      </c>
      <c r="H118" s="329"/>
      <c r="I118" s="216"/>
      <c r="J118" s="216"/>
      <c r="K118" s="270"/>
      <c r="L118" s="216">
        <v>0</v>
      </c>
      <c r="M118" s="216">
        <v>0</v>
      </c>
      <c r="N118" s="216">
        <v>0</v>
      </c>
      <c r="O118" s="216">
        <v>0</v>
      </c>
      <c r="P118" s="216"/>
      <c r="Q118" s="216">
        <v>0</v>
      </c>
      <c r="R118" s="12"/>
      <c r="S118" s="63">
        <f t="shared" si="4"/>
        <v>0</v>
      </c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</row>
    <row r="119" spans="1:31" ht="15.75" hidden="1" customHeight="1" outlineLevel="1" x14ac:dyDescent="0.25">
      <c r="A119" s="314" t="s">
        <v>1007</v>
      </c>
      <c r="B119" s="45" t="s">
        <v>86</v>
      </c>
      <c r="C119" s="46"/>
      <c r="D119" s="7">
        <v>0</v>
      </c>
      <c r="E119" s="216">
        <v>50000</v>
      </c>
      <c r="F119" s="216">
        <v>0</v>
      </c>
      <c r="G119" s="216">
        <v>0</v>
      </c>
      <c r="H119" s="329"/>
      <c r="I119" s="216"/>
      <c r="J119" s="216"/>
      <c r="K119" s="270"/>
      <c r="L119" s="216">
        <v>0</v>
      </c>
      <c r="M119" s="216">
        <v>0</v>
      </c>
      <c r="N119" s="216">
        <v>0</v>
      </c>
      <c r="O119" s="216">
        <v>0</v>
      </c>
      <c r="P119" s="216"/>
      <c r="Q119" s="216">
        <v>0</v>
      </c>
      <c r="R119" s="12"/>
      <c r="S119" s="63">
        <f t="shared" si="4"/>
        <v>0</v>
      </c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</row>
    <row r="120" spans="1:31" ht="15.75" hidden="1" customHeight="1" outlineLevel="1" x14ac:dyDescent="0.25">
      <c r="A120" s="314" t="s">
        <v>1008</v>
      </c>
      <c r="B120" s="45" t="s">
        <v>252</v>
      </c>
      <c r="C120" s="46"/>
      <c r="D120" s="7">
        <v>5261.41</v>
      </c>
      <c r="E120" s="216">
        <v>1334.88</v>
      </c>
      <c r="F120" s="216">
        <v>0</v>
      </c>
      <c r="G120" s="216">
        <v>0</v>
      </c>
      <c r="H120" s="329"/>
      <c r="I120" s="216"/>
      <c r="J120" s="216"/>
      <c r="K120" s="270"/>
      <c r="L120" s="216">
        <v>0</v>
      </c>
      <c r="M120" s="216">
        <v>0</v>
      </c>
      <c r="N120" s="216">
        <v>0</v>
      </c>
      <c r="O120" s="216">
        <v>0</v>
      </c>
      <c r="P120" s="216"/>
      <c r="Q120" s="216">
        <v>0</v>
      </c>
      <c r="R120" s="12"/>
      <c r="S120" s="63">
        <f t="shared" si="4"/>
        <v>0</v>
      </c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</row>
    <row r="121" spans="1:31" ht="15.75" hidden="1" customHeight="1" outlineLevel="1" x14ac:dyDescent="0.25">
      <c r="A121" s="314" t="s">
        <v>1009</v>
      </c>
      <c r="B121" s="45" t="s">
        <v>92</v>
      </c>
      <c r="C121" s="46"/>
      <c r="D121" s="7">
        <v>1694.32</v>
      </c>
      <c r="E121" s="216">
        <v>2306.85</v>
      </c>
      <c r="F121" s="216">
        <v>0</v>
      </c>
      <c r="G121" s="216">
        <v>0</v>
      </c>
      <c r="H121" s="329"/>
      <c r="I121" s="216"/>
      <c r="J121" s="216"/>
      <c r="K121" s="270"/>
      <c r="L121" s="216">
        <v>0</v>
      </c>
      <c r="M121" s="216">
        <v>0</v>
      </c>
      <c r="N121" s="216">
        <v>0</v>
      </c>
      <c r="O121" s="216">
        <v>0</v>
      </c>
      <c r="P121" s="216"/>
      <c r="Q121" s="216">
        <v>0</v>
      </c>
      <c r="R121" s="12"/>
      <c r="S121" s="63">
        <f t="shared" si="4"/>
        <v>0</v>
      </c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</row>
    <row r="122" spans="1:31" ht="15.75" hidden="1" customHeight="1" outlineLevel="1" x14ac:dyDescent="0.25">
      <c r="A122" s="314" t="s">
        <v>1010</v>
      </c>
      <c r="B122" s="45" t="s">
        <v>1011</v>
      </c>
      <c r="C122" s="46"/>
      <c r="D122" s="7">
        <v>760621.63</v>
      </c>
      <c r="E122" s="216">
        <v>944447.62</v>
      </c>
      <c r="F122" s="216">
        <v>0</v>
      </c>
      <c r="G122" s="216">
        <v>0</v>
      </c>
      <c r="H122" s="329"/>
      <c r="I122" s="216"/>
      <c r="J122" s="216"/>
      <c r="K122" s="270"/>
      <c r="L122" s="216">
        <v>0</v>
      </c>
      <c r="M122" s="216">
        <v>0</v>
      </c>
      <c r="N122" s="216">
        <v>0</v>
      </c>
      <c r="O122" s="216">
        <v>0</v>
      </c>
      <c r="P122" s="216"/>
      <c r="Q122" s="216">
        <v>0</v>
      </c>
      <c r="R122" s="12"/>
      <c r="S122" s="63">
        <f t="shared" si="4"/>
        <v>0</v>
      </c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</row>
    <row r="123" spans="1:31" ht="15.75" hidden="1" customHeight="1" outlineLevel="1" x14ac:dyDescent="0.25">
      <c r="A123" s="314" t="s">
        <v>1012</v>
      </c>
      <c r="B123" s="45" t="s">
        <v>99</v>
      </c>
      <c r="C123" s="46"/>
      <c r="D123" s="7">
        <v>0</v>
      </c>
      <c r="E123" s="216">
        <v>20000</v>
      </c>
      <c r="F123" s="216">
        <v>0</v>
      </c>
      <c r="G123" s="216">
        <v>0</v>
      </c>
      <c r="H123" s="329"/>
      <c r="I123" s="216"/>
      <c r="J123" s="216"/>
      <c r="K123" s="270"/>
      <c r="L123" s="216">
        <v>0</v>
      </c>
      <c r="M123" s="216">
        <v>0</v>
      </c>
      <c r="N123" s="216">
        <v>0</v>
      </c>
      <c r="O123" s="216">
        <v>0</v>
      </c>
      <c r="P123" s="216"/>
      <c r="Q123" s="216">
        <v>0</v>
      </c>
      <c r="R123" s="12"/>
      <c r="S123" s="63">
        <f t="shared" si="4"/>
        <v>0</v>
      </c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</row>
    <row r="124" spans="1:31" ht="15.75" hidden="1" customHeight="1" outlineLevel="1" x14ac:dyDescent="0.25">
      <c r="A124" s="314" t="s">
        <v>1013</v>
      </c>
      <c r="B124" s="45" t="s">
        <v>1014</v>
      </c>
      <c r="C124" s="46"/>
      <c r="D124" s="7">
        <v>0</v>
      </c>
      <c r="E124" s="216">
        <v>0</v>
      </c>
      <c r="F124" s="216">
        <v>0</v>
      </c>
      <c r="G124" s="216">
        <v>0</v>
      </c>
      <c r="H124" s="329"/>
      <c r="I124" s="216"/>
      <c r="J124" s="216"/>
      <c r="K124" s="270"/>
      <c r="L124" s="216">
        <v>0</v>
      </c>
      <c r="M124" s="216">
        <v>0</v>
      </c>
      <c r="N124" s="216">
        <v>0</v>
      </c>
      <c r="O124" s="216">
        <v>0</v>
      </c>
      <c r="P124" s="216"/>
      <c r="Q124" s="216">
        <v>0</v>
      </c>
      <c r="R124" s="12"/>
      <c r="S124" s="63">
        <f t="shared" si="4"/>
        <v>0</v>
      </c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</row>
    <row r="125" spans="1:31" ht="15.75" hidden="1" customHeight="1" outlineLevel="1" x14ac:dyDescent="0.25">
      <c r="A125" s="47" t="s">
        <v>1015</v>
      </c>
      <c r="B125" s="48"/>
      <c r="C125" s="331"/>
      <c r="D125" s="12">
        <f t="shared" ref="D125:E125" si="5">SUM(D69:D124)</f>
        <v>926011.34</v>
      </c>
      <c r="E125" s="12">
        <f t="shared" si="5"/>
        <v>1298108.48</v>
      </c>
      <c r="F125" s="12">
        <f t="shared" ref="F125:G125" si="6">SUM(F69:F104)</f>
        <v>2158371.7800000003</v>
      </c>
      <c r="G125" s="12">
        <f t="shared" si="6"/>
        <v>1836098.43</v>
      </c>
      <c r="H125" s="226"/>
      <c r="I125" s="12"/>
      <c r="J125" s="12"/>
      <c r="K125" s="49"/>
      <c r="L125" s="12">
        <f t="shared" ref="L125:O125" si="7">SUM(L69:L104)</f>
        <v>1920034.32</v>
      </c>
      <c r="M125" s="12">
        <f t="shared" si="7"/>
        <v>2091325.79</v>
      </c>
      <c r="N125" s="12">
        <f t="shared" si="7"/>
        <v>590.1</v>
      </c>
      <c r="O125" s="12">
        <f t="shared" si="7"/>
        <v>0</v>
      </c>
      <c r="P125" s="12"/>
      <c r="Q125" s="12">
        <f>SUM(Q69:Q104)</f>
        <v>0</v>
      </c>
      <c r="R125" s="12"/>
      <c r="S125" s="332">
        <f t="shared" si="4"/>
        <v>0</v>
      </c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</row>
    <row r="126" spans="1:31" ht="15.75" hidden="1" customHeight="1" outlineLevel="1" x14ac:dyDescent="0.2">
      <c r="A126" s="5"/>
      <c r="B126" s="5"/>
      <c r="C126" s="15"/>
      <c r="D126" s="7"/>
      <c r="E126" s="7"/>
      <c r="F126" s="7"/>
      <c r="G126" s="7"/>
      <c r="H126" s="203"/>
      <c r="I126" s="7"/>
      <c r="J126" s="7"/>
      <c r="K126" s="31"/>
      <c r="L126" s="7"/>
      <c r="M126" s="7"/>
      <c r="N126" s="7"/>
      <c r="O126" s="7"/>
      <c r="P126" s="7"/>
      <c r="Q126" s="7"/>
      <c r="R126" s="7"/>
      <c r="S126" s="7"/>
    </row>
    <row r="127" spans="1:31" ht="15.75" hidden="1" customHeight="1" outlineLevel="1" x14ac:dyDescent="0.2">
      <c r="A127" s="5"/>
      <c r="B127" s="5"/>
      <c r="C127" s="15"/>
      <c r="D127" s="7"/>
      <c r="E127" s="7"/>
      <c r="F127" s="7"/>
      <c r="G127" s="7"/>
      <c r="H127" s="203"/>
      <c r="I127" s="7"/>
      <c r="J127" s="7"/>
      <c r="K127" s="31"/>
      <c r="L127" s="7"/>
      <c r="M127" s="7"/>
      <c r="N127" s="7"/>
      <c r="O127" s="7"/>
      <c r="P127" s="7"/>
      <c r="Q127" s="7"/>
      <c r="R127" s="7"/>
      <c r="S127" s="7"/>
    </row>
    <row r="128" spans="1:31" ht="15.75" hidden="1" customHeight="1" outlineLevel="1" x14ac:dyDescent="0.25">
      <c r="A128" s="5"/>
      <c r="B128" s="5"/>
      <c r="C128" s="15"/>
      <c r="D128" s="7"/>
      <c r="E128" s="128" t="s">
        <v>48</v>
      </c>
      <c r="F128" s="128" t="s">
        <v>29</v>
      </c>
      <c r="G128" s="7"/>
      <c r="H128" s="203"/>
      <c r="I128" s="7"/>
      <c r="J128" s="7"/>
      <c r="K128" s="31"/>
      <c r="L128" s="7"/>
      <c r="M128" s="7"/>
      <c r="N128" s="7"/>
      <c r="O128" s="7"/>
      <c r="P128" s="7"/>
      <c r="Q128" s="7"/>
      <c r="R128" s="7"/>
      <c r="S128" s="7"/>
    </row>
    <row r="129" spans="1:31" ht="15.75" hidden="1" customHeight="1" outlineLevel="1" x14ac:dyDescent="0.2">
      <c r="A129" s="333"/>
      <c r="B129" s="333"/>
      <c r="C129" s="261"/>
      <c r="D129" s="334"/>
      <c r="E129" s="7" t="s">
        <v>157</v>
      </c>
      <c r="F129" s="7"/>
      <c r="G129" s="7"/>
      <c r="H129" s="203"/>
      <c r="I129" s="7"/>
      <c r="J129" s="7"/>
      <c r="K129" s="31"/>
      <c r="L129" s="7"/>
      <c r="M129" s="7"/>
      <c r="N129" s="7"/>
      <c r="O129" s="7"/>
      <c r="P129" s="7"/>
      <c r="Q129" s="7"/>
      <c r="R129" s="7"/>
      <c r="S129" s="7"/>
    </row>
    <row r="130" spans="1:31" ht="15.75" hidden="1" customHeight="1" outlineLevel="1" x14ac:dyDescent="0.2">
      <c r="A130" s="333"/>
      <c r="B130" s="333"/>
      <c r="C130" s="261"/>
      <c r="D130" s="334"/>
      <c r="E130" s="7"/>
      <c r="F130" s="7"/>
      <c r="G130" s="7"/>
      <c r="H130" s="203"/>
      <c r="I130" s="7"/>
      <c r="J130" s="7"/>
      <c r="K130" s="31"/>
      <c r="L130" s="7"/>
      <c r="M130" s="7"/>
      <c r="N130" s="7"/>
      <c r="O130" s="7"/>
      <c r="P130" s="7"/>
      <c r="Q130" s="7"/>
      <c r="R130" s="7"/>
      <c r="S130" s="7"/>
    </row>
    <row r="131" spans="1:31" ht="15.75" hidden="1" customHeight="1" outlineLevel="1" x14ac:dyDescent="0.2">
      <c r="A131" s="571" t="s">
        <v>1016</v>
      </c>
      <c r="B131" s="572"/>
      <c r="C131" s="261"/>
      <c r="D131" s="262"/>
      <c r="E131" s="7"/>
      <c r="F131" s="7"/>
      <c r="G131" s="7"/>
      <c r="H131" s="203"/>
      <c r="I131" s="7"/>
      <c r="J131" s="7"/>
      <c r="K131" s="31"/>
      <c r="L131" s="7"/>
      <c r="M131" s="7"/>
      <c r="N131" s="7"/>
      <c r="O131" s="7"/>
      <c r="P131" s="7"/>
      <c r="Q131" s="7"/>
      <c r="R131" s="7"/>
      <c r="S131" s="7"/>
    </row>
    <row r="132" spans="1:31" ht="15.75" hidden="1" customHeight="1" outlineLevel="1" x14ac:dyDescent="0.2">
      <c r="A132" s="573"/>
      <c r="B132" s="574"/>
      <c r="C132" s="261"/>
      <c r="D132" s="262"/>
      <c r="E132" s="7"/>
      <c r="F132" s="7"/>
      <c r="G132" s="7"/>
      <c r="H132" s="203"/>
      <c r="I132" s="7"/>
      <c r="J132" s="7"/>
      <c r="K132" s="31"/>
      <c r="L132" s="7"/>
      <c r="M132" s="7"/>
      <c r="N132" s="7"/>
      <c r="O132" s="7"/>
      <c r="P132" s="7"/>
      <c r="Q132" s="7"/>
      <c r="R132" s="7"/>
      <c r="S132" s="7"/>
    </row>
    <row r="133" spans="1:31" ht="15.75" hidden="1" customHeight="1" outlineLevel="1" x14ac:dyDescent="0.25">
      <c r="A133" s="5"/>
      <c r="B133" s="5"/>
      <c r="C133" s="15"/>
      <c r="D133" s="7"/>
      <c r="E133" s="7"/>
      <c r="F133" s="7"/>
      <c r="G133" s="7"/>
      <c r="H133" s="203"/>
      <c r="I133" s="7"/>
      <c r="J133" s="7"/>
      <c r="K133" s="31"/>
      <c r="L133" s="7"/>
      <c r="M133" s="7"/>
      <c r="N133" s="7"/>
      <c r="O133" s="7"/>
      <c r="P133" s="7"/>
      <c r="Q133" s="7"/>
      <c r="R133" s="7"/>
      <c r="S133" s="7"/>
      <c r="W133" s="19"/>
      <c r="X133" s="20"/>
    </row>
    <row r="134" spans="1:31" ht="28.5" customHeight="1" collapsed="1" x14ac:dyDescent="0.25">
      <c r="A134" s="1" t="s">
        <v>1017</v>
      </c>
      <c r="B134" s="5"/>
      <c r="C134" s="15"/>
      <c r="D134" s="16"/>
      <c r="E134" s="16"/>
      <c r="F134" s="16"/>
      <c r="G134" s="16"/>
      <c r="H134" s="18"/>
      <c r="I134" s="16"/>
      <c r="J134" s="16"/>
      <c r="K134" s="15"/>
      <c r="L134" s="7"/>
      <c r="M134" s="7"/>
      <c r="N134" s="7"/>
      <c r="O134" s="7"/>
      <c r="P134" s="7"/>
      <c r="Q134" s="7"/>
      <c r="R134" s="7"/>
      <c r="S134" s="7"/>
      <c r="T134" s="206"/>
      <c r="W134" s="19"/>
      <c r="X134" s="20"/>
    </row>
    <row r="135" spans="1:31" ht="50.25" customHeight="1" x14ac:dyDescent="0.2">
      <c r="A135" s="3" t="s">
        <v>50</v>
      </c>
      <c r="B135" s="3" t="s">
        <v>51</v>
      </c>
      <c r="C135" s="21"/>
      <c r="D135" s="22" t="s">
        <v>52</v>
      </c>
      <c r="E135" s="23" t="s">
        <v>53</v>
      </c>
      <c r="F135" s="23" t="s">
        <v>54</v>
      </c>
      <c r="G135" s="23" t="s">
        <v>55</v>
      </c>
      <c r="H135" s="100" t="s">
        <v>56</v>
      </c>
      <c r="I135" s="23" t="s">
        <v>57</v>
      </c>
      <c r="J135" s="129" t="s">
        <v>58</v>
      </c>
      <c r="K135" s="130"/>
      <c r="L135" s="27" t="s">
        <v>59</v>
      </c>
      <c r="M135" s="27" t="s">
        <v>60</v>
      </c>
      <c r="N135" s="27" t="s">
        <v>61</v>
      </c>
      <c r="O135" s="27" t="s">
        <v>62</v>
      </c>
      <c r="P135" s="27" t="s">
        <v>63</v>
      </c>
      <c r="Q135" s="27" t="s">
        <v>64</v>
      </c>
      <c r="R135" s="27" t="s">
        <v>65</v>
      </c>
      <c r="S135" s="27" t="s">
        <v>66</v>
      </c>
      <c r="T135" s="207"/>
      <c r="U135" s="28"/>
      <c r="V135" s="19"/>
      <c r="X135" s="28"/>
      <c r="Y135" s="28"/>
      <c r="Z135" s="28"/>
      <c r="AA135" s="28"/>
      <c r="AB135" s="28"/>
      <c r="AC135" s="28"/>
      <c r="AD135" s="28"/>
      <c r="AE135" s="28"/>
    </row>
    <row r="136" spans="1:31" ht="15.75" customHeight="1" x14ac:dyDescent="0.25">
      <c r="A136" s="30" t="s">
        <v>911</v>
      </c>
      <c r="B136" s="30" t="s">
        <v>68</v>
      </c>
      <c r="C136" s="31"/>
      <c r="D136" s="32">
        <f>SUM(D6+D27+D70+D105)</f>
        <v>340351.99</v>
      </c>
      <c r="E136" s="32" t="e">
        <f>D136*#REF!</f>
        <v>#REF!</v>
      </c>
      <c r="F136" s="32" t="e">
        <f>D136*#REF!</f>
        <v>#REF!</v>
      </c>
      <c r="G136" s="32" t="e">
        <f>(D136*#REF!)*#REF!</f>
        <v>#REF!</v>
      </c>
      <c r="H136" s="131">
        <f t="shared" ref="H136:H174" si="8">IFERROR(((Q136-G136)/G136),0)</f>
        <v>0</v>
      </c>
      <c r="I136" s="32" t="e">
        <f t="shared" ref="I136:I173" si="9">Q136-G136</f>
        <v>#REF!</v>
      </c>
      <c r="J136" s="32">
        <v>192200</v>
      </c>
      <c r="K136" s="31"/>
      <c r="L136" s="35">
        <f t="shared" ref="L136:M136" si="10">SUM(L6+L27+L70+L105)</f>
        <v>1227086.24</v>
      </c>
      <c r="M136" s="35">
        <f t="shared" si="10"/>
        <v>1321680.26</v>
      </c>
      <c r="N136" s="35">
        <v>1325740</v>
      </c>
      <c r="O136" s="35">
        <v>1038066.55</v>
      </c>
      <c r="P136" s="32">
        <f t="shared" ref="P136:P142" si="11">O136/20*26</f>
        <v>1349486.5149999999</v>
      </c>
      <c r="Q136" s="32">
        <f>SUM(Q6+Q27+Q70+Q105)</f>
        <v>1464900</v>
      </c>
      <c r="R136" s="35">
        <v>1657100</v>
      </c>
      <c r="S136" s="35">
        <f t="shared" ref="S136:S173" si="12">R136-Q136</f>
        <v>192200</v>
      </c>
      <c r="T136" s="51"/>
      <c r="U136" s="51"/>
      <c r="V136" s="51"/>
      <c r="W136" s="52"/>
      <c r="X136" s="51"/>
      <c r="Y136" s="51"/>
      <c r="Z136" s="51"/>
      <c r="AA136" s="51"/>
      <c r="AB136" s="51"/>
      <c r="AC136" s="51"/>
      <c r="AD136" s="51"/>
      <c r="AE136" s="51"/>
    </row>
    <row r="137" spans="1:31" ht="15.75" customHeight="1" x14ac:dyDescent="0.25">
      <c r="A137" s="30" t="s">
        <v>912</v>
      </c>
      <c r="B137" s="30" t="s">
        <v>70</v>
      </c>
      <c r="C137" s="31"/>
      <c r="D137" s="32">
        <f t="shared" ref="D137:D138" si="13">D7+D28+D71+D106</f>
        <v>8847.11</v>
      </c>
      <c r="E137" s="32" t="e">
        <f>D137*#REF!</f>
        <v>#REF!</v>
      </c>
      <c r="F137" s="32" t="e">
        <f>D137*#REF!</f>
        <v>#REF!</v>
      </c>
      <c r="G137" s="32" t="e">
        <f>(D137*#REF!)*#REF!</f>
        <v>#REF!</v>
      </c>
      <c r="H137" s="131">
        <f t="shared" si="8"/>
        <v>0</v>
      </c>
      <c r="I137" s="32" t="e">
        <f t="shared" si="9"/>
        <v>#REF!</v>
      </c>
      <c r="J137" s="32">
        <v>0</v>
      </c>
      <c r="K137" s="31"/>
      <c r="L137" s="35">
        <f t="shared" ref="L137:M137" si="14">L7+L28+L71+L106</f>
        <v>80845.38</v>
      </c>
      <c r="M137" s="35">
        <f t="shared" si="14"/>
        <v>153283.99</v>
      </c>
      <c r="N137" s="35">
        <v>110000</v>
      </c>
      <c r="O137" s="35">
        <v>90721.18</v>
      </c>
      <c r="P137" s="32">
        <f t="shared" si="11"/>
        <v>117937.53399999999</v>
      </c>
      <c r="Q137" s="32">
        <f t="shared" ref="Q137:Q138" si="15">Q7+Q28+Q71+Q106</f>
        <v>110000</v>
      </c>
      <c r="R137" s="35">
        <v>110000</v>
      </c>
      <c r="S137" s="35">
        <f t="shared" si="12"/>
        <v>0</v>
      </c>
      <c r="T137" s="51"/>
      <c r="U137" s="51"/>
      <c r="V137" s="51"/>
      <c r="W137" s="52"/>
      <c r="X137" s="51"/>
      <c r="Y137" s="51"/>
      <c r="Z137" s="51"/>
      <c r="AA137" s="51"/>
      <c r="AB137" s="51"/>
      <c r="AC137" s="51"/>
      <c r="AD137" s="51"/>
      <c r="AE137" s="51"/>
    </row>
    <row r="138" spans="1:31" ht="15.75" customHeight="1" x14ac:dyDescent="0.25">
      <c r="A138" s="30" t="s">
        <v>913</v>
      </c>
      <c r="B138" s="30" t="s">
        <v>132</v>
      </c>
      <c r="C138" s="31"/>
      <c r="D138" s="32">
        <f t="shared" si="13"/>
        <v>124944.63</v>
      </c>
      <c r="E138" s="32" t="e">
        <f>D138*#REF!</f>
        <v>#REF!</v>
      </c>
      <c r="F138" s="32" t="e">
        <f>D138*#REF!</f>
        <v>#REF!</v>
      </c>
      <c r="G138" s="32" t="e">
        <f>(D138*#REF!)*#REF!</f>
        <v>#REF!</v>
      </c>
      <c r="H138" s="131">
        <f t="shared" si="8"/>
        <v>0</v>
      </c>
      <c r="I138" s="32" t="e">
        <f t="shared" si="9"/>
        <v>#REF!</v>
      </c>
      <c r="J138" s="32">
        <v>-172200</v>
      </c>
      <c r="K138" s="31"/>
      <c r="L138" s="35">
        <f t="shared" ref="L138:M138" si="16">L8+L29+L72+L107</f>
        <v>347859.58999999997</v>
      </c>
      <c r="M138" s="35">
        <f t="shared" si="16"/>
        <v>420832.28</v>
      </c>
      <c r="N138" s="35">
        <v>487045</v>
      </c>
      <c r="O138" s="35">
        <v>296208.23</v>
      </c>
      <c r="P138" s="32">
        <f t="shared" si="11"/>
        <v>385070.69899999996</v>
      </c>
      <c r="Q138" s="32">
        <f t="shared" si="15"/>
        <v>572200</v>
      </c>
      <c r="R138" s="35">
        <v>400000</v>
      </c>
      <c r="S138" s="35">
        <f t="shared" si="12"/>
        <v>-172200</v>
      </c>
      <c r="T138" s="51"/>
      <c r="U138" s="51"/>
      <c r="V138" s="51"/>
      <c r="W138" s="52"/>
      <c r="X138" s="51"/>
      <c r="Y138" s="51"/>
      <c r="Z138" s="51"/>
      <c r="AA138" s="51"/>
      <c r="AB138" s="51"/>
      <c r="AC138" s="51"/>
      <c r="AD138" s="51"/>
      <c r="AE138" s="51"/>
    </row>
    <row r="139" spans="1:31" ht="15.75" customHeight="1" x14ac:dyDescent="0.25">
      <c r="A139" s="30" t="s">
        <v>914</v>
      </c>
      <c r="B139" s="30" t="s">
        <v>108</v>
      </c>
      <c r="C139" s="31"/>
      <c r="D139" s="32">
        <f>D9+D30+D73</f>
        <v>14652.5</v>
      </c>
      <c r="E139" s="32" t="e">
        <f>D139*#REF!</f>
        <v>#REF!</v>
      </c>
      <c r="F139" s="32" t="e">
        <f>D139*#REF!</f>
        <v>#REF!</v>
      </c>
      <c r="G139" s="32" t="e">
        <f>(D139*#REF!)*#REF!</f>
        <v>#REF!</v>
      </c>
      <c r="H139" s="134">
        <f t="shared" si="8"/>
        <v>0</v>
      </c>
      <c r="I139" s="32" t="e">
        <f t="shared" si="9"/>
        <v>#REF!</v>
      </c>
      <c r="J139" s="16"/>
      <c r="K139" s="31"/>
      <c r="L139" s="35">
        <f t="shared" ref="L139:M139" si="17">L9+L30+L73</f>
        <v>31665.16</v>
      </c>
      <c r="M139" s="35">
        <f t="shared" si="17"/>
        <v>0</v>
      </c>
      <c r="N139" s="35">
        <v>0</v>
      </c>
      <c r="O139" s="35">
        <v>0</v>
      </c>
      <c r="P139" s="32">
        <f t="shared" si="11"/>
        <v>0</v>
      </c>
      <c r="Q139" s="32">
        <f>Q9+Q30+Q73</f>
        <v>0</v>
      </c>
      <c r="R139" s="35">
        <v>0</v>
      </c>
      <c r="S139" s="35">
        <f t="shared" si="12"/>
        <v>0</v>
      </c>
      <c r="T139" s="51"/>
      <c r="U139" s="51"/>
      <c r="V139" s="51"/>
      <c r="W139" s="52"/>
      <c r="X139" s="51"/>
      <c r="Y139" s="51"/>
      <c r="Z139" s="51"/>
      <c r="AA139" s="51"/>
      <c r="AB139" s="51"/>
      <c r="AC139" s="51"/>
      <c r="AD139" s="51"/>
      <c r="AE139" s="51"/>
    </row>
    <row r="140" spans="1:31" ht="15.75" customHeight="1" x14ac:dyDescent="0.25">
      <c r="A140" s="30" t="s">
        <v>915</v>
      </c>
      <c r="B140" s="30" t="s">
        <v>72</v>
      </c>
      <c r="C140" s="31"/>
      <c r="D140" s="32">
        <f>D10+D31+D74+D108</f>
        <v>185507.28</v>
      </c>
      <c r="E140" s="32" t="e">
        <f>D140*#REF!</f>
        <v>#REF!</v>
      </c>
      <c r="F140" s="32" t="e">
        <f>D140*#REF!</f>
        <v>#REF!</v>
      </c>
      <c r="G140" s="32" t="e">
        <f>(D140*#REF!)*#REF!</f>
        <v>#REF!</v>
      </c>
      <c r="H140" s="131">
        <f t="shared" si="8"/>
        <v>0</v>
      </c>
      <c r="I140" s="32" t="e">
        <f t="shared" si="9"/>
        <v>#REF!</v>
      </c>
      <c r="J140" s="32">
        <v>130000</v>
      </c>
      <c r="K140" s="31"/>
      <c r="L140" s="35">
        <f t="shared" ref="L140:M140" si="18">L10+L31+L74+L108</f>
        <v>551374.62</v>
      </c>
      <c r="M140" s="35">
        <f t="shared" si="18"/>
        <v>637001.67999999993</v>
      </c>
      <c r="N140" s="35">
        <v>813452</v>
      </c>
      <c r="O140" s="35">
        <v>474614.04</v>
      </c>
      <c r="P140" s="32">
        <f t="shared" si="11"/>
        <v>616998.25199999998</v>
      </c>
      <c r="Q140" s="32">
        <f>Q10+Q31+Q74+Q108</f>
        <v>746700</v>
      </c>
      <c r="R140" s="35">
        <v>876700</v>
      </c>
      <c r="S140" s="35">
        <f t="shared" si="12"/>
        <v>130000</v>
      </c>
      <c r="T140" s="51"/>
      <c r="U140" s="51"/>
      <c r="V140" s="51"/>
      <c r="W140" s="52"/>
      <c r="X140" s="51"/>
      <c r="Y140" s="51"/>
      <c r="Z140" s="51"/>
      <c r="AA140" s="51"/>
      <c r="AB140" s="51"/>
      <c r="AC140" s="51"/>
      <c r="AD140" s="51"/>
      <c r="AE140" s="51"/>
    </row>
    <row r="141" spans="1:31" ht="15.75" customHeight="1" x14ac:dyDescent="0.25">
      <c r="A141" s="30" t="s">
        <v>1018</v>
      </c>
      <c r="B141" s="30" t="s">
        <v>892</v>
      </c>
      <c r="C141" s="31"/>
      <c r="D141" s="32">
        <f>D11</f>
        <v>120</v>
      </c>
      <c r="E141" s="32" t="e">
        <f>D141*#REF!</f>
        <v>#REF!</v>
      </c>
      <c r="F141" s="32" t="e">
        <f>D141*#REF!</f>
        <v>#REF!</v>
      </c>
      <c r="G141" s="32" t="e">
        <f>(D141*#REF!)*#REF!</f>
        <v>#REF!</v>
      </c>
      <c r="H141" s="134">
        <f t="shared" si="8"/>
        <v>0</v>
      </c>
      <c r="I141" s="32" t="e">
        <f t="shared" si="9"/>
        <v>#REF!</v>
      </c>
      <c r="J141" s="16"/>
      <c r="K141" s="31"/>
      <c r="L141" s="35">
        <f t="shared" ref="L141:M141" si="19">L11</f>
        <v>0</v>
      </c>
      <c r="M141" s="35">
        <f t="shared" si="19"/>
        <v>0</v>
      </c>
      <c r="N141" s="35">
        <v>0</v>
      </c>
      <c r="O141" s="35">
        <f>O11</f>
        <v>0</v>
      </c>
      <c r="P141" s="32">
        <f t="shared" si="11"/>
        <v>0</v>
      </c>
      <c r="Q141" s="32">
        <f>Q11</f>
        <v>0</v>
      </c>
      <c r="R141" s="35">
        <v>0</v>
      </c>
      <c r="S141" s="35">
        <f t="shared" si="12"/>
        <v>0</v>
      </c>
      <c r="T141" s="51"/>
      <c r="U141" s="51"/>
      <c r="V141" s="51"/>
      <c r="W141" s="52"/>
      <c r="X141" s="51"/>
      <c r="Y141" s="51"/>
      <c r="Z141" s="51"/>
      <c r="AA141" s="51"/>
      <c r="AB141" s="51"/>
      <c r="AC141" s="51"/>
      <c r="AD141" s="51"/>
      <c r="AE141" s="51"/>
    </row>
    <row r="142" spans="1:31" ht="15.75" customHeight="1" x14ac:dyDescent="0.25">
      <c r="A142" s="30" t="s">
        <v>916</v>
      </c>
      <c r="B142" s="30" t="s">
        <v>451</v>
      </c>
      <c r="C142" s="31"/>
      <c r="D142" s="32">
        <f>D32+D75</f>
        <v>0</v>
      </c>
      <c r="E142" s="32" t="e">
        <f>D142*#REF!</f>
        <v>#REF!</v>
      </c>
      <c r="F142" s="32" t="e">
        <f>D142*#REF!</f>
        <v>#REF!</v>
      </c>
      <c r="G142" s="32" t="e">
        <f>(D142*#REF!)*#REF!</f>
        <v>#REF!</v>
      </c>
      <c r="H142" s="131">
        <f t="shared" si="8"/>
        <v>0</v>
      </c>
      <c r="I142" s="32" t="e">
        <f t="shared" si="9"/>
        <v>#REF!</v>
      </c>
      <c r="J142" s="32">
        <v>-45500</v>
      </c>
      <c r="K142" s="31"/>
      <c r="L142" s="35">
        <f t="shared" ref="L142:M142" si="20">L32+L75</f>
        <v>66316.800000000003</v>
      </c>
      <c r="M142" s="35">
        <f t="shared" si="20"/>
        <v>110412.28</v>
      </c>
      <c r="N142" s="35">
        <v>135500</v>
      </c>
      <c r="O142" s="35">
        <v>62618.19</v>
      </c>
      <c r="P142" s="32">
        <f t="shared" si="11"/>
        <v>81403.647000000012</v>
      </c>
      <c r="Q142" s="32">
        <f>Q32+Q75</f>
        <v>135500</v>
      </c>
      <c r="R142" s="35">
        <v>90000</v>
      </c>
      <c r="S142" s="35">
        <f t="shared" si="12"/>
        <v>-45500</v>
      </c>
      <c r="T142" s="51"/>
      <c r="U142" s="51"/>
      <c r="V142" s="51"/>
      <c r="W142" s="52"/>
      <c r="X142" s="51"/>
      <c r="Y142" s="51"/>
      <c r="Z142" s="51"/>
      <c r="AA142" s="51"/>
      <c r="AB142" s="51"/>
      <c r="AC142" s="51"/>
      <c r="AD142" s="51"/>
      <c r="AE142" s="51"/>
    </row>
    <row r="143" spans="1:31" ht="15.75" customHeight="1" x14ac:dyDescent="0.25">
      <c r="A143" s="30" t="s">
        <v>917</v>
      </c>
      <c r="B143" s="30" t="s">
        <v>74</v>
      </c>
      <c r="C143" s="31"/>
      <c r="D143" s="32">
        <f t="shared" ref="D143:D146" si="21">D12+D33+D76+D109</f>
        <v>2697.7</v>
      </c>
      <c r="E143" s="32" t="e">
        <f>D143*#REF!</f>
        <v>#REF!</v>
      </c>
      <c r="F143" s="32" t="e">
        <f>D143*#REF!</f>
        <v>#REF!</v>
      </c>
      <c r="G143" s="32" t="e">
        <f>(D143*#REF!)*#REF!</f>
        <v>#REF!</v>
      </c>
      <c r="H143" s="134">
        <f t="shared" si="8"/>
        <v>0</v>
      </c>
      <c r="I143" s="32" t="e">
        <f t="shared" si="9"/>
        <v>#REF!</v>
      </c>
      <c r="J143" s="32">
        <v>-445</v>
      </c>
      <c r="K143" s="31"/>
      <c r="L143" s="35">
        <f t="shared" ref="L143:M143" si="22">L12+L33+L76+L109</f>
        <v>2320.48</v>
      </c>
      <c r="M143" s="35">
        <f t="shared" si="22"/>
        <v>2752.01</v>
      </c>
      <c r="N143" s="35">
        <v>9900</v>
      </c>
      <c r="O143" s="35">
        <v>2671.74</v>
      </c>
      <c r="P143" s="32">
        <f t="shared" ref="P143:P145" si="23">O143/9*12</f>
        <v>3562.3199999999997</v>
      </c>
      <c r="Q143" s="32">
        <f t="shared" ref="Q143:Q146" si="24">Q12+Q33+Q76+Q109</f>
        <v>3465</v>
      </c>
      <c r="R143" s="35">
        <v>3020</v>
      </c>
      <c r="S143" s="35">
        <f t="shared" si="12"/>
        <v>-445</v>
      </c>
      <c r="T143" s="51"/>
      <c r="U143" s="51"/>
      <c r="V143" s="51"/>
      <c r="W143" s="52"/>
      <c r="X143" s="51"/>
      <c r="Y143" s="51"/>
      <c r="Z143" s="51"/>
      <c r="AA143" s="51"/>
      <c r="AB143" s="51"/>
      <c r="AC143" s="51"/>
      <c r="AD143" s="51"/>
      <c r="AE143" s="51"/>
    </row>
    <row r="144" spans="1:31" ht="15.75" customHeight="1" x14ac:dyDescent="0.25">
      <c r="A144" s="30" t="s">
        <v>918</v>
      </c>
      <c r="B144" s="30" t="s">
        <v>76</v>
      </c>
      <c r="C144" s="31"/>
      <c r="D144" s="32">
        <f t="shared" si="21"/>
        <v>5542.21</v>
      </c>
      <c r="E144" s="32" t="e">
        <f>D144*#REF!</f>
        <v>#REF!</v>
      </c>
      <c r="F144" s="32" t="e">
        <f>D144*#REF!</f>
        <v>#REF!</v>
      </c>
      <c r="G144" s="32" t="e">
        <f>(D144*#REF!)*#REF!</f>
        <v>#REF!</v>
      </c>
      <c r="H144" s="131">
        <f t="shared" si="8"/>
        <v>0</v>
      </c>
      <c r="I144" s="32" t="e">
        <f t="shared" si="9"/>
        <v>#REF!</v>
      </c>
      <c r="J144" s="16"/>
      <c r="K144" s="31"/>
      <c r="L144" s="35">
        <f t="shared" ref="L144:M144" si="25">L13+L34+L77+L110</f>
        <v>1442.62</v>
      </c>
      <c r="M144" s="35">
        <f t="shared" si="25"/>
        <v>6541.85</v>
      </c>
      <c r="N144" s="35">
        <v>8200</v>
      </c>
      <c r="O144" s="35">
        <v>1848.97</v>
      </c>
      <c r="P144" s="32">
        <f t="shared" si="23"/>
        <v>2465.2933333333335</v>
      </c>
      <c r="Q144" s="32">
        <f t="shared" si="24"/>
        <v>12000</v>
      </c>
      <c r="R144" s="35">
        <v>12000</v>
      </c>
      <c r="S144" s="35">
        <f t="shared" si="12"/>
        <v>0</v>
      </c>
      <c r="T144" s="51"/>
      <c r="U144" s="51"/>
      <c r="V144" s="51"/>
      <c r="W144" s="52"/>
      <c r="X144" s="51"/>
      <c r="Y144" s="51"/>
      <c r="Z144" s="51"/>
      <c r="AA144" s="51"/>
      <c r="AB144" s="51"/>
      <c r="AC144" s="51"/>
      <c r="AD144" s="51"/>
      <c r="AE144" s="51"/>
    </row>
    <row r="145" spans="1:31" ht="15.75" customHeight="1" x14ac:dyDescent="0.25">
      <c r="A145" s="30" t="s">
        <v>919</v>
      </c>
      <c r="B145" s="30" t="s">
        <v>80</v>
      </c>
      <c r="C145" s="31"/>
      <c r="D145" s="32">
        <f t="shared" si="21"/>
        <v>4016.79</v>
      </c>
      <c r="E145" s="32" t="e">
        <f>D145*#REF!</f>
        <v>#REF!</v>
      </c>
      <c r="F145" s="32" t="e">
        <f>D145*#REF!</f>
        <v>#REF!</v>
      </c>
      <c r="G145" s="32" t="e">
        <f>(D145*#REF!)*#REF!</f>
        <v>#REF!</v>
      </c>
      <c r="H145" s="134">
        <f t="shared" si="8"/>
        <v>0</v>
      </c>
      <c r="I145" s="32" t="e">
        <f t="shared" si="9"/>
        <v>#REF!</v>
      </c>
      <c r="J145" s="16"/>
      <c r="K145" s="31"/>
      <c r="L145" s="35">
        <f t="shared" ref="L145:M145" si="26">L14+L35+L78+L111</f>
        <v>4157.8900000000003</v>
      </c>
      <c r="M145" s="35">
        <f t="shared" si="26"/>
        <v>4261.32</v>
      </c>
      <c r="N145" s="35">
        <v>5500</v>
      </c>
      <c r="O145" s="35">
        <v>3623.24</v>
      </c>
      <c r="P145" s="32">
        <f t="shared" si="23"/>
        <v>4830.9866666666658</v>
      </c>
      <c r="Q145" s="32">
        <f t="shared" si="24"/>
        <v>3000</v>
      </c>
      <c r="R145" s="35">
        <v>3000</v>
      </c>
      <c r="S145" s="35">
        <f t="shared" si="12"/>
        <v>0</v>
      </c>
      <c r="T145" s="51"/>
      <c r="U145" s="51"/>
      <c r="V145" s="51"/>
      <c r="W145" s="52"/>
      <c r="X145" s="51"/>
      <c r="Y145" s="51"/>
      <c r="Z145" s="51"/>
      <c r="AA145" s="51"/>
      <c r="AB145" s="51"/>
      <c r="AC145" s="51"/>
      <c r="AD145" s="51"/>
      <c r="AE145" s="51"/>
    </row>
    <row r="146" spans="1:31" ht="15.75" customHeight="1" x14ac:dyDescent="0.25">
      <c r="A146" s="30" t="s">
        <v>920</v>
      </c>
      <c r="B146" s="30" t="s">
        <v>82</v>
      </c>
      <c r="C146" s="31"/>
      <c r="D146" s="32">
        <f t="shared" si="21"/>
        <v>57625.599999999999</v>
      </c>
      <c r="E146" s="32" t="e">
        <f>D146*#REF!</f>
        <v>#REF!</v>
      </c>
      <c r="F146" s="32" t="e">
        <f>D146*#REF!</f>
        <v>#REF!</v>
      </c>
      <c r="G146" s="32" t="e">
        <f>(D146*#REF!)*#REF!</f>
        <v>#REF!</v>
      </c>
      <c r="H146" s="131">
        <f t="shared" si="8"/>
        <v>0</v>
      </c>
      <c r="I146" s="32" t="e">
        <f t="shared" si="9"/>
        <v>#REF!</v>
      </c>
      <c r="J146" s="16"/>
      <c r="K146" s="31"/>
      <c r="L146" s="35">
        <f t="shared" ref="L146:M146" si="27">L15+L36+L79+L112</f>
        <v>152500.1</v>
      </c>
      <c r="M146" s="35">
        <f t="shared" si="27"/>
        <v>172276.62</v>
      </c>
      <c r="N146" s="35">
        <v>135500</v>
      </c>
      <c r="O146" s="35">
        <v>90255.07</v>
      </c>
      <c r="P146" s="38">
        <f t="shared" ref="P146:P147" si="28">N146</f>
        <v>135500</v>
      </c>
      <c r="Q146" s="32">
        <f t="shared" si="24"/>
        <v>130000</v>
      </c>
      <c r="R146" s="35">
        <v>130000</v>
      </c>
      <c r="S146" s="35">
        <f t="shared" si="12"/>
        <v>0</v>
      </c>
      <c r="T146" s="51"/>
      <c r="U146" s="51"/>
      <c r="V146" s="51"/>
      <c r="W146" s="52"/>
      <c r="X146" s="51"/>
      <c r="Y146" s="51"/>
      <c r="Z146" s="51"/>
      <c r="AA146" s="51"/>
      <c r="AB146" s="51"/>
      <c r="AC146" s="51"/>
      <c r="AD146" s="51"/>
      <c r="AE146" s="51"/>
    </row>
    <row r="147" spans="1:31" ht="15.75" customHeight="1" x14ac:dyDescent="0.25">
      <c r="A147" s="30" t="s">
        <v>921</v>
      </c>
      <c r="B147" s="30" t="s">
        <v>115</v>
      </c>
      <c r="C147" s="31"/>
      <c r="D147" s="32">
        <f>D37+D80+D113</f>
        <v>1065.47</v>
      </c>
      <c r="E147" s="32" t="e">
        <f>D147*#REF!</f>
        <v>#REF!</v>
      </c>
      <c r="F147" s="32" t="e">
        <f>D147*#REF!</f>
        <v>#REF!</v>
      </c>
      <c r="G147" s="32" t="e">
        <f>(D147*#REF!)*#REF!</f>
        <v>#REF!</v>
      </c>
      <c r="H147" s="131">
        <f t="shared" si="8"/>
        <v>0</v>
      </c>
      <c r="I147" s="32" t="e">
        <f t="shared" si="9"/>
        <v>#REF!</v>
      </c>
      <c r="J147" s="32">
        <v>-5000</v>
      </c>
      <c r="K147" s="31"/>
      <c r="L147" s="35">
        <f t="shared" ref="L147:M147" si="29">L37+L80+L113</f>
        <v>11284.57</v>
      </c>
      <c r="M147" s="35">
        <f t="shared" si="29"/>
        <v>22930.22</v>
      </c>
      <c r="N147" s="35">
        <v>30000</v>
      </c>
      <c r="O147" s="35">
        <v>19269.45</v>
      </c>
      <c r="P147" s="38">
        <f t="shared" si="28"/>
        <v>30000</v>
      </c>
      <c r="Q147" s="32">
        <f>Q37+Q80+Q113</f>
        <v>35000</v>
      </c>
      <c r="R147" s="35">
        <v>30000</v>
      </c>
      <c r="S147" s="35">
        <f t="shared" si="12"/>
        <v>-5000</v>
      </c>
      <c r="T147" s="51"/>
      <c r="U147" s="51"/>
      <c r="V147" s="51"/>
      <c r="W147" s="52"/>
      <c r="X147" s="51"/>
      <c r="Y147" s="51"/>
      <c r="Z147" s="51"/>
      <c r="AA147" s="51"/>
      <c r="AB147" s="51"/>
      <c r="AC147" s="51"/>
      <c r="AD147" s="51"/>
      <c r="AE147" s="51"/>
    </row>
    <row r="148" spans="1:31" ht="15.75" customHeight="1" x14ac:dyDescent="0.25">
      <c r="A148" s="30" t="s">
        <v>922</v>
      </c>
      <c r="B148" s="30" t="s">
        <v>898</v>
      </c>
      <c r="C148" s="31"/>
      <c r="D148" s="32">
        <f>D16+D38+D81</f>
        <v>5987.57</v>
      </c>
      <c r="E148" s="32" t="e">
        <f>D148*#REF!</f>
        <v>#REF!</v>
      </c>
      <c r="F148" s="32" t="e">
        <f>D148*#REF!</f>
        <v>#REF!</v>
      </c>
      <c r="G148" s="32" t="e">
        <f>(D148*#REF!)*#REF!</f>
        <v>#REF!</v>
      </c>
      <c r="H148" s="131">
        <f t="shared" si="8"/>
        <v>0</v>
      </c>
      <c r="I148" s="32" t="e">
        <f t="shared" si="9"/>
        <v>#REF!</v>
      </c>
      <c r="J148" s="32">
        <v>-1000</v>
      </c>
      <c r="K148" s="31"/>
      <c r="L148" s="35">
        <f t="shared" ref="L148:M148" si="30">L16+L38+L81</f>
        <v>6549.32</v>
      </c>
      <c r="M148" s="35">
        <f t="shared" si="30"/>
        <v>7748.95</v>
      </c>
      <c r="N148" s="35">
        <v>9400</v>
      </c>
      <c r="O148" s="35">
        <v>3398.26</v>
      </c>
      <c r="P148" s="32">
        <f>O148/9*12</f>
        <v>4531.0133333333333</v>
      </c>
      <c r="Q148" s="32">
        <f>Q16+Q38+Q81</f>
        <v>10000</v>
      </c>
      <c r="R148" s="35">
        <v>9000</v>
      </c>
      <c r="S148" s="35">
        <f t="shared" si="12"/>
        <v>-1000</v>
      </c>
      <c r="T148" s="51"/>
      <c r="U148" s="51"/>
      <c r="V148" s="51"/>
      <c r="W148" s="52"/>
      <c r="X148" s="51"/>
      <c r="Y148" s="51"/>
      <c r="Z148" s="51"/>
      <c r="AA148" s="51"/>
      <c r="AB148" s="51"/>
      <c r="AC148" s="51"/>
      <c r="AD148" s="51"/>
      <c r="AE148" s="51"/>
    </row>
    <row r="149" spans="1:31" ht="15.75" customHeight="1" x14ac:dyDescent="0.25">
      <c r="A149" s="30" t="s">
        <v>923</v>
      </c>
      <c r="B149" s="30" t="s">
        <v>277</v>
      </c>
      <c r="C149" s="31"/>
      <c r="D149" s="32">
        <f t="shared" ref="D149:D151" si="31">D17+D39+D82+D114</f>
        <v>7622.7000000000007</v>
      </c>
      <c r="E149" s="32" t="e">
        <f>D149*#REF!</f>
        <v>#REF!</v>
      </c>
      <c r="F149" s="32" t="e">
        <f>D149*#REF!</f>
        <v>#REF!</v>
      </c>
      <c r="G149" s="32" t="e">
        <f>(D149*#REF!)*#REF!</f>
        <v>#REF!</v>
      </c>
      <c r="H149" s="131">
        <f t="shared" si="8"/>
        <v>0</v>
      </c>
      <c r="I149" s="32" t="e">
        <f t="shared" si="9"/>
        <v>#REF!</v>
      </c>
      <c r="J149" s="32">
        <v>1900</v>
      </c>
      <c r="K149" s="31"/>
      <c r="L149" s="35">
        <f t="shared" ref="L149:M149" si="32">L17+L39+L82+L114</f>
        <v>22921.21</v>
      </c>
      <c r="M149" s="35">
        <f t="shared" si="32"/>
        <v>21394.850000000002</v>
      </c>
      <c r="N149" s="35">
        <v>27500</v>
      </c>
      <c r="O149" s="35">
        <v>16477.55</v>
      </c>
      <c r="P149" s="38">
        <f t="shared" ref="P149:P150" si="33">N149</f>
        <v>27500</v>
      </c>
      <c r="Q149" s="32">
        <f t="shared" ref="Q149:Q151" si="34">Q17+Q39+Q82+Q114</f>
        <v>21100</v>
      </c>
      <c r="R149" s="35">
        <v>23000</v>
      </c>
      <c r="S149" s="35">
        <f t="shared" si="12"/>
        <v>1900</v>
      </c>
      <c r="T149" s="51"/>
      <c r="U149" s="51"/>
      <c r="V149" s="51"/>
      <c r="W149" s="52"/>
      <c r="X149" s="51"/>
      <c r="Y149" s="51"/>
      <c r="Z149" s="51"/>
      <c r="AA149" s="51"/>
      <c r="AB149" s="51"/>
      <c r="AC149" s="51"/>
      <c r="AD149" s="51"/>
      <c r="AE149" s="51"/>
    </row>
    <row r="150" spans="1:31" ht="15.75" customHeight="1" x14ac:dyDescent="0.25">
      <c r="A150" s="30" t="s">
        <v>924</v>
      </c>
      <c r="B150" s="30" t="s">
        <v>84</v>
      </c>
      <c r="C150" s="31"/>
      <c r="D150" s="32">
        <f t="shared" si="31"/>
        <v>17922.18</v>
      </c>
      <c r="E150" s="32" t="e">
        <f>D150*#REF!</f>
        <v>#REF!</v>
      </c>
      <c r="F150" s="32" t="e">
        <f>D150*#REF!</f>
        <v>#REF!</v>
      </c>
      <c r="G150" s="32" t="e">
        <f>(D150*#REF!)*#REF!</f>
        <v>#REF!</v>
      </c>
      <c r="H150" s="134">
        <f t="shared" si="8"/>
        <v>0</v>
      </c>
      <c r="I150" s="32" t="e">
        <f t="shared" si="9"/>
        <v>#REF!</v>
      </c>
      <c r="J150" s="32">
        <v>9000</v>
      </c>
      <c r="K150" s="31"/>
      <c r="L150" s="35">
        <f t="shared" ref="L150:M150" si="35">L18+L40+L83+L115</f>
        <v>12196.77</v>
      </c>
      <c r="M150" s="35">
        <f t="shared" si="35"/>
        <v>12844.61</v>
      </c>
      <c r="N150" s="35">
        <v>13300</v>
      </c>
      <c r="O150" s="35">
        <v>9442.27</v>
      </c>
      <c r="P150" s="38">
        <f t="shared" si="33"/>
        <v>13300</v>
      </c>
      <c r="Q150" s="32">
        <f t="shared" si="34"/>
        <v>5000</v>
      </c>
      <c r="R150" s="35">
        <v>14000</v>
      </c>
      <c r="S150" s="35">
        <f t="shared" si="12"/>
        <v>9000</v>
      </c>
      <c r="T150" s="51"/>
      <c r="U150" s="51"/>
      <c r="V150" s="51"/>
      <c r="W150" s="52"/>
      <c r="X150" s="51"/>
      <c r="Y150" s="51"/>
      <c r="Z150" s="51"/>
      <c r="AA150" s="51"/>
      <c r="AB150" s="51"/>
      <c r="AC150" s="51"/>
      <c r="AD150" s="51"/>
      <c r="AE150" s="51"/>
    </row>
    <row r="151" spans="1:31" ht="15.75" customHeight="1" x14ac:dyDescent="0.25">
      <c r="A151" s="30" t="s">
        <v>925</v>
      </c>
      <c r="B151" s="30" t="s">
        <v>210</v>
      </c>
      <c r="C151" s="31"/>
      <c r="D151" s="32">
        <f t="shared" si="31"/>
        <v>3950.83</v>
      </c>
      <c r="E151" s="32" t="e">
        <f>D151*#REF!</f>
        <v>#REF!</v>
      </c>
      <c r="F151" s="32" t="e">
        <f>D151*#REF!</f>
        <v>#REF!</v>
      </c>
      <c r="G151" s="32" t="e">
        <f>(D151*#REF!)*#REF!</f>
        <v>#REF!</v>
      </c>
      <c r="H151" s="131">
        <f t="shared" si="8"/>
        <v>0</v>
      </c>
      <c r="I151" s="32" t="e">
        <f t="shared" si="9"/>
        <v>#REF!</v>
      </c>
      <c r="J151" s="32">
        <v>-5000</v>
      </c>
      <c r="K151" s="31"/>
      <c r="L151" s="35">
        <f t="shared" ref="L151:M151" si="36">L19+L41+L84+L116</f>
        <v>24451.34</v>
      </c>
      <c r="M151" s="35">
        <f t="shared" si="36"/>
        <v>17712.66</v>
      </c>
      <c r="N151" s="35">
        <v>30000</v>
      </c>
      <c r="O151" s="35">
        <v>6448.29</v>
      </c>
      <c r="P151" s="32">
        <f t="shared" ref="P151:P153" si="37">O151/9*12</f>
        <v>8597.7200000000012</v>
      </c>
      <c r="Q151" s="32">
        <f t="shared" si="34"/>
        <v>30000</v>
      </c>
      <c r="R151" s="35">
        <v>25000</v>
      </c>
      <c r="S151" s="35">
        <f t="shared" si="12"/>
        <v>-5000</v>
      </c>
      <c r="T151" s="51"/>
      <c r="U151" s="51"/>
      <c r="V151" s="51"/>
      <c r="W151" s="52"/>
      <c r="X151" s="51"/>
      <c r="Y151" s="51"/>
      <c r="Z151" s="51"/>
      <c r="AA151" s="51"/>
      <c r="AB151" s="51"/>
      <c r="AC151" s="51"/>
      <c r="AD151" s="51"/>
      <c r="AE151" s="51"/>
    </row>
    <row r="152" spans="1:31" ht="15.75" customHeight="1" x14ac:dyDescent="0.25">
      <c r="A152" s="30" t="s">
        <v>1019</v>
      </c>
      <c r="B152" s="335" t="s">
        <v>1005</v>
      </c>
      <c r="C152" s="31"/>
      <c r="D152" s="32">
        <f t="shared" ref="D152:D153" si="38">D117</f>
        <v>7000</v>
      </c>
      <c r="E152" s="32" t="e">
        <f>D152*#REF!</f>
        <v>#REF!</v>
      </c>
      <c r="F152" s="32" t="e">
        <f>D152*#REF!</f>
        <v>#REF!</v>
      </c>
      <c r="G152" s="32" t="e">
        <f>(D152*#REF!)*#REF!</f>
        <v>#REF!</v>
      </c>
      <c r="H152" s="134">
        <f t="shared" si="8"/>
        <v>0</v>
      </c>
      <c r="I152" s="32" t="e">
        <f t="shared" si="9"/>
        <v>#REF!</v>
      </c>
      <c r="J152" s="16"/>
      <c r="K152" s="31"/>
      <c r="L152" s="35">
        <f t="shared" ref="L152:M152" si="39">L117</f>
        <v>0</v>
      </c>
      <c r="M152" s="35">
        <f t="shared" si="39"/>
        <v>0</v>
      </c>
      <c r="N152" s="35">
        <v>0</v>
      </c>
      <c r="O152" s="35">
        <f t="shared" ref="O152:O153" si="40">O117</f>
        <v>0</v>
      </c>
      <c r="P152" s="32">
        <f t="shared" si="37"/>
        <v>0</v>
      </c>
      <c r="Q152" s="32">
        <f t="shared" ref="Q152:Q153" si="41">Q117</f>
        <v>0</v>
      </c>
      <c r="R152" s="35">
        <v>0</v>
      </c>
      <c r="S152" s="35">
        <f t="shared" si="12"/>
        <v>0</v>
      </c>
      <c r="T152" s="51"/>
      <c r="U152" s="51"/>
      <c r="V152" s="51"/>
      <c r="W152" s="52"/>
      <c r="X152" s="51"/>
      <c r="Y152" s="51"/>
      <c r="Z152" s="51"/>
      <c r="AA152" s="51"/>
      <c r="AB152" s="51"/>
      <c r="AC152" s="51"/>
      <c r="AD152" s="51"/>
      <c r="AE152" s="51"/>
    </row>
    <row r="153" spans="1:31" ht="15.75" customHeight="1" x14ac:dyDescent="0.25">
      <c r="A153" s="30" t="s">
        <v>1020</v>
      </c>
      <c r="B153" s="335" t="s">
        <v>559</v>
      </c>
      <c r="C153" s="31"/>
      <c r="D153" s="32">
        <f t="shared" si="38"/>
        <v>12000</v>
      </c>
      <c r="E153" s="32" t="e">
        <f>D153*#REF!</f>
        <v>#REF!</v>
      </c>
      <c r="F153" s="32" t="e">
        <f>D153*#REF!</f>
        <v>#REF!</v>
      </c>
      <c r="G153" s="32" t="e">
        <f>(D153*#REF!)*#REF!</f>
        <v>#REF!</v>
      </c>
      <c r="H153" s="134">
        <f t="shared" si="8"/>
        <v>0</v>
      </c>
      <c r="I153" s="32" t="e">
        <f t="shared" si="9"/>
        <v>#REF!</v>
      </c>
      <c r="J153" s="16"/>
      <c r="K153" s="31"/>
      <c r="L153" s="35">
        <f t="shared" ref="L153:M153" si="42">L118</f>
        <v>0</v>
      </c>
      <c r="M153" s="35">
        <f t="shared" si="42"/>
        <v>0</v>
      </c>
      <c r="N153" s="35">
        <v>0</v>
      </c>
      <c r="O153" s="35">
        <f t="shared" si="40"/>
        <v>0</v>
      </c>
      <c r="P153" s="32">
        <f t="shared" si="37"/>
        <v>0</v>
      </c>
      <c r="Q153" s="32">
        <f t="shared" si="41"/>
        <v>0</v>
      </c>
      <c r="R153" s="35">
        <v>0</v>
      </c>
      <c r="S153" s="35">
        <f t="shared" si="12"/>
        <v>0</v>
      </c>
      <c r="T153" s="51"/>
      <c r="U153" s="51"/>
      <c r="V153" s="51"/>
      <c r="W153" s="52"/>
      <c r="X153" s="51"/>
      <c r="Y153" s="51"/>
      <c r="Z153" s="51"/>
      <c r="AA153" s="51"/>
      <c r="AB153" s="51"/>
      <c r="AC153" s="51"/>
      <c r="AD153" s="51"/>
      <c r="AE153" s="51"/>
    </row>
    <row r="154" spans="1:31" ht="15.75" customHeight="1" x14ac:dyDescent="0.25">
      <c r="A154" s="30" t="s">
        <v>926</v>
      </c>
      <c r="B154" s="30" t="s">
        <v>86</v>
      </c>
      <c r="C154" s="31"/>
      <c r="D154" s="32">
        <f>D42+D85+D119</f>
        <v>0</v>
      </c>
      <c r="E154" s="32" t="e">
        <f>D154*#REF!</f>
        <v>#REF!</v>
      </c>
      <c r="F154" s="32" t="e">
        <f>D154*#REF!</f>
        <v>#REF!</v>
      </c>
      <c r="G154" s="32" t="e">
        <f>(D154*#REF!)*#REF!</f>
        <v>#REF!</v>
      </c>
      <c r="H154" s="131">
        <f t="shared" si="8"/>
        <v>0</v>
      </c>
      <c r="I154" s="32" t="e">
        <f t="shared" si="9"/>
        <v>#REF!</v>
      </c>
      <c r="J154" s="16"/>
      <c r="K154" s="31"/>
      <c r="L154" s="35">
        <f t="shared" ref="L154:M154" si="43">L42+L85+L119</f>
        <v>45682.41</v>
      </c>
      <c r="M154" s="35">
        <f t="shared" si="43"/>
        <v>49606.8</v>
      </c>
      <c r="N154" s="35">
        <v>322000</v>
      </c>
      <c r="O154" s="35">
        <v>36382.559999999998</v>
      </c>
      <c r="P154" s="38">
        <f t="shared" ref="P154:P155" si="44">N154</f>
        <v>322000</v>
      </c>
      <c r="Q154" s="32">
        <f>Q42+Q85+Q119</f>
        <v>255400</v>
      </c>
      <c r="R154" s="35">
        <v>255400</v>
      </c>
      <c r="S154" s="35">
        <f t="shared" si="12"/>
        <v>0</v>
      </c>
      <c r="T154" s="51"/>
      <c r="U154" s="51"/>
      <c r="V154" s="51"/>
      <c r="W154" s="52"/>
      <c r="X154" s="51"/>
      <c r="Y154" s="51"/>
      <c r="Z154" s="51"/>
      <c r="AA154" s="51"/>
      <c r="AB154" s="51"/>
      <c r="AC154" s="51"/>
      <c r="AD154" s="51"/>
      <c r="AE154" s="51"/>
    </row>
    <row r="155" spans="1:31" ht="15.75" customHeight="1" x14ac:dyDescent="0.25">
      <c r="A155" s="30" t="s">
        <v>927</v>
      </c>
      <c r="B155" s="30" t="s">
        <v>88</v>
      </c>
      <c r="C155" s="31"/>
      <c r="D155" s="32">
        <f>D20+D43+D86</f>
        <v>4627.34</v>
      </c>
      <c r="E155" s="32" t="e">
        <f>D155*#REF!</f>
        <v>#REF!</v>
      </c>
      <c r="F155" s="32" t="e">
        <f>D155*#REF!</f>
        <v>#REF!</v>
      </c>
      <c r="G155" s="32" t="e">
        <f>(D155*#REF!)*#REF!</f>
        <v>#REF!</v>
      </c>
      <c r="H155" s="131">
        <f t="shared" si="8"/>
        <v>0</v>
      </c>
      <c r="I155" s="32" t="e">
        <f t="shared" si="9"/>
        <v>#REF!</v>
      </c>
      <c r="J155" s="32">
        <v>7050</v>
      </c>
      <c r="K155" s="31"/>
      <c r="L155" s="35">
        <f t="shared" ref="L155:M155" si="45">L20+L43+L86</f>
        <v>40784.67</v>
      </c>
      <c r="M155" s="35">
        <f t="shared" si="45"/>
        <v>34379.49</v>
      </c>
      <c r="N155" s="35">
        <v>46300</v>
      </c>
      <c r="O155" s="35">
        <v>491.24</v>
      </c>
      <c r="P155" s="38">
        <f t="shared" si="44"/>
        <v>46300</v>
      </c>
      <c r="Q155" s="32">
        <f>Q20+Q43+Q86</f>
        <v>35950</v>
      </c>
      <c r="R155" s="35">
        <v>43000</v>
      </c>
      <c r="S155" s="35">
        <f t="shared" si="12"/>
        <v>7050</v>
      </c>
      <c r="T155" s="51"/>
      <c r="U155" s="51"/>
      <c r="V155" s="51"/>
      <c r="W155" s="52"/>
      <c r="X155" s="51"/>
      <c r="Y155" s="51"/>
      <c r="Z155" s="51"/>
      <c r="AA155" s="51"/>
      <c r="AB155" s="51"/>
      <c r="AC155" s="51"/>
      <c r="AD155" s="51"/>
      <c r="AE155" s="51"/>
    </row>
    <row r="156" spans="1:31" ht="15.75" customHeight="1" x14ac:dyDescent="0.25">
      <c r="A156" s="30" t="s">
        <v>1021</v>
      </c>
      <c r="B156" s="30" t="s">
        <v>904</v>
      </c>
      <c r="C156" s="31"/>
      <c r="D156" s="32">
        <f>D21</f>
        <v>1719.52</v>
      </c>
      <c r="E156" s="32" t="e">
        <f>D156*#REF!</f>
        <v>#REF!</v>
      </c>
      <c r="F156" s="32" t="e">
        <f>D156*#REF!</f>
        <v>#REF!</v>
      </c>
      <c r="G156" s="32" t="e">
        <f>(D156*#REF!)*#REF!</f>
        <v>#REF!</v>
      </c>
      <c r="H156" s="134">
        <f t="shared" si="8"/>
        <v>0</v>
      </c>
      <c r="I156" s="32" t="e">
        <f t="shared" si="9"/>
        <v>#REF!</v>
      </c>
      <c r="J156" s="16"/>
      <c r="K156" s="31"/>
      <c r="L156" s="35">
        <f t="shared" ref="L156:M156" si="46">L21</f>
        <v>0</v>
      </c>
      <c r="M156" s="35">
        <f t="shared" si="46"/>
        <v>0</v>
      </c>
      <c r="N156" s="35">
        <v>0</v>
      </c>
      <c r="O156" s="35">
        <f>O21</f>
        <v>0</v>
      </c>
      <c r="P156" s="32">
        <f t="shared" ref="P156:P160" si="47">O156/9*12</f>
        <v>0</v>
      </c>
      <c r="Q156" s="32">
        <f>Q21</f>
        <v>0</v>
      </c>
      <c r="R156" s="35">
        <v>0</v>
      </c>
      <c r="S156" s="35">
        <f t="shared" si="12"/>
        <v>0</v>
      </c>
      <c r="T156" s="51"/>
      <c r="U156" s="51"/>
      <c r="V156" s="51"/>
      <c r="W156" s="52"/>
      <c r="X156" s="51"/>
      <c r="Y156" s="51"/>
      <c r="Z156" s="51"/>
      <c r="AA156" s="51"/>
      <c r="AB156" s="51"/>
      <c r="AC156" s="51"/>
      <c r="AD156" s="51"/>
      <c r="AE156" s="51"/>
    </row>
    <row r="157" spans="1:31" ht="15.75" customHeight="1" x14ac:dyDescent="0.25">
      <c r="A157" s="30" t="s">
        <v>928</v>
      </c>
      <c r="B157" s="30" t="s">
        <v>90</v>
      </c>
      <c r="C157" s="31"/>
      <c r="D157" s="32">
        <f>D44+D87</f>
        <v>0</v>
      </c>
      <c r="E157" s="32" t="e">
        <f>D157*#REF!</f>
        <v>#REF!</v>
      </c>
      <c r="F157" s="32" t="e">
        <f>D157*#REF!</f>
        <v>#REF!</v>
      </c>
      <c r="G157" s="32" t="e">
        <f>(D157*#REF!)*#REF!</f>
        <v>#REF!</v>
      </c>
      <c r="H157" s="131">
        <f t="shared" si="8"/>
        <v>0</v>
      </c>
      <c r="I157" s="32" t="e">
        <f t="shared" si="9"/>
        <v>#REF!</v>
      </c>
      <c r="J157" s="32">
        <v>-500</v>
      </c>
      <c r="K157" s="31"/>
      <c r="L157" s="35">
        <f t="shared" ref="L157:M157" si="48">L44+L87</f>
        <v>9242.32</v>
      </c>
      <c r="M157" s="35">
        <f t="shared" si="48"/>
        <v>14555.41</v>
      </c>
      <c r="N157" s="35">
        <v>10300</v>
      </c>
      <c r="O157" s="35">
        <v>3858.62</v>
      </c>
      <c r="P157" s="32">
        <f t="shared" si="47"/>
        <v>5144.8266666666668</v>
      </c>
      <c r="Q157" s="32">
        <f>Q44+Q87</f>
        <v>7750</v>
      </c>
      <c r="R157" s="35">
        <v>7250</v>
      </c>
      <c r="S157" s="35">
        <f t="shared" si="12"/>
        <v>-500</v>
      </c>
      <c r="T157" s="51"/>
      <c r="U157" s="51"/>
      <c r="V157" s="51"/>
      <c r="W157" s="52"/>
      <c r="X157" s="51"/>
      <c r="Y157" s="51"/>
      <c r="Z157" s="51"/>
      <c r="AA157" s="51"/>
      <c r="AB157" s="51"/>
      <c r="AC157" s="51"/>
      <c r="AD157" s="51"/>
      <c r="AE157" s="51"/>
    </row>
    <row r="158" spans="1:31" ht="15.75" customHeight="1" x14ac:dyDescent="0.25">
      <c r="A158" s="30" t="s">
        <v>929</v>
      </c>
      <c r="B158" s="30" t="s">
        <v>906</v>
      </c>
      <c r="C158" s="31"/>
      <c r="D158" s="32">
        <f t="shared" ref="D158:D159" si="49">D22+D45+D88</f>
        <v>4730.87</v>
      </c>
      <c r="E158" s="32" t="e">
        <f>D158*#REF!</f>
        <v>#REF!</v>
      </c>
      <c r="F158" s="32" t="e">
        <f>D158*#REF!</f>
        <v>#REF!</v>
      </c>
      <c r="G158" s="32" t="e">
        <f>(D158*#REF!)*#REF!</f>
        <v>#REF!</v>
      </c>
      <c r="H158" s="134">
        <f t="shared" si="8"/>
        <v>0</v>
      </c>
      <c r="I158" s="32" t="e">
        <f t="shared" si="9"/>
        <v>#REF!</v>
      </c>
      <c r="J158" s="16"/>
      <c r="K158" s="31"/>
      <c r="L158" s="35">
        <f t="shared" ref="L158:M158" si="50">L22+L45+L88</f>
        <v>750.25</v>
      </c>
      <c r="M158" s="35">
        <f t="shared" si="50"/>
        <v>0</v>
      </c>
      <c r="N158" s="35">
        <v>5000</v>
      </c>
      <c r="O158" s="35">
        <v>0</v>
      </c>
      <c r="P158" s="32">
        <f t="shared" si="47"/>
        <v>0</v>
      </c>
      <c r="Q158" s="32">
        <f t="shared" ref="Q158:Q159" si="51">Q22+Q45+Q88</f>
        <v>5000</v>
      </c>
      <c r="R158" s="35">
        <v>5000</v>
      </c>
      <c r="S158" s="35">
        <f t="shared" si="12"/>
        <v>0</v>
      </c>
      <c r="T158" s="51"/>
      <c r="U158" s="51"/>
      <c r="V158" s="51"/>
      <c r="W158" s="52"/>
      <c r="X158" s="51"/>
      <c r="Y158" s="51"/>
      <c r="Z158" s="51"/>
      <c r="AA158" s="51"/>
      <c r="AB158" s="51"/>
      <c r="AC158" s="51"/>
      <c r="AD158" s="51"/>
      <c r="AE158" s="51"/>
    </row>
    <row r="159" spans="1:31" ht="15.75" customHeight="1" x14ac:dyDescent="0.25">
      <c r="A159" s="30" t="s">
        <v>930</v>
      </c>
      <c r="B159" s="30" t="s">
        <v>908</v>
      </c>
      <c r="C159" s="31"/>
      <c r="D159" s="32">
        <f t="shared" si="49"/>
        <v>1900</v>
      </c>
      <c r="E159" s="32" t="e">
        <f>D159*#REF!</f>
        <v>#REF!</v>
      </c>
      <c r="F159" s="32" t="e">
        <f>D159*#REF!</f>
        <v>#REF!</v>
      </c>
      <c r="G159" s="32" t="e">
        <f>(D159*#REF!)*#REF!</f>
        <v>#REF!</v>
      </c>
      <c r="H159" s="131">
        <f t="shared" si="8"/>
        <v>0</v>
      </c>
      <c r="I159" s="32" t="e">
        <f t="shared" si="9"/>
        <v>#REF!</v>
      </c>
      <c r="J159" s="16"/>
      <c r="K159" s="31"/>
      <c r="L159" s="35">
        <f t="shared" ref="L159:M159" si="52">L23+L46+L89</f>
        <v>0</v>
      </c>
      <c r="M159" s="35">
        <f t="shared" si="52"/>
        <v>1425.7</v>
      </c>
      <c r="N159" s="35">
        <v>5000</v>
      </c>
      <c r="O159" s="35">
        <v>0</v>
      </c>
      <c r="P159" s="32">
        <f t="shared" si="47"/>
        <v>0</v>
      </c>
      <c r="Q159" s="32">
        <f t="shared" si="51"/>
        <v>5000</v>
      </c>
      <c r="R159" s="35">
        <v>5000</v>
      </c>
      <c r="S159" s="35">
        <f t="shared" si="12"/>
        <v>0</v>
      </c>
      <c r="T159" s="51"/>
      <c r="U159" s="51"/>
      <c r="V159" s="51"/>
      <c r="W159" s="52"/>
      <c r="X159" s="51"/>
      <c r="Y159" s="51"/>
      <c r="Z159" s="51"/>
      <c r="AA159" s="51"/>
      <c r="AB159" s="51"/>
      <c r="AC159" s="51"/>
      <c r="AD159" s="51"/>
      <c r="AE159" s="51"/>
    </row>
    <row r="160" spans="1:31" ht="15.75" customHeight="1" x14ac:dyDescent="0.25">
      <c r="A160" s="30" t="s">
        <v>1022</v>
      </c>
      <c r="B160" s="335" t="s">
        <v>252</v>
      </c>
      <c r="C160" s="31"/>
      <c r="D160" s="32">
        <f>D120</f>
        <v>5261.41</v>
      </c>
      <c r="E160" s="32" t="e">
        <f>D160*#REF!</f>
        <v>#REF!</v>
      </c>
      <c r="F160" s="32" t="e">
        <f>D160*#REF!</f>
        <v>#REF!</v>
      </c>
      <c r="G160" s="32" t="e">
        <f>(D160*#REF!)*#REF!</f>
        <v>#REF!</v>
      </c>
      <c r="H160" s="134">
        <f t="shared" si="8"/>
        <v>0</v>
      </c>
      <c r="I160" s="32" t="e">
        <f t="shared" si="9"/>
        <v>#REF!</v>
      </c>
      <c r="J160" s="16"/>
      <c r="K160" s="31"/>
      <c r="L160" s="35">
        <f t="shared" ref="L160:O160" si="53">L120</f>
        <v>0</v>
      </c>
      <c r="M160" s="35">
        <f t="shared" si="53"/>
        <v>0</v>
      </c>
      <c r="N160" s="35">
        <f t="shared" si="53"/>
        <v>0</v>
      </c>
      <c r="O160" s="35">
        <f t="shared" si="53"/>
        <v>0</v>
      </c>
      <c r="P160" s="32">
        <f t="shared" si="47"/>
        <v>0</v>
      </c>
      <c r="Q160" s="32">
        <f>Q120</f>
        <v>0</v>
      </c>
      <c r="R160" s="35">
        <v>0</v>
      </c>
      <c r="S160" s="35">
        <f t="shared" si="12"/>
        <v>0</v>
      </c>
      <c r="T160" s="51"/>
      <c r="U160" s="51"/>
      <c r="V160" s="51"/>
      <c r="W160" s="52"/>
      <c r="X160" s="51"/>
      <c r="Y160" s="51"/>
      <c r="Z160" s="51"/>
      <c r="AA160" s="51"/>
      <c r="AB160" s="51"/>
      <c r="AC160" s="51"/>
      <c r="AD160" s="51"/>
      <c r="AE160" s="51"/>
    </row>
    <row r="161" spans="1:31" ht="15.75" customHeight="1" x14ac:dyDescent="0.25">
      <c r="A161" s="30" t="s">
        <v>931</v>
      </c>
      <c r="B161" s="30" t="s">
        <v>502</v>
      </c>
      <c r="C161" s="31"/>
      <c r="D161" s="32">
        <f t="shared" ref="D161:D162" si="54">D47+D90</f>
        <v>0</v>
      </c>
      <c r="E161" s="32" t="e">
        <f>D161*#REF!</f>
        <v>#REF!</v>
      </c>
      <c r="F161" s="32" t="e">
        <f>D161*#REF!</f>
        <v>#REF!</v>
      </c>
      <c r="G161" s="32" t="e">
        <f>(D161*#REF!)*#REF!</f>
        <v>#REF!</v>
      </c>
      <c r="H161" s="131">
        <f t="shared" si="8"/>
        <v>0</v>
      </c>
      <c r="I161" s="32" t="e">
        <f t="shared" si="9"/>
        <v>#REF!</v>
      </c>
      <c r="J161" s="32">
        <v>-3000</v>
      </c>
      <c r="K161" s="31"/>
      <c r="L161" s="35">
        <f t="shared" ref="L161:M161" si="55">L47+L90</f>
        <v>10238.82</v>
      </c>
      <c r="M161" s="35">
        <f t="shared" si="55"/>
        <v>13422.43</v>
      </c>
      <c r="N161" s="35">
        <v>18000</v>
      </c>
      <c r="O161" s="35">
        <v>9237.0300000000007</v>
      </c>
      <c r="P161" s="38">
        <f>N161</f>
        <v>18000</v>
      </c>
      <c r="Q161" s="32">
        <f t="shared" ref="Q161:Q162" si="56">Q47+Q90</f>
        <v>18000</v>
      </c>
      <c r="R161" s="35">
        <v>15000</v>
      </c>
      <c r="S161" s="35">
        <f t="shared" si="12"/>
        <v>-3000</v>
      </c>
      <c r="T161" s="51"/>
      <c r="U161" s="51"/>
      <c r="V161" s="51"/>
      <c r="W161" s="52"/>
      <c r="X161" s="51"/>
      <c r="Y161" s="51"/>
      <c r="Z161" s="51"/>
      <c r="AA161" s="51"/>
      <c r="AB161" s="51"/>
      <c r="AC161" s="51"/>
      <c r="AD161" s="51"/>
      <c r="AE161" s="51"/>
    </row>
    <row r="162" spans="1:31" ht="15.75" customHeight="1" x14ac:dyDescent="0.25">
      <c r="A162" s="30" t="s">
        <v>932</v>
      </c>
      <c r="B162" s="30" t="s">
        <v>933</v>
      </c>
      <c r="C162" s="31"/>
      <c r="D162" s="32">
        <f t="shared" si="54"/>
        <v>0</v>
      </c>
      <c r="E162" s="32" t="e">
        <f>D162*#REF!</f>
        <v>#REF!</v>
      </c>
      <c r="F162" s="32" t="e">
        <f>D162*#REF!</f>
        <v>#REF!</v>
      </c>
      <c r="G162" s="32" t="e">
        <f>(D162*#REF!)*#REF!</f>
        <v>#REF!</v>
      </c>
      <c r="H162" s="131">
        <f t="shared" si="8"/>
        <v>0</v>
      </c>
      <c r="I162" s="32" t="e">
        <f t="shared" si="9"/>
        <v>#REF!</v>
      </c>
      <c r="J162" s="32">
        <v>-1000</v>
      </c>
      <c r="K162" s="31"/>
      <c r="L162" s="35">
        <f t="shared" ref="L162:M162" si="57">L48+L91</f>
        <v>1238.57</v>
      </c>
      <c r="M162" s="35">
        <f t="shared" si="57"/>
        <v>4586.5200000000004</v>
      </c>
      <c r="N162" s="35">
        <v>5000</v>
      </c>
      <c r="O162" s="35">
        <v>2938.03</v>
      </c>
      <c r="P162" s="32">
        <f>O162/9*12</f>
        <v>3917.3733333333334</v>
      </c>
      <c r="Q162" s="32">
        <f t="shared" si="56"/>
        <v>5000</v>
      </c>
      <c r="R162" s="35">
        <v>4000</v>
      </c>
      <c r="S162" s="35">
        <f t="shared" si="12"/>
        <v>-1000</v>
      </c>
      <c r="T162" s="51"/>
      <c r="U162" s="51"/>
      <c r="V162" s="51"/>
      <c r="W162" s="52"/>
      <c r="X162" s="51"/>
      <c r="Y162" s="51"/>
      <c r="Z162" s="51"/>
      <c r="AA162" s="51"/>
      <c r="AB162" s="51"/>
      <c r="AC162" s="51"/>
      <c r="AD162" s="51"/>
      <c r="AE162" s="51"/>
    </row>
    <row r="163" spans="1:31" ht="15.75" customHeight="1" x14ac:dyDescent="0.25">
      <c r="A163" s="30" t="s">
        <v>934</v>
      </c>
      <c r="B163" s="30" t="s">
        <v>92</v>
      </c>
      <c r="C163" s="31"/>
      <c r="D163" s="32">
        <f>D49+D92+D121</f>
        <v>1694.32</v>
      </c>
      <c r="E163" s="32" t="e">
        <f>D163*#REF!</f>
        <v>#REF!</v>
      </c>
      <c r="F163" s="32" t="e">
        <f>D163*#REF!</f>
        <v>#REF!</v>
      </c>
      <c r="G163" s="32" t="e">
        <f>(D163*#REF!)*#REF!</f>
        <v>#REF!</v>
      </c>
      <c r="H163" s="131">
        <f t="shared" si="8"/>
        <v>0</v>
      </c>
      <c r="I163" s="32" t="e">
        <f t="shared" si="9"/>
        <v>#REF!</v>
      </c>
      <c r="J163" s="16"/>
      <c r="K163" s="31"/>
      <c r="L163" s="35">
        <f t="shared" ref="L163:M163" si="58">L49+L92+L121</f>
        <v>43522.81</v>
      </c>
      <c r="M163" s="35">
        <f t="shared" si="58"/>
        <v>45576.24</v>
      </c>
      <c r="N163" s="35">
        <v>50400</v>
      </c>
      <c r="O163" s="35">
        <v>52387.91</v>
      </c>
      <c r="P163" s="38">
        <f>O163</f>
        <v>52387.91</v>
      </c>
      <c r="Q163" s="32">
        <f>Q49+Q92+Q121</f>
        <v>50400</v>
      </c>
      <c r="R163" s="35">
        <v>50400</v>
      </c>
      <c r="S163" s="35">
        <f t="shared" si="12"/>
        <v>0</v>
      </c>
      <c r="T163" s="51"/>
      <c r="U163" s="51"/>
      <c r="V163" s="51"/>
      <c r="W163" s="52"/>
      <c r="X163" s="51"/>
      <c r="Y163" s="51"/>
      <c r="Z163" s="51"/>
      <c r="AA163" s="51"/>
      <c r="AB163" s="51"/>
      <c r="AC163" s="51"/>
      <c r="AD163" s="51"/>
      <c r="AE163" s="51"/>
    </row>
    <row r="164" spans="1:31" ht="15.75" customHeight="1" x14ac:dyDescent="0.25">
      <c r="A164" s="30" t="s">
        <v>935</v>
      </c>
      <c r="B164" s="30" t="s">
        <v>936</v>
      </c>
      <c r="C164" s="31"/>
      <c r="D164" s="32">
        <f t="shared" ref="D164:D168" si="59">D50+D93</f>
        <v>0</v>
      </c>
      <c r="E164" s="32" t="e">
        <f>D164*#REF!</f>
        <v>#REF!</v>
      </c>
      <c r="F164" s="32" t="e">
        <f>D164*#REF!</f>
        <v>#REF!</v>
      </c>
      <c r="G164" s="32" t="e">
        <f>(D164*#REF!)*#REF!</f>
        <v>#REF!</v>
      </c>
      <c r="H164" s="131">
        <f t="shared" si="8"/>
        <v>0</v>
      </c>
      <c r="I164" s="32" t="e">
        <f t="shared" si="9"/>
        <v>#REF!</v>
      </c>
      <c r="J164" s="32">
        <v>-10000</v>
      </c>
      <c r="K164" s="31"/>
      <c r="L164" s="35">
        <f t="shared" ref="L164:M164" si="60">L50+L93</f>
        <v>4982.57</v>
      </c>
      <c r="M164" s="35">
        <f t="shared" si="60"/>
        <v>0</v>
      </c>
      <c r="N164" s="35">
        <v>10000</v>
      </c>
      <c r="O164" s="35">
        <v>0</v>
      </c>
      <c r="P164" s="32">
        <f>O164/9*12</f>
        <v>0</v>
      </c>
      <c r="Q164" s="32">
        <f t="shared" ref="Q164:Q168" si="61">Q50+Q93</f>
        <v>10000</v>
      </c>
      <c r="R164" s="35">
        <v>0</v>
      </c>
      <c r="S164" s="35">
        <f t="shared" si="12"/>
        <v>-10000</v>
      </c>
      <c r="T164" s="51"/>
      <c r="U164" s="51"/>
      <c r="V164" s="51"/>
      <c r="W164" s="52"/>
      <c r="X164" s="51"/>
      <c r="Y164" s="51"/>
      <c r="Z164" s="51"/>
      <c r="AA164" s="51"/>
      <c r="AB164" s="51"/>
      <c r="AC164" s="51"/>
      <c r="AD164" s="51"/>
      <c r="AE164" s="51"/>
    </row>
    <row r="165" spans="1:31" ht="15.75" customHeight="1" x14ac:dyDescent="0.25">
      <c r="A165" s="30" t="s">
        <v>937</v>
      </c>
      <c r="B165" s="30" t="s">
        <v>938</v>
      </c>
      <c r="C165" s="31"/>
      <c r="D165" s="32">
        <f t="shared" si="59"/>
        <v>0</v>
      </c>
      <c r="E165" s="32" t="e">
        <f>D165*#REF!</f>
        <v>#REF!</v>
      </c>
      <c r="F165" s="32" t="e">
        <f>D165*#REF!</f>
        <v>#REF!</v>
      </c>
      <c r="G165" s="32" t="e">
        <f>(D165*#REF!)*#REF!</f>
        <v>#REF!</v>
      </c>
      <c r="H165" s="131">
        <f t="shared" si="8"/>
        <v>0</v>
      </c>
      <c r="I165" s="32" t="e">
        <f t="shared" si="9"/>
        <v>#REF!</v>
      </c>
      <c r="J165" s="32">
        <v>-5000</v>
      </c>
      <c r="K165" s="31"/>
      <c r="L165" s="35">
        <f t="shared" ref="L165:M165" si="62">L51+L94</f>
        <v>42906.87</v>
      </c>
      <c r="M165" s="35">
        <f t="shared" si="62"/>
        <v>55752.36</v>
      </c>
      <c r="N165" s="35">
        <v>50000</v>
      </c>
      <c r="O165" s="35">
        <v>34972.1</v>
      </c>
      <c r="P165" s="38">
        <f>N165</f>
        <v>50000</v>
      </c>
      <c r="Q165" s="32">
        <f t="shared" si="61"/>
        <v>50000</v>
      </c>
      <c r="R165" s="35">
        <v>45000</v>
      </c>
      <c r="S165" s="35">
        <f t="shared" si="12"/>
        <v>-5000</v>
      </c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</row>
    <row r="166" spans="1:31" ht="15.75" customHeight="1" x14ac:dyDescent="0.25">
      <c r="A166" s="30" t="s">
        <v>939</v>
      </c>
      <c r="B166" s="30" t="s">
        <v>940</v>
      </c>
      <c r="C166" s="31"/>
      <c r="D166" s="32">
        <f t="shared" si="59"/>
        <v>0</v>
      </c>
      <c r="E166" s="32" t="e">
        <f>D166*#REF!</f>
        <v>#REF!</v>
      </c>
      <c r="F166" s="32" t="e">
        <f>D166*#REF!</f>
        <v>#REF!</v>
      </c>
      <c r="G166" s="32" t="e">
        <f>(D166*#REF!)*#REF!</f>
        <v>#REF!</v>
      </c>
      <c r="H166" s="131">
        <f t="shared" si="8"/>
        <v>0</v>
      </c>
      <c r="I166" s="32" t="e">
        <f t="shared" si="9"/>
        <v>#REF!</v>
      </c>
      <c r="J166" s="32">
        <v>-2000</v>
      </c>
      <c r="K166" s="31"/>
      <c r="L166" s="35">
        <f t="shared" ref="L166:M166" si="63">L52+L95</f>
        <v>20365.89</v>
      </c>
      <c r="M166" s="35">
        <f t="shared" si="63"/>
        <v>19767.310000000001</v>
      </c>
      <c r="N166" s="35">
        <v>12000</v>
      </c>
      <c r="O166" s="35">
        <v>6235.22</v>
      </c>
      <c r="P166" s="32">
        <f t="shared" ref="P166:P169" si="64">O166/9*12</f>
        <v>8313.626666666667</v>
      </c>
      <c r="Q166" s="32">
        <f t="shared" si="61"/>
        <v>12000</v>
      </c>
      <c r="R166" s="35">
        <v>10000</v>
      </c>
      <c r="S166" s="35">
        <f t="shared" si="12"/>
        <v>-2000</v>
      </c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</row>
    <row r="167" spans="1:31" ht="15.75" customHeight="1" x14ac:dyDescent="0.25">
      <c r="A167" s="30" t="s">
        <v>941</v>
      </c>
      <c r="B167" s="30" t="s">
        <v>942</v>
      </c>
      <c r="C167" s="31"/>
      <c r="D167" s="32">
        <f t="shared" si="59"/>
        <v>0</v>
      </c>
      <c r="E167" s="32" t="e">
        <f>D167*#REF!</f>
        <v>#REF!</v>
      </c>
      <c r="F167" s="32" t="e">
        <f>D167*#REF!</f>
        <v>#REF!</v>
      </c>
      <c r="G167" s="32" t="e">
        <f>(D167*#REF!)*#REF!</f>
        <v>#REF!</v>
      </c>
      <c r="H167" s="131">
        <f t="shared" si="8"/>
        <v>0</v>
      </c>
      <c r="I167" s="32" t="e">
        <f t="shared" si="9"/>
        <v>#REF!</v>
      </c>
      <c r="J167" s="32">
        <v>-2500</v>
      </c>
      <c r="K167" s="31"/>
      <c r="L167" s="35">
        <f t="shared" ref="L167:M167" si="65">L53+L96</f>
        <v>391.04</v>
      </c>
      <c r="M167" s="35">
        <f t="shared" si="65"/>
        <v>-1160.6599999999999</v>
      </c>
      <c r="N167" s="35">
        <v>5000</v>
      </c>
      <c r="O167" s="35">
        <v>177.7</v>
      </c>
      <c r="P167" s="32">
        <f t="shared" si="64"/>
        <v>236.93333333333334</v>
      </c>
      <c r="Q167" s="32">
        <f t="shared" si="61"/>
        <v>5000</v>
      </c>
      <c r="R167" s="35">
        <v>2500</v>
      </c>
      <c r="S167" s="35">
        <f t="shared" si="12"/>
        <v>-2500</v>
      </c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</row>
    <row r="168" spans="1:31" ht="15.75" customHeight="1" x14ac:dyDescent="0.25">
      <c r="A168" s="30" t="s">
        <v>943</v>
      </c>
      <c r="B168" s="30" t="s">
        <v>944</v>
      </c>
      <c r="C168" s="31"/>
      <c r="D168" s="32">
        <f t="shared" si="59"/>
        <v>0</v>
      </c>
      <c r="E168" s="32" t="e">
        <f>D168*#REF!</f>
        <v>#REF!</v>
      </c>
      <c r="F168" s="32" t="e">
        <f>D168*#REF!</f>
        <v>#REF!</v>
      </c>
      <c r="G168" s="32" t="e">
        <f>(D168*#REF!)*#REF!</f>
        <v>#REF!</v>
      </c>
      <c r="H168" s="131">
        <f t="shared" si="8"/>
        <v>0</v>
      </c>
      <c r="I168" s="32" t="e">
        <f t="shared" si="9"/>
        <v>#REF!</v>
      </c>
      <c r="J168" s="32">
        <v>-10000</v>
      </c>
      <c r="K168" s="31"/>
      <c r="L168" s="35">
        <f t="shared" ref="L168:M168" si="66">L54+L97</f>
        <v>9866.59</v>
      </c>
      <c r="M168" s="35">
        <f t="shared" si="66"/>
        <v>0</v>
      </c>
      <c r="N168" s="35">
        <v>10000</v>
      </c>
      <c r="O168" s="35">
        <v>213.43</v>
      </c>
      <c r="P168" s="32">
        <f t="shared" si="64"/>
        <v>284.57333333333338</v>
      </c>
      <c r="Q168" s="32">
        <f t="shared" si="61"/>
        <v>10000</v>
      </c>
      <c r="R168" s="35">
        <v>0</v>
      </c>
      <c r="S168" s="35">
        <f t="shared" si="12"/>
        <v>-10000</v>
      </c>
      <c r="T168" s="51"/>
      <c r="U168" s="51"/>
      <c r="V168" s="51"/>
      <c r="W168" s="52"/>
      <c r="X168" s="51"/>
      <c r="Y168" s="51"/>
      <c r="Z168" s="51"/>
      <c r="AA168" s="51"/>
      <c r="AB168" s="51"/>
      <c r="AC168" s="51"/>
      <c r="AD168" s="51"/>
      <c r="AE168" s="51"/>
    </row>
    <row r="169" spans="1:31" ht="15.75" customHeight="1" x14ac:dyDescent="0.25">
      <c r="A169" s="30" t="s">
        <v>945</v>
      </c>
      <c r="B169" s="30" t="s">
        <v>94</v>
      </c>
      <c r="C169" s="31"/>
      <c r="D169" s="32">
        <f>D55+D98+D122</f>
        <v>760621.63</v>
      </c>
      <c r="E169" s="32" t="e">
        <f>D169*#REF!</f>
        <v>#REF!</v>
      </c>
      <c r="F169" s="32" t="e">
        <f>D169*#REF!</f>
        <v>#REF!</v>
      </c>
      <c r="G169" s="32" t="e">
        <f>(D169*#REF!)*#REF!</f>
        <v>#REF!</v>
      </c>
      <c r="H169" s="134">
        <f t="shared" si="8"/>
        <v>0</v>
      </c>
      <c r="I169" s="32" t="e">
        <f t="shared" si="9"/>
        <v>#REF!</v>
      </c>
      <c r="J169" s="16"/>
      <c r="K169" s="31"/>
      <c r="L169" s="35">
        <f t="shared" ref="L169:M169" si="67">L55+L98+L122</f>
        <v>145.24</v>
      </c>
      <c r="M169" s="35">
        <f t="shared" si="67"/>
        <v>420.69</v>
      </c>
      <c r="N169" s="35">
        <v>8000</v>
      </c>
      <c r="O169" s="35">
        <v>91.13</v>
      </c>
      <c r="P169" s="32">
        <f t="shared" si="64"/>
        <v>121.50666666666666</v>
      </c>
      <c r="Q169" s="32">
        <f>Q55+Q98+Q122</f>
        <v>0</v>
      </c>
      <c r="R169" s="35">
        <v>0</v>
      </c>
      <c r="S169" s="35">
        <f t="shared" si="12"/>
        <v>0</v>
      </c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</row>
    <row r="170" spans="1:31" ht="15.75" customHeight="1" x14ac:dyDescent="0.25">
      <c r="A170" s="30" t="s">
        <v>946</v>
      </c>
      <c r="B170" s="30" t="s">
        <v>947</v>
      </c>
      <c r="C170" s="31"/>
      <c r="D170" s="32">
        <f t="shared" ref="D170:D173" si="68">D56+D99</f>
        <v>0</v>
      </c>
      <c r="E170" s="32" t="e">
        <f>D170*#REF!</f>
        <v>#REF!</v>
      </c>
      <c r="F170" s="32" t="e">
        <f>D170*#REF!</f>
        <v>#REF!</v>
      </c>
      <c r="G170" s="32" t="e">
        <f>(D170*#REF!)*#REF!</f>
        <v>#REF!</v>
      </c>
      <c r="H170" s="131">
        <f t="shared" si="8"/>
        <v>0</v>
      </c>
      <c r="I170" s="32" t="e">
        <f t="shared" si="9"/>
        <v>#REF!</v>
      </c>
      <c r="J170" s="16"/>
      <c r="K170" s="31"/>
      <c r="L170" s="35">
        <f t="shared" ref="L170:M170" si="69">L56+L99</f>
        <v>7870.2</v>
      </c>
      <c r="M170" s="35">
        <f t="shared" si="69"/>
        <v>2312.9499999999998</v>
      </c>
      <c r="N170" s="35">
        <v>8500</v>
      </c>
      <c r="O170" s="35">
        <v>4872.42</v>
      </c>
      <c r="P170" s="38">
        <f>N170</f>
        <v>8500</v>
      </c>
      <c r="Q170" s="32">
        <f t="shared" ref="Q170:Q173" si="70">Q56+Q99</f>
        <v>10000</v>
      </c>
      <c r="R170" s="35">
        <v>10000</v>
      </c>
      <c r="S170" s="35">
        <f t="shared" si="12"/>
        <v>0</v>
      </c>
      <c r="T170" s="51"/>
      <c r="U170" s="51"/>
      <c r="V170" s="51"/>
      <c r="W170" s="52"/>
      <c r="X170" s="52"/>
      <c r="Y170" s="51"/>
      <c r="Z170" s="51"/>
      <c r="AA170" s="51"/>
      <c r="AB170" s="51"/>
      <c r="AC170" s="51"/>
      <c r="AD170" s="51"/>
      <c r="AE170" s="51"/>
    </row>
    <row r="171" spans="1:31" ht="15.75" customHeight="1" x14ac:dyDescent="0.25">
      <c r="A171" s="30" t="s">
        <v>948</v>
      </c>
      <c r="B171" s="30" t="s">
        <v>949</v>
      </c>
      <c r="C171" s="31"/>
      <c r="D171" s="32">
        <f t="shared" si="68"/>
        <v>0</v>
      </c>
      <c r="E171" s="32" t="e">
        <f>D171*#REF!</f>
        <v>#REF!</v>
      </c>
      <c r="F171" s="32" t="e">
        <f>D171*#REF!</f>
        <v>#REF!</v>
      </c>
      <c r="G171" s="32" t="e">
        <f>(D171*#REF!)*#REF!</f>
        <v>#REF!</v>
      </c>
      <c r="H171" s="131">
        <f t="shared" si="8"/>
        <v>0</v>
      </c>
      <c r="I171" s="32" t="e">
        <f t="shared" si="9"/>
        <v>#REF!</v>
      </c>
      <c r="J171" s="32">
        <v>-25000</v>
      </c>
      <c r="K171" s="31"/>
      <c r="L171" s="35">
        <f t="shared" ref="L171:M171" si="71">L57+L100</f>
        <v>0</v>
      </c>
      <c r="M171" s="35">
        <f t="shared" si="71"/>
        <v>0</v>
      </c>
      <c r="N171" s="35">
        <v>25000</v>
      </c>
      <c r="O171" s="35">
        <v>0</v>
      </c>
      <c r="P171" s="32">
        <f t="shared" ref="P171:P172" si="72">O171/9*12</f>
        <v>0</v>
      </c>
      <c r="Q171" s="32">
        <f t="shared" si="70"/>
        <v>25000</v>
      </c>
      <c r="R171" s="35">
        <v>0</v>
      </c>
      <c r="S171" s="35">
        <f t="shared" si="12"/>
        <v>-25000</v>
      </c>
      <c r="T171" s="51"/>
      <c r="U171" s="51"/>
      <c r="V171" s="51"/>
      <c r="W171" s="52"/>
      <c r="X171" s="51"/>
      <c r="Y171" s="51"/>
      <c r="Z171" s="51"/>
      <c r="AA171" s="51"/>
      <c r="AB171" s="51"/>
      <c r="AC171" s="51"/>
      <c r="AD171" s="51"/>
      <c r="AE171" s="51"/>
    </row>
    <row r="172" spans="1:31" ht="15.75" customHeight="1" x14ac:dyDescent="0.25">
      <c r="A172" s="30" t="s">
        <v>950</v>
      </c>
      <c r="B172" s="30" t="s">
        <v>951</v>
      </c>
      <c r="C172" s="31"/>
      <c r="D172" s="32">
        <f t="shared" si="68"/>
        <v>0</v>
      </c>
      <c r="E172" s="32" t="e">
        <f>D172*#REF!</f>
        <v>#REF!</v>
      </c>
      <c r="F172" s="32" t="e">
        <f>D172*#REF!</f>
        <v>#REF!</v>
      </c>
      <c r="G172" s="32" t="e">
        <f>(D172*#REF!)*#REF!</f>
        <v>#REF!</v>
      </c>
      <c r="H172" s="131">
        <f t="shared" si="8"/>
        <v>0</v>
      </c>
      <c r="I172" s="32" t="e">
        <f t="shared" si="9"/>
        <v>#REF!</v>
      </c>
      <c r="J172" s="32">
        <v>7000</v>
      </c>
      <c r="K172" s="31"/>
      <c r="L172" s="35">
        <f t="shared" ref="L172:M172" si="73">L58+L101</f>
        <v>25980.97</v>
      </c>
      <c r="M172" s="35">
        <f t="shared" si="73"/>
        <v>17885.34</v>
      </c>
      <c r="N172" s="35">
        <v>25000</v>
      </c>
      <c r="O172" s="35">
        <v>0</v>
      </c>
      <c r="P172" s="32">
        <f t="shared" si="72"/>
        <v>0</v>
      </c>
      <c r="Q172" s="32">
        <f t="shared" si="70"/>
        <v>25000</v>
      </c>
      <c r="R172" s="35">
        <v>32000</v>
      </c>
      <c r="S172" s="35">
        <f t="shared" si="12"/>
        <v>7000</v>
      </c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</row>
    <row r="173" spans="1:31" ht="15.75" customHeight="1" x14ac:dyDescent="0.25">
      <c r="A173" s="30" t="s">
        <v>952</v>
      </c>
      <c r="B173" s="30" t="s">
        <v>953</v>
      </c>
      <c r="C173" s="31"/>
      <c r="D173" s="32">
        <f t="shared" si="68"/>
        <v>0</v>
      </c>
      <c r="E173" s="32" t="e">
        <f>D173*#REF!</f>
        <v>#REF!</v>
      </c>
      <c r="F173" s="32" t="e">
        <f>D173*#REF!</f>
        <v>#REF!</v>
      </c>
      <c r="G173" s="32" t="e">
        <f>(D173*#REF!)*#REF!</f>
        <v>#REF!</v>
      </c>
      <c r="H173" s="131">
        <f t="shared" si="8"/>
        <v>0</v>
      </c>
      <c r="I173" s="32" t="e">
        <f t="shared" si="9"/>
        <v>#REF!</v>
      </c>
      <c r="J173" s="16"/>
      <c r="K173" s="31"/>
      <c r="L173" s="35">
        <f t="shared" ref="L173:M173" si="74">L59+L102</f>
        <v>32297.07</v>
      </c>
      <c r="M173" s="35">
        <f t="shared" si="74"/>
        <v>33621.24</v>
      </c>
      <c r="N173" s="35">
        <v>45000</v>
      </c>
      <c r="O173" s="35">
        <v>34596.26</v>
      </c>
      <c r="P173" s="38">
        <f>N173</f>
        <v>45000</v>
      </c>
      <c r="Q173" s="32">
        <f t="shared" si="70"/>
        <v>40000</v>
      </c>
      <c r="R173" s="35">
        <v>40000</v>
      </c>
      <c r="S173" s="35">
        <f t="shared" si="12"/>
        <v>0</v>
      </c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</row>
    <row r="174" spans="1:31" ht="15.75" customHeight="1" x14ac:dyDescent="0.25">
      <c r="A174" s="47" t="s">
        <v>1023</v>
      </c>
      <c r="B174" s="135"/>
      <c r="C174" s="136"/>
      <c r="D174" s="111">
        <f t="shared" ref="D174:G174" si="75">SUM(D135:D173)</f>
        <v>1580409.65</v>
      </c>
      <c r="E174" s="111" t="e">
        <f t="shared" si="75"/>
        <v>#REF!</v>
      </c>
      <c r="F174" s="111" t="e">
        <f t="shared" si="75"/>
        <v>#REF!</v>
      </c>
      <c r="G174" s="111" t="e">
        <f t="shared" si="75"/>
        <v>#REF!</v>
      </c>
      <c r="H174" s="137">
        <f t="shared" si="8"/>
        <v>0</v>
      </c>
      <c r="I174" s="111" t="e">
        <f t="shared" ref="I174:J174" si="76">SUM(I136:I173)</f>
        <v>#REF!</v>
      </c>
      <c r="J174" s="111">
        <f t="shared" si="76"/>
        <v>59005</v>
      </c>
      <c r="K174" s="136"/>
      <c r="L174" s="110">
        <f t="shared" ref="L174:S174" si="77">SUM(L135:L173)</f>
        <v>2839238.3799999994</v>
      </c>
      <c r="M174" s="110">
        <f t="shared" si="77"/>
        <v>3203825.4000000008</v>
      </c>
      <c r="N174" s="110">
        <f t="shared" si="77"/>
        <v>3801537</v>
      </c>
      <c r="O174" s="110">
        <f t="shared" si="77"/>
        <v>2302116.6800000002</v>
      </c>
      <c r="P174" s="111">
        <f t="shared" si="77"/>
        <v>3341390.7303333334</v>
      </c>
      <c r="Q174" s="111">
        <f t="shared" si="77"/>
        <v>3848365</v>
      </c>
      <c r="R174" s="110">
        <f t="shared" si="77"/>
        <v>3907370</v>
      </c>
      <c r="S174" s="110">
        <f t="shared" si="77"/>
        <v>59005</v>
      </c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</row>
    <row r="175" spans="1:31" ht="15.75" customHeight="1" x14ac:dyDescent="0.25">
      <c r="A175" s="30"/>
      <c r="B175" s="30"/>
      <c r="C175" s="139"/>
      <c r="D175" s="140"/>
      <c r="E175" s="140"/>
      <c r="F175" s="140"/>
      <c r="G175" s="140"/>
      <c r="H175" s="336"/>
      <c r="I175" s="140"/>
      <c r="J175" s="140"/>
      <c r="K175" s="337"/>
      <c r="L175" s="176"/>
      <c r="M175" s="176"/>
      <c r="N175" s="176"/>
      <c r="O175" s="176"/>
      <c r="P175" s="176"/>
      <c r="Q175" s="176"/>
      <c r="R175" s="176"/>
      <c r="S175" s="176"/>
    </row>
    <row r="176" spans="1:31" ht="15.75" customHeight="1" x14ac:dyDescent="0.25">
      <c r="A176" s="30"/>
      <c r="B176" s="30"/>
      <c r="C176" s="139"/>
      <c r="D176" s="140"/>
      <c r="E176" s="140"/>
      <c r="F176" s="140"/>
      <c r="G176" s="140"/>
      <c r="H176" s="336"/>
      <c r="I176" s="140"/>
      <c r="J176" s="140"/>
      <c r="K176" s="337"/>
      <c r="L176" s="176"/>
      <c r="M176" s="176"/>
      <c r="N176" s="176"/>
      <c r="O176" s="176"/>
      <c r="P176" s="176"/>
      <c r="Q176" s="176"/>
      <c r="R176" s="176"/>
      <c r="S176" s="176"/>
    </row>
    <row r="177" spans="1:31" ht="15.75" customHeight="1" x14ac:dyDescent="0.25">
      <c r="A177" s="30" t="s">
        <v>1024</v>
      </c>
      <c r="B177" s="30" t="s">
        <v>180</v>
      </c>
      <c r="C177" s="31"/>
      <c r="D177" s="32">
        <v>9842.91</v>
      </c>
      <c r="E177" s="32">
        <v>2559.1566000000003</v>
      </c>
      <c r="F177" s="32">
        <v>1425.2533680000001</v>
      </c>
      <c r="G177" s="32">
        <v>14197.88584368</v>
      </c>
      <c r="H177" s="134">
        <f t="shared" ref="H177:H179" si="78">IFERROR(((Q177-G177)/G177),0)</f>
        <v>-1</v>
      </c>
      <c r="I177" s="32">
        <f t="shared" ref="I177:I178" si="79">Q177-G177</f>
        <v>-14197.88584368</v>
      </c>
      <c r="J177" s="16"/>
      <c r="K177" s="31"/>
      <c r="L177" s="35">
        <v>24570.34</v>
      </c>
      <c r="M177" s="35">
        <v>9590.18</v>
      </c>
      <c r="N177" s="35">
        <v>45000</v>
      </c>
      <c r="O177" s="35">
        <v>5366</v>
      </c>
      <c r="P177" s="38">
        <f t="shared" ref="P177:P178" si="80">N177</f>
        <v>45000</v>
      </c>
      <c r="Q177" s="32">
        <v>0</v>
      </c>
      <c r="R177" s="35">
        <v>0</v>
      </c>
      <c r="S177" s="35">
        <f t="shared" ref="S177:S178" si="81">R177-Q177</f>
        <v>0</v>
      </c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</row>
    <row r="178" spans="1:31" ht="15.75" customHeight="1" x14ac:dyDescent="0.25">
      <c r="A178" s="30" t="s">
        <v>1025</v>
      </c>
      <c r="B178" s="30" t="s">
        <v>99</v>
      </c>
      <c r="C178" s="31"/>
      <c r="D178" s="32">
        <v>736259.97</v>
      </c>
      <c r="E178" s="32">
        <v>191427.59220000001</v>
      </c>
      <c r="F178" s="32">
        <v>106610.443656</v>
      </c>
      <c r="G178" s="32">
        <v>1062016.72120656</v>
      </c>
      <c r="H178" s="134">
        <f t="shared" si="78"/>
        <v>-1.2727409029119287E-2</v>
      </c>
      <c r="I178" s="32">
        <f t="shared" si="79"/>
        <v>-13516.721206560032</v>
      </c>
      <c r="J178" s="16"/>
      <c r="K178" s="31"/>
      <c r="L178" s="35">
        <v>701128.55</v>
      </c>
      <c r="M178" s="35">
        <v>534519.64</v>
      </c>
      <c r="N178" s="35">
        <v>782400</v>
      </c>
      <c r="O178" s="35">
        <v>181004.45</v>
      </c>
      <c r="P178" s="38">
        <f t="shared" si="80"/>
        <v>782400</v>
      </c>
      <c r="Q178" s="32">
        <v>1048500</v>
      </c>
      <c r="R178" s="35">
        <v>1048500</v>
      </c>
      <c r="S178" s="35">
        <f t="shared" si="81"/>
        <v>0</v>
      </c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</row>
    <row r="179" spans="1:31" ht="15.75" customHeight="1" x14ac:dyDescent="0.25">
      <c r="A179" s="47" t="s">
        <v>1026</v>
      </c>
      <c r="B179" s="135"/>
      <c r="C179" s="136"/>
      <c r="D179" s="111">
        <f t="shared" ref="D179:G179" si="82">SUM(D176:D178)</f>
        <v>746102.88</v>
      </c>
      <c r="E179" s="111">
        <f t="shared" si="82"/>
        <v>193986.7488</v>
      </c>
      <c r="F179" s="111">
        <f t="shared" si="82"/>
        <v>108035.69702400001</v>
      </c>
      <c r="G179" s="111">
        <f t="shared" si="82"/>
        <v>1076214.60705024</v>
      </c>
      <c r="H179" s="137">
        <f t="shared" si="78"/>
        <v>-2.5751933553663672E-2</v>
      </c>
      <c r="I179" s="111">
        <f t="shared" ref="I179:J179" si="83">SUM(I177:I178)</f>
        <v>-27714.607050240033</v>
      </c>
      <c r="J179" s="111">
        <f t="shared" si="83"/>
        <v>0</v>
      </c>
      <c r="K179" s="136"/>
      <c r="L179" s="110">
        <f t="shared" ref="L179:S179" si="84">SUM(L176:L178)</f>
        <v>725698.89</v>
      </c>
      <c r="M179" s="110">
        <f t="shared" si="84"/>
        <v>544109.82000000007</v>
      </c>
      <c r="N179" s="110">
        <f t="shared" si="84"/>
        <v>827400</v>
      </c>
      <c r="O179" s="110">
        <f t="shared" si="84"/>
        <v>186370.45</v>
      </c>
      <c r="P179" s="111">
        <f t="shared" si="84"/>
        <v>827400</v>
      </c>
      <c r="Q179" s="111">
        <f t="shared" si="84"/>
        <v>1048500</v>
      </c>
      <c r="R179" s="110">
        <f t="shared" si="84"/>
        <v>1048500</v>
      </c>
      <c r="S179" s="110">
        <f t="shared" si="84"/>
        <v>0</v>
      </c>
    </row>
    <row r="180" spans="1:31" ht="15.75" customHeight="1" x14ac:dyDescent="0.25">
      <c r="A180" s="30"/>
      <c r="B180" s="30"/>
      <c r="C180" s="139"/>
      <c r="D180" s="140"/>
      <c r="E180" s="140"/>
      <c r="F180" s="140"/>
      <c r="G180" s="140"/>
      <c r="H180" s="336"/>
      <c r="I180" s="140"/>
      <c r="J180" s="140"/>
      <c r="K180" s="337"/>
      <c r="L180" s="176"/>
      <c r="M180" s="176"/>
      <c r="N180" s="176"/>
      <c r="O180" s="176"/>
      <c r="P180" s="176"/>
      <c r="Q180" s="176"/>
      <c r="R180" s="176"/>
      <c r="S180" s="176"/>
    </row>
    <row r="181" spans="1:31" ht="15.75" customHeight="1" x14ac:dyDescent="0.25">
      <c r="A181" s="47" t="s">
        <v>101</v>
      </c>
      <c r="B181" s="135"/>
      <c r="C181" s="136"/>
      <c r="D181" s="111">
        <f t="shared" ref="D181:G181" si="85">SUM(D179)+D174</f>
        <v>2326512.5299999998</v>
      </c>
      <c r="E181" s="111" t="e">
        <f t="shared" si="85"/>
        <v>#REF!</v>
      </c>
      <c r="F181" s="111" t="e">
        <f t="shared" si="85"/>
        <v>#REF!</v>
      </c>
      <c r="G181" s="111" t="e">
        <f t="shared" si="85"/>
        <v>#REF!</v>
      </c>
      <c r="H181" s="137">
        <f>IFERROR(((Q181-G181)/G181),0)</f>
        <v>0</v>
      </c>
      <c r="I181" s="111" t="e">
        <f>Q181-G181</f>
        <v>#REF!</v>
      </c>
      <c r="J181" s="111">
        <f>SUM(J179)+J173</f>
        <v>0</v>
      </c>
      <c r="K181" s="136"/>
      <c r="L181" s="110">
        <f t="shared" ref="L181:S181" si="86">SUM(L179)+L174</f>
        <v>3564937.2699999996</v>
      </c>
      <c r="M181" s="110">
        <f t="shared" si="86"/>
        <v>3747935.2200000007</v>
      </c>
      <c r="N181" s="110">
        <f t="shared" si="86"/>
        <v>4628937</v>
      </c>
      <c r="O181" s="110">
        <f t="shared" si="86"/>
        <v>2488487.1300000004</v>
      </c>
      <c r="P181" s="111">
        <f t="shared" si="86"/>
        <v>4168790.7303333334</v>
      </c>
      <c r="Q181" s="111">
        <f t="shared" si="86"/>
        <v>4896865</v>
      </c>
      <c r="R181" s="110">
        <f t="shared" si="86"/>
        <v>4955870</v>
      </c>
      <c r="S181" s="110">
        <f t="shared" si="86"/>
        <v>59005</v>
      </c>
    </row>
    <row r="182" spans="1:31" ht="15.75" customHeight="1" x14ac:dyDescent="0.25">
      <c r="A182" s="30"/>
      <c r="B182" s="30"/>
      <c r="C182" s="139"/>
      <c r="D182" s="140"/>
      <c r="E182" s="140"/>
      <c r="F182" s="140"/>
      <c r="G182" s="140"/>
      <c r="H182" s="336"/>
      <c r="I182" s="140"/>
      <c r="J182" s="140"/>
      <c r="K182" s="337"/>
      <c r="L182" s="176"/>
      <c r="M182" s="176"/>
      <c r="N182" s="176"/>
      <c r="O182" s="176"/>
      <c r="P182" s="176"/>
      <c r="Q182" s="176"/>
      <c r="R182" s="176"/>
      <c r="S182" s="176"/>
    </row>
    <row r="183" spans="1:31" ht="15.75" customHeight="1" x14ac:dyDescent="0.25">
      <c r="A183" s="144" t="s">
        <v>184</v>
      </c>
      <c r="B183" s="30"/>
      <c r="C183" s="139"/>
      <c r="D183" s="140"/>
      <c r="E183" s="140"/>
      <c r="F183" s="140"/>
      <c r="G183" s="140"/>
      <c r="H183" s="336"/>
      <c r="I183" s="140"/>
      <c r="J183" s="140"/>
      <c r="K183" s="337"/>
      <c r="L183" s="176"/>
      <c r="M183" s="176"/>
      <c r="N183" s="176"/>
      <c r="O183" s="176"/>
      <c r="P183" s="176"/>
      <c r="Q183" s="176"/>
      <c r="R183" s="176"/>
      <c r="S183" s="176"/>
    </row>
    <row r="184" spans="1:31" ht="15.75" customHeight="1" x14ac:dyDescent="0.25">
      <c r="A184" s="30" t="s">
        <v>1027</v>
      </c>
      <c r="B184" s="30" t="s">
        <v>1028</v>
      </c>
      <c r="C184" s="31"/>
      <c r="D184" s="32">
        <v>0</v>
      </c>
      <c r="E184" s="32" t="e">
        <f>D184*#REF!</f>
        <v>#REF!</v>
      </c>
      <c r="F184" s="32" t="e">
        <f>D184*#REF!</f>
        <v>#REF!</v>
      </c>
      <c r="G184" s="32" t="e">
        <f>(D184*#REF!)*#REF!</f>
        <v>#REF!</v>
      </c>
      <c r="H184" s="131">
        <f t="shared" ref="H184:H195" si="87">IFERROR(((Q184-G184)/G184),0)</f>
        <v>0</v>
      </c>
      <c r="I184" s="32" t="e">
        <f t="shared" ref="I184:I194" si="88">Q184-G184</f>
        <v>#REF!</v>
      </c>
      <c r="J184" s="16"/>
      <c r="K184" s="31"/>
      <c r="L184" s="35">
        <v>-4205</v>
      </c>
      <c r="M184" s="35">
        <v>-4361</v>
      </c>
      <c r="N184" s="35">
        <v>-5700</v>
      </c>
      <c r="O184" s="35">
        <v>-6796</v>
      </c>
      <c r="P184" s="38">
        <f>O184</f>
        <v>-6796</v>
      </c>
      <c r="Q184" s="32">
        <v>-4500</v>
      </c>
      <c r="R184" s="35">
        <v>-4500</v>
      </c>
      <c r="S184" s="35">
        <f t="shared" ref="S184:S194" si="89">R184-Q184</f>
        <v>0</v>
      </c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</row>
    <row r="185" spans="1:31" ht="15.75" customHeight="1" x14ac:dyDescent="0.25">
      <c r="A185" s="30" t="s">
        <v>1029</v>
      </c>
      <c r="B185" s="30" t="s">
        <v>1030</v>
      </c>
      <c r="C185" s="31"/>
      <c r="D185" s="32">
        <v>-49801.56</v>
      </c>
      <c r="E185" s="32" t="e">
        <f>D185*#REF!</f>
        <v>#REF!</v>
      </c>
      <c r="F185" s="32" t="e">
        <f>D185*#REF!</f>
        <v>#REF!</v>
      </c>
      <c r="G185" s="32" t="e">
        <f>(D185*#REF!)*#REF!</f>
        <v>#REF!</v>
      </c>
      <c r="H185" s="134">
        <f t="shared" si="87"/>
        <v>0</v>
      </c>
      <c r="I185" s="32" t="e">
        <f t="shared" si="88"/>
        <v>#REF!</v>
      </c>
      <c r="J185" s="16"/>
      <c r="K185" s="31"/>
      <c r="L185" s="35">
        <v>-82189.350000000006</v>
      </c>
      <c r="M185" s="35">
        <v>-214264.2</v>
      </c>
      <c r="N185" s="35">
        <v>-60000</v>
      </c>
      <c r="O185" s="35">
        <v>-24605.33</v>
      </c>
      <c r="P185" s="32">
        <f t="shared" ref="P185:P186" si="90">O185/9*12</f>
        <v>-32807.106666666667</v>
      </c>
      <c r="Q185" s="32">
        <v>-60000</v>
      </c>
      <c r="R185" s="35">
        <v>-60000</v>
      </c>
      <c r="S185" s="35">
        <f t="shared" si="89"/>
        <v>0</v>
      </c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</row>
    <row r="186" spans="1:31" ht="15.75" customHeight="1" x14ac:dyDescent="0.25">
      <c r="A186" s="30" t="s">
        <v>1031</v>
      </c>
      <c r="B186" s="30" t="s">
        <v>1032</v>
      </c>
      <c r="C186" s="31"/>
      <c r="D186" s="32">
        <v>-202.5</v>
      </c>
      <c r="E186" s="32" t="e">
        <f>D186*#REF!</f>
        <v>#REF!</v>
      </c>
      <c r="F186" s="32" t="e">
        <f>D186*#REF!</f>
        <v>#REF!</v>
      </c>
      <c r="G186" s="32" t="e">
        <f>(D186*#REF!)*#REF!</f>
        <v>#REF!</v>
      </c>
      <c r="H186" s="131">
        <f t="shared" si="87"/>
        <v>0</v>
      </c>
      <c r="I186" s="32" t="e">
        <f t="shared" si="88"/>
        <v>#REF!</v>
      </c>
      <c r="J186" s="16"/>
      <c r="K186" s="31"/>
      <c r="L186" s="35">
        <v>-1790</v>
      </c>
      <c r="M186" s="35">
        <v>-7021.5</v>
      </c>
      <c r="N186" s="35">
        <v>-2000</v>
      </c>
      <c r="O186" s="35">
        <v>-6895</v>
      </c>
      <c r="P186" s="32">
        <f t="shared" si="90"/>
        <v>-9193.3333333333321</v>
      </c>
      <c r="Q186" s="32">
        <v>-3000</v>
      </c>
      <c r="R186" s="35">
        <v>-3000</v>
      </c>
      <c r="S186" s="35">
        <f t="shared" si="89"/>
        <v>0</v>
      </c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</row>
    <row r="187" spans="1:31" ht="15.75" customHeight="1" x14ac:dyDescent="0.25">
      <c r="A187" s="30" t="s">
        <v>1033</v>
      </c>
      <c r="B187" s="30" t="s">
        <v>1034</v>
      </c>
      <c r="C187" s="31"/>
      <c r="D187" s="32">
        <v>0</v>
      </c>
      <c r="E187" s="32" t="e">
        <f>D187*#REF!</f>
        <v>#REF!</v>
      </c>
      <c r="F187" s="32" t="e">
        <f>D187*#REF!</f>
        <v>#REF!</v>
      </c>
      <c r="G187" s="32" t="e">
        <f>(D187*#REF!)*#REF!</f>
        <v>#REF!</v>
      </c>
      <c r="H187" s="131">
        <f t="shared" si="87"/>
        <v>0</v>
      </c>
      <c r="I187" s="32" t="e">
        <f t="shared" si="88"/>
        <v>#REF!</v>
      </c>
      <c r="J187" s="16"/>
      <c r="K187" s="31"/>
      <c r="L187" s="35">
        <v>0</v>
      </c>
      <c r="M187" s="35">
        <v>-127533.02</v>
      </c>
      <c r="N187" s="35">
        <v>-178000</v>
      </c>
      <c r="O187" s="35">
        <f>247295.91-386031.26</f>
        <v>-138735.35</v>
      </c>
      <c r="P187" s="38">
        <f>O187</f>
        <v>-138735.35</v>
      </c>
      <c r="Q187" s="32">
        <v>-125000</v>
      </c>
      <c r="R187" s="35">
        <v>-125000</v>
      </c>
      <c r="S187" s="35">
        <f t="shared" si="89"/>
        <v>0</v>
      </c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</row>
    <row r="188" spans="1:31" ht="15.75" customHeight="1" x14ac:dyDescent="0.25">
      <c r="A188" s="30" t="s">
        <v>1035</v>
      </c>
      <c r="B188" s="30" t="s">
        <v>1036</v>
      </c>
      <c r="C188" s="31"/>
      <c r="D188" s="32">
        <v>0</v>
      </c>
      <c r="E188" s="32" t="e">
        <f>D188*#REF!</f>
        <v>#REF!</v>
      </c>
      <c r="F188" s="32" t="e">
        <f>D188*#REF!</f>
        <v>#REF!</v>
      </c>
      <c r="G188" s="32" t="e">
        <f>(D188*#REF!)*#REF!</f>
        <v>#REF!</v>
      </c>
      <c r="H188" s="131">
        <f t="shared" si="87"/>
        <v>0</v>
      </c>
      <c r="I188" s="32" t="e">
        <f t="shared" si="88"/>
        <v>#REF!</v>
      </c>
      <c r="J188" s="16"/>
      <c r="K188" s="31"/>
      <c r="L188" s="35">
        <v>-1668157.6</v>
      </c>
      <c r="M188" s="35">
        <v>-1634831.87</v>
      </c>
      <c r="N188" s="35">
        <v>-1350000</v>
      </c>
      <c r="O188" s="35">
        <v>-1158409.82</v>
      </c>
      <c r="P188" s="32">
        <f t="shared" ref="P188:P193" si="91">O188/9*12</f>
        <v>-1544546.4266666668</v>
      </c>
      <c r="Q188" s="32">
        <v>-1650000</v>
      </c>
      <c r="R188" s="35">
        <v>-1650000</v>
      </c>
      <c r="S188" s="35">
        <f t="shared" si="89"/>
        <v>0</v>
      </c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</row>
    <row r="189" spans="1:31" ht="15.75" customHeight="1" x14ac:dyDescent="0.25">
      <c r="A189" s="30" t="s">
        <v>1037</v>
      </c>
      <c r="B189" s="30" t="s">
        <v>1038</v>
      </c>
      <c r="C189" s="31"/>
      <c r="D189" s="32">
        <v>0</v>
      </c>
      <c r="E189" s="32" t="e">
        <f>D189*#REF!</f>
        <v>#REF!</v>
      </c>
      <c r="F189" s="32" t="e">
        <f>D189*#REF!</f>
        <v>#REF!</v>
      </c>
      <c r="G189" s="32" t="e">
        <f>(D189*#REF!)*#REF!</f>
        <v>#REF!</v>
      </c>
      <c r="H189" s="131">
        <f t="shared" si="87"/>
        <v>0</v>
      </c>
      <c r="I189" s="32" t="e">
        <f t="shared" si="88"/>
        <v>#REF!</v>
      </c>
      <c r="J189" s="16"/>
      <c r="K189" s="31"/>
      <c r="L189" s="35">
        <v>0</v>
      </c>
      <c r="M189" s="35">
        <v>0</v>
      </c>
      <c r="N189" s="35">
        <v>0</v>
      </c>
      <c r="O189" s="35">
        <v>0</v>
      </c>
      <c r="P189" s="32">
        <f t="shared" si="91"/>
        <v>0</v>
      </c>
      <c r="Q189" s="32">
        <v>0</v>
      </c>
      <c r="R189" s="35">
        <v>0</v>
      </c>
      <c r="S189" s="35">
        <f t="shared" si="89"/>
        <v>0</v>
      </c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</row>
    <row r="190" spans="1:31" ht="15.75" customHeight="1" x14ac:dyDescent="0.25">
      <c r="A190" s="30" t="s">
        <v>1039</v>
      </c>
      <c r="B190" s="30" t="s">
        <v>1040</v>
      </c>
      <c r="C190" s="31"/>
      <c r="D190" s="32">
        <v>0</v>
      </c>
      <c r="E190" s="32" t="e">
        <f>D190*#REF!</f>
        <v>#REF!</v>
      </c>
      <c r="F190" s="32" t="e">
        <f>D190*#REF!</f>
        <v>#REF!</v>
      </c>
      <c r="G190" s="32" t="e">
        <f>(D190*#REF!)*#REF!</f>
        <v>#REF!</v>
      </c>
      <c r="H190" s="131">
        <f t="shared" si="87"/>
        <v>0</v>
      </c>
      <c r="I190" s="32" t="e">
        <f t="shared" si="88"/>
        <v>#REF!</v>
      </c>
      <c r="J190" s="16"/>
      <c r="K190" s="31"/>
      <c r="L190" s="35">
        <v>-94258.12</v>
      </c>
      <c r="M190" s="35">
        <v>-64183.158000000003</v>
      </c>
      <c r="N190" s="35">
        <v>-50000</v>
      </c>
      <c r="O190" s="35">
        <v>-37041.949999999997</v>
      </c>
      <c r="P190" s="32">
        <f t="shared" si="91"/>
        <v>-49389.266666666663</v>
      </c>
      <c r="Q190" s="32">
        <v>-50000</v>
      </c>
      <c r="R190" s="35">
        <v>-50000</v>
      </c>
      <c r="S190" s="35">
        <f t="shared" si="89"/>
        <v>0</v>
      </c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</row>
    <row r="191" spans="1:31" ht="15.75" customHeight="1" x14ac:dyDescent="0.25">
      <c r="A191" s="30" t="s">
        <v>1041</v>
      </c>
      <c r="B191" s="30" t="s">
        <v>1042</v>
      </c>
      <c r="C191" s="31"/>
      <c r="D191" s="32">
        <v>0</v>
      </c>
      <c r="E191" s="32" t="e">
        <f>D191*#REF!</f>
        <v>#REF!</v>
      </c>
      <c r="F191" s="32" t="e">
        <f>D191*#REF!</f>
        <v>#REF!</v>
      </c>
      <c r="G191" s="32" t="e">
        <f>(D191*#REF!)*#REF!</f>
        <v>#REF!</v>
      </c>
      <c r="H191" s="131">
        <f t="shared" si="87"/>
        <v>0</v>
      </c>
      <c r="I191" s="32" t="e">
        <f t="shared" si="88"/>
        <v>#REF!</v>
      </c>
      <c r="J191" s="16"/>
      <c r="K191" s="31"/>
      <c r="L191" s="35">
        <v>782028.07</v>
      </c>
      <c r="M191" s="35">
        <v>798824.38</v>
      </c>
      <c r="N191" s="35">
        <v>600000</v>
      </c>
      <c r="O191" s="35">
        <v>499260.79</v>
      </c>
      <c r="P191" s="32">
        <f t="shared" si="91"/>
        <v>665681.05333333323</v>
      </c>
      <c r="Q191" s="32">
        <v>780000</v>
      </c>
      <c r="R191" s="35">
        <v>780000</v>
      </c>
      <c r="S191" s="35">
        <f t="shared" si="89"/>
        <v>0</v>
      </c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</row>
    <row r="192" spans="1:31" ht="15.75" customHeight="1" x14ac:dyDescent="0.25">
      <c r="A192" s="30" t="s">
        <v>1043</v>
      </c>
      <c r="B192" s="30" t="s">
        <v>1044</v>
      </c>
      <c r="C192" s="31"/>
      <c r="D192" s="32">
        <v>0</v>
      </c>
      <c r="E192" s="32" t="e">
        <f>D192*#REF!</f>
        <v>#REF!</v>
      </c>
      <c r="F192" s="32" t="e">
        <f>D192*#REF!</f>
        <v>#REF!</v>
      </c>
      <c r="G192" s="32" t="e">
        <f>(D192*#REF!)*#REF!</f>
        <v>#REF!</v>
      </c>
      <c r="H192" s="131">
        <f t="shared" si="87"/>
        <v>0</v>
      </c>
      <c r="I192" s="32" t="e">
        <f t="shared" si="88"/>
        <v>#REF!</v>
      </c>
      <c r="J192" s="16"/>
      <c r="K192" s="31"/>
      <c r="L192" s="35">
        <v>108779.53</v>
      </c>
      <c r="M192" s="35">
        <v>159263.26999999999</v>
      </c>
      <c r="N192" s="35">
        <v>100000</v>
      </c>
      <c r="O192" s="35">
        <v>91049.600000000006</v>
      </c>
      <c r="P192" s="32">
        <f t="shared" si="91"/>
        <v>121399.46666666667</v>
      </c>
      <c r="Q192" s="32">
        <v>120000</v>
      </c>
      <c r="R192" s="35">
        <v>120000</v>
      </c>
      <c r="S192" s="35">
        <f t="shared" si="89"/>
        <v>0</v>
      </c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</row>
    <row r="193" spans="1:31" ht="15.75" customHeight="1" x14ac:dyDescent="0.25">
      <c r="A193" s="30" t="s">
        <v>1045</v>
      </c>
      <c r="B193" s="30" t="s">
        <v>1046</v>
      </c>
      <c r="C193" s="31"/>
      <c r="D193" s="32">
        <v>0</v>
      </c>
      <c r="E193" s="32" t="e">
        <f>D193*#REF!</f>
        <v>#REF!</v>
      </c>
      <c r="F193" s="32" t="e">
        <f>D193*#REF!</f>
        <v>#REF!</v>
      </c>
      <c r="G193" s="32" t="e">
        <f>(D193*#REF!)*#REF!</f>
        <v>#REF!</v>
      </c>
      <c r="H193" s="131">
        <f t="shared" si="87"/>
        <v>0</v>
      </c>
      <c r="I193" s="32" t="e">
        <f t="shared" si="88"/>
        <v>#REF!</v>
      </c>
      <c r="J193" s="16"/>
      <c r="K193" s="31"/>
      <c r="L193" s="35">
        <v>-1000</v>
      </c>
      <c r="M193" s="35">
        <v>0</v>
      </c>
      <c r="N193" s="35">
        <v>26000</v>
      </c>
      <c r="O193" s="35">
        <v>0</v>
      </c>
      <c r="P193" s="32">
        <f t="shared" si="91"/>
        <v>0</v>
      </c>
      <c r="Q193" s="32">
        <v>0</v>
      </c>
      <c r="R193" s="35">
        <v>0</v>
      </c>
      <c r="S193" s="35">
        <f t="shared" si="89"/>
        <v>0</v>
      </c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</row>
    <row r="194" spans="1:31" ht="15.75" customHeight="1" x14ac:dyDescent="0.25">
      <c r="A194" s="30" t="s">
        <v>1047</v>
      </c>
      <c r="B194" s="30" t="s">
        <v>1048</v>
      </c>
      <c r="C194" s="31"/>
      <c r="D194" s="32">
        <v>0</v>
      </c>
      <c r="E194" s="32" t="e">
        <f>D194*#REF!</f>
        <v>#REF!</v>
      </c>
      <c r="F194" s="32" t="e">
        <f>D194*#REF!</f>
        <v>#REF!</v>
      </c>
      <c r="G194" s="32" t="e">
        <f>(D194*#REF!)*#REF!</f>
        <v>#REF!</v>
      </c>
      <c r="H194" s="131">
        <f t="shared" si="87"/>
        <v>0</v>
      </c>
      <c r="I194" s="32" t="e">
        <f t="shared" si="88"/>
        <v>#REF!</v>
      </c>
      <c r="J194" s="16"/>
      <c r="K194" s="31"/>
      <c r="L194" s="35">
        <v>-434555</v>
      </c>
      <c r="M194" s="35">
        <v>-451979.25</v>
      </c>
      <c r="N194" s="35">
        <v>-448800</v>
      </c>
      <c r="O194" s="35">
        <f>0-244024.71-247295.91</f>
        <v>-491320.62</v>
      </c>
      <c r="P194" s="38">
        <f>O194</f>
        <v>-491320.62</v>
      </c>
      <c r="Q194" s="32">
        <v>-450000</v>
      </c>
      <c r="R194" s="35">
        <v>-450000</v>
      </c>
      <c r="S194" s="35">
        <f t="shared" si="89"/>
        <v>0</v>
      </c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</row>
    <row r="195" spans="1:31" ht="15.75" customHeight="1" x14ac:dyDescent="0.25">
      <c r="A195" s="144" t="s">
        <v>189</v>
      </c>
      <c r="B195" s="144"/>
      <c r="C195" s="136"/>
      <c r="D195" s="111">
        <f t="shared" ref="D195:G195" si="92">SUM(D183:D194)</f>
        <v>-50004.06</v>
      </c>
      <c r="E195" s="111" t="e">
        <f t="shared" si="92"/>
        <v>#REF!</v>
      </c>
      <c r="F195" s="111" t="e">
        <f t="shared" si="92"/>
        <v>#REF!</v>
      </c>
      <c r="G195" s="111" t="e">
        <f t="shared" si="92"/>
        <v>#REF!</v>
      </c>
      <c r="H195" s="137">
        <f t="shared" si="87"/>
        <v>0</v>
      </c>
      <c r="I195" s="111" t="e">
        <f t="shared" ref="I195:J195" si="93">SUM(I183:I194)</f>
        <v>#REF!</v>
      </c>
      <c r="J195" s="111">
        <f t="shared" si="93"/>
        <v>0</v>
      </c>
      <c r="K195" s="136"/>
      <c r="L195" s="110">
        <f t="shared" ref="L195:S195" si="94">SUM(L183:L194)</f>
        <v>-1395347.4700000004</v>
      </c>
      <c r="M195" s="110">
        <f t="shared" si="94"/>
        <v>-1546086.3480000002</v>
      </c>
      <c r="N195" s="110">
        <f t="shared" si="94"/>
        <v>-1368500</v>
      </c>
      <c r="O195" s="110">
        <f t="shared" si="94"/>
        <v>-1273493.68</v>
      </c>
      <c r="P195" s="111">
        <f t="shared" si="94"/>
        <v>-1485707.5833333335</v>
      </c>
      <c r="Q195" s="111">
        <f t="shared" si="94"/>
        <v>-1442500</v>
      </c>
      <c r="R195" s="110">
        <f t="shared" si="94"/>
        <v>-1442500</v>
      </c>
      <c r="S195" s="110">
        <f t="shared" si="94"/>
        <v>0</v>
      </c>
    </row>
    <row r="196" spans="1:31" ht="15.75" customHeight="1" x14ac:dyDescent="0.25">
      <c r="A196" s="30"/>
      <c r="B196" s="30"/>
      <c r="C196" s="139"/>
      <c r="D196" s="140"/>
      <c r="E196" s="140"/>
      <c r="F196" s="140"/>
      <c r="G196" s="140"/>
      <c r="H196" s="336"/>
      <c r="I196" s="140"/>
      <c r="J196" s="140"/>
      <c r="K196" s="337"/>
      <c r="L196" s="176"/>
      <c r="M196" s="176"/>
      <c r="N196" s="176"/>
      <c r="O196" s="176"/>
      <c r="P196" s="176"/>
      <c r="Q196" s="176"/>
      <c r="R196" s="176"/>
      <c r="S196" s="176"/>
    </row>
    <row r="197" spans="1:31" ht="15.75" customHeight="1" x14ac:dyDescent="0.25">
      <c r="A197" s="144" t="s">
        <v>190</v>
      </c>
      <c r="B197" s="30"/>
      <c r="C197" s="136"/>
      <c r="D197" s="111">
        <f t="shared" ref="D197:G197" si="95">D195+D181</f>
        <v>2276508.4699999997</v>
      </c>
      <c r="E197" s="111" t="e">
        <f t="shared" si="95"/>
        <v>#REF!</v>
      </c>
      <c r="F197" s="111" t="e">
        <f t="shared" si="95"/>
        <v>#REF!</v>
      </c>
      <c r="G197" s="111" t="e">
        <f t="shared" si="95"/>
        <v>#REF!</v>
      </c>
      <c r="H197" s="137">
        <f>IFERROR(((Q197-G197)/G197),0)</f>
        <v>0</v>
      </c>
      <c r="I197" s="111" t="e">
        <f>Q197-G197</f>
        <v>#REF!</v>
      </c>
      <c r="J197" s="111">
        <f>SUM(J196)</f>
        <v>0</v>
      </c>
      <c r="K197" s="136"/>
      <c r="L197" s="110">
        <f t="shared" ref="L197:Q197" si="96">L195+L181</f>
        <v>2169589.7999999989</v>
      </c>
      <c r="M197" s="110">
        <f t="shared" si="96"/>
        <v>2201848.8720000004</v>
      </c>
      <c r="N197" s="110">
        <f t="shared" si="96"/>
        <v>3260437</v>
      </c>
      <c r="O197" s="110">
        <f t="shared" si="96"/>
        <v>1214993.4500000004</v>
      </c>
      <c r="P197" s="111">
        <f t="shared" si="96"/>
        <v>2683083.1469999999</v>
      </c>
      <c r="Q197" s="111">
        <f t="shared" si="96"/>
        <v>3454365</v>
      </c>
      <c r="R197" s="110">
        <f>+R174+R195</f>
        <v>2464870</v>
      </c>
      <c r="S197" s="110">
        <f>S195+S181</f>
        <v>59005</v>
      </c>
    </row>
    <row r="198" spans="1:31" ht="15.75" customHeight="1" x14ac:dyDescent="0.2">
      <c r="C198" s="60"/>
      <c r="D198" s="147"/>
      <c r="E198" s="147"/>
      <c r="F198" s="147"/>
      <c r="G198" s="147"/>
      <c r="H198" s="338"/>
      <c r="I198" s="147"/>
      <c r="J198" s="147"/>
      <c r="K198" s="180"/>
      <c r="L198" s="54"/>
      <c r="M198" s="54"/>
      <c r="N198" s="54"/>
      <c r="O198" s="54"/>
      <c r="P198" s="54"/>
      <c r="Q198" s="54"/>
      <c r="R198" s="54"/>
      <c r="S198" s="54"/>
    </row>
    <row r="199" spans="1:31" ht="15.75" customHeight="1" x14ac:dyDescent="0.2">
      <c r="C199" s="60"/>
      <c r="D199" s="147"/>
      <c r="E199" s="147"/>
      <c r="F199" s="147"/>
      <c r="G199" s="147"/>
      <c r="H199" s="338"/>
      <c r="I199" s="147"/>
      <c r="J199" s="147"/>
      <c r="K199" s="180"/>
      <c r="L199" s="199" t="s">
        <v>102</v>
      </c>
      <c r="M199" s="126">
        <f>G134</f>
        <v>0</v>
      </c>
      <c r="N199" s="150"/>
      <c r="O199" s="150">
        <f t="shared" ref="O199:R199" si="97">L134</f>
        <v>0</v>
      </c>
      <c r="P199" s="150">
        <f t="shared" si="97"/>
        <v>0</v>
      </c>
      <c r="Q199" s="150">
        <f t="shared" si="97"/>
        <v>0</v>
      </c>
      <c r="R199" s="150">
        <f t="shared" si="97"/>
        <v>0</v>
      </c>
      <c r="S199" s="151">
        <f>Q134</f>
        <v>0</v>
      </c>
    </row>
    <row r="200" spans="1:31" ht="15.75" customHeight="1" x14ac:dyDescent="0.2">
      <c r="B200" s="94"/>
      <c r="C200" s="95"/>
      <c r="D200" s="148"/>
      <c r="E200" s="148"/>
      <c r="F200" s="147"/>
      <c r="G200" s="147"/>
      <c r="H200" s="339"/>
      <c r="I200" s="147"/>
      <c r="J200" s="147"/>
      <c r="K200" s="180"/>
      <c r="L200" s="200" t="s">
        <v>103</v>
      </c>
      <c r="M200" s="127" t="e">
        <f>G174</f>
        <v>#REF!</v>
      </c>
      <c r="N200" s="127"/>
      <c r="O200" s="127">
        <f t="shared" ref="O200:R200" si="98">L174</f>
        <v>2839238.3799999994</v>
      </c>
      <c r="P200" s="127">
        <f t="shared" si="98"/>
        <v>3203825.4000000008</v>
      </c>
      <c r="Q200" s="127">
        <f t="shared" si="98"/>
        <v>3801537</v>
      </c>
      <c r="R200" s="127">
        <f t="shared" si="98"/>
        <v>2302116.6800000002</v>
      </c>
      <c r="S200" s="153">
        <f>Q174</f>
        <v>3848365</v>
      </c>
    </row>
    <row r="201" spans="1:31" ht="15.75" customHeight="1" x14ac:dyDescent="0.2">
      <c r="C201" s="60"/>
      <c r="D201" s="147"/>
      <c r="E201" s="147"/>
      <c r="F201" s="147"/>
      <c r="G201" s="147"/>
      <c r="H201" s="338"/>
      <c r="I201" s="147"/>
      <c r="J201" s="147"/>
      <c r="K201" s="180"/>
      <c r="L201" s="54"/>
      <c r="M201" s="54"/>
      <c r="N201" s="54"/>
      <c r="O201" s="54"/>
      <c r="P201" s="54"/>
      <c r="Q201" s="54"/>
      <c r="R201" s="54"/>
      <c r="S201" s="54"/>
    </row>
    <row r="202" spans="1:31" ht="15.75" customHeight="1" x14ac:dyDescent="0.2">
      <c r="C202" s="60"/>
      <c r="D202" s="147"/>
      <c r="E202" s="147"/>
      <c r="F202" s="147"/>
      <c r="G202" s="147"/>
      <c r="H202" s="338"/>
      <c r="I202" s="147"/>
      <c r="J202" s="147"/>
      <c r="K202" s="180"/>
      <c r="L202" s="54"/>
      <c r="M202" s="54"/>
      <c r="N202" s="54"/>
      <c r="O202" s="54"/>
      <c r="P202" s="54"/>
      <c r="Q202" s="54"/>
      <c r="R202" s="54"/>
      <c r="S202" s="54"/>
    </row>
    <row r="203" spans="1:31" ht="15.75" customHeight="1" x14ac:dyDescent="0.2">
      <c r="C203" s="60"/>
      <c r="D203" s="147"/>
      <c r="E203" s="147"/>
      <c r="F203" s="147"/>
      <c r="G203" s="147"/>
      <c r="H203" s="338"/>
      <c r="I203" s="147"/>
      <c r="J203" s="147"/>
      <c r="K203" s="180"/>
      <c r="L203" s="54"/>
      <c r="M203" s="54"/>
      <c r="N203" s="54"/>
      <c r="O203" s="54"/>
      <c r="P203" s="54"/>
      <c r="Q203" s="54"/>
      <c r="R203" s="54"/>
      <c r="S203" s="54"/>
    </row>
    <row r="204" spans="1:31" ht="15.75" customHeight="1" x14ac:dyDescent="0.2">
      <c r="C204" s="60"/>
      <c r="D204" s="147"/>
      <c r="E204" s="147"/>
      <c r="F204" s="147"/>
      <c r="G204" s="147"/>
      <c r="H204" s="338"/>
      <c r="I204" s="147"/>
      <c r="J204" s="147"/>
      <c r="K204" s="180"/>
      <c r="L204" s="54"/>
      <c r="M204" s="54"/>
      <c r="N204" s="54"/>
      <c r="O204" s="54"/>
      <c r="P204" s="54"/>
      <c r="Q204" s="54"/>
      <c r="R204" s="54"/>
      <c r="S204" s="54"/>
    </row>
    <row r="205" spans="1:31" ht="15.75" customHeight="1" x14ac:dyDescent="0.2">
      <c r="C205" s="60"/>
      <c r="D205" s="147"/>
      <c r="E205" s="147"/>
      <c r="F205" s="147"/>
      <c r="G205" s="147"/>
      <c r="H205" s="338"/>
      <c r="I205" s="147"/>
      <c r="J205" s="147"/>
      <c r="K205" s="180"/>
      <c r="L205" s="54"/>
      <c r="M205" s="54"/>
      <c r="N205" s="54"/>
      <c r="O205" s="54"/>
      <c r="P205" s="54"/>
      <c r="Q205" s="54"/>
      <c r="R205" s="54"/>
      <c r="S205" s="54"/>
    </row>
    <row r="206" spans="1:31" ht="15.75" customHeight="1" x14ac:dyDescent="0.2">
      <c r="C206" s="60"/>
      <c r="D206" s="147"/>
      <c r="E206" s="147"/>
      <c r="F206" s="147"/>
      <c r="G206" s="147"/>
      <c r="H206" s="338"/>
      <c r="I206" s="147"/>
      <c r="J206" s="147"/>
      <c r="K206" s="180"/>
      <c r="L206" s="54"/>
      <c r="M206" s="54"/>
      <c r="N206" s="54"/>
      <c r="O206" s="54"/>
      <c r="P206" s="54"/>
      <c r="Q206" s="54"/>
      <c r="R206" s="54"/>
      <c r="S206" s="54"/>
    </row>
    <row r="207" spans="1:31" ht="15.75" customHeight="1" x14ac:dyDescent="0.2">
      <c r="C207" s="60"/>
      <c r="D207" s="147"/>
      <c r="E207" s="147"/>
      <c r="F207" s="147"/>
      <c r="G207" s="147"/>
      <c r="H207" s="338"/>
      <c r="I207" s="147"/>
      <c r="J207" s="147"/>
      <c r="K207" s="180"/>
      <c r="L207" s="54"/>
      <c r="M207" s="54"/>
      <c r="N207" s="54"/>
      <c r="O207" s="54"/>
      <c r="P207" s="54"/>
      <c r="Q207" s="54"/>
      <c r="R207" s="54"/>
      <c r="S207" s="54"/>
    </row>
    <row r="208" spans="1:31" ht="15.75" customHeight="1" x14ac:dyDescent="0.2">
      <c r="C208" s="60"/>
      <c r="D208" s="147"/>
      <c r="E208" s="147"/>
      <c r="F208" s="147"/>
      <c r="G208" s="147"/>
      <c r="H208" s="338"/>
      <c r="I208" s="147"/>
      <c r="J208" s="147"/>
      <c r="K208" s="180"/>
      <c r="L208" s="54"/>
      <c r="M208" s="54"/>
      <c r="N208" s="54"/>
      <c r="O208" s="54"/>
      <c r="P208" s="54"/>
      <c r="Q208" s="54"/>
      <c r="R208" s="54"/>
      <c r="S208" s="54"/>
    </row>
    <row r="209" spans="3:19" ht="15.75" customHeight="1" x14ac:dyDescent="0.2">
      <c r="C209" s="60"/>
      <c r="D209" s="147"/>
      <c r="E209" s="147"/>
      <c r="F209" s="147"/>
      <c r="G209" s="147"/>
      <c r="H209" s="338"/>
      <c r="I209" s="147"/>
      <c r="J209" s="147"/>
      <c r="K209" s="180"/>
      <c r="L209" s="54"/>
      <c r="M209" s="54"/>
      <c r="N209" s="54"/>
      <c r="O209" s="54"/>
      <c r="P209" s="54"/>
      <c r="Q209" s="54"/>
      <c r="R209" s="54"/>
      <c r="S209" s="54"/>
    </row>
    <row r="210" spans="3:19" ht="15.75" customHeight="1" x14ac:dyDescent="0.2">
      <c r="C210" s="60"/>
      <c r="D210" s="147"/>
      <c r="E210" s="147"/>
      <c r="F210" s="147"/>
      <c r="G210" s="147"/>
      <c r="H210" s="338"/>
      <c r="I210" s="147"/>
      <c r="J210" s="147"/>
      <c r="K210" s="180"/>
      <c r="L210" s="54"/>
      <c r="M210" s="54"/>
      <c r="N210" s="54"/>
      <c r="O210" s="54"/>
      <c r="P210" s="54"/>
      <c r="Q210" s="54"/>
      <c r="R210" s="54"/>
      <c r="S210" s="54"/>
    </row>
    <row r="211" spans="3:19" ht="15.75" customHeight="1" x14ac:dyDescent="0.2">
      <c r="C211" s="60"/>
      <c r="D211" s="147"/>
      <c r="E211" s="147"/>
      <c r="F211" s="147"/>
      <c r="G211" s="147"/>
      <c r="H211" s="338"/>
      <c r="I211" s="147"/>
      <c r="J211" s="147"/>
      <c r="K211" s="180"/>
      <c r="L211" s="54"/>
      <c r="M211" s="54"/>
      <c r="N211" s="54"/>
      <c r="O211" s="54"/>
      <c r="P211" s="54"/>
      <c r="Q211" s="54"/>
      <c r="R211" s="54"/>
      <c r="S211" s="54"/>
    </row>
    <row r="212" spans="3:19" ht="15.75" customHeight="1" x14ac:dyDescent="0.2">
      <c r="C212" s="60"/>
      <c r="D212" s="147"/>
      <c r="E212" s="147"/>
      <c r="F212" s="147"/>
      <c r="G212" s="147"/>
      <c r="H212" s="338"/>
      <c r="I212" s="147"/>
      <c r="J212" s="147"/>
      <c r="K212" s="180"/>
      <c r="L212" s="54"/>
      <c r="M212" s="54"/>
      <c r="N212" s="54"/>
      <c r="O212" s="54"/>
      <c r="P212" s="54"/>
      <c r="Q212" s="54"/>
      <c r="R212" s="54"/>
      <c r="S212" s="54"/>
    </row>
    <row r="213" spans="3:19" ht="15.75" customHeight="1" x14ac:dyDescent="0.2">
      <c r="C213" s="60"/>
      <c r="D213" s="147"/>
      <c r="E213" s="147"/>
      <c r="F213" s="147"/>
      <c r="G213" s="147"/>
      <c r="H213" s="338"/>
      <c r="I213" s="147"/>
      <c r="J213" s="147"/>
      <c r="K213" s="180"/>
      <c r="L213" s="54"/>
      <c r="M213" s="54"/>
      <c r="N213" s="54"/>
      <c r="O213" s="54"/>
      <c r="P213" s="54"/>
      <c r="Q213" s="54"/>
      <c r="R213" s="54"/>
      <c r="S213" s="54"/>
    </row>
    <row r="214" spans="3:19" ht="15.75" customHeight="1" x14ac:dyDescent="0.2">
      <c r="C214" s="60"/>
      <c r="D214" s="147"/>
      <c r="E214" s="147"/>
      <c r="F214" s="147"/>
      <c r="G214" s="147"/>
      <c r="H214" s="338"/>
      <c r="I214" s="147"/>
      <c r="J214" s="147"/>
      <c r="K214" s="180"/>
      <c r="L214" s="54"/>
      <c r="M214" s="54"/>
      <c r="N214" s="54"/>
      <c r="O214" s="54"/>
      <c r="P214" s="54"/>
      <c r="Q214" s="54"/>
      <c r="R214" s="54"/>
      <c r="S214" s="54"/>
    </row>
    <row r="215" spans="3:19" ht="15.75" customHeight="1" x14ac:dyDescent="0.2">
      <c r="C215" s="60"/>
      <c r="D215" s="147"/>
      <c r="E215" s="147"/>
      <c r="F215" s="147"/>
      <c r="G215" s="147"/>
      <c r="H215" s="338"/>
      <c r="I215" s="147"/>
      <c r="J215" s="147"/>
      <c r="K215" s="180"/>
      <c r="L215" s="54"/>
      <c r="M215" s="54"/>
      <c r="N215" s="54"/>
      <c r="O215" s="54"/>
      <c r="P215" s="54"/>
      <c r="Q215" s="54"/>
      <c r="R215" s="54"/>
      <c r="S215" s="54"/>
    </row>
    <row r="216" spans="3:19" ht="15.75" customHeight="1" x14ac:dyDescent="0.2">
      <c r="C216" s="60"/>
      <c r="D216" s="147"/>
      <c r="E216" s="147"/>
      <c r="F216" s="147"/>
      <c r="G216" s="147"/>
      <c r="H216" s="338"/>
      <c r="I216" s="147"/>
      <c r="J216" s="147"/>
      <c r="K216" s="180"/>
      <c r="L216" s="54"/>
      <c r="M216" s="54"/>
      <c r="N216" s="54"/>
      <c r="O216" s="54"/>
      <c r="P216" s="54"/>
      <c r="Q216" s="54"/>
      <c r="R216" s="54"/>
      <c r="S216" s="54"/>
    </row>
    <row r="217" spans="3:19" ht="15.75" customHeight="1" x14ac:dyDescent="0.2">
      <c r="C217" s="60"/>
      <c r="D217" s="147"/>
      <c r="E217" s="147"/>
      <c r="F217" s="147"/>
      <c r="G217" s="147"/>
      <c r="H217" s="338"/>
      <c r="I217" s="147"/>
      <c r="J217" s="147"/>
      <c r="K217" s="180"/>
      <c r="L217" s="54"/>
      <c r="M217" s="54"/>
      <c r="N217" s="54"/>
      <c r="O217" s="54"/>
      <c r="P217" s="54"/>
      <c r="Q217" s="54"/>
      <c r="R217" s="54"/>
      <c r="S217" s="54"/>
    </row>
    <row r="218" spans="3:19" ht="15.75" customHeight="1" x14ac:dyDescent="0.2">
      <c r="C218" s="60"/>
      <c r="D218" s="147"/>
      <c r="E218" s="147"/>
      <c r="F218" s="147"/>
      <c r="G218" s="147"/>
      <c r="H218" s="338"/>
      <c r="I218" s="147"/>
      <c r="J218" s="147"/>
      <c r="K218" s="180"/>
      <c r="L218" s="54"/>
      <c r="M218" s="54"/>
      <c r="N218" s="54"/>
      <c r="O218" s="54"/>
      <c r="P218" s="54"/>
      <c r="Q218" s="54"/>
      <c r="R218" s="54"/>
      <c r="S218" s="54"/>
    </row>
    <row r="219" spans="3:19" ht="15.75" customHeight="1" x14ac:dyDescent="0.2">
      <c r="C219" s="60"/>
      <c r="D219" s="147"/>
      <c r="E219" s="147"/>
      <c r="F219" s="147"/>
      <c r="G219" s="147"/>
      <c r="H219" s="338"/>
      <c r="I219" s="147"/>
      <c r="J219" s="147"/>
      <c r="K219" s="180"/>
      <c r="L219" s="54"/>
      <c r="M219" s="54"/>
      <c r="N219" s="54"/>
      <c r="O219" s="54"/>
      <c r="P219" s="54"/>
      <c r="Q219" s="54"/>
      <c r="R219" s="54"/>
      <c r="S219" s="54"/>
    </row>
    <row r="220" spans="3:19" ht="15.75" customHeight="1" x14ac:dyDescent="0.2">
      <c r="C220" s="60"/>
      <c r="D220" s="147"/>
      <c r="E220" s="147"/>
      <c r="F220" s="147"/>
      <c r="G220" s="147"/>
      <c r="H220" s="338"/>
      <c r="I220" s="147"/>
      <c r="J220" s="147"/>
      <c r="K220" s="180"/>
      <c r="L220" s="54"/>
      <c r="M220" s="54"/>
      <c r="N220" s="54"/>
      <c r="O220" s="54"/>
      <c r="P220" s="54"/>
      <c r="Q220" s="54"/>
      <c r="R220" s="54"/>
      <c r="S220" s="54"/>
    </row>
    <row r="221" spans="3:19" ht="15.75" customHeight="1" x14ac:dyDescent="0.2">
      <c r="C221" s="60"/>
      <c r="D221" s="147"/>
      <c r="E221" s="147"/>
      <c r="F221" s="147"/>
      <c r="G221" s="147"/>
      <c r="H221" s="338"/>
      <c r="I221" s="147"/>
      <c r="J221" s="147"/>
      <c r="K221" s="180"/>
      <c r="L221" s="54"/>
      <c r="M221" s="54"/>
      <c r="N221" s="54"/>
      <c r="O221" s="54"/>
      <c r="P221" s="54"/>
      <c r="Q221" s="54"/>
      <c r="R221" s="54"/>
      <c r="S221" s="54"/>
    </row>
    <row r="222" spans="3:19" ht="15.75" customHeight="1" x14ac:dyDescent="0.2">
      <c r="C222" s="60"/>
      <c r="D222" s="147"/>
      <c r="E222" s="147"/>
      <c r="F222" s="147"/>
      <c r="G222" s="147"/>
      <c r="H222" s="338"/>
      <c r="I222" s="147"/>
      <c r="J222" s="147"/>
      <c r="K222" s="180"/>
      <c r="L222" s="54"/>
      <c r="M222" s="54"/>
      <c r="N222" s="54"/>
      <c r="O222" s="54"/>
      <c r="P222" s="54"/>
      <c r="Q222" s="54"/>
      <c r="R222" s="54"/>
      <c r="S222" s="54"/>
    </row>
    <row r="223" spans="3:19" ht="15.75" customHeight="1" x14ac:dyDescent="0.2">
      <c r="C223" s="60"/>
      <c r="D223" s="147"/>
      <c r="E223" s="147"/>
      <c r="F223" s="147"/>
      <c r="G223" s="147"/>
      <c r="H223" s="338"/>
      <c r="I223" s="147"/>
      <c r="J223" s="147"/>
      <c r="K223" s="180"/>
      <c r="L223" s="54"/>
      <c r="M223" s="54"/>
      <c r="N223" s="54"/>
      <c r="O223" s="54"/>
      <c r="P223" s="54"/>
      <c r="Q223" s="54"/>
      <c r="R223" s="54"/>
      <c r="S223" s="54"/>
    </row>
    <row r="224" spans="3:19" ht="15.75" customHeight="1" x14ac:dyDescent="0.2">
      <c r="C224" s="60"/>
      <c r="D224" s="147"/>
      <c r="E224" s="147"/>
      <c r="F224" s="147"/>
      <c r="G224" s="147"/>
      <c r="H224" s="338"/>
      <c r="I224" s="147"/>
      <c r="J224" s="147"/>
      <c r="K224" s="180"/>
      <c r="L224" s="54"/>
      <c r="M224" s="54"/>
      <c r="N224" s="54"/>
      <c r="O224" s="54"/>
      <c r="P224" s="54"/>
      <c r="Q224" s="54"/>
      <c r="R224" s="54"/>
      <c r="S224" s="54"/>
    </row>
    <row r="225" spans="3:19" ht="15.75" customHeight="1" x14ac:dyDescent="0.2">
      <c r="C225" s="60"/>
      <c r="D225" s="147"/>
      <c r="E225" s="147"/>
      <c r="F225" s="147"/>
      <c r="G225" s="147"/>
      <c r="H225" s="338"/>
      <c r="I225" s="147"/>
      <c r="J225" s="147"/>
      <c r="K225" s="180"/>
      <c r="L225" s="54"/>
      <c r="M225" s="54"/>
      <c r="N225" s="54"/>
      <c r="O225" s="54"/>
      <c r="P225" s="54"/>
      <c r="Q225" s="54"/>
      <c r="R225" s="54"/>
      <c r="S225" s="54"/>
    </row>
    <row r="226" spans="3:19" ht="15.75" customHeight="1" x14ac:dyDescent="0.2">
      <c r="C226" s="60"/>
      <c r="D226" s="147"/>
      <c r="E226" s="147"/>
      <c r="F226" s="147"/>
      <c r="G226" s="147"/>
      <c r="H226" s="338"/>
      <c r="I226" s="147"/>
      <c r="J226" s="147"/>
      <c r="K226" s="180"/>
      <c r="L226" s="54"/>
      <c r="M226" s="54"/>
      <c r="N226" s="54"/>
      <c r="O226" s="54"/>
      <c r="P226" s="54"/>
      <c r="Q226" s="54"/>
      <c r="R226" s="54"/>
      <c r="S226" s="54"/>
    </row>
    <row r="227" spans="3:19" ht="15.75" customHeight="1" x14ac:dyDescent="0.2">
      <c r="C227" s="60"/>
      <c r="D227" s="147"/>
      <c r="E227" s="147"/>
      <c r="F227" s="147"/>
      <c r="G227" s="147"/>
      <c r="H227" s="338"/>
      <c r="I227" s="147"/>
      <c r="J227" s="147"/>
      <c r="K227" s="180"/>
      <c r="L227" s="54"/>
      <c r="M227" s="54"/>
      <c r="N227" s="54"/>
      <c r="O227" s="54"/>
      <c r="P227" s="54"/>
      <c r="Q227" s="54"/>
      <c r="R227" s="54"/>
      <c r="S227" s="54"/>
    </row>
    <row r="228" spans="3:19" ht="15.75" customHeight="1" x14ac:dyDescent="0.2">
      <c r="C228" s="60"/>
      <c r="D228" s="147"/>
      <c r="E228" s="147"/>
      <c r="F228" s="147"/>
      <c r="G228" s="147"/>
      <c r="H228" s="338"/>
      <c r="I228" s="147"/>
      <c r="J228" s="147"/>
      <c r="K228" s="180"/>
      <c r="L228" s="54"/>
      <c r="M228" s="54"/>
      <c r="N228" s="54"/>
      <c r="O228" s="54"/>
      <c r="P228" s="54"/>
      <c r="Q228" s="54"/>
      <c r="R228" s="54"/>
      <c r="S228" s="54"/>
    </row>
    <row r="229" spans="3:19" ht="15.75" customHeight="1" x14ac:dyDescent="0.2">
      <c r="C229" s="60"/>
      <c r="D229" s="147"/>
      <c r="E229" s="147"/>
      <c r="F229" s="147"/>
      <c r="G229" s="147"/>
      <c r="H229" s="338"/>
      <c r="I229" s="147"/>
      <c r="J229" s="147"/>
      <c r="K229" s="180"/>
      <c r="L229" s="54"/>
      <c r="M229" s="54"/>
      <c r="N229" s="54"/>
      <c r="O229" s="54"/>
      <c r="P229" s="54"/>
      <c r="Q229" s="54"/>
      <c r="R229" s="54"/>
      <c r="S229" s="54"/>
    </row>
    <row r="230" spans="3:19" ht="15.75" customHeight="1" x14ac:dyDescent="0.2">
      <c r="C230" s="60"/>
      <c r="D230" s="147"/>
      <c r="E230" s="147"/>
      <c r="F230" s="147"/>
      <c r="G230" s="147"/>
      <c r="H230" s="338"/>
      <c r="I230" s="147"/>
      <c r="J230" s="147"/>
      <c r="K230" s="180"/>
      <c r="L230" s="54"/>
      <c r="M230" s="54"/>
      <c r="N230" s="54"/>
      <c r="O230" s="54"/>
      <c r="P230" s="54"/>
      <c r="Q230" s="54"/>
      <c r="R230" s="54"/>
      <c r="S230" s="54"/>
    </row>
    <row r="231" spans="3:19" ht="15.75" customHeight="1" x14ac:dyDescent="0.2">
      <c r="C231" s="60"/>
      <c r="D231" s="147"/>
      <c r="E231" s="147"/>
      <c r="F231" s="147"/>
      <c r="G231" s="147"/>
      <c r="H231" s="338"/>
      <c r="I231" s="147"/>
      <c r="J231" s="147"/>
      <c r="K231" s="180"/>
      <c r="L231" s="54"/>
      <c r="M231" s="54"/>
      <c r="N231" s="54"/>
      <c r="O231" s="54"/>
      <c r="P231" s="54"/>
      <c r="Q231" s="54"/>
      <c r="R231" s="54"/>
      <c r="S231" s="54"/>
    </row>
    <row r="232" spans="3:19" ht="15.75" customHeight="1" x14ac:dyDescent="0.2">
      <c r="C232" s="60"/>
      <c r="D232" s="147"/>
      <c r="E232" s="147"/>
      <c r="F232" s="147"/>
      <c r="G232" s="147"/>
      <c r="H232" s="338"/>
      <c r="I232" s="147"/>
      <c r="J232" s="147"/>
      <c r="K232" s="180"/>
      <c r="L232" s="54"/>
      <c r="M232" s="54"/>
      <c r="N232" s="54"/>
      <c r="O232" s="54"/>
      <c r="P232" s="54"/>
      <c r="Q232" s="54"/>
      <c r="R232" s="54"/>
      <c r="S232" s="54"/>
    </row>
    <row r="233" spans="3:19" ht="15.75" customHeight="1" x14ac:dyDescent="0.2">
      <c r="C233" s="60"/>
      <c r="D233" s="147"/>
      <c r="E233" s="147"/>
      <c r="F233" s="147"/>
      <c r="G233" s="147"/>
      <c r="H233" s="338"/>
      <c r="I233" s="147"/>
      <c r="J233" s="147"/>
      <c r="K233" s="180"/>
      <c r="L233" s="54"/>
      <c r="M233" s="54"/>
      <c r="N233" s="54"/>
      <c r="O233" s="54"/>
      <c r="P233" s="54"/>
      <c r="Q233" s="54"/>
      <c r="R233" s="54"/>
      <c r="S233" s="54"/>
    </row>
    <row r="234" spans="3:19" ht="15.75" customHeight="1" x14ac:dyDescent="0.2">
      <c r="C234" s="60"/>
      <c r="D234" s="147"/>
      <c r="E234" s="147"/>
      <c r="F234" s="147"/>
      <c r="G234" s="147"/>
      <c r="H234" s="338"/>
      <c r="I234" s="147"/>
      <c r="J234" s="147"/>
      <c r="K234" s="180"/>
      <c r="L234" s="54"/>
      <c r="M234" s="54"/>
      <c r="N234" s="54"/>
      <c r="O234" s="54"/>
      <c r="P234" s="54"/>
      <c r="Q234" s="54"/>
      <c r="R234" s="54"/>
      <c r="S234" s="54"/>
    </row>
    <row r="235" spans="3:19" ht="15.75" customHeight="1" x14ac:dyDescent="0.2">
      <c r="C235" s="60"/>
      <c r="D235" s="147"/>
      <c r="E235" s="147"/>
      <c r="F235" s="147"/>
      <c r="G235" s="147"/>
      <c r="H235" s="338"/>
      <c r="I235" s="147"/>
      <c r="J235" s="147"/>
      <c r="K235" s="180"/>
      <c r="L235" s="54"/>
      <c r="M235" s="54"/>
      <c r="N235" s="54"/>
      <c r="O235" s="54"/>
      <c r="P235" s="54"/>
      <c r="Q235" s="54"/>
      <c r="R235" s="54"/>
      <c r="S235" s="54"/>
    </row>
    <row r="236" spans="3:19" ht="15.75" customHeight="1" x14ac:dyDescent="0.2">
      <c r="C236" s="60"/>
      <c r="D236" s="147"/>
      <c r="E236" s="147"/>
      <c r="F236" s="147"/>
      <c r="G236" s="147"/>
      <c r="H236" s="338"/>
      <c r="I236" s="147"/>
      <c r="J236" s="147"/>
      <c r="K236" s="180"/>
      <c r="L236" s="54"/>
      <c r="M236" s="54"/>
      <c r="N236" s="54"/>
      <c r="O236" s="54"/>
      <c r="P236" s="54"/>
      <c r="Q236" s="54"/>
      <c r="R236" s="54"/>
      <c r="S236" s="54"/>
    </row>
    <row r="237" spans="3:19" ht="15.75" customHeight="1" x14ac:dyDescent="0.2">
      <c r="C237" s="60"/>
      <c r="D237" s="147"/>
      <c r="E237" s="147"/>
      <c r="F237" s="147"/>
      <c r="G237" s="147"/>
      <c r="H237" s="338"/>
      <c r="I237" s="147"/>
      <c r="J237" s="147"/>
      <c r="K237" s="180"/>
      <c r="L237" s="54"/>
      <c r="M237" s="54"/>
      <c r="N237" s="54"/>
      <c r="O237" s="54"/>
      <c r="P237" s="54"/>
      <c r="Q237" s="54"/>
      <c r="R237" s="54"/>
      <c r="S237" s="54"/>
    </row>
    <row r="238" spans="3:19" ht="15.75" customHeight="1" x14ac:dyDescent="0.2">
      <c r="C238" s="60"/>
      <c r="D238" s="147"/>
      <c r="E238" s="147"/>
      <c r="F238" s="147"/>
      <c r="G238" s="147"/>
      <c r="H238" s="338"/>
      <c r="I238" s="147"/>
      <c r="J238" s="147"/>
      <c r="K238" s="180"/>
      <c r="L238" s="54"/>
      <c r="M238" s="54"/>
      <c r="N238" s="54"/>
      <c r="O238" s="54"/>
      <c r="P238" s="54"/>
      <c r="Q238" s="54"/>
      <c r="R238" s="54"/>
      <c r="S238" s="54"/>
    </row>
    <row r="239" spans="3:19" ht="15.75" customHeight="1" x14ac:dyDescent="0.2">
      <c r="C239" s="60"/>
      <c r="D239" s="147"/>
      <c r="E239" s="147"/>
      <c r="F239" s="147"/>
      <c r="G239" s="147"/>
      <c r="H239" s="338"/>
      <c r="I239" s="147"/>
      <c r="J239" s="147"/>
      <c r="K239" s="180"/>
      <c r="L239" s="54"/>
      <c r="M239" s="54"/>
      <c r="N239" s="54"/>
      <c r="O239" s="54"/>
      <c r="P239" s="54"/>
      <c r="Q239" s="54"/>
      <c r="R239" s="54"/>
      <c r="S239" s="54"/>
    </row>
    <row r="240" spans="3:19" ht="15.75" customHeight="1" x14ac:dyDescent="0.2">
      <c r="C240" s="60"/>
      <c r="D240" s="147"/>
      <c r="E240" s="147"/>
      <c r="F240" s="147"/>
      <c r="G240" s="147"/>
      <c r="H240" s="338"/>
      <c r="I240" s="147"/>
      <c r="J240" s="147"/>
      <c r="K240" s="180"/>
      <c r="L240" s="54"/>
      <c r="M240" s="54"/>
      <c r="N240" s="54"/>
      <c r="O240" s="54"/>
      <c r="P240" s="54"/>
      <c r="Q240" s="54"/>
      <c r="R240" s="54"/>
      <c r="S240" s="54"/>
    </row>
    <row r="241" spans="3:19" ht="15.75" customHeight="1" x14ac:dyDescent="0.2">
      <c r="C241" s="60"/>
      <c r="D241" s="147"/>
      <c r="E241" s="147"/>
      <c r="F241" s="147"/>
      <c r="G241" s="147"/>
      <c r="H241" s="338"/>
      <c r="I241" s="147"/>
      <c r="J241" s="147"/>
      <c r="K241" s="180"/>
      <c r="L241" s="54"/>
      <c r="M241" s="54"/>
      <c r="N241" s="54"/>
      <c r="O241" s="54"/>
      <c r="P241" s="54"/>
      <c r="Q241" s="54"/>
      <c r="R241" s="54"/>
      <c r="S241" s="54"/>
    </row>
    <row r="242" spans="3:19" ht="15.75" customHeight="1" x14ac:dyDescent="0.2">
      <c r="C242" s="60"/>
      <c r="D242" s="147"/>
      <c r="E242" s="147"/>
      <c r="F242" s="147"/>
      <c r="G242" s="147"/>
      <c r="H242" s="338"/>
      <c r="I242" s="147"/>
      <c r="J242" s="147"/>
      <c r="K242" s="180"/>
      <c r="L242" s="54"/>
      <c r="M242" s="54"/>
      <c r="N242" s="54"/>
      <c r="O242" s="54"/>
      <c r="P242" s="54"/>
      <c r="Q242" s="54"/>
      <c r="R242" s="54"/>
      <c r="S242" s="54"/>
    </row>
    <row r="243" spans="3:19" ht="15.75" customHeight="1" x14ac:dyDescent="0.2">
      <c r="C243" s="60"/>
      <c r="D243" s="147"/>
      <c r="E243" s="147"/>
      <c r="F243" s="147"/>
      <c r="G243" s="147"/>
      <c r="H243" s="338"/>
      <c r="I243" s="147"/>
      <c r="J243" s="147"/>
      <c r="K243" s="180"/>
      <c r="L243" s="54"/>
      <c r="M243" s="54"/>
      <c r="N243" s="54"/>
      <c r="O243" s="54"/>
      <c r="P243" s="54"/>
      <c r="Q243" s="54"/>
      <c r="R243" s="54"/>
      <c r="S243" s="54"/>
    </row>
    <row r="244" spans="3:19" ht="15.75" customHeight="1" x14ac:dyDescent="0.2">
      <c r="C244" s="60"/>
      <c r="D244" s="147"/>
      <c r="E244" s="147"/>
      <c r="F244" s="147"/>
      <c r="G244" s="147"/>
      <c r="H244" s="338"/>
      <c r="I244" s="147"/>
      <c r="J244" s="147"/>
      <c r="K244" s="180"/>
      <c r="L244" s="54"/>
      <c r="M244" s="54"/>
      <c r="N244" s="54"/>
      <c r="O244" s="54"/>
      <c r="P244" s="54"/>
      <c r="Q244" s="54"/>
      <c r="R244" s="54"/>
      <c r="S244" s="54"/>
    </row>
    <row r="245" spans="3:19" ht="15.75" customHeight="1" x14ac:dyDescent="0.2">
      <c r="C245" s="60"/>
      <c r="D245" s="147"/>
      <c r="E245" s="147"/>
      <c r="F245" s="147"/>
      <c r="G245" s="147"/>
      <c r="H245" s="338"/>
      <c r="I245" s="147"/>
      <c r="J245" s="147"/>
      <c r="K245" s="180"/>
      <c r="L245" s="54"/>
      <c r="M245" s="54"/>
      <c r="N245" s="54"/>
      <c r="O245" s="54"/>
      <c r="P245" s="54"/>
      <c r="Q245" s="54"/>
      <c r="R245" s="54"/>
      <c r="S245" s="54"/>
    </row>
    <row r="246" spans="3:19" ht="15.75" customHeight="1" x14ac:dyDescent="0.2">
      <c r="C246" s="60"/>
      <c r="D246" s="147"/>
      <c r="E246" s="147"/>
      <c r="F246" s="147"/>
      <c r="G246" s="147"/>
      <c r="H246" s="338"/>
      <c r="I246" s="147"/>
      <c r="J246" s="147"/>
      <c r="K246" s="180"/>
      <c r="L246" s="54"/>
      <c r="M246" s="54"/>
      <c r="N246" s="54"/>
      <c r="O246" s="54"/>
      <c r="P246" s="54"/>
      <c r="Q246" s="54"/>
      <c r="R246" s="54"/>
      <c r="S246" s="54"/>
    </row>
    <row r="247" spans="3:19" ht="15.75" customHeight="1" x14ac:dyDescent="0.2">
      <c r="C247" s="60"/>
      <c r="D247" s="147"/>
      <c r="E247" s="147"/>
      <c r="F247" s="147"/>
      <c r="G247" s="147"/>
      <c r="H247" s="338"/>
      <c r="I247" s="147"/>
      <c r="J247" s="147"/>
      <c r="K247" s="180"/>
      <c r="L247" s="54"/>
      <c r="M247" s="54"/>
      <c r="N247" s="54"/>
      <c r="O247" s="54"/>
      <c r="P247" s="54"/>
      <c r="Q247" s="54"/>
      <c r="R247" s="54"/>
      <c r="S247" s="54"/>
    </row>
    <row r="248" spans="3:19" ht="15.75" customHeight="1" x14ac:dyDescent="0.2">
      <c r="C248" s="60"/>
      <c r="D248" s="147"/>
      <c r="E248" s="147"/>
      <c r="F248" s="147"/>
      <c r="G248" s="147"/>
      <c r="H248" s="338"/>
      <c r="I248" s="147"/>
      <c r="J248" s="147"/>
      <c r="K248" s="180"/>
      <c r="L248" s="54"/>
      <c r="M248" s="54"/>
      <c r="N248" s="54"/>
      <c r="O248" s="54"/>
      <c r="P248" s="54"/>
      <c r="Q248" s="54"/>
      <c r="R248" s="54"/>
      <c r="S248" s="54"/>
    </row>
    <row r="249" spans="3:19" ht="15.75" customHeight="1" x14ac:dyDescent="0.2">
      <c r="C249" s="60"/>
      <c r="D249" s="147"/>
      <c r="E249" s="147"/>
      <c r="F249" s="147"/>
      <c r="G249" s="147"/>
      <c r="H249" s="338"/>
      <c r="I249" s="147"/>
      <c r="J249" s="147"/>
      <c r="K249" s="180"/>
      <c r="L249" s="54"/>
      <c r="M249" s="54"/>
      <c r="N249" s="54"/>
      <c r="O249" s="54"/>
      <c r="P249" s="54"/>
      <c r="Q249" s="54"/>
      <c r="R249" s="54"/>
      <c r="S249" s="54"/>
    </row>
    <row r="250" spans="3:19" ht="15.75" customHeight="1" x14ac:dyDescent="0.2">
      <c r="C250" s="60"/>
      <c r="D250" s="147"/>
      <c r="E250" s="147"/>
      <c r="F250" s="147"/>
      <c r="G250" s="147"/>
      <c r="H250" s="338"/>
      <c r="I250" s="147"/>
      <c r="J250" s="147"/>
      <c r="K250" s="180"/>
      <c r="L250" s="54"/>
      <c r="M250" s="54"/>
      <c r="N250" s="54"/>
      <c r="O250" s="54"/>
      <c r="P250" s="54"/>
      <c r="Q250" s="54"/>
      <c r="R250" s="54"/>
      <c r="S250" s="54"/>
    </row>
    <row r="251" spans="3:19" ht="15.75" customHeight="1" x14ac:dyDescent="0.2">
      <c r="C251" s="60"/>
      <c r="D251" s="147"/>
      <c r="E251" s="147"/>
      <c r="F251" s="147"/>
      <c r="G251" s="147"/>
      <c r="H251" s="338"/>
      <c r="I251" s="147"/>
      <c r="J251" s="147"/>
      <c r="K251" s="180"/>
      <c r="L251" s="54"/>
      <c r="M251" s="54"/>
      <c r="N251" s="54"/>
      <c r="O251" s="54"/>
      <c r="P251" s="54"/>
      <c r="Q251" s="54"/>
      <c r="R251" s="54"/>
      <c r="S251" s="54"/>
    </row>
    <row r="252" spans="3:19" ht="15.75" customHeight="1" x14ac:dyDescent="0.2">
      <c r="C252" s="60"/>
      <c r="D252" s="147"/>
      <c r="E252" s="147"/>
      <c r="F252" s="147"/>
      <c r="G252" s="147"/>
      <c r="H252" s="338"/>
      <c r="I252" s="147"/>
      <c r="J252" s="147"/>
      <c r="K252" s="180"/>
      <c r="L252" s="54"/>
      <c r="M252" s="54"/>
      <c r="N252" s="54"/>
      <c r="O252" s="54"/>
      <c r="P252" s="54"/>
      <c r="Q252" s="54"/>
      <c r="R252" s="54"/>
      <c r="S252" s="54"/>
    </row>
    <row r="253" spans="3:19" ht="15.75" customHeight="1" x14ac:dyDescent="0.2">
      <c r="C253" s="60"/>
      <c r="D253" s="147"/>
      <c r="E253" s="147"/>
      <c r="F253" s="147"/>
      <c r="G253" s="147"/>
      <c r="H253" s="338"/>
      <c r="I253" s="147"/>
      <c r="J253" s="147"/>
      <c r="K253" s="180"/>
      <c r="L253" s="54"/>
      <c r="M253" s="54"/>
      <c r="N253" s="54"/>
      <c r="O253" s="54"/>
      <c r="P253" s="54"/>
      <c r="Q253" s="54"/>
      <c r="R253" s="54"/>
      <c r="S253" s="54"/>
    </row>
    <row r="254" spans="3:19" ht="15.75" customHeight="1" x14ac:dyDescent="0.2">
      <c r="C254" s="60"/>
      <c r="D254" s="147"/>
      <c r="E254" s="147"/>
      <c r="F254" s="147"/>
      <c r="G254" s="147"/>
      <c r="H254" s="338"/>
      <c r="I254" s="147"/>
      <c r="J254" s="147"/>
      <c r="K254" s="180"/>
      <c r="L254" s="54"/>
      <c r="M254" s="54"/>
      <c r="N254" s="54"/>
      <c r="O254" s="54"/>
      <c r="P254" s="54"/>
      <c r="Q254" s="54"/>
      <c r="R254" s="54"/>
      <c r="S254" s="54"/>
    </row>
    <row r="255" spans="3:19" ht="15.75" customHeight="1" x14ac:dyDescent="0.2">
      <c r="C255" s="60"/>
      <c r="D255" s="147"/>
      <c r="E255" s="147"/>
      <c r="F255" s="147"/>
      <c r="G255" s="147"/>
      <c r="H255" s="338"/>
      <c r="I255" s="147"/>
      <c r="J255" s="147"/>
      <c r="K255" s="180"/>
      <c r="L255" s="54"/>
      <c r="M255" s="54"/>
      <c r="N255" s="54"/>
      <c r="O255" s="54"/>
      <c r="P255" s="54"/>
      <c r="Q255" s="54"/>
      <c r="R255" s="54"/>
      <c r="S255" s="54"/>
    </row>
    <row r="256" spans="3:19" ht="15.75" customHeight="1" x14ac:dyDescent="0.2">
      <c r="C256" s="60"/>
      <c r="D256" s="147"/>
      <c r="E256" s="147"/>
      <c r="F256" s="147"/>
      <c r="G256" s="147"/>
      <c r="H256" s="338"/>
      <c r="I256" s="147"/>
      <c r="J256" s="147"/>
      <c r="K256" s="180"/>
      <c r="L256" s="54"/>
      <c r="M256" s="54"/>
      <c r="N256" s="54"/>
      <c r="O256" s="54"/>
      <c r="P256" s="54"/>
      <c r="Q256" s="54"/>
      <c r="R256" s="54"/>
      <c r="S256" s="54"/>
    </row>
    <row r="257" spans="3:19" ht="15.75" customHeight="1" x14ac:dyDescent="0.25">
      <c r="C257" s="60"/>
      <c r="D257" s="147"/>
      <c r="E257" s="154" t="s">
        <v>48</v>
      </c>
      <c r="F257" s="154" t="s">
        <v>1049</v>
      </c>
      <c r="G257" s="147"/>
      <c r="H257" s="338"/>
      <c r="I257" s="147"/>
      <c r="J257" s="147"/>
      <c r="K257" s="180"/>
      <c r="L257" s="54"/>
      <c r="M257" s="54"/>
      <c r="N257" s="54"/>
      <c r="O257" s="54"/>
      <c r="P257" s="54"/>
      <c r="Q257" s="54"/>
      <c r="R257" s="54"/>
      <c r="S257" s="54"/>
    </row>
    <row r="258" spans="3:19" ht="15.75" customHeight="1" x14ac:dyDescent="0.2">
      <c r="C258" s="60"/>
      <c r="D258" s="147"/>
      <c r="E258" s="147"/>
      <c r="F258" s="147"/>
      <c r="G258" s="147"/>
      <c r="H258" s="338"/>
      <c r="I258" s="147"/>
      <c r="J258" s="147"/>
      <c r="K258" s="180"/>
      <c r="L258" s="54"/>
      <c r="M258" s="54"/>
      <c r="N258" s="54"/>
      <c r="O258" s="54"/>
      <c r="P258" s="54"/>
      <c r="Q258" s="54"/>
      <c r="R258" s="54"/>
      <c r="S258" s="54"/>
    </row>
    <row r="259" spans="3:19" ht="15.75" customHeight="1" x14ac:dyDescent="0.2">
      <c r="C259" s="60"/>
      <c r="D259" s="54"/>
      <c r="E259" s="54"/>
      <c r="F259" s="54"/>
      <c r="G259" s="54"/>
      <c r="H259" s="106"/>
      <c r="I259" s="54"/>
      <c r="J259" s="54"/>
      <c r="K259" s="180"/>
      <c r="L259" s="54"/>
      <c r="M259" s="54"/>
      <c r="N259" s="54"/>
      <c r="O259" s="54"/>
      <c r="P259" s="54"/>
      <c r="Q259" s="54"/>
      <c r="R259" s="54"/>
      <c r="S259" s="54"/>
    </row>
    <row r="260" spans="3:19" ht="15.75" customHeight="1" x14ac:dyDescent="0.2">
      <c r="C260" s="60"/>
      <c r="D260" s="54"/>
      <c r="E260" s="54"/>
      <c r="F260" s="54"/>
      <c r="G260" s="54"/>
      <c r="H260" s="106"/>
      <c r="I260" s="54"/>
      <c r="J260" s="54"/>
      <c r="K260" s="180"/>
      <c r="L260" s="54"/>
      <c r="M260" s="54"/>
      <c r="N260" s="54"/>
      <c r="O260" s="54"/>
      <c r="P260" s="54"/>
      <c r="Q260" s="54"/>
      <c r="R260" s="54"/>
      <c r="S260" s="54"/>
    </row>
    <row r="261" spans="3:19" ht="15.75" customHeight="1" x14ac:dyDescent="0.2">
      <c r="C261" s="60"/>
      <c r="D261" s="54"/>
      <c r="E261" s="54"/>
      <c r="F261" s="54"/>
      <c r="G261" s="54"/>
      <c r="H261" s="106"/>
      <c r="I261" s="54"/>
      <c r="J261" s="54"/>
      <c r="K261" s="180"/>
      <c r="L261" s="54"/>
      <c r="M261" s="54"/>
      <c r="N261" s="54"/>
      <c r="O261" s="54"/>
      <c r="P261" s="54"/>
      <c r="Q261" s="54"/>
      <c r="R261" s="54"/>
      <c r="S261" s="54"/>
    </row>
    <row r="262" spans="3:19" ht="15.75" customHeight="1" x14ac:dyDescent="0.2">
      <c r="C262" s="60"/>
      <c r="D262" s="54"/>
      <c r="E262" s="54"/>
      <c r="F262" s="54"/>
      <c r="G262" s="54"/>
      <c r="H262" s="106"/>
      <c r="I262" s="54"/>
      <c r="J262" s="54"/>
      <c r="K262" s="180"/>
      <c r="L262" s="54"/>
      <c r="M262" s="54"/>
      <c r="N262" s="54"/>
      <c r="O262" s="54"/>
      <c r="P262" s="54"/>
      <c r="Q262" s="54"/>
      <c r="R262" s="54"/>
      <c r="S262" s="54"/>
    </row>
    <row r="263" spans="3:19" ht="15.75" customHeight="1" x14ac:dyDescent="0.2">
      <c r="C263" s="60"/>
      <c r="D263" s="54"/>
      <c r="E263" s="54"/>
      <c r="F263" s="54"/>
      <c r="G263" s="54"/>
      <c r="H263" s="106"/>
      <c r="I263" s="54"/>
      <c r="J263" s="54"/>
      <c r="K263" s="180"/>
      <c r="L263" s="54"/>
      <c r="M263" s="54"/>
      <c r="N263" s="54"/>
      <c r="O263" s="54"/>
      <c r="P263" s="54"/>
      <c r="Q263" s="54"/>
      <c r="R263" s="54"/>
      <c r="S263" s="54"/>
    </row>
    <row r="264" spans="3:19" ht="15.75" customHeight="1" x14ac:dyDescent="0.2">
      <c r="C264" s="60"/>
      <c r="D264" s="54"/>
      <c r="E264" s="54"/>
      <c r="F264" s="54"/>
      <c r="G264" s="54"/>
      <c r="H264" s="106"/>
      <c r="I264" s="54"/>
      <c r="J264" s="54"/>
      <c r="K264" s="180"/>
      <c r="L264" s="54"/>
      <c r="M264" s="54"/>
      <c r="N264" s="54"/>
      <c r="O264" s="54"/>
      <c r="P264" s="54"/>
      <c r="Q264" s="54"/>
      <c r="R264" s="54"/>
      <c r="S264" s="54"/>
    </row>
    <row r="265" spans="3:19" ht="15.75" customHeight="1" x14ac:dyDescent="0.2">
      <c r="C265" s="60"/>
      <c r="D265" s="54"/>
      <c r="E265" s="54"/>
      <c r="F265" s="54"/>
      <c r="G265" s="54"/>
      <c r="H265" s="106"/>
      <c r="I265" s="54"/>
      <c r="J265" s="54"/>
      <c r="K265" s="180"/>
      <c r="L265" s="54"/>
      <c r="M265" s="54"/>
      <c r="N265" s="54"/>
      <c r="O265" s="54"/>
      <c r="P265" s="54"/>
      <c r="Q265" s="54"/>
      <c r="R265" s="54"/>
      <c r="S265" s="54"/>
    </row>
    <row r="266" spans="3:19" ht="15.75" customHeight="1" x14ac:dyDescent="0.2">
      <c r="C266" s="60"/>
      <c r="D266" s="54"/>
      <c r="E266" s="54"/>
      <c r="F266" s="54"/>
      <c r="G266" s="54"/>
      <c r="H266" s="106"/>
      <c r="I266" s="54"/>
      <c r="J266" s="54"/>
      <c r="K266" s="180"/>
      <c r="L266" s="54"/>
      <c r="M266" s="54"/>
      <c r="N266" s="54"/>
      <c r="O266" s="54"/>
      <c r="P266" s="54"/>
      <c r="Q266" s="54"/>
      <c r="R266" s="54"/>
      <c r="S266" s="54"/>
    </row>
    <row r="267" spans="3:19" ht="15.75" customHeight="1" x14ac:dyDescent="0.2">
      <c r="C267" s="60"/>
      <c r="D267" s="54"/>
      <c r="E267" s="54"/>
      <c r="F267" s="54"/>
      <c r="G267" s="54"/>
      <c r="H267" s="106"/>
      <c r="I267" s="54"/>
      <c r="J267" s="54"/>
      <c r="K267" s="180"/>
      <c r="L267" s="54"/>
      <c r="M267" s="54"/>
      <c r="N267" s="54"/>
      <c r="O267" s="54"/>
      <c r="P267" s="54"/>
      <c r="Q267" s="54"/>
      <c r="R267" s="54"/>
      <c r="S267" s="54"/>
    </row>
    <row r="268" spans="3:19" ht="15.75" customHeight="1" x14ac:dyDescent="0.2">
      <c r="C268" s="60"/>
      <c r="D268" s="54"/>
      <c r="E268" s="54"/>
      <c r="F268" s="54"/>
      <c r="G268" s="54"/>
      <c r="H268" s="106"/>
      <c r="I268" s="54"/>
      <c r="J268" s="54"/>
      <c r="K268" s="180"/>
      <c r="L268" s="54"/>
      <c r="M268" s="54"/>
      <c r="N268" s="54"/>
      <c r="O268" s="54"/>
      <c r="P268" s="54"/>
      <c r="Q268" s="54"/>
      <c r="R268" s="54"/>
      <c r="S268" s="54"/>
    </row>
    <row r="269" spans="3:19" ht="15.75" customHeight="1" x14ac:dyDescent="0.2">
      <c r="C269" s="60"/>
      <c r="D269" s="54"/>
      <c r="E269" s="54"/>
      <c r="F269" s="54"/>
      <c r="G269" s="54"/>
      <c r="H269" s="106"/>
      <c r="I269" s="54"/>
      <c r="J269" s="54"/>
      <c r="K269" s="180"/>
      <c r="L269" s="54"/>
      <c r="M269" s="54"/>
      <c r="N269" s="54"/>
      <c r="O269" s="54"/>
      <c r="P269" s="54"/>
      <c r="Q269" s="54"/>
      <c r="R269" s="54"/>
      <c r="S269" s="54"/>
    </row>
    <row r="270" spans="3:19" ht="15.75" customHeight="1" x14ac:dyDescent="0.2">
      <c r="C270" s="60"/>
      <c r="D270" s="54"/>
      <c r="E270" s="54"/>
      <c r="F270" s="54"/>
      <c r="G270" s="54"/>
      <c r="H270" s="106"/>
      <c r="I270" s="54"/>
      <c r="J270" s="54"/>
      <c r="K270" s="180"/>
      <c r="L270" s="54"/>
      <c r="M270" s="54"/>
      <c r="N270" s="54"/>
      <c r="O270" s="54"/>
      <c r="P270" s="54"/>
      <c r="Q270" s="54"/>
      <c r="R270" s="54"/>
      <c r="S270" s="54"/>
    </row>
    <row r="271" spans="3:19" ht="15.75" customHeight="1" x14ac:dyDescent="0.2">
      <c r="C271" s="60"/>
      <c r="D271" s="54"/>
      <c r="E271" s="54"/>
      <c r="F271" s="54"/>
      <c r="G271" s="54"/>
      <c r="H271" s="106"/>
      <c r="I271" s="54"/>
      <c r="J271" s="54"/>
      <c r="K271" s="180"/>
      <c r="L271" s="54"/>
      <c r="M271" s="54"/>
      <c r="N271" s="54"/>
      <c r="O271" s="54"/>
      <c r="P271" s="54"/>
      <c r="Q271" s="54"/>
      <c r="R271" s="54"/>
      <c r="S271" s="54"/>
    </row>
    <row r="272" spans="3:19" ht="15.75" customHeight="1" x14ac:dyDescent="0.2">
      <c r="C272" s="60"/>
      <c r="D272" s="54"/>
      <c r="E272" s="54"/>
      <c r="F272" s="54"/>
      <c r="G272" s="54"/>
      <c r="H272" s="106"/>
      <c r="I272" s="54"/>
      <c r="J272" s="54"/>
      <c r="K272" s="180"/>
      <c r="L272" s="54"/>
      <c r="M272" s="54"/>
      <c r="N272" s="54"/>
      <c r="O272" s="54"/>
      <c r="P272" s="54"/>
      <c r="Q272" s="54"/>
      <c r="R272" s="54"/>
      <c r="S272" s="54"/>
    </row>
    <row r="273" spans="3:19" ht="15.75" customHeight="1" x14ac:dyDescent="0.2">
      <c r="C273" s="60"/>
      <c r="D273" s="54"/>
      <c r="E273" s="54"/>
      <c r="F273" s="54"/>
      <c r="G273" s="54"/>
      <c r="H273" s="106"/>
      <c r="I273" s="54"/>
      <c r="J273" s="54"/>
      <c r="K273" s="180"/>
      <c r="L273" s="54"/>
      <c r="M273" s="54"/>
      <c r="N273" s="54"/>
      <c r="O273" s="54"/>
      <c r="P273" s="54"/>
      <c r="Q273" s="54"/>
      <c r="R273" s="54"/>
      <c r="S273" s="54"/>
    </row>
    <row r="274" spans="3:19" ht="15.75" customHeight="1" x14ac:dyDescent="0.2">
      <c r="C274" s="60"/>
      <c r="D274" s="54"/>
      <c r="E274" s="54"/>
      <c r="F274" s="54"/>
      <c r="G274" s="54"/>
      <c r="H274" s="106"/>
      <c r="I274" s="54"/>
      <c r="J274" s="54"/>
      <c r="K274" s="180"/>
      <c r="L274" s="54"/>
      <c r="M274" s="54"/>
      <c r="N274" s="54"/>
      <c r="O274" s="54"/>
      <c r="P274" s="54"/>
      <c r="Q274" s="54"/>
      <c r="R274" s="54"/>
      <c r="S274" s="54"/>
    </row>
    <row r="275" spans="3:19" ht="15.75" customHeight="1" x14ac:dyDescent="0.2">
      <c r="C275" s="60"/>
      <c r="D275" s="54"/>
      <c r="E275" s="54"/>
      <c r="F275" s="54"/>
      <c r="G275" s="54"/>
      <c r="H275" s="106"/>
      <c r="I275" s="54"/>
      <c r="J275" s="54"/>
      <c r="K275" s="180"/>
      <c r="L275" s="54"/>
      <c r="M275" s="54"/>
      <c r="N275" s="54"/>
      <c r="O275" s="54"/>
      <c r="P275" s="54"/>
      <c r="Q275" s="54"/>
      <c r="R275" s="54"/>
      <c r="S275" s="54"/>
    </row>
    <row r="276" spans="3:19" ht="15.75" customHeight="1" x14ac:dyDescent="0.2">
      <c r="C276" s="60"/>
      <c r="D276" s="54"/>
      <c r="E276" s="54"/>
      <c r="F276" s="54"/>
      <c r="G276" s="54"/>
      <c r="H276" s="106"/>
      <c r="I276" s="54"/>
      <c r="J276" s="54"/>
      <c r="K276" s="180"/>
      <c r="L276" s="54"/>
      <c r="M276" s="54"/>
      <c r="N276" s="54"/>
      <c r="O276" s="54"/>
      <c r="P276" s="54"/>
      <c r="Q276" s="54"/>
      <c r="R276" s="54"/>
      <c r="S276" s="54"/>
    </row>
    <row r="277" spans="3:19" ht="15.75" customHeight="1" x14ac:dyDescent="0.2">
      <c r="C277" s="60"/>
      <c r="D277" s="54"/>
      <c r="E277" s="54"/>
      <c r="F277" s="54"/>
      <c r="G277" s="54"/>
      <c r="H277" s="106"/>
      <c r="I277" s="54"/>
      <c r="J277" s="54"/>
      <c r="K277" s="180"/>
      <c r="L277" s="54"/>
      <c r="M277" s="54"/>
      <c r="N277" s="54"/>
      <c r="O277" s="54"/>
      <c r="P277" s="54"/>
      <c r="Q277" s="54"/>
      <c r="R277" s="54"/>
      <c r="S277" s="54"/>
    </row>
    <row r="278" spans="3:19" ht="15.75" customHeight="1" x14ac:dyDescent="0.2">
      <c r="C278" s="60"/>
      <c r="D278" s="54"/>
      <c r="E278" s="54"/>
      <c r="F278" s="54"/>
      <c r="G278" s="54"/>
      <c r="H278" s="106"/>
      <c r="I278" s="54"/>
      <c r="J278" s="54"/>
      <c r="K278" s="180"/>
      <c r="L278" s="54"/>
      <c r="M278" s="54"/>
      <c r="N278" s="54"/>
      <c r="O278" s="54"/>
      <c r="P278" s="54"/>
      <c r="Q278" s="54"/>
      <c r="R278" s="54"/>
      <c r="S278" s="54"/>
    </row>
    <row r="279" spans="3:19" ht="15.75" customHeight="1" x14ac:dyDescent="0.2">
      <c r="C279" s="60"/>
      <c r="D279" s="54"/>
      <c r="E279" s="54"/>
      <c r="F279" s="54"/>
      <c r="G279" s="54"/>
      <c r="H279" s="106"/>
      <c r="I279" s="54"/>
      <c r="J279" s="54"/>
      <c r="K279" s="180"/>
      <c r="L279" s="54"/>
      <c r="M279" s="54"/>
      <c r="N279" s="54"/>
      <c r="O279" s="54"/>
      <c r="P279" s="54"/>
      <c r="Q279" s="54"/>
      <c r="R279" s="54"/>
      <c r="S279" s="54"/>
    </row>
    <row r="280" spans="3:19" ht="15.75" customHeight="1" x14ac:dyDescent="0.2">
      <c r="C280" s="60"/>
      <c r="D280" s="54"/>
      <c r="E280" s="54"/>
      <c r="F280" s="54"/>
      <c r="G280" s="54"/>
      <c r="H280" s="106"/>
      <c r="I280" s="54"/>
      <c r="J280" s="54"/>
      <c r="K280" s="180"/>
      <c r="L280" s="54"/>
      <c r="M280" s="54"/>
      <c r="N280" s="54"/>
      <c r="O280" s="54"/>
      <c r="P280" s="54"/>
      <c r="Q280" s="54"/>
      <c r="R280" s="54"/>
      <c r="S280" s="54"/>
    </row>
    <row r="281" spans="3:19" ht="15.75" customHeight="1" x14ac:dyDescent="0.2">
      <c r="C281" s="60"/>
      <c r="D281" s="54"/>
      <c r="E281" s="54"/>
      <c r="F281" s="54"/>
      <c r="G281" s="54"/>
      <c r="H281" s="106"/>
      <c r="I281" s="54"/>
      <c r="J281" s="54"/>
      <c r="K281" s="180"/>
      <c r="L281" s="54"/>
      <c r="M281" s="54"/>
      <c r="N281" s="54"/>
      <c r="O281" s="54"/>
      <c r="P281" s="54"/>
      <c r="Q281" s="54"/>
      <c r="R281" s="54"/>
      <c r="S281" s="54"/>
    </row>
    <row r="282" spans="3:19" ht="15.75" customHeight="1" x14ac:dyDescent="0.2">
      <c r="C282" s="60"/>
      <c r="D282" s="54"/>
      <c r="E282" s="54"/>
      <c r="F282" s="54"/>
      <c r="G282" s="54"/>
      <c r="H282" s="106"/>
      <c r="I282" s="54"/>
      <c r="J282" s="54"/>
      <c r="K282" s="180"/>
      <c r="L282" s="54"/>
      <c r="M282" s="54"/>
      <c r="N282" s="54"/>
      <c r="O282" s="54"/>
      <c r="P282" s="54"/>
      <c r="Q282" s="54"/>
      <c r="R282" s="54"/>
      <c r="S282" s="54"/>
    </row>
    <row r="283" spans="3:19" ht="15.75" customHeight="1" x14ac:dyDescent="0.2">
      <c r="C283" s="60"/>
      <c r="D283" s="54"/>
      <c r="E283" s="54"/>
      <c r="F283" s="54"/>
      <c r="G283" s="54"/>
      <c r="H283" s="106"/>
      <c r="I283" s="54"/>
      <c r="J283" s="54"/>
      <c r="K283" s="180"/>
      <c r="L283" s="54"/>
      <c r="M283" s="54"/>
      <c r="N283" s="54"/>
      <c r="O283" s="54"/>
      <c r="P283" s="54"/>
      <c r="Q283" s="54"/>
      <c r="R283" s="54"/>
      <c r="S283" s="54"/>
    </row>
    <row r="284" spans="3:19" ht="15.75" customHeight="1" x14ac:dyDescent="0.2">
      <c r="C284" s="60"/>
      <c r="D284" s="54"/>
      <c r="E284" s="54"/>
      <c r="F284" s="54"/>
      <c r="G284" s="54"/>
      <c r="H284" s="106"/>
      <c r="I284" s="54"/>
      <c r="J284" s="54"/>
      <c r="K284" s="180"/>
      <c r="L284" s="54"/>
      <c r="M284" s="54"/>
      <c r="N284" s="54"/>
      <c r="O284" s="54"/>
      <c r="P284" s="54"/>
      <c r="Q284" s="54"/>
      <c r="R284" s="54"/>
      <c r="S284" s="54"/>
    </row>
    <row r="285" spans="3:19" ht="15.75" customHeight="1" x14ac:dyDescent="0.2">
      <c r="C285" s="60"/>
      <c r="D285" s="54"/>
      <c r="E285" s="54"/>
      <c r="F285" s="54"/>
      <c r="G285" s="54"/>
      <c r="H285" s="106"/>
      <c r="I285" s="54"/>
      <c r="J285" s="54"/>
      <c r="K285" s="180"/>
      <c r="L285" s="54"/>
      <c r="M285" s="54"/>
      <c r="N285" s="54"/>
      <c r="O285" s="54"/>
      <c r="P285" s="54"/>
      <c r="Q285" s="54"/>
      <c r="R285" s="54"/>
      <c r="S285" s="54"/>
    </row>
    <row r="286" spans="3:19" ht="15.75" customHeight="1" x14ac:dyDescent="0.2">
      <c r="C286" s="60"/>
      <c r="D286" s="54"/>
      <c r="E286" s="54"/>
      <c r="F286" s="54"/>
      <c r="G286" s="54"/>
      <c r="H286" s="106"/>
      <c r="I286" s="54"/>
      <c r="J286" s="54"/>
      <c r="K286" s="180"/>
      <c r="L286" s="54"/>
      <c r="M286" s="54"/>
      <c r="N286" s="54"/>
      <c r="O286" s="54"/>
      <c r="P286" s="54"/>
      <c r="Q286" s="54"/>
      <c r="R286" s="54"/>
      <c r="S286" s="54"/>
    </row>
    <row r="287" spans="3:19" ht="15.75" customHeight="1" x14ac:dyDescent="0.2">
      <c r="C287" s="60"/>
      <c r="D287" s="54"/>
      <c r="E287" s="54"/>
      <c r="F287" s="54"/>
      <c r="G287" s="54"/>
      <c r="H287" s="106"/>
      <c r="I287" s="54"/>
      <c r="J287" s="54"/>
      <c r="K287" s="180"/>
      <c r="L287" s="54"/>
      <c r="M287" s="54"/>
      <c r="N287" s="54"/>
      <c r="O287" s="54"/>
      <c r="P287" s="54"/>
      <c r="Q287" s="54"/>
      <c r="R287" s="54"/>
      <c r="S287" s="54"/>
    </row>
    <row r="288" spans="3:19" ht="15.75" customHeight="1" x14ac:dyDescent="0.2">
      <c r="C288" s="60"/>
      <c r="D288" s="54"/>
      <c r="E288" s="54"/>
      <c r="F288" s="54"/>
      <c r="G288" s="54"/>
      <c r="H288" s="106"/>
      <c r="I288" s="54"/>
      <c r="J288" s="54"/>
      <c r="K288" s="180"/>
      <c r="L288" s="54"/>
      <c r="M288" s="54"/>
      <c r="N288" s="54"/>
      <c r="O288" s="54"/>
      <c r="P288" s="54"/>
      <c r="Q288" s="54"/>
      <c r="R288" s="54"/>
      <c r="S288" s="54"/>
    </row>
    <row r="289" spans="3:19" ht="15.75" customHeight="1" x14ac:dyDescent="0.2">
      <c r="C289" s="60"/>
      <c r="D289" s="54"/>
      <c r="E289" s="54"/>
      <c r="F289" s="54"/>
      <c r="G289" s="54"/>
      <c r="H289" s="106"/>
      <c r="I289" s="54"/>
      <c r="J289" s="54"/>
      <c r="K289" s="180"/>
      <c r="L289" s="54"/>
      <c r="M289" s="54"/>
      <c r="N289" s="54"/>
      <c r="O289" s="54"/>
      <c r="P289" s="54"/>
      <c r="Q289" s="54"/>
      <c r="R289" s="54"/>
      <c r="S289" s="54"/>
    </row>
    <row r="290" spans="3:19" ht="15.75" customHeight="1" x14ac:dyDescent="0.2">
      <c r="C290" s="60"/>
      <c r="D290" s="54"/>
      <c r="E290" s="54"/>
      <c r="F290" s="54"/>
      <c r="G290" s="54"/>
      <c r="H290" s="106"/>
      <c r="I290" s="54"/>
      <c r="J290" s="54"/>
      <c r="K290" s="180"/>
      <c r="L290" s="54"/>
      <c r="M290" s="54"/>
      <c r="N290" s="54"/>
      <c r="O290" s="54"/>
      <c r="P290" s="54"/>
      <c r="Q290" s="54"/>
      <c r="R290" s="54"/>
      <c r="S290" s="54"/>
    </row>
    <row r="291" spans="3:19" ht="15.75" customHeight="1" x14ac:dyDescent="0.2">
      <c r="C291" s="60"/>
      <c r="D291" s="54"/>
      <c r="E291" s="54"/>
      <c r="F291" s="54"/>
      <c r="G291" s="54"/>
      <c r="H291" s="106"/>
      <c r="I291" s="54"/>
      <c r="J291" s="54"/>
      <c r="K291" s="180"/>
      <c r="L291" s="54"/>
      <c r="M291" s="54"/>
      <c r="N291" s="54"/>
      <c r="O291" s="54"/>
      <c r="P291" s="54"/>
      <c r="Q291" s="54"/>
      <c r="R291" s="54"/>
      <c r="S291" s="54"/>
    </row>
    <row r="292" spans="3:19" ht="15.75" customHeight="1" x14ac:dyDescent="0.2">
      <c r="C292" s="60"/>
      <c r="D292" s="54"/>
      <c r="E292" s="54"/>
      <c r="F292" s="54"/>
      <c r="G292" s="54"/>
      <c r="H292" s="106"/>
      <c r="I292" s="54"/>
      <c r="J292" s="54"/>
      <c r="K292" s="180"/>
      <c r="L292" s="54"/>
      <c r="M292" s="54"/>
      <c r="N292" s="54"/>
      <c r="O292" s="54"/>
      <c r="P292" s="54"/>
      <c r="Q292" s="54"/>
      <c r="R292" s="54"/>
      <c r="S292" s="54"/>
    </row>
    <row r="293" spans="3:19" ht="15.75" customHeight="1" x14ac:dyDescent="0.2">
      <c r="C293" s="60"/>
      <c r="D293" s="54"/>
      <c r="E293" s="54"/>
      <c r="F293" s="54"/>
      <c r="G293" s="54"/>
      <c r="H293" s="106"/>
      <c r="I293" s="54"/>
      <c r="J293" s="54"/>
      <c r="K293" s="180"/>
      <c r="L293" s="54"/>
      <c r="M293" s="54"/>
      <c r="N293" s="54"/>
      <c r="O293" s="54"/>
      <c r="P293" s="54"/>
      <c r="Q293" s="54"/>
      <c r="R293" s="54"/>
      <c r="S293" s="54"/>
    </row>
    <row r="294" spans="3:19" ht="15.75" customHeight="1" x14ac:dyDescent="0.2">
      <c r="C294" s="60"/>
      <c r="D294" s="54"/>
      <c r="E294" s="54"/>
      <c r="F294" s="54"/>
      <c r="G294" s="54"/>
      <c r="H294" s="106"/>
      <c r="I294" s="54"/>
      <c r="J294" s="54"/>
      <c r="K294" s="180"/>
      <c r="L294" s="54"/>
      <c r="M294" s="54"/>
      <c r="N294" s="54"/>
      <c r="O294" s="54"/>
      <c r="P294" s="54"/>
      <c r="Q294" s="54"/>
      <c r="R294" s="54"/>
      <c r="S294" s="54"/>
    </row>
    <row r="295" spans="3:19" ht="15.75" customHeight="1" x14ac:dyDescent="0.2">
      <c r="C295" s="60"/>
      <c r="D295" s="54"/>
      <c r="E295" s="54"/>
      <c r="F295" s="54"/>
      <c r="G295" s="54"/>
      <c r="H295" s="106"/>
      <c r="I295" s="54"/>
      <c r="J295" s="54"/>
      <c r="K295" s="180"/>
      <c r="L295" s="54"/>
      <c r="M295" s="54"/>
      <c r="N295" s="54"/>
      <c r="O295" s="54"/>
      <c r="P295" s="54"/>
      <c r="Q295" s="54"/>
      <c r="R295" s="54"/>
      <c r="S295" s="54"/>
    </row>
    <row r="296" spans="3:19" ht="15.75" customHeight="1" x14ac:dyDescent="0.2">
      <c r="C296" s="60"/>
      <c r="D296" s="54"/>
      <c r="E296" s="54"/>
      <c r="F296" s="54"/>
      <c r="G296" s="54"/>
      <c r="H296" s="106"/>
      <c r="I296" s="54"/>
      <c r="J296" s="54"/>
      <c r="K296" s="180"/>
      <c r="L296" s="54"/>
      <c r="M296" s="54"/>
      <c r="N296" s="54"/>
      <c r="O296" s="54"/>
      <c r="P296" s="54"/>
      <c r="Q296" s="54"/>
      <c r="R296" s="54"/>
      <c r="S296" s="54"/>
    </row>
    <row r="297" spans="3:19" ht="15.75" customHeight="1" x14ac:dyDescent="0.2">
      <c r="C297" s="60"/>
      <c r="D297" s="54"/>
      <c r="E297" s="54"/>
      <c r="F297" s="54"/>
      <c r="G297" s="54"/>
      <c r="H297" s="106"/>
      <c r="I297" s="54"/>
      <c r="J297" s="54"/>
      <c r="K297" s="180"/>
      <c r="L297" s="54"/>
      <c r="M297" s="54"/>
      <c r="N297" s="54"/>
      <c r="O297" s="54"/>
      <c r="P297" s="54"/>
      <c r="Q297" s="54"/>
      <c r="R297" s="54"/>
      <c r="S297" s="54"/>
    </row>
    <row r="298" spans="3:19" ht="15.75" customHeight="1" x14ac:dyDescent="0.2">
      <c r="C298" s="60"/>
      <c r="D298" s="54"/>
      <c r="E298" s="54"/>
      <c r="F298" s="54"/>
      <c r="G298" s="54"/>
      <c r="H298" s="106"/>
      <c r="I298" s="54"/>
      <c r="J298" s="54"/>
      <c r="K298" s="180"/>
      <c r="L298" s="54"/>
      <c r="M298" s="54"/>
      <c r="N298" s="54"/>
      <c r="O298" s="54"/>
      <c r="P298" s="54"/>
      <c r="Q298" s="54"/>
      <c r="R298" s="54"/>
      <c r="S298" s="54"/>
    </row>
    <row r="299" spans="3:19" ht="15.75" customHeight="1" x14ac:dyDescent="0.2">
      <c r="C299" s="60"/>
      <c r="D299" s="54"/>
      <c r="E299" s="54"/>
      <c r="F299" s="54"/>
      <c r="G299" s="54"/>
      <c r="H299" s="106"/>
      <c r="I299" s="54"/>
      <c r="J299" s="54"/>
      <c r="K299" s="180"/>
      <c r="L299" s="54"/>
      <c r="M299" s="54"/>
      <c r="N299" s="54"/>
      <c r="O299" s="54"/>
      <c r="P299" s="54"/>
      <c r="Q299" s="54"/>
      <c r="R299" s="54"/>
      <c r="S299" s="54"/>
    </row>
    <row r="300" spans="3:19" ht="15.75" customHeight="1" x14ac:dyDescent="0.2">
      <c r="C300" s="60"/>
      <c r="D300" s="54"/>
      <c r="E300" s="54"/>
      <c r="F300" s="54"/>
      <c r="G300" s="54"/>
      <c r="H300" s="106"/>
      <c r="I300" s="54"/>
      <c r="J300" s="54"/>
      <c r="K300" s="180"/>
      <c r="L300" s="54"/>
      <c r="M300" s="54"/>
      <c r="N300" s="54"/>
      <c r="O300" s="54"/>
      <c r="P300" s="54"/>
      <c r="Q300" s="54"/>
      <c r="R300" s="54"/>
      <c r="S300" s="54"/>
    </row>
    <row r="301" spans="3:19" ht="15.75" customHeight="1" x14ac:dyDescent="0.2">
      <c r="C301" s="60"/>
      <c r="D301" s="54"/>
      <c r="E301" s="54"/>
      <c r="F301" s="54"/>
      <c r="G301" s="54"/>
      <c r="H301" s="106"/>
      <c r="I301" s="54"/>
      <c r="J301" s="54"/>
      <c r="K301" s="180"/>
      <c r="L301" s="54"/>
      <c r="M301" s="54"/>
      <c r="N301" s="54"/>
      <c r="O301" s="54"/>
      <c r="P301" s="54"/>
      <c r="Q301" s="54"/>
      <c r="R301" s="54"/>
      <c r="S301" s="54"/>
    </row>
    <row r="302" spans="3:19" ht="15.75" customHeight="1" x14ac:dyDescent="0.2">
      <c r="C302" s="60"/>
      <c r="D302" s="54"/>
      <c r="E302" s="54"/>
      <c r="F302" s="54"/>
      <c r="G302" s="54"/>
      <c r="H302" s="106"/>
      <c r="I302" s="54"/>
      <c r="J302" s="54"/>
      <c r="K302" s="180"/>
      <c r="L302" s="54"/>
      <c r="M302" s="54"/>
      <c r="N302" s="54"/>
      <c r="O302" s="54"/>
      <c r="P302" s="54"/>
      <c r="Q302" s="54"/>
      <c r="R302" s="54"/>
      <c r="S302" s="54"/>
    </row>
    <row r="303" spans="3:19" ht="15.75" customHeight="1" x14ac:dyDescent="0.2">
      <c r="C303" s="60"/>
      <c r="D303" s="54"/>
      <c r="E303" s="54"/>
      <c r="F303" s="54"/>
      <c r="G303" s="54"/>
      <c r="H303" s="106"/>
      <c r="I303" s="54"/>
      <c r="J303" s="54"/>
      <c r="K303" s="180"/>
      <c r="L303" s="54"/>
      <c r="M303" s="54"/>
      <c r="N303" s="54"/>
      <c r="O303" s="54"/>
      <c r="P303" s="54"/>
      <c r="Q303" s="54"/>
      <c r="R303" s="54"/>
      <c r="S303" s="54"/>
    </row>
    <row r="304" spans="3:19" ht="15.75" customHeight="1" x14ac:dyDescent="0.2">
      <c r="C304" s="60"/>
      <c r="D304" s="54"/>
      <c r="E304" s="54"/>
      <c r="F304" s="54"/>
      <c r="G304" s="54"/>
      <c r="H304" s="106"/>
      <c r="I304" s="54"/>
      <c r="J304" s="54"/>
      <c r="K304" s="180"/>
      <c r="L304" s="54"/>
      <c r="M304" s="54"/>
      <c r="N304" s="54"/>
      <c r="O304" s="54"/>
      <c r="P304" s="54"/>
      <c r="Q304" s="54"/>
      <c r="R304" s="54"/>
      <c r="S304" s="54"/>
    </row>
    <row r="305" spans="3:19" ht="15.75" customHeight="1" x14ac:dyDescent="0.2">
      <c r="C305" s="60"/>
      <c r="D305" s="54"/>
      <c r="E305" s="54"/>
      <c r="F305" s="54"/>
      <c r="G305" s="54"/>
      <c r="H305" s="106"/>
      <c r="I305" s="54"/>
      <c r="J305" s="54"/>
      <c r="K305" s="180"/>
      <c r="L305" s="54"/>
      <c r="M305" s="54"/>
      <c r="N305" s="54"/>
      <c r="O305" s="54"/>
      <c r="P305" s="54"/>
      <c r="Q305" s="54"/>
      <c r="R305" s="54"/>
      <c r="S305" s="54"/>
    </row>
    <row r="306" spans="3:19" ht="15.75" customHeight="1" x14ac:dyDescent="0.2">
      <c r="C306" s="60"/>
      <c r="D306" s="54"/>
      <c r="E306" s="54"/>
      <c r="F306" s="54"/>
      <c r="G306" s="54"/>
      <c r="H306" s="106"/>
      <c r="I306" s="54"/>
      <c r="J306" s="54"/>
      <c r="K306" s="180"/>
      <c r="L306" s="54"/>
      <c r="M306" s="54"/>
      <c r="N306" s="54"/>
      <c r="O306" s="54"/>
      <c r="P306" s="54"/>
      <c r="Q306" s="54"/>
      <c r="R306" s="54"/>
      <c r="S306" s="54"/>
    </row>
    <row r="307" spans="3:19" ht="15.75" customHeight="1" x14ac:dyDescent="0.2">
      <c r="C307" s="60"/>
      <c r="D307" s="54"/>
      <c r="E307" s="54"/>
      <c r="F307" s="54"/>
      <c r="G307" s="54"/>
      <c r="H307" s="106"/>
      <c r="I307" s="54"/>
      <c r="J307" s="54"/>
      <c r="K307" s="180"/>
      <c r="L307" s="54"/>
      <c r="M307" s="54"/>
      <c r="N307" s="54"/>
      <c r="O307" s="54"/>
      <c r="P307" s="54"/>
      <c r="Q307" s="54"/>
      <c r="R307" s="54"/>
      <c r="S307" s="54"/>
    </row>
    <row r="308" spans="3:19" ht="15.75" customHeight="1" x14ac:dyDescent="0.2">
      <c r="C308" s="60"/>
      <c r="D308" s="54"/>
      <c r="E308" s="54"/>
      <c r="F308" s="54"/>
      <c r="G308" s="54"/>
      <c r="H308" s="106"/>
      <c r="I308" s="54"/>
      <c r="J308" s="54"/>
      <c r="K308" s="180"/>
      <c r="L308" s="54"/>
      <c r="M308" s="54"/>
      <c r="N308" s="54"/>
      <c r="O308" s="54"/>
      <c r="P308" s="54"/>
      <c r="Q308" s="54"/>
      <c r="R308" s="54"/>
      <c r="S308" s="54"/>
    </row>
    <row r="309" spans="3:19" ht="15.75" customHeight="1" x14ac:dyDescent="0.2">
      <c r="C309" s="60"/>
      <c r="D309" s="54"/>
      <c r="E309" s="54"/>
      <c r="F309" s="54"/>
      <c r="G309" s="54"/>
      <c r="H309" s="106"/>
      <c r="I309" s="54"/>
      <c r="J309" s="54"/>
      <c r="K309" s="180"/>
      <c r="L309" s="54"/>
      <c r="M309" s="54"/>
      <c r="N309" s="54"/>
      <c r="O309" s="54"/>
      <c r="P309" s="54"/>
      <c r="Q309" s="54"/>
      <c r="R309" s="54"/>
      <c r="S309" s="54"/>
    </row>
    <row r="310" spans="3:19" ht="15.75" customHeight="1" x14ac:dyDescent="0.2">
      <c r="C310" s="60"/>
      <c r="D310" s="54"/>
      <c r="E310" s="54"/>
      <c r="F310" s="54"/>
      <c r="G310" s="54"/>
      <c r="H310" s="106"/>
      <c r="I310" s="54"/>
      <c r="J310" s="54"/>
      <c r="K310" s="180"/>
      <c r="L310" s="54"/>
      <c r="M310" s="54"/>
      <c r="N310" s="54"/>
      <c r="O310" s="54"/>
      <c r="P310" s="54"/>
      <c r="Q310" s="54"/>
      <c r="R310" s="54"/>
      <c r="S310" s="54"/>
    </row>
    <row r="311" spans="3:19" ht="15.75" customHeight="1" x14ac:dyDescent="0.2">
      <c r="C311" s="60"/>
      <c r="D311" s="54"/>
      <c r="E311" s="54"/>
      <c r="F311" s="54"/>
      <c r="G311" s="54"/>
      <c r="H311" s="106"/>
      <c r="I311" s="54"/>
      <c r="J311" s="54"/>
      <c r="K311" s="180"/>
      <c r="L311" s="54"/>
      <c r="M311" s="54"/>
      <c r="N311" s="54"/>
      <c r="O311" s="54"/>
      <c r="P311" s="54"/>
      <c r="Q311" s="54"/>
      <c r="R311" s="54"/>
      <c r="S311" s="54"/>
    </row>
    <row r="312" spans="3:19" ht="15.75" customHeight="1" x14ac:dyDescent="0.2">
      <c r="C312" s="60"/>
      <c r="D312" s="54"/>
      <c r="E312" s="54"/>
      <c r="F312" s="54"/>
      <c r="G312" s="54"/>
      <c r="H312" s="106"/>
      <c r="I312" s="54"/>
      <c r="J312" s="54"/>
      <c r="K312" s="180"/>
      <c r="L312" s="54"/>
      <c r="M312" s="54"/>
      <c r="N312" s="54"/>
      <c r="O312" s="54"/>
      <c r="P312" s="54"/>
      <c r="Q312" s="54"/>
      <c r="R312" s="54"/>
      <c r="S312" s="54"/>
    </row>
    <row r="313" spans="3:19" ht="15.75" customHeight="1" x14ac:dyDescent="0.2">
      <c r="C313" s="60"/>
      <c r="D313" s="54"/>
      <c r="E313" s="54"/>
      <c r="F313" s="54"/>
      <c r="G313" s="54"/>
      <c r="H313" s="106"/>
      <c r="I313" s="54"/>
      <c r="J313" s="54"/>
      <c r="K313" s="180"/>
      <c r="L313" s="54"/>
      <c r="M313" s="54"/>
      <c r="N313" s="54"/>
      <c r="O313" s="54"/>
      <c r="P313" s="54"/>
      <c r="Q313" s="54"/>
      <c r="R313" s="54"/>
      <c r="S313" s="54"/>
    </row>
    <row r="314" spans="3:19" ht="15.75" customHeight="1" x14ac:dyDescent="0.2">
      <c r="C314" s="60"/>
      <c r="D314" s="54"/>
      <c r="E314" s="54"/>
      <c r="F314" s="54"/>
      <c r="G314" s="54"/>
      <c r="H314" s="106"/>
      <c r="I314" s="54"/>
      <c r="J314" s="54"/>
      <c r="K314" s="180"/>
      <c r="L314" s="54"/>
      <c r="M314" s="54"/>
      <c r="N314" s="54"/>
      <c r="O314" s="54"/>
      <c r="P314" s="54"/>
      <c r="Q314" s="54"/>
      <c r="R314" s="54"/>
      <c r="S314" s="54"/>
    </row>
    <row r="315" spans="3:19" ht="15.75" customHeight="1" x14ac:dyDescent="0.2">
      <c r="C315" s="60"/>
      <c r="D315" s="54"/>
      <c r="E315" s="54"/>
      <c r="F315" s="54"/>
      <c r="G315" s="54"/>
      <c r="H315" s="106"/>
      <c r="I315" s="54"/>
      <c r="J315" s="54"/>
      <c r="K315" s="180"/>
      <c r="L315" s="54"/>
      <c r="M315" s="54"/>
      <c r="N315" s="54"/>
      <c r="O315" s="54"/>
      <c r="P315" s="54"/>
      <c r="Q315" s="54"/>
      <c r="R315" s="54"/>
      <c r="S315" s="54"/>
    </row>
    <row r="316" spans="3:19" ht="15.75" customHeight="1" x14ac:dyDescent="0.2">
      <c r="C316" s="60"/>
      <c r="D316" s="54"/>
      <c r="E316" s="54"/>
      <c r="F316" s="54"/>
      <c r="G316" s="54"/>
      <c r="H316" s="106"/>
      <c r="I316" s="54"/>
      <c r="J316" s="54"/>
      <c r="K316" s="180"/>
      <c r="L316" s="54"/>
      <c r="M316" s="54"/>
      <c r="N316" s="54"/>
      <c r="O316" s="54"/>
      <c r="P316" s="54"/>
      <c r="Q316" s="54"/>
      <c r="R316" s="54"/>
      <c r="S316" s="54"/>
    </row>
    <row r="317" spans="3:19" ht="15.75" customHeight="1" x14ac:dyDescent="0.2">
      <c r="C317" s="60"/>
      <c r="D317" s="54"/>
      <c r="E317" s="54"/>
      <c r="F317" s="54"/>
      <c r="G317" s="54"/>
      <c r="H317" s="106"/>
      <c r="I317" s="54"/>
      <c r="J317" s="54"/>
      <c r="K317" s="180"/>
      <c r="L317" s="54"/>
      <c r="M317" s="54"/>
      <c r="N317" s="54"/>
      <c r="O317" s="54"/>
      <c r="P317" s="54"/>
      <c r="Q317" s="54"/>
      <c r="R317" s="54"/>
      <c r="S317" s="54"/>
    </row>
    <row r="318" spans="3:19" ht="15.75" customHeight="1" x14ac:dyDescent="0.2">
      <c r="C318" s="60"/>
      <c r="D318" s="54"/>
      <c r="E318" s="54"/>
      <c r="F318" s="54"/>
      <c r="G318" s="54"/>
      <c r="H318" s="106"/>
      <c r="I318" s="54"/>
      <c r="J318" s="54"/>
      <c r="K318" s="180"/>
      <c r="L318" s="54"/>
      <c r="M318" s="54"/>
      <c r="N318" s="54"/>
      <c r="O318" s="54"/>
      <c r="P318" s="54"/>
      <c r="Q318" s="54"/>
      <c r="R318" s="54"/>
      <c r="S318" s="54"/>
    </row>
    <row r="319" spans="3:19" ht="15.75" customHeight="1" x14ac:dyDescent="0.2">
      <c r="C319" s="60"/>
      <c r="D319" s="54"/>
      <c r="E319" s="54"/>
      <c r="F319" s="54"/>
      <c r="G319" s="54"/>
      <c r="H319" s="106"/>
      <c r="I319" s="54"/>
      <c r="J319" s="54"/>
      <c r="K319" s="180"/>
      <c r="L319" s="54"/>
      <c r="M319" s="54"/>
      <c r="N319" s="54"/>
      <c r="O319" s="54"/>
      <c r="P319" s="54"/>
      <c r="Q319" s="54"/>
      <c r="R319" s="54"/>
      <c r="S319" s="54"/>
    </row>
    <row r="320" spans="3:19" ht="15.75" customHeight="1" x14ac:dyDescent="0.2">
      <c r="C320" s="60"/>
      <c r="D320" s="54"/>
      <c r="E320" s="54"/>
      <c r="F320" s="54"/>
      <c r="G320" s="54"/>
      <c r="H320" s="106"/>
      <c r="I320" s="54"/>
      <c r="J320" s="54"/>
      <c r="K320" s="180"/>
      <c r="L320" s="54"/>
      <c r="M320" s="54"/>
      <c r="N320" s="54"/>
      <c r="O320" s="54"/>
      <c r="P320" s="54"/>
      <c r="Q320" s="54"/>
      <c r="R320" s="54"/>
      <c r="S320" s="54"/>
    </row>
    <row r="321" spans="3:19" ht="15.75" customHeight="1" x14ac:dyDescent="0.2">
      <c r="C321" s="60"/>
      <c r="D321" s="54"/>
      <c r="E321" s="54"/>
      <c r="F321" s="54"/>
      <c r="G321" s="54"/>
      <c r="H321" s="106"/>
      <c r="I321" s="54"/>
      <c r="J321" s="54"/>
      <c r="K321" s="180"/>
      <c r="L321" s="54"/>
      <c r="M321" s="54"/>
      <c r="N321" s="54"/>
      <c r="O321" s="54"/>
      <c r="P321" s="54"/>
      <c r="Q321" s="54"/>
      <c r="R321" s="54"/>
      <c r="S321" s="54"/>
    </row>
    <row r="322" spans="3:19" ht="15.75" customHeight="1" x14ac:dyDescent="0.2">
      <c r="C322" s="60"/>
      <c r="D322" s="54"/>
      <c r="E322" s="54"/>
      <c r="F322" s="54"/>
      <c r="G322" s="54"/>
      <c r="H322" s="106"/>
      <c r="I322" s="54"/>
      <c r="J322" s="54"/>
      <c r="K322" s="180"/>
      <c r="L322" s="54"/>
      <c r="M322" s="54"/>
      <c r="N322" s="54"/>
      <c r="O322" s="54"/>
      <c r="P322" s="54"/>
      <c r="Q322" s="54"/>
      <c r="R322" s="54"/>
      <c r="S322" s="54"/>
    </row>
    <row r="323" spans="3:19" ht="15.75" customHeight="1" x14ac:dyDescent="0.2">
      <c r="C323" s="60"/>
      <c r="D323" s="54"/>
      <c r="E323" s="54"/>
      <c r="F323" s="54"/>
      <c r="G323" s="54"/>
      <c r="H323" s="106"/>
      <c r="I323" s="54"/>
      <c r="J323" s="54"/>
      <c r="K323" s="180"/>
      <c r="L323" s="54"/>
      <c r="M323" s="54"/>
      <c r="N323" s="54"/>
      <c r="O323" s="54"/>
      <c r="P323" s="54"/>
      <c r="Q323" s="54"/>
      <c r="R323" s="54"/>
      <c r="S323" s="54"/>
    </row>
    <row r="324" spans="3:19" ht="15.75" customHeight="1" x14ac:dyDescent="0.2">
      <c r="C324" s="60"/>
      <c r="D324" s="54"/>
      <c r="E324" s="54"/>
      <c r="F324" s="54"/>
      <c r="G324" s="54"/>
      <c r="H324" s="106"/>
      <c r="I324" s="54"/>
      <c r="J324" s="54"/>
      <c r="K324" s="180"/>
      <c r="L324" s="54"/>
      <c r="M324" s="54"/>
      <c r="N324" s="54"/>
      <c r="O324" s="54"/>
      <c r="P324" s="54"/>
      <c r="Q324" s="54"/>
      <c r="R324" s="54"/>
      <c r="S324" s="54"/>
    </row>
    <row r="325" spans="3:19" ht="15.75" customHeight="1" x14ac:dyDescent="0.2">
      <c r="C325" s="60"/>
      <c r="D325" s="54"/>
      <c r="E325" s="54"/>
      <c r="F325" s="54"/>
      <c r="G325" s="54"/>
      <c r="H325" s="106"/>
      <c r="I325" s="54"/>
      <c r="J325" s="54"/>
      <c r="K325" s="180"/>
      <c r="L325" s="54"/>
      <c r="M325" s="54"/>
      <c r="N325" s="54"/>
      <c r="O325" s="54"/>
      <c r="P325" s="54"/>
      <c r="Q325" s="54"/>
      <c r="R325" s="54"/>
      <c r="S325" s="54"/>
    </row>
    <row r="326" spans="3:19" ht="15.75" customHeight="1" x14ac:dyDescent="0.2">
      <c r="C326" s="60"/>
      <c r="D326" s="54"/>
      <c r="E326" s="54"/>
      <c r="F326" s="54"/>
      <c r="G326" s="54"/>
      <c r="H326" s="106"/>
      <c r="I326" s="54"/>
      <c r="J326" s="54"/>
      <c r="K326" s="180"/>
      <c r="L326" s="54"/>
      <c r="M326" s="54"/>
      <c r="N326" s="54"/>
      <c r="O326" s="54"/>
      <c r="P326" s="54"/>
      <c r="Q326" s="54"/>
      <c r="R326" s="54"/>
      <c r="S326" s="54"/>
    </row>
    <row r="327" spans="3:19" ht="15.75" customHeight="1" x14ac:dyDescent="0.2">
      <c r="C327" s="60"/>
      <c r="D327" s="54"/>
      <c r="E327" s="54"/>
      <c r="F327" s="54"/>
      <c r="G327" s="54"/>
      <c r="H327" s="106"/>
      <c r="I327" s="54"/>
      <c r="J327" s="54"/>
      <c r="K327" s="180"/>
      <c r="L327" s="54"/>
      <c r="M327" s="54"/>
      <c r="N327" s="54"/>
      <c r="O327" s="54"/>
      <c r="P327" s="54"/>
      <c r="Q327" s="54"/>
      <c r="R327" s="54"/>
      <c r="S327" s="54"/>
    </row>
    <row r="328" spans="3:19" ht="15.75" customHeight="1" x14ac:dyDescent="0.2">
      <c r="C328" s="60"/>
      <c r="D328" s="54"/>
      <c r="E328" s="54"/>
      <c r="F328" s="54"/>
      <c r="G328" s="54"/>
      <c r="H328" s="106"/>
      <c r="I328" s="54"/>
      <c r="J328" s="54"/>
      <c r="K328" s="180"/>
      <c r="L328" s="54"/>
      <c r="M328" s="54"/>
      <c r="N328" s="54"/>
      <c r="O328" s="54"/>
      <c r="P328" s="54"/>
      <c r="Q328" s="54"/>
      <c r="R328" s="54"/>
      <c r="S328" s="54"/>
    </row>
    <row r="329" spans="3:19" ht="15.75" customHeight="1" x14ac:dyDescent="0.2">
      <c r="C329" s="60"/>
      <c r="D329" s="54"/>
      <c r="E329" s="54"/>
      <c r="F329" s="54"/>
      <c r="G329" s="54"/>
      <c r="H329" s="106"/>
      <c r="I329" s="54"/>
      <c r="J329" s="54"/>
      <c r="K329" s="180"/>
      <c r="L329" s="54"/>
      <c r="M329" s="54"/>
      <c r="N329" s="54"/>
      <c r="O329" s="54"/>
      <c r="P329" s="54"/>
      <c r="Q329" s="54"/>
      <c r="R329" s="54"/>
      <c r="S329" s="54"/>
    </row>
    <row r="330" spans="3:19" ht="15.75" customHeight="1" x14ac:dyDescent="0.2">
      <c r="C330" s="60"/>
      <c r="D330" s="54"/>
      <c r="E330" s="54"/>
      <c r="F330" s="54"/>
      <c r="G330" s="54"/>
      <c r="H330" s="106"/>
      <c r="I330" s="54"/>
      <c r="J330" s="54"/>
      <c r="K330" s="180"/>
      <c r="L330" s="54"/>
      <c r="M330" s="54"/>
      <c r="N330" s="54"/>
      <c r="O330" s="54"/>
      <c r="P330" s="54"/>
      <c r="Q330" s="54"/>
      <c r="R330" s="54"/>
      <c r="S330" s="54"/>
    </row>
    <row r="331" spans="3:19" ht="15.75" customHeight="1" x14ac:dyDescent="0.2">
      <c r="C331" s="60"/>
      <c r="D331" s="54"/>
      <c r="E331" s="54"/>
      <c r="F331" s="54"/>
      <c r="G331" s="54"/>
      <c r="H331" s="106"/>
      <c r="I331" s="54"/>
      <c r="J331" s="54"/>
      <c r="K331" s="180"/>
      <c r="L331" s="54"/>
      <c r="M331" s="54"/>
      <c r="N331" s="54"/>
      <c r="O331" s="54"/>
      <c r="P331" s="54"/>
      <c r="Q331" s="54"/>
      <c r="R331" s="54"/>
      <c r="S331" s="54"/>
    </row>
    <row r="332" spans="3:19" ht="15.75" customHeight="1" x14ac:dyDescent="0.2">
      <c r="C332" s="60"/>
      <c r="D332" s="54"/>
      <c r="E332" s="54"/>
      <c r="F332" s="54"/>
      <c r="G332" s="54"/>
      <c r="H332" s="106"/>
      <c r="I332" s="54"/>
      <c r="J332" s="54"/>
      <c r="K332" s="180"/>
      <c r="L332" s="54"/>
      <c r="M332" s="54"/>
      <c r="N332" s="54"/>
      <c r="O332" s="54"/>
      <c r="P332" s="54"/>
      <c r="Q332" s="54"/>
      <c r="R332" s="54"/>
      <c r="S332" s="54"/>
    </row>
    <row r="333" spans="3:19" ht="15.75" customHeight="1" x14ac:dyDescent="0.2">
      <c r="C333" s="60"/>
      <c r="D333" s="54"/>
      <c r="E333" s="54"/>
      <c r="F333" s="54"/>
      <c r="G333" s="54"/>
      <c r="H333" s="106"/>
      <c r="I333" s="54"/>
      <c r="J333" s="54"/>
      <c r="K333" s="180"/>
      <c r="L333" s="54"/>
      <c r="M333" s="54"/>
      <c r="N333" s="54"/>
      <c r="O333" s="54"/>
      <c r="P333" s="54"/>
      <c r="Q333" s="54"/>
      <c r="R333" s="54"/>
      <c r="S333" s="54"/>
    </row>
    <row r="334" spans="3:19" ht="15.75" customHeight="1" x14ac:dyDescent="0.2">
      <c r="C334" s="60"/>
      <c r="D334" s="54"/>
      <c r="E334" s="54"/>
      <c r="F334" s="54"/>
      <c r="G334" s="54"/>
      <c r="H334" s="106"/>
      <c r="I334" s="54"/>
      <c r="J334" s="54"/>
      <c r="K334" s="180"/>
      <c r="L334" s="54"/>
      <c r="M334" s="54"/>
      <c r="N334" s="54"/>
      <c r="O334" s="54"/>
      <c r="P334" s="54"/>
      <c r="Q334" s="54"/>
      <c r="R334" s="54"/>
      <c r="S334" s="54"/>
    </row>
    <row r="335" spans="3:19" ht="15.75" customHeight="1" x14ac:dyDescent="0.2">
      <c r="C335" s="60"/>
      <c r="D335" s="54"/>
      <c r="E335" s="54"/>
      <c r="F335" s="54"/>
      <c r="G335" s="54"/>
      <c r="H335" s="106"/>
      <c r="I335" s="54"/>
      <c r="J335" s="54"/>
      <c r="K335" s="180"/>
      <c r="L335" s="54"/>
      <c r="M335" s="54"/>
      <c r="N335" s="54"/>
      <c r="O335" s="54"/>
      <c r="P335" s="54"/>
      <c r="Q335" s="54"/>
      <c r="R335" s="54"/>
      <c r="S335" s="54"/>
    </row>
    <row r="336" spans="3:19" ht="15.75" customHeight="1" x14ac:dyDescent="0.2">
      <c r="C336" s="60"/>
      <c r="D336" s="54"/>
      <c r="E336" s="54"/>
      <c r="F336" s="54"/>
      <c r="G336" s="54"/>
      <c r="H336" s="106"/>
      <c r="I336" s="54"/>
      <c r="J336" s="54"/>
      <c r="K336" s="180"/>
      <c r="L336" s="54"/>
      <c r="M336" s="54"/>
      <c r="N336" s="54"/>
      <c r="O336" s="54"/>
      <c r="P336" s="54"/>
      <c r="Q336" s="54"/>
      <c r="R336" s="54"/>
      <c r="S336" s="54"/>
    </row>
    <row r="337" spans="3:19" ht="15.75" customHeight="1" x14ac:dyDescent="0.2">
      <c r="C337" s="60"/>
      <c r="D337" s="54"/>
      <c r="E337" s="54"/>
      <c r="F337" s="54"/>
      <c r="G337" s="54"/>
      <c r="H337" s="106"/>
      <c r="I337" s="54"/>
      <c r="J337" s="54"/>
      <c r="K337" s="180"/>
      <c r="L337" s="54"/>
      <c r="M337" s="54"/>
      <c r="N337" s="54"/>
      <c r="O337" s="54"/>
      <c r="P337" s="54"/>
      <c r="Q337" s="54"/>
      <c r="R337" s="54"/>
      <c r="S337" s="54"/>
    </row>
    <row r="338" spans="3:19" ht="15.75" customHeight="1" x14ac:dyDescent="0.2">
      <c r="C338" s="60"/>
      <c r="D338" s="54"/>
      <c r="E338" s="54"/>
      <c r="F338" s="54"/>
      <c r="G338" s="54"/>
      <c r="H338" s="106"/>
      <c r="I338" s="54"/>
      <c r="J338" s="54"/>
      <c r="K338" s="180"/>
      <c r="L338" s="54"/>
      <c r="M338" s="54"/>
      <c r="N338" s="54"/>
      <c r="O338" s="54"/>
      <c r="P338" s="54"/>
      <c r="Q338" s="54"/>
      <c r="R338" s="54"/>
      <c r="S338" s="54"/>
    </row>
    <row r="339" spans="3:19" ht="15.75" customHeight="1" x14ac:dyDescent="0.2">
      <c r="C339" s="60"/>
      <c r="D339" s="54"/>
      <c r="E339" s="54"/>
      <c r="F339" s="54"/>
      <c r="G339" s="54"/>
      <c r="H339" s="106"/>
      <c r="I339" s="54"/>
      <c r="J339" s="54"/>
      <c r="K339" s="180"/>
      <c r="L339" s="54"/>
      <c r="M339" s="54"/>
      <c r="N339" s="54"/>
      <c r="O339" s="54"/>
      <c r="P339" s="54"/>
      <c r="Q339" s="54"/>
      <c r="R339" s="54"/>
      <c r="S339" s="54"/>
    </row>
    <row r="340" spans="3:19" ht="15.75" customHeight="1" x14ac:dyDescent="0.2">
      <c r="C340" s="60"/>
      <c r="D340" s="54"/>
      <c r="E340" s="54"/>
      <c r="F340" s="54"/>
      <c r="G340" s="54"/>
      <c r="H340" s="106"/>
      <c r="I340" s="54"/>
      <c r="J340" s="54"/>
      <c r="K340" s="180"/>
      <c r="L340" s="54"/>
      <c r="M340" s="54"/>
      <c r="N340" s="54"/>
      <c r="O340" s="54"/>
      <c r="P340" s="54"/>
      <c r="Q340" s="54"/>
      <c r="R340" s="54"/>
      <c r="S340" s="54"/>
    </row>
    <row r="341" spans="3:19" ht="15.75" customHeight="1" x14ac:dyDescent="0.2">
      <c r="C341" s="60"/>
      <c r="D341" s="54"/>
      <c r="E341" s="54"/>
      <c r="F341" s="54"/>
      <c r="G341" s="54"/>
      <c r="H341" s="106"/>
      <c r="I341" s="54"/>
      <c r="J341" s="54"/>
      <c r="K341" s="180"/>
      <c r="L341" s="54"/>
      <c r="M341" s="54"/>
      <c r="N341" s="54"/>
      <c r="O341" s="54"/>
      <c r="P341" s="54"/>
      <c r="Q341" s="54"/>
      <c r="R341" s="54"/>
      <c r="S341" s="54"/>
    </row>
    <row r="342" spans="3:19" ht="15.75" customHeight="1" x14ac:dyDescent="0.2">
      <c r="C342" s="60"/>
      <c r="D342" s="54"/>
      <c r="E342" s="54"/>
      <c r="F342" s="54"/>
      <c r="G342" s="54"/>
      <c r="H342" s="106"/>
      <c r="I342" s="54"/>
      <c r="J342" s="54"/>
      <c r="K342" s="180"/>
      <c r="L342" s="54"/>
      <c r="M342" s="54"/>
      <c r="N342" s="54"/>
      <c r="O342" s="54"/>
      <c r="P342" s="54"/>
      <c r="Q342" s="54"/>
      <c r="R342" s="54"/>
      <c r="S342" s="54"/>
    </row>
    <row r="343" spans="3:19" ht="15.75" customHeight="1" x14ac:dyDescent="0.2">
      <c r="C343" s="60"/>
      <c r="D343" s="54"/>
      <c r="E343" s="54"/>
      <c r="F343" s="54"/>
      <c r="G343" s="54"/>
      <c r="H343" s="106"/>
      <c r="I343" s="54"/>
      <c r="J343" s="54"/>
      <c r="K343" s="180"/>
      <c r="L343" s="54"/>
      <c r="M343" s="54"/>
      <c r="N343" s="54"/>
      <c r="O343" s="54"/>
      <c r="P343" s="54"/>
      <c r="Q343" s="54"/>
      <c r="R343" s="54"/>
      <c r="S343" s="54"/>
    </row>
    <row r="344" spans="3:19" ht="15.75" customHeight="1" x14ac:dyDescent="0.2">
      <c r="C344" s="60"/>
      <c r="D344" s="54"/>
      <c r="E344" s="54"/>
      <c r="F344" s="54"/>
      <c r="G344" s="54"/>
      <c r="H344" s="106"/>
      <c r="I344" s="54"/>
      <c r="J344" s="54"/>
      <c r="K344" s="180"/>
      <c r="L344" s="54"/>
      <c r="M344" s="54"/>
      <c r="N344" s="54"/>
      <c r="O344" s="54"/>
      <c r="P344" s="54"/>
      <c r="Q344" s="54"/>
      <c r="R344" s="54"/>
      <c r="S344" s="54"/>
    </row>
    <row r="345" spans="3:19" ht="15.75" customHeight="1" x14ac:dyDescent="0.2">
      <c r="C345" s="60"/>
      <c r="D345" s="54"/>
      <c r="E345" s="54"/>
      <c r="F345" s="54"/>
      <c r="G345" s="54"/>
      <c r="H345" s="106"/>
      <c r="I345" s="54"/>
      <c r="J345" s="54"/>
      <c r="K345" s="180"/>
      <c r="L345" s="54"/>
      <c r="M345" s="54"/>
      <c r="N345" s="54"/>
      <c r="O345" s="54"/>
      <c r="P345" s="54"/>
      <c r="Q345" s="54"/>
      <c r="R345" s="54"/>
      <c r="S345" s="54"/>
    </row>
    <row r="346" spans="3:19" ht="15.75" customHeight="1" x14ac:dyDescent="0.2">
      <c r="C346" s="60"/>
      <c r="D346" s="54"/>
      <c r="E346" s="54"/>
      <c r="F346" s="54"/>
      <c r="G346" s="54"/>
      <c r="H346" s="106"/>
      <c r="I346" s="54"/>
      <c r="J346" s="54"/>
      <c r="K346" s="180"/>
      <c r="L346" s="54"/>
      <c r="M346" s="54"/>
      <c r="N346" s="54"/>
      <c r="O346" s="54"/>
      <c r="P346" s="54"/>
      <c r="Q346" s="54"/>
      <c r="R346" s="54"/>
      <c r="S346" s="54"/>
    </row>
    <row r="347" spans="3:19" ht="15.75" customHeight="1" x14ac:dyDescent="0.2">
      <c r="C347" s="60"/>
      <c r="D347" s="54"/>
      <c r="E347" s="54"/>
      <c r="F347" s="54"/>
      <c r="G347" s="54"/>
      <c r="H347" s="106"/>
      <c r="I347" s="54"/>
      <c r="J347" s="54"/>
      <c r="K347" s="180"/>
      <c r="L347" s="54"/>
      <c r="M347" s="54"/>
      <c r="N347" s="54"/>
      <c r="O347" s="54"/>
      <c r="P347" s="54"/>
      <c r="Q347" s="54"/>
      <c r="R347" s="54"/>
      <c r="S347" s="54"/>
    </row>
    <row r="348" spans="3:19" ht="15.75" customHeight="1" x14ac:dyDescent="0.2">
      <c r="C348" s="60"/>
      <c r="D348" s="54"/>
      <c r="E348" s="54"/>
      <c r="F348" s="54"/>
      <c r="G348" s="54"/>
      <c r="H348" s="106"/>
      <c r="I348" s="54"/>
      <c r="J348" s="54"/>
      <c r="K348" s="180"/>
      <c r="L348" s="54"/>
      <c r="M348" s="54"/>
      <c r="N348" s="54"/>
      <c r="O348" s="54"/>
      <c r="P348" s="54"/>
      <c r="Q348" s="54"/>
      <c r="R348" s="54"/>
      <c r="S348" s="54"/>
    </row>
    <row r="349" spans="3:19" ht="15.75" customHeight="1" x14ac:dyDescent="0.2">
      <c r="C349" s="60"/>
      <c r="D349" s="54"/>
      <c r="E349" s="54"/>
      <c r="F349" s="54"/>
      <c r="G349" s="54"/>
      <c r="H349" s="106"/>
      <c r="I349" s="54"/>
      <c r="J349" s="54"/>
      <c r="K349" s="180"/>
      <c r="L349" s="54"/>
      <c r="M349" s="54"/>
      <c r="N349" s="54"/>
      <c r="O349" s="54"/>
      <c r="P349" s="54"/>
      <c r="Q349" s="54"/>
      <c r="R349" s="54"/>
      <c r="S349" s="54"/>
    </row>
    <row r="350" spans="3:19" ht="15.75" customHeight="1" x14ac:dyDescent="0.2">
      <c r="C350" s="60"/>
      <c r="D350" s="54"/>
      <c r="E350" s="54"/>
      <c r="F350" s="54"/>
      <c r="G350" s="54"/>
      <c r="H350" s="106"/>
      <c r="I350" s="54"/>
      <c r="J350" s="54"/>
      <c r="K350" s="180"/>
      <c r="L350" s="54"/>
      <c r="M350" s="54"/>
      <c r="N350" s="54"/>
      <c r="O350" s="54"/>
      <c r="P350" s="54"/>
      <c r="Q350" s="54"/>
      <c r="R350" s="54"/>
      <c r="S350" s="54"/>
    </row>
    <row r="351" spans="3:19" ht="15.75" customHeight="1" x14ac:dyDescent="0.2">
      <c r="C351" s="60"/>
      <c r="D351" s="54"/>
      <c r="E351" s="54"/>
      <c r="F351" s="54"/>
      <c r="G351" s="54"/>
      <c r="H351" s="106"/>
      <c r="I351" s="54"/>
      <c r="J351" s="54"/>
      <c r="K351" s="180"/>
      <c r="L351" s="54"/>
      <c r="M351" s="54"/>
      <c r="N351" s="54"/>
      <c r="O351" s="54"/>
      <c r="P351" s="54"/>
      <c r="Q351" s="54"/>
      <c r="R351" s="54"/>
      <c r="S351" s="54"/>
    </row>
    <row r="352" spans="3:19" ht="15.75" customHeight="1" x14ac:dyDescent="0.2">
      <c r="C352" s="60"/>
      <c r="D352" s="54"/>
      <c r="E352" s="54"/>
      <c r="F352" s="54"/>
      <c r="G352" s="54"/>
      <c r="H352" s="106"/>
      <c r="I352" s="54"/>
      <c r="J352" s="54"/>
      <c r="K352" s="180"/>
      <c r="L352" s="54"/>
      <c r="M352" s="54"/>
      <c r="N352" s="54"/>
      <c r="O352" s="54"/>
      <c r="P352" s="54"/>
      <c r="Q352" s="54"/>
      <c r="R352" s="54"/>
      <c r="S352" s="54"/>
    </row>
    <row r="353" spans="3:19" ht="15.75" customHeight="1" x14ac:dyDescent="0.2">
      <c r="C353" s="60"/>
      <c r="D353" s="54"/>
      <c r="E353" s="54"/>
      <c r="F353" s="54"/>
      <c r="G353" s="54"/>
      <c r="H353" s="106"/>
      <c r="I353" s="54"/>
      <c r="J353" s="54"/>
      <c r="K353" s="180"/>
      <c r="L353" s="54"/>
      <c r="M353" s="54"/>
      <c r="N353" s="54"/>
      <c r="O353" s="54"/>
      <c r="P353" s="54"/>
      <c r="Q353" s="54"/>
      <c r="R353" s="54"/>
      <c r="S353" s="54"/>
    </row>
    <row r="354" spans="3:19" ht="15.75" customHeight="1" x14ac:dyDescent="0.2">
      <c r="C354" s="60"/>
      <c r="D354" s="54"/>
      <c r="E354" s="54"/>
      <c r="F354" s="54"/>
      <c r="G354" s="54"/>
      <c r="H354" s="106"/>
      <c r="I354" s="54"/>
      <c r="J354" s="54"/>
      <c r="K354" s="180"/>
      <c r="L354" s="54"/>
      <c r="M354" s="54"/>
      <c r="N354" s="54"/>
      <c r="O354" s="54"/>
      <c r="P354" s="54"/>
      <c r="Q354" s="54"/>
      <c r="R354" s="54"/>
      <c r="S354" s="54"/>
    </row>
    <row r="355" spans="3:19" ht="15.75" customHeight="1" x14ac:dyDescent="0.2">
      <c r="C355" s="60"/>
      <c r="D355" s="54"/>
      <c r="E355" s="54"/>
      <c r="F355" s="54"/>
      <c r="G355" s="54"/>
      <c r="H355" s="106"/>
      <c r="I355" s="54"/>
      <c r="J355" s="54"/>
      <c r="K355" s="180"/>
      <c r="L355" s="54"/>
      <c r="M355" s="54"/>
      <c r="N355" s="54"/>
      <c r="O355" s="54"/>
      <c r="P355" s="54"/>
      <c r="Q355" s="54"/>
      <c r="R355" s="54"/>
      <c r="S355" s="54"/>
    </row>
    <row r="356" spans="3:19" ht="15.75" customHeight="1" x14ac:dyDescent="0.2">
      <c r="C356" s="60"/>
      <c r="D356" s="54"/>
      <c r="E356" s="54"/>
      <c r="F356" s="54"/>
      <c r="G356" s="54"/>
      <c r="H356" s="106"/>
      <c r="I356" s="54"/>
      <c r="J356" s="54"/>
      <c r="K356" s="180"/>
      <c r="L356" s="54"/>
      <c r="M356" s="54"/>
      <c r="N356" s="54"/>
      <c r="O356" s="54"/>
      <c r="P356" s="54"/>
      <c r="Q356" s="54"/>
      <c r="R356" s="54"/>
      <c r="S356" s="54"/>
    </row>
    <row r="357" spans="3:19" ht="15.75" customHeight="1" x14ac:dyDescent="0.2">
      <c r="C357" s="60"/>
      <c r="D357" s="54"/>
      <c r="E357" s="54"/>
      <c r="F357" s="54"/>
      <c r="G357" s="54"/>
      <c r="H357" s="106"/>
      <c r="I357" s="54"/>
      <c r="J357" s="54"/>
      <c r="K357" s="180"/>
      <c r="L357" s="54"/>
      <c r="M357" s="54"/>
      <c r="N357" s="54"/>
      <c r="O357" s="54"/>
      <c r="P357" s="54"/>
      <c r="Q357" s="54"/>
      <c r="R357" s="54"/>
      <c r="S357" s="54"/>
    </row>
    <row r="358" spans="3:19" ht="15.75" customHeight="1" x14ac:dyDescent="0.2">
      <c r="C358" s="60"/>
      <c r="D358" s="54"/>
      <c r="E358" s="54"/>
      <c r="F358" s="54"/>
      <c r="G358" s="54"/>
      <c r="H358" s="106"/>
      <c r="I358" s="54"/>
      <c r="J358" s="54"/>
      <c r="K358" s="180"/>
      <c r="L358" s="54"/>
      <c r="M358" s="54"/>
      <c r="N358" s="54"/>
      <c r="O358" s="54"/>
      <c r="P358" s="54"/>
      <c r="Q358" s="54"/>
      <c r="R358" s="54"/>
      <c r="S358" s="54"/>
    </row>
    <row r="359" spans="3:19" ht="15.75" customHeight="1" x14ac:dyDescent="0.2">
      <c r="C359" s="60"/>
      <c r="D359" s="54"/>
      <c r="E359" s="54"/>
      <c r="F359" s="54"/>
      <c r="G359" s="54"/>
      <c r="H359" s="106"/>
      <c r="I359" s="54"/>
      <c r="J359" s="54"/>
      <c r="K359" s="180"/>
      <c r="L359" s="54"/>
      <c r="M359" s="54"/>
      <c r="N359" s="54"/>
      <c r="O359" s="54"/>
      <c r="P359" s="54"/>
      <c r="Q359" s="54"/>
      <c r="R359" s="54"/>
      <c r="S359" s="54"/>
    </row>
    <row r="360" spans="3:19" ht="15.75" customHeight="1" x14ac:dyDescent="0.2">
      <c r="C360" s="60"/>
      <c r="D360" s="54"/>
      <c r="E360" s="54"/>
      <c r="F360" s="54"/>
      <c r="G360" s="54"/>
      <c r="H360" s="106"/>
      <c r="I360" s="54"/>
      <c r="J360" s="54"/>
      <c r="K360" s="180"/>
      <c r="L360" s="54"/>
      <c r="M360" s="54"/>
      <c r="N360" s="54"/>
      <c r="O360" s="54"/>
      <c r="P360" s="54"/>
      <c r="Q360" s="54"/>
      <c r="R360" s="54"/>
      <c r="S360" s="54"/>
    </row>
    <row r="361" spans="3:19" ht="15.75" customHeight="1" x14ac:dyDescent="0.2">
      <c r="C361" s="60"/>
      <c r="D361" s="54"/>
      <c r="E361" s="54"/>
      <c r="F361" s="54"/>
      <c r="G361" s="54"/>
      <c r="H361" s="106"/>
      <c r="I361" s="54"/>
      <c r="J361" s="54"/>
      <c r="K361" s="180"/>
      <c r="L361" s="54"/>
      <c r="M361" s="54"/>
      <c r="N361" s="54"/>
      <c r="O361" s="54"/>
      <c r="P361" s="54"/>
      <c r="Q361" s="54"/>
      <c r="R361" s="54"/>
      <c r="S361" s="54"/>
    </row>
    <row r="362" spans="3:19" ht="15.75" customHeight="1" x14ac:dyDescent="0.2">
      <c r="C362" s="60"/>
      <c r="D362" s="54"/>
      <c r="E362" s="54"/>
      <c r="F362" s="54"/>
      <c r="G362" s="54"/>
      <c r="H362" s="106"/>
      <c r="I362" s="54"/>
      <c r="J362" s="54"/>
      <c r="K362" s="180"/>
      <c r="L362" s="54"/>
      <c r="M362" s="54"/>
      <c r="N362" s="54"/>
      <c r="O362" s="54"/>
      <c r="P362" s="54"/>
      <c r="Q362" s="54"/>
      <c r="R362" s="54"/>
      <c r="S362" s="54"/>
    </row>
    <row r="363" spans="3:19" ht="15.75" customHeight="1" x14ac:dyDescent="0.2">
      <c r="C363" s="60"/>
      <c r="D363" s="54"/>
      <c r="E363" s="54"/>
      <c r="F363" s="54"/>
      <c r="G363" s="54"/>
      <c r="H363" s="106"/>
      <c r="I363" s="54"/>
      <c r="J363" s="54"/>
      <c r="K363" s="180"/>
      <c r="L363" s="54"/>
      <c r="M363" s="54"/>
      <c r="N363" s="54"/>
      <c r="O363" s="54"/>
      <c r="P363" s="54"/>
      <c r="Q363" s="54"/>
      <c r="R363" s="54"/>
      <c r="S363" s="54"/>
    </row>
    <row r="364" spans="3:19" ht="15.75" customHeight="1" x14ac:dyDescent="0.2">
      <c r="C364" s="60"/>
      <c r="D364" s="54"/>
      <c r="E364" s="54"/>
      <c r="F364" s="54"/>
      <c r="G364" s="54"/>
      <c r="H364" s="106"/>
      <c r="I364" s="54"/>
      <c r="J364" s="54"/>
      <c r="K364" s="180"/>
      <c r="L364" s="54"/>
      <c r="M364" s="54"/>
      <c r="N364" s="54"/>
      <c r="O364" s="54"/>
      <c r="P364" s="54"/>
      <c r="Q364" s="54"/>
      <c r="R364" s="54"/>
      <c r="S364" s="54"/>
    </row>
    <row r="365" spans="3:19" ht="15.75" customHeight="1" x14ac:dyDescent="0.2">
      <c r="C365" s="60"/>
      <c r="D365" s="54"/>
      <c r="E365" s="54"/>
      <c r="F365" s="54"/>
      <c r="G365" s="54"/>
      <c r="H365" s="106"/>
      <c r="I365" s="54"/>
      <c r="J365" s="54"/>
      <c r="K365" s="180"/>
      <c r="L365" s="54"/>
      <c r="M365" s="54"/>
      <c r="N365" s="54"/>
      <c r="O365" s="54"/>
      <c r="P365" s="54"/>
      <c r="Q365" s="54"/>
      <c r="R365" s="54"/>
      <c r="S365" s="54"/>
    </row>
    <row r="366" spans="3:19" ht="15.75" customHeight="1" x14ac:dyDescent="0.2">
      <c r="C366" s="60"/>
      <c r="D366" s="54"/>
      <c r="E366" s="54"/>
      <c r="F366" s="54"/>
      <c r="G366" s="54"/>
      <c r="H366" s="106"/>
      <c r="I366" s="54"/>
      <c r="J366" s="54"/>
      <c r="K366" s="180"/>
      <c r="L366" s="54"/>
      <c r="M366" s="54"/>
      <c r="N366" s="54"/>
      <c r="O366" s="54"/>
      <c r="P366" s="54"/>
      <c r="Q366" s="54"/>
      <c r="R366" s="54"/>
      <c r="S366" s="54"/>
    </row>
    <row r="367" spans="3:19" ht="15.75" customHeight="1" x14ac:dyDescent="0.2">
      <c r="C367" s="60"/>
      <c r="D367" s="54"/>
      <c r="E367" s="54"/>
      <c r="F367" s="54"/>
      <c r="G367" s="54"/>
      <c r="H367" s="106"/>
      <c r="I367" s="54"/>
      <c r="J367" s="54"/>
      <c r="K367" s="180"/>
      <c r="L367" s="54"/>
      <c r="M367" s="54"/>
      <c r="N367" s="54"/>
      <c r="O367" s="54"/>
      <c r="P367" s="54"/>
      <c r="Q367" s="54"/>
      <c r="R367" s="54"/>
      <c r="S367" s="54"/>
    </row>
    <row r="368" spans="3:19" ht="15.75" customHeight="1" x14ac:dyDescent="0.2">
      <c r="C368" s="60"/>
      <c r="D368" s="54"/>
      <c r="E368" s="54"/>
      <c r="F368" s="54"/>
      <c r="G368" s="54"/>
      <c r="H368" s="106"/>
      <c r="I368" s="54"/>
      <c r="J368" s="54"/>
      <c r="K368" s="180"/>
      <c r="L368" s="54"/>
      <c r="M368" s="54"/>
      <c r="N368" s="54"/>
      <c r="O368" s="54"/>
      <c r="P368" s="54"/>
      <c r="Q368" s="54"/>
      <c r="R368" s="54"/>
      <c r="S368" s="54"/>
    </row>
    <row r="369" spans="3:19" ht="15.75" customHeight="1" x14ac:dyDescent="0.2">
      <c r="C369" s="60"/>
      <c r="D369" s="54"/>
      <c r="E369" s="54"/>
      <c r="F369" s="54"/>
      <c r="G369" s="54"/>
      <c r="H369" s="106"/>
      <c r="I369" s="54"/>
      <c r="J369" s="54"/>
      <c r="K369" s="180"/>
      <c r="L369" s="54"/>
      <c r="M369" s="54"/>
      <c r="N369" s="54"/>
      <c r="O369" s="54"/>
      <c r="P369" s="54"/>
      <c r="Q369" s="54"/>
      <c r="R369" s="54"/>
      <c r="S369" s="54"/>
    </row>
    <row r="370" spans="3:19" ht="15.75" customHeight="1" x14ac:dyDescent="0.2">
      <c r="C370" s="60"/>
      <c r="D370" s="54"/>
      <c r="E370" s="54"/>
      <c r="F370" s="54"/>
      <c r="G370" s="54"/>
      <c r="H370" s="106"/>
      <c r="I370" s="54"/>
      <c r="J370" s="54"/>
      <c r="K370" s="180"/>
      <c r="L370" s="54"/>
      <c r="M370" s="54"/>
      <c r="N370" s="54"/>
      <c r="O370" s="54"/>
      <c r="P370" s="54"/>
      <c r="Q370" s="54"/>
      <c r="R370" s="54"/>
      <c r="S370" s="54"/>
    </row>
    <row r="371" spans="3:19" ht="15.75" customHeight="1" x14ac:dyDescent="0.2">
      <c r="C371" s="60"/>
      <c r="D371" s="54"/>
      <c r="E371" s="54"/>
      <c r="F371" s="54"/>
      <c r="G371" s="54"/>
      <c r="H371" s="106"/>
      <c r="I371" s="54"/>
      <c r="J371" s="54"/>
      <c r="K371" s="180"/>
      <c r="L371" s="54"/>
      <c r="M371" s="54"/>
      <c r="N371" s="54"/>
      <c r="O371" s="54"/>
      <c r="P371" s="54"/>
      <c r="Q371" s="54"/>
      <c r="R371" s="54"/>
      <c r="S371" s="54"/>
    </row>
    <row r="372" spans="3:19" ht="15.75" customHeight="1" x14ac:dyDescent="0.2">
      <c r="C372" s="60"/>
      <c r="D372" s="54"/>
      <c r="E372" s="54"/>
      <c r="F372" s="54"/>
      <c r="G372" s="54"/>
      <c r="H372" s="106"/>
      <c r="I372" s="54"/>
      <c r="J372" s="54"/>
      <c r="K372" s="180"/>
      <c r="L372" s="54"/>
      <c r="M372" s="54"/>
      <c r="N372" s="54"/>
      <c r="O372" s="54"/>
      <c r="P372" s="54"/>
      <c r="Q372" s="54"/>
      <c r="R372" s="54"/>
      <c r="S372" s="54"/>
    </row>
    <row r="373" spans="3:19" ht="15.75" customHeight="1" x14ac:dyDescent="0.2">
      <c r="C373" s="60"/>
      <c r="D373" s="54"/>
      <c r="E373" s="54"/>
      <c r="F373" s="54"/>
      <c r="G373" s="54"/>
      <c r="H373" s="106"/>
      <c r="I373" s="54"/>
      <c r="J373" s="54"/>
      <c r="K373" s="180"/>
      <c r="L373" s="54"/>
      <c r="M373" s="54"/>
      <c r="N373" s="54"/>
      <c r="O373" s="54"/>
      <c r="P373" s="54"/>
      <c r="Q373" s="54"/>
      <c r="R373" s="54"/>
      <c r="S373" s="54"/>
    </row>
    <row r="374" spans="3:19" ht="15.75" customHeight="1" x14ac:dyDescent="0.2">
      <c r="C374" s="60"/>
      <c r="D374" s="54"/>
      <c r="E374" s="54"/>
      <c r="F374" s="54"/>
      <c r="G374" s="54"/>
      <c r="H374" s="106"/>
      <c r="I374" s="54"/>
      <c r="J374" s="54"/>
      <c r="K374" s="180"/>
      <c r="L374" s="54"/>
      <c r="M374" s="54"/>
      <c r="N374" s="54"/>
      <c r="O374" s="54"/>
      <c r="P374" s="54"/>
      <c r="Q374" s="54"/>
      <c r="R374" s="54"/>
      <c r="S374" s="54"/>
    </row>
    <row r="375" spans="3:19" ht="15.75" customHeight="1" x14ac:dyDescent="0.2">
      <c r="C375" s="60"/>
      <c r="D375" s="54"/>
      <c r="E375" s="54"/>
      <c r="F375" s="54"/>
      <c r="G375" s="54"/>
      <c r="H375" s="106"/>
      <c r="I375" s="54"/>
      <c r="J375" s="54"/>
      <c r="K375" s="180"/>
      <c r="L375" s="54"/>
      <c r="M375" s="54"/>
      <c r="N375" s="54"/>
      <c r="O375" s="54"/>
      <c r="P375" s="54"/>
      <c r="Q375" s="54"/>
      <c r="R375" s="54"/>
      <c r="S375" s="54"/>
    </row>
    <row r="376" spans="3:19" ht="15.75" customHeight="1" x14ac:dyDescent="0.2">
      <c r="C376" s="60"/>
      <c r="D376" s="54"/>
      <c r="E376" s="54"/>
      <c r="F376" s="54"/>
      <c r="G376" s="54"/>
      <c r="H376" s="106"/>
      <c r="I376" s="54"/>
      <c r="J376" s="54"/>
      <c r="K376" s="180"/>
      <c r="L376" s="54"/>
      <c r="M376" s="54"/>
      <c r="N376" s="54"/>
      <c r="O376" s="54"/>
      <c r="P376" s="54"/>
      <c r="Q376" s="54"/>
      <c r="R376" s="54"/>
      <c r="S376" s="54"/>
    </row>
    <row r="377" spans="3:19" ht="15.75" customHeight="1" x14ac:dyDescent="0.2">
      <c r="C377" s="60"/>
      <c r="D377" s="54"/>
      <c r="E377" s="54"/>
      <c r="F377" s="54"/>
      <c r="G377" s="54"/>
      <c r="H377" s="106"/>
      <c r="I377" s="54"/>
      <c r="J377" s="54"/>
      <c r="K377" s="180"/>
      <c r="L377" s="54"/>
      <c r="M377" s="54"/>
      <c r="N377" s="54"/>
      <c r="O377" s="54"/>
      <c r="P377" s="54"/>
      <c r="Q377" s="54"/>
      <c r="R377" s="54"/>
      <c r="S377" s="54"/>
    </row>
    <row r="378" spans="3:19" ht="15.75" customHeight="1" x14ac:dyDescent="0.2">
      <c r="C378" s="60"/>
      <c r="D378" s="54"/>
      <c r="E378" s="54"/>
      <c r="F378" s="54"/>
      <c r="G378" s="54"/>
      <c r="H378" s="106"/>
      <c r="I378" s="54"/>
      <c r="J378" s="54"/>
      <c r="K378" s="180"/>
      <c r="L378" s="54"/>
      <c r="M378" s="54"/>
      <c r="N378" s="54"/>
      <c r="O378" s="54"/>
      <c r="P378" s="54"/>
      <c r="Q378" s="54"/>
      <c r="R378" s="54"/>
      <c r="S378" s="54"/>
    </row>
    <row r="379" spans="3:19" ht="15.75" customHeight="1" x14ac:dyDescent="0.2">
      <c r="C379" s="60"/>
      <c r="D379" s="54"/>
      <c r="E379" s="54"/>
      <c r="F379" s="54"/>
      <c r="G379" s="54"/>
      <c r="H379" s="106"/>
      <c r="I379" s="54"/>
      <c r="J379" s="54"/>
      <c r="K379" s="180"/>
      <c r="L379" s="54"/>
      <c r="M379" s="54"/>
      <c r="N379" s="54"/>
      <c r="O379" s="54"/>
      <c r="P379" s="54"/>
      <c r="Q379" s="54"/>
      <c r="R379" s="54"/>
      <c r="S379" s="54"/>
    </row>
    <row r="380" spans="3:19" ht="15.75" customHeight="1" x14ac:dyDescent="0.2">
      <c r="C380" s="60"/>
      <c r="D380" s="54"/>
      <c r="E380" s="54"/>
      <c r="F380" s="54"/>
      <c r="G380" s="54"/>
      <c r="H380" s="106"/>
      <c r="I380" s="54"/>
      <c r="J380" s="54"/>
      <c r="K380" s="180"/>
      <c r="L380" s="54"/>
      <c r="M380" s="54"/>
      <c r="N380" s="54"/>
      <c r="O380" s="54"/>
      <c r="P380" s="54"/>
      <c r="Q380" s="54"/>
      <c r="R380" s="54"/>
      <c r="S380" s="54"/>
    </row>
    <row r="381" spans="3:19" ht="15.75" customHeight="1" x14ac:dyDescent="0.2">
      <c r="C381" s="60"/>
      <c r="D381" s="54"/>
      <c r="E381" s="54"/>
      <c r="F381" s="54"/>
      <c r="G381" s="54"/>
      <c r="H381" s="106"/>
      <c r="I381" s="54"/>
      <c r="J381" s="54"/>
      <c r="K381" s="180"/>
      <c r="L381" s="54"/>
      <c r="M381" s="54"/>
      <c r="N381" s="54"/>
      <c r="O381" s="54"/>
      <c r="P381" s="54"/>
      <c r="Q381" s="54"/>
      <c r="R381" s="54"/>
      <c r="S381" s="54"/>
    </row>
    <row r="382" spans="3:19" ht="15.75" customHeight="1" x14ac:dyDescent="0.2">
      <c r="C382" s="60"/>
      <c r="D382" s="54"/>
      <c r="E382" s="54"/>
      <c r="F382" s="54"/>
      <c r="G382" s="54"/>
      <c r="H382" s="106"/>
      <c r="I382" s="54"/>
      <c r="J382" s="54"/>
      <c r="K382" s="180"/>
      <c r="L382" s="54"/>
      <c r="M382" s="54"/>
      <c r="N382" s="54"/>
      <c r="O382" s="54"/>
      <c r="P382" s="54"/>
      <c r="Q382" s="54"/>
      <c r="R382" s="54"/>
      <c r="S382" s="54"/>
    </row>
    <row r="383" spans="3:19" ht="15.75" customHeight="1" x14ac:dyDescent="0.2">
      <c r="C383" s="60"/>
      <c r="D383" s="54"/>
      <c r="E383" s="54"/>
      <c r="F383" s="54"/>
      <c r="G383" s="54"/>
      <c r="H383" s="106"/>
      <c r="I383" s="54"/>
      <c r="J383" s="54"/>
      <c r="K383" s="180"/>
      <c r="L383" s="54"/>
      <c r="M383" s="54"/>
      <c r="N383" s="54"/>
      <c r="O383" s="54"/>
      <c r="P383" s="54"/>
      <c r="Q383" s="54"/>
      <c r="R383" s="54"/>
      <c r="S383" s="54"/>
    </row>
    <row r="384" spans="3:19" ht="15.75" customHeight="1" x14ac:dyDescent="0.2">
      <c r="C384" s="60"/>
      <c r="D384" s="54"/>
      <c r="E384" s="54"/>
      <c r="F384" s="54"/>
      <c r="G384" s="54"/>
      <c r="H384" s="106"/>
      <c r="I384" s="54"/>
      <c r="J384" s="54"/>
      <c r="K384" s="180"/>
      <c r="L384" s="54"/>
      <c r="M384" s="54"/>
      <c r="N384" s="54"/>
      <c r="O384" s="54"/>
      <c r="P384" s="54"/>
      <c r="Q384" s="54"/>
      <c r="R384" s="54"/>
      <c r="S384" s="54"/>
    </row>
    <row r="385" spans="3:19" ht="15.75" customHeight="1" x14ac:dyDescent="0.2">
      <c r="C385" s="60"/>
      <c r="D385" s="54"/>
      <c r="E385" s="54"/>
      <c r="F385" s="54"/>
      <c r="G385" s="54"/>
      <c r="H385" s="106"/>
      <c r="I385" s="54"/>
      <c r="J385" s="54"/>
      <c r="K385" s="180"/>
      <c r="L385" s="54"/>
      <c r="M385" s="54"/>
      <c r="N385" s="54"/>
      <c r="O385" s="54"/>
      <c r="P385" s="54"/>
      <c r="Q385" s="54"/>
      <c r="R385" s="54"/>
      <c r="S385" s="54"/>
    </row>
    <row r="386" spans="3:19" ht="15.75" customHeight="1" x14ac:dyDescent="0.2">
      <c r="C386" s="60"/>
      <c r="D386" s="54"/>
      <c r="E386" s="54"/>
      <c r="F386" s="54"/>
      <c r="G386" s="54"/>
      <c r="H386" s="106"/>
      <c r="I386" s="54"/>
      <c r="J386" s="54"/>
      <c r="K386" s="180"/>
      <c r="L386" s="54"/>
      <c r="M386" s="54"/>
      <c r="N386" s="54"/>
      <c r="O386" s="54"/>
      <c r="P386" s="54"/>
      <c r="Q386" s="54"/>
      <c r="R386" s="54"/>
      <c r="S386" s="54"/>
    </row>
    <row r="387" spans="3:19" ht="15.75" customHeight="1" x14ac:dyDescent="0.2">
      <c r="C387" s="60"/>
      <c r="D387" s="54"/>
      <c r="E387" s="54"/>
      <c r="F387" s="54"/>
      <c r="G387" s="54"/>
      <c r="H387" s="106"/>
      <c r="I387" s="54"/>
      <c r="J387" s="54"/>
      <c r="K387" s="180"/>
      <c r="L387" s="54"/>
      <c r="M387" s="54"/>
      <c r="N387" s="54"/>
      <c r="O387" s="54"/>
      <c r="P387" s="54"/>
      <c r="Q387" s="54"/>
      <c r="R387" s="54"/>
      <c r="S387" s="54"/>
    </row>
    <row r="388" spans="3:19" ht="15.75" customHeight="1" x14ac:dyDescent="0.2">
      <c r="C388" s="60"/>
      <c r="D388" s="54"/>
      <c r="E388" s="54"/>
      <c r="F388" s="54"/>
      <c r="G388" s="54"/>
      <c r="H388" s="106"/>
      <c r="I388" s="54"/>
      <c r="J388" s="54"/>
      <c r="K388" s="180"/>
      <c r="L388" s="54"/>
      <c r="M388" s="54"/>
      <c r="N388" s="54"/>
      <c r="O388" s="54"/>
      <c r="P388" s="54"/>
      <c r="Q388" s="54"/>
      <c r="R388" s="54"/>
      <c r="S388" s="54"/>
    </row>
    <row r="389" spans="3:19" ht="15.75" customHeight="1" x14ac:dyDescent="0.2">
      <c r="C389" s="60"/>
      <c r="D389" s="54"/>
      <c r="E389" s="54"/>
      <c r="F389" s="54"/>
      <c r="G389" s="54"/>
      <c r="H389" s="106"/>
      <c r="I389" s="54"/>
      <c r="J389" s="54"/>
      <c r="K389" s="180"/>
      <c r="L389" s="54"/>
      <c r="M389" s="54"/>
      <c r="N389" s="54"/>
      <c r="O389" s="54"/>
      <c r="P389" s="54"/>
      <c r="Q389" s="54"/>
      <c r="R389" s="54"/>
      <c r="S389" s="54"/>
    </row>
    <row r="390" spans="3:19" ht="15.75" customHeight="1" x14ac:dyDescent="0.2">
      <c r="C390" s="60"/>
      <c r="D390" s="54"/>
      <c r="E390" s="54"/>
      <c r="F390" s="54"/>
      <c r="G390" s="54"/>
      <c r="H390" s="106"/>
      <c r="I390" s="54"/>
      <c r="J390" s="54"/>
      <c r="K390" s="180"/>
      <c r="L390" s="54"/>
      <c r="M390" s="54"/>
      <c r="N390" s="54"/>
      <c r="O390" s="54"/>
      <c r="P390" s="54"/>
      <c r="Q390" s="54"/>
      <c r="R390" s="54"/>
      <c r="S390" s="54"/>
    </row>
    <row r="391" spans="3:19" ht="15.75" customHeight="1" x14ac:dyDescent="0.2">
      <c r="C391" s="60"/>
      <c r="D391" s="54"/>
      <c r="E391" s="54"/>
      <c r="F391" s="54"/>
      <c r="G391" s="54"/>
      <c r="H391" s="106"/>
      <c r="I391" s="54"/>
      <c r="J391" s="54"/>
      <c r="K391" s="180"/>
      <c r="L391" s="54"/>
      <c r="M391" s="54"/>
      <c r="N391" s="54"/>
      <c r="O391" s="54"/>
      <c r="P391" s="54"/>
      <c r="Q391" s="54"/>
      <c r="R391" s="54"/>
      <c r="S391" s="54"/>
    </row>
    <row r="392" spans="3:19" ht="15.75" customHeight="1" x14ac:dyDescent="0.2">
      <c r="C392" s="60"/>
      <c r="D392" s="54"/>
      <c r="E392" s="54"/>
      <c r="F392" s="54"/>
      <c r="G392" s="54"/>
      <c r="H392" s="106"/>
      <c r="I392" s="54"/>
      <c r="J392" s="54"/>
      <c r="K392" s="180"/>
      <c r="L392" s="54"/>
      <c r="M392" s="54"/>
      <c r="N392" s="54"/>
      <c r="O392" s="54"/>
      <c r="P392" s="54"/>
      <c r="Q392" s="54"/>
      <c r="R392" s="54"/>
      <c r="S392" s="54"/>
    </row>
    <row r="393" spans="3:19" ht="15.75" customHeight="1" x14ac:dyDescent="0.2">
      <c r="C393" s="60"/>
      <c r="D393" s="54"/>
      <c r="E393" s="54"/>
      <c r="F393" s="54"/>
      <c r="G393" s="54"/>
      <c r="H393" s="106"/>
      <c r="I393" s="54"/>
      <c r="J393" s="54"/>
      <c r="K393" s="180"/>
      <c r="L393" s="54"/>
      <c r="M393" s="54"/>
      <c r="N393" s="54"/>
      <c r="O393" s="54"/>
      <c r="P393" s="54"/>
      <c r="Q393" s="54"/>
      <c r="R393" s="54"/>
      <c r="S393" s="54"/>
    </row>
    <row r="394" spans="3:19" ht="15.75" customHeight="1" x14ac:dyDescent="0.2">
      <c r="C394" s="60"/>
      <c r="D394" s="54"/>
      <c r="E394" s="54"/>
      <c r="F394" s="54"/>
      <c r="G394" s="54"/>
      <c r="H394" s="106"/>
      <c r="I394" s="54"/>
      <c r="J394" s="54"/>
      <c r="K394" s="180"/>
      <c r="L394" s="54"/>
      <c r="M394" s="54"/>
      <c r="N394" s="54"/>
      <c r="O394" s="54"/>
      <c r="P394" s="54"/>
      <c r="Q394" s="54"/>
      <c r="R394" s="54"/>
      <c r="S394" s="54"/>
    </row>
    <row r="395" spans="3:19" ht="15.75" customHeight="1" x14ac:dyDescent="0.2">
      <c r="C395" s="60"/>
      <c r="D395" s="54"/>
      <c r="E395" s="54"/>
      <c r="F395" s="54"/>
      <c r="G395" s="54"/>
      <c r="H395" s="106"/>
      <c r="I395" s="54"/>
      <c r="J395" s="54"/>
      <c r="K395" s="180"/>
      <c r="L395" s="54"/>
      <c r="M395" s="54"/>
      <c r="N395" s="54"/>
      <c r="O395" s="54"/>
      <c r="P395" s="54"/>
      <c r="Q395" s="54"/>
      <c r="R395" s="54"/>
      <c r="S395" s="54"/>
    </row>
    <row r="396" spans="3:19" ht="15.75" customHeight="1" x14ac:dyDescent="0.2">
      <c r="C396" s="60"/>
      <c r="D396" s="54"/>
      <c r="E396" s="54"/>
      <c r="F396" s="54"/>
      <c r="G396" s="54"/>
      <c r="H396" s="106"/>
      <c r="I396" s="54"/>
      <c r="J396" s="54"/>
      <c r="K396" s="180"/>
      <c r="L396" s="54"/>
      <c r="M396" s="54"/>
      <c r="N396" s="54"/>
      <c r="O396" s="54"/>
      <c r="P396" s="54"/>
      <c r="Q396" s="54"/>
      <c r="R396" s="54"/>
      <c r="S396" s="54"/>
    </row>
    <row r="397" spans="3:19" ht="15.75" customHeight="1" x14ac:dyDescent="0.2">
      <c r="C397" s="60"/>
      <c r="D397" s="54"/>
      <c r="E397" s="54"/>
      <c r="F397" s="54"/>
      <c r="G397" s="54"/>
      <c r="H397" s="106"/>
      <c r="I397" s="54"/>
      <c r="J397" s="54"/>
      <c r="K397" s="180"/>
      <c r="L397" s="54"/>
      <c r="M397" s="54"/>
      <c r="N397" s="54"/>
      <c r="O397" s="54"/>
      <c r="P397" s="54"/>
      <c r="Q397" s="54"/>
      <c r="R397" s="54"/>
      <c r="S397" s="54"/>
    </row>
    <row r="398" spans="3:19" ht="15.75" customHeight="1" x14ac:dyDescent="0.2">
      <c r="C398" s="60"/>
      <c r="D398" s="54"/>
      <c r="E398" s="54"/>
      <c r="F398" s="54"/>
      <c r="G398" s="54"/>
      <c r="H398" s="106"/>
      <c r="I398" s="54"/>
      <c r="J398" s="54"/>
      <c r="K398" s="180"/>
      <c r="L398" s="54"/>
      <c r="M398" s="54"/>
      <c r="N398" s="54"/>
      <c r="O398" s="54"/>
      <c r="P398" s="54"/>
      <c r="Q398" s="54"/>
      <c r="R398" s="54"/>
      <c r="S398" s="54"/>
    </row>
    <row r="399" spans="3:19" ht="15.75" customHeight="1" x14ac:dyDescent="0.2">
      <c r="C399" s="60"/>
      <c r="D399" s="54"/>
      <c r="E399" s="54"/>
      <c r="F399" s="54"/>
      <c r="G399" s="54"/>
      <c r="H399" s="106"/>
      <c r="I399" s="54"/>
      <c r="J399" s="54"/>
      <c r="K399" s="180"/>
      <c r="L399" s="54"/>
      <c r="M399" s="54"/>
      <c r="N399" s="54"/>
      <c r="O399" s="54"/>
      <c r="P399" s="54"/>
      <c r="Q399" s="54"/>
      <c r="R399" s="54"/>
      <c r="S399" s="54"/>
    </row>
    <row r="400" spans="3:19" ht="15.75" customHeight="1" x14ac:dyDescent="0.2">
      <c r="C400" s="60"/>
      <c r="D400" s="54"/>
      <c r="E400" s="54"/>
      <c r="F400" s="54"/>
      <c r="G400" s="54"/>
      <c r="H400" s="106"/>
      <c r="I400" s="54"/>
      <c r="J400" s="54"/>
      <c r="K400" s="180"/>
      <c r="L400" s="54"/>
      <c r="M400" s="54"/>
      <c r="N400" s="54"/>
      <c r="O400" s="54"/>
      <c r="P400" s="54"/>
      <c r="Q400" s="54"/>
      <c r="R400" s="54"/>
      <c r="S400" s="54"/>
    </row>
    <row r="401" spans="3:19" ht="15.75" customHeight="1" x14ac:dyDescent="0.2">
      <c r="C401" s="60"/>
      <c r="D401" s="54"/>
      <c r="E401" s="54"/>
      <c r="F401" s="54"/>
      <c r="G401" s="54"/>
      <c r="H401" s="106"/>
      <c r="I401" s="54"/>
      <c r="J401" s="54"/>
      <c r="K401" s="180"/>
      <c r="L401" s="54"/>
      <c r="M401" s="54"/>
      <c r="N401" s="54"/>
      <c r="O401" s="54"/>
      <c r="P401" s="54"/>
      <c r="Q401" s="54"/>
      <c r="R401" s="54"/>
      <c r="S401" s="54"/>
    </row>
    <row r="402" spans="3:19" ht="15.75" customHeight="1" x14ac:dyDescent="0.2">
      <c r="C402" s="60"/>
      <c r="D402" s="54"/>
      <c r="E402" s="54"/>
      <c r="F402" s="54"/>
      <c r="G402" s="54"/>
      <c r="H402" s="106"/>
      <c r="I402" s="54"/>
      <c r="J402" s="54"/>
      <c r="K402" s="180"/>
      <c r="L402" s="54"/>
      <c r="M402" s="54"/>
      <c r="N402" s="54"/>
      <c r="O402" s="54"/>
      <c r="P402" s="54"/>
      <c r="Q402" s="54"/>
      <c r="R402" s="54"/>
      <c r="S402" s="54"/>
    </row>
    <row r="403" spans="3:19" ht="15.75" customHeight="1" x14ac:dyDescent="0.2">
      <c r="C403" s="60"/>
      <c r="D403" s="54"/>
      <c r="E403" s="54"/>
      <c r="F403" s="54"/>
      <c r="G403" s="54"/>
      <c r="H403" s="106"/>
      <c r="I403" s="54"/>
      <c r="J403" s="54"/>
      <c r="K403" s="180"/>
      <c r="L403" s="54"/>
      <c r="M403" s="54"/>
      <c r="N403" s="54"/>
      <c r="O403" s="54"/>
      <c r="P403" s="54"/>
      <c r="Q403" s="54"/>
      <c r="R403" s="54"/>
      <c r="S403" s="54"/>
    </row>
    <row r="404" spans="3:19" ht="15.75" customHeight="1" x14ac:dyDescent="0.2">
      <c r="C404" s="60"/>
      <c r="D404" s="54"/>
      <c r="E404" s="54"/>
      <c r="F404" s="54"/>
      <c r="G404" s="54"/>
      <c r="H404" s="106"/>
      <c r="I404" s="54"/>
      <c r="J404" s="54"/>
      <c r="K404" s="180"/>
      <c r="L404" s="54"/>
      <c r="M404" s="54"/>
      <c r="N404" s="54"/>
      <c r="O404" s="54"/>
      <c r="P404" s="54"/>
      <c r="Q404" s="54"/>
      <c r="R404" s="54"/>
      <c r="S404" s="54"/>
    </row>
    <row r="405" spans="3:19" ht="15.75" customHeight="1" x14ac:dyDescent="0.2">
      <c r="C405" s="60"/>
      <c r="D405" s="54"/>
      <c r="E405" s="54"/>
      <c r="F405" s="54"/>
      <c r="G405" s="54"/>
      <c r="H405" s="106"/>
      <c r="I405" s="54"/>
      <c r="J405" s="54"/>
      <c r="K405" s="180"/>
      <c r="L405" s="54"/>
      <c r="M405" s="54"/>
      <c r="N405" s="54"/>
      <c r="O405" s="54"/>
      <c r="P405" s="54"/>
      <c r="Q405" s="54"/>
      <c r="R405" s="54"/>
      <c r="S405" s="54"/>
    </row>
    <row r="406" spans="3:19" ht="15.75" customHeight="1" x14ac:dyDescent="0.2">
      <c r="C406" s="60"/>
      <c r="D406" s="54"/>
      <c r="E406" s="54"/>
      <c r="F406" s="54"/>
      <c r="G406" s="54"/>
      <c r="H406" s="106"/>
      <c r="I406" s="54"/>
      <c r="J406" s="54"/>
      <c r="K406" s="180"/>
      <c r="L406" s="54"/>
      <c r="M406" s="54"/>
      <c r="N406" s="54"/>
      <c r="O406" s="54"/>
      <c r="P406" s="54"/>
      <c r="Q406" s="54"/>
      <c r="R406" s="54"/>
      <c r="S406" s="54"/>
    </row>
    <row r="407" spans="3:19" ht="15.75" customHeight="1" x14ac:dyDescent="0.2">
      <c r="C407" s="60"/>
      <c r="D407" s="54"/>
      <c r="E407" s="54"/>
      <c r="F407" s="54"/>
      <c r="G407" s="54"/>
      <c r="H407" s="106"/>
      <c r="I407" s="54"/>
      <c r="J407" s="54"/>
      <c r="K407" s="180"/>
      <c r="L407" s="54"/>
      <c r="M407" s="54"/>
      <c r="N407" s="54"/>
      <c r="O407" s="54"/>
      <c r="P407" s="54"/>
      <c r="Q407" s="54"/>
      <c r="R407" s="54"/>
      <c r="S407" s="54"/>
    </row>
    <row r="408" spans="3:19" ht="15.75" customHeight="1" x14ac:dyDescent="0.2">
      <c r="C408" s="60"/>
      <c r="D408" s="54"/>
      <c r="E408" s="54"/>
      <c r="F408" s="54"/>
      <c r="G408" s="54"/>
      <c r="H408" s="106"/>
      <c r="I408" s="54"/>
      <c r="J408" s="54"/>
      <c r="K408" s="180"/>
      <c r="L408" s="54"/>
      <c r="M408" s="54"/>
      <c r="N408" s="54"/>
      <c r="O408" s="54"/>
      <c r="P408" s="54"/>
      <c r="Q408" s="54"/>
      <c r="R408" s="54"/>
      <c r="S408" s="54"/>
    </row>
    <row r="409" spans="3:19" ht="15.75" customHeight="1" x14ac:dyDescent="0.2">
      <c r="C409" s="60"/>
      <c r="D409" s="54"/>
      <c r="E409" s="54"/>
      <c r="F409" s="54"/>
      <c r="G409" s="54"/>
      <c r="H409" s="106"/>
      <c r="I409" s="54"/>
      <c r="J409" s="54"/>
      <c r="K409" s="180"/>
      <c r="L409" s="54"/>
      <c r="M409" s="54"/>
      <c r="N409" s="54"/>
      <c r="O409" s="54"/>
      <c r="P409" s="54"/>
      <c r="Q409" s="54"/>
      <c r="R409" s="54"/>
      <c r="S409" s="54"/>
    </row>
    <row r="410" spans="3:19" ht="15.75" customHeight="1" x14ac:dyDescent="0.2">
      <c r="C410" s="60"/>
      <c r="D410" s="54"/>
      <c r="E410" s="54"/>
      <c r="F410" s="54"/>
      <c r="G410" s="54"/>
      <c r="H410" s="106"/>
      <c r="I410" s="54"/>
      <c r="J410" s="54"/>
      <c r="K410" s="180"/>
      <c r="L410" s="54"/>
      <c r="M410" s="54"/>
      <c r="N410" s="54"/>
      <c r="O410" s="54"/>
      <c r="P410" s="54"/>
      <c r="Q410" s="54"/>
      <c r="R410" s="54"/>
      <c r="S410" s="54"/>
    </row>
    <row r="411" spans="3:19" ht="15.75" customHeight="1" x14ac:dyDescent="0.2">
      <c r="C411" s="60"/>
      <c r="D411" s="54"/>
      <c r="E411" s="54"/>
      <c r="F411" s="54"/>
      <c r="G411" s="54"/>
      <c r="H411" s="106"/>
      <c r="I411" s="54"/>
      <c r="J411" s="54"/>
      <c r="K411" s="180"/>
      <c r="L411" s="54"/>
      <c r="M411" s="54"/>
      <c r="N411" s="54"/>
      <c r="O411" s="54"/>
      <c r="P411" s="54"/>
      <c r="Q411" s="54"/>
      <c r="R411" s="54"/>
      <c r="S411" s="54"/>
    </row>
    <row r="412" spans="3:19" ht="15.75" customHeight="1" x14ac:dyDescent="0.2">
      <c r="C412" s="60"/>
      <c r="D412" s="54"/>
      <c r="E412" s="54"/>
      <c r="F412" s="54"/>
      <c r="G412" s="54"/>
      <c r="H412" s="106"/>
      <c r="I412" s="54"/>
      <c r="J412" s="54"/>
      <c r="K412" s="180"/>
      <c r="L412" s="54"/>
      <c r="M412" s="54"/>
      <c r="N412" s="54"/>
      <c r="O412" s="54"/>
      <c r="P412" s="54"/>
      <c r="Q412" s="54"/>
      <c r="R412" s="54"/>
      <c r="S412" s="54"/>
    </row>
    <row r="413" spans="3:19" ht="15.75" customHeight="1" x14ac:dyDescent="0.2">
      <c r="C413" s="60"/>
      <c r="D413" s="54"/>
      <c r="E413" s="54"/>
      <c r="F413" s="54"/>
      <c r="G413" s="54"/>
      <c r="H413" s="106"/>
      <c r="I413" s="54"/>
      <c r="J413" s="54"/>
      <c r="K413" s="180"/>
      <c r="L413" s="54"/>
      <c r="M413" s="54"/>
      <c r="N413" s="54"/>
      <c r="O413" s="54"/>
      <c r="P413" s="54"/>
      <c r="Q413" s="54"/>
      <c r="R413" s="54"/>
      <c r="S413" s="54"/>
    </row>
    <row r="414" spans="3:19" ht="15.75" customHeight="1" x14ac:dyDescent="0.2">
      <c r="C414" s="60"/>
      <c r="D414" s="54"/>
      <c r="E414" s="54"/>
      <c r="F414" s="54"/>
      <c r="G414" s="54"/>
      <c r="H414" s="106"/>
      <c r="I414" s="54"/>
      <c r="J414" s="54"/>
      <c r="K414" s="180"/>
      <c r="L414" s="54"/>
      <c r="M414" s="54"/>
      <c r="N414" s="54"/>
      <c r="O414" s="54"/>
      <c r="P414" s="54"/>
      <c r="Q414" s="54"/>
      <c r="R414" s="54"/>
      <c r="S414" s="54"/>
    </row>
    <row r="415" spans="3:19" ht="15.75" customHeight="1" x14ac:dyDescent="0.2">
      <c r="C415" s="60"/>
      <c r="D415" s="54"/>
      <c r="E415" s="54"/>
      <c r="F415" s="54"/>
      <c r="G415" s="54"/>
      <c r="H415" s="106"/>
      <c r="I415" s="54"/>
      <c r="J415" s="54"/>
      <c r="K415" s="180"/>
      <c r="L415" s="54"/>
      <c r="M415" s="54"/>
      <c r="N415" s="54"/>
      <c r="O415" s="54"/>
      <c r="P415" s="54"/>
      <c r="Q415" s="54"/>
      <c r="R415" s="54"/>
      <c r="S415" s="54"/>
    </row>
    <row r="416" spans="3:19" ht="15.75" customHeight="1" x14ac:dyDescent="0.2">
      <c r="C416" s="60"/>
      <c r="D416" s="54"/>
      <c r="E416" s="54"/>
      <c r="F416" s="54"/>
      <c r="G416" s="54"/>
      <c r="H416" s="106"/>
      <c r="I416" s="54"/>
      <c r="J416" s="54"/>
      <c r="K416" s="180"/>
      <c r="L416" s="54"/>
      <c r="M416" s="54"/>
      <c r="N416" s="54"/>
      <c r="O416" s="54"/>
      <c r="P416" s="54"/>
      <c r="Q416" s="54"/>
      <c r="R416" s="54"/>
      <c r="S416" s="54"/>
    </row>
    <row r="417" spans="3:19" ht="15.75" customHeight="1" x14ac:dyDescent="0.2">
      <c r="C417" s="60"/>
      <c r="D417" s="54"/>
      <c r="E417" s="54"/>
      <c r="F417" s="54"/>
      <c r="G417" s="54"/>
      <c r="H417" s="106"/>
      <c r="I417" s="54"/>
      <c r="J417" s="54"/>
      <c r="K417" s="180"/>
      <c r="L417" s="54"/>
      <c r="M417" s="54"/>
      <c r="N417" s="54"/>
      <c r="O417" s="54"/>
      <c r="P417" s="54"/>
      <c r="Q417" s="54"/>
      <c r="R417" s="54"/>
      <c r="S417" s="54"/>
    </row>
    <row r="418" spans="3:19" ht="15.75" customHeight="1" x14ac:dyDescent="0.2"/>
    <row r="419" spans="3:19" ht="15.75" customHeight="1" x14ac:dyDescent="0.2"/>
    <row r="420" spans="3:19" ht="15.75" customHeight="1" x14ac:dyDescent="0.2"/>
    <row r="421" spans="3:19" ht="15.75" customHeight="1" x14ac:dyDescent="0.2"/>
    <row r="422" spans="3:19" ht="15.75" customHeight="1" x14ac:dyDescent="0.2"/>
    <row r="423" spans="3:19" ht="15.75" customHeight="1" x14ac:dyDescent="0.2"/>
    <row r="424" spans="3:19" ht="15.75" customHeight="1" x14ac:dyDescent="0.2"/>
    <row r="425" spans="3:19" ht="15.75" customHeight="1" x14ac:dyDescent="0.2"/>
    <row r="426" spans="3:19" ht="15.75" customHeight="1" x14ac:dyDescent="0.2"/>
    <row r="427" spans="3:19" ht="15.75" customHeight="1" x14ac:dyDescent="0.2"/>
    <row r="428" spans="3:19" ht="15.75" customHeight="1" x14ac:dyDescent="0.2"/>
    <row r="429" spans="3:19" ht="15.75" customHeight="1" x14ac:dyDescent="0.2"/>
    <row r="430" spans="3:19" ht="15.75" customHeight="1" x14ac:dyDescent="0.2"/>
    <row r="431" spans="3:19" ht="15.75" customHeight="1" x14ac:dyDescent="0.2"/>
    <row r="432" spans="3:19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</sheetData>
  <mergeCells count="1">
    <mergeCell ref="A131:B132"/>
  </mergeCells>
  <conditionalFormatting sqref="H136:H174 H177:H179 H181 H184:H195 H197">
    <cfRule type="cellIs" dxfId="11" priority="1" operator="lessThan">
      <formula>0</formula>
    </cfRule>
  </conditionalFormatting>
  <printOptions horizontalCentered="1" verticalCentered="1"/>
  <pageMargins left="0.25" right="0.25" top="0.75" bottom="0.75" header="0.3" footer="0.3"/>
  <pageSetup fitToHeight="0" orientation="landscape" r:id="rId1"/>
  <headerFooter>
    <oddHeader>&amp;A</oddHeader>
    <oddFooter>Page &amp;P of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000"/>
  <sheetViews>
    <sheetView workbookViewId="0"/>
  </sheetViews>
  <sheetFormatPr defaultColWidth="12.5703125" defaultRowHeight="15" customHeight="1" x14ac:dyDescent="0.2"/>
  <cols>
    <col min="1" max="2" width="13.140625" customWidth="1"/>
    <col min="3" max="11" width="13.140625" hidden="1" customWidth="1"/>
    <col min="12" max="19" width="13.140625" customWidth="1"/>
    <col min="20" max="32" width="8.5703125" customWidth="1"/>
  </cols>
  <sheetData>
    <row r="1" spans="1:32" ht="28.5" customHeight="1" x14ac:dyDescent="0.25">
      <c r="A1" s="343" t="s">
        <v>1130</v>
      </c>
      <c r="C1" s="60"/>
      <c r="D1" s="147"/>
      <c r="E1" s="147"/>
      <c r="F1" s="147"/>
      <c r="G1" s="147"/>
      <c r="H1" s="97"/>
      <c r="I1" s="147"/>
      <c r="J1" s="147"/>
      <c r="K1" s="60"/>
      <c r="L1" s="54"/>
      <c r="M1" s="54"/>
      <c r="N1" s="54"/>
      <c r="O1" s="54"/>
      <c r="P1" s="54"/>
      <c r="Q1" s="54"/>
      <c r="R1" s="54"/>
      <c r="S1" s="54"/>
      <c r="W1" s="19"/>
      <c r="X1" s="20"/>
    </row>
    <row r="2" spans="1:32" ht="12.75" customHeight="1" x14ac:dyDescent="0.2">
      <c r="A2" s="3" t="s">
        <v>50</v>
      </c>
      <c r="B2" s="3" t="s">
        <v>51</v>
      </c>
      <c r="C2" s="21"/>
      <c r="D2" s="22" t="s">
        <v>52</v>
      </c>
      <c r="E2" s="23" t="s">
        <v>53</v>
      </c>
      <c r="F2" s="23" t="s">
        <v>54</v>
      </c>
      <c r="G2" s="23" t="s">
        <v>55</v>
      </c>
      <c r="H2" s="100" t="s">
        <v>56</v>
      </c>
      <c r="I2" s="23" t="s">
        <v>57</v>
      </c>
      <c r="J2" s="129" t="s">
        <v>58</v>
      </c>
      <c r="K2" s="130"/>
      <c r="L2" s="27" t="s">
        <v>59</v>
      </c>
      <c r="M2" s="27" t="s">
        <v>60</v>
      </c>
      <c r="N2" s="27" t="s">
        <v>61</v>
      </c>
      <c r="O2" s="27" t="s">
        <v>62</v>
      </c>
      <c r="P2" s="27" t="s">
        <v>63</v>
      </c>
      <c r="Q2" s="27" t="s">
        <v>64</v>
      </c>
      <c r="R2" s="27" t="s">
        <v>65</v>
      </c>
      <c r="S2" s="27" t="s">
        <v>66</v>
      </c>
      <c r="V2" s="28"/>
      <c r="W2" s="19"/>
      <c r="Y2" s="28"/>
      <c r="Z2" s="28"/>
      <c r="AA2" s="28"/>
      <c r="AB2" s="28"/>
      <c r="AC2" s="28"/>
      <c r="AD2" s="28"/>
      <c r="AE2" s="28"/>
      <c r="AF2" s="28"/>
    </row>
    <row r="3" spans="1:32" ht="15.75" customHeight="1" x14ac:dyDescent="0.25">
      <c r="A3" s="30" t="s">
        <v>1131</v>
      </c>
      <c r="B3" s="30" t="s">
        <v>68</v>
      </c>
      <c r="C3" s="344"/>
      <c r="D3" s="32">
        <v>166119</v>
      </c>
      <c r="E3" s="32">
        <v>43191</v>
      </c>
      <c r="F3" s="32">
        <v>19104</v>
      </c>
      <c r="G3" s="32">
        <v>233381</v>
      </c>
      <c r="H3" s="131">
        <v>0.41909999999999997</v>
      </c>
      <c r="I3" s="140">
        <v>97819</v>
      </c>
      <c r="J3" s="140"/>
      <c r="K3" s="344"/>
      <c r="L3" s="35">
        <v>214692</v>
      </c>
      <c r="M3" s="35">
        <v>259448</v>
      </c>
      <c r="N3" s="35">
        <v>302534</v>
      </c>
      <c r="O3" s="35">
        <v>230335</v>
      </c>
      <c r="P3" s="32">
        <v>299435</v>
      </c>
      <c r="Q3" s="32">
        <v>331200</v>
      </c>
      <c r="R3" s="176">
        <v>331200</v>
      </c>
      <c r="S3" s="176">
        <v>0</v>
      </c>
    </row>
    <row r="4" spans="1:32" ht="15.75" customHeight="1" x14ac:dyDescent="0.25">
      <c r="A4" s="30" t="s">
        <v>1132</v>
      </c>
      <c r="B4" s="30" t="s">
        <v>70</v>
      </c>
      <c r="C4" s="344"/>
      <c r="D4" s="32">
        <v>0</v>
      </c>
      <c r="E4" s="32">
        <v>0</v>
      </c>
      <c r="F4" s="32">
        <v>0</v>
      </c>
      <c r="G4" s="32">
        <v>0</v>
      </c>
      <c r="H4" s="131">
        <v>0</v>
      </c>
      <c r="I4" s="140">
        <v>1000</v>
      </c>
      <c r="J4" s="140"/>
      <c r="K4" s="344"/>
      <c r="L4" s="35">
        <v>490</v>
      </c>
      <c r="M4" s="35">
        <v>204</v>
      </c>
      <c r="N4" s="35">
        <v>1000</v>
      </c>
      <c r="O4" s="35">
        <v>228</v>
      </c>
      <c r="P4" s="32">
        <v>297</v>
      </c>
      <c r="Q4" s="32">
        <v>1000</v>
      </c>
      <c r="R4" s="176">
        <v>1000</v>
      </c>
      <c r="S4" s="176">
        <v>0</v>
      </c>
      <c r="W4" s="364"/>
      <c r="X4" s="364"/>
      <c r="Y4" s="364"/>
    </row>
    <row r="5" spans="1:32" ht="15.75" customHeight="1" x14ac:dyDescent="0.25">
      <c r="A5" s="30" t="s">
        <v>1133</v>
      </c>
      <c r="B5" s="30" t="s">
        <v>72</v>
      </c>
      <c r="C5" s="344"/>
      <c r="D5" s="32">
        <v>73598</v>
      </c>
      <c r="E5" s="32">
        <v>19135</v>
      </c>
      <c r="F5" s="32">
        <v>8464</v>
      </c>
      <c r="G5" s="32">
        <v>103398</v>
      </c>
      <c r="H5" s="131">
        <v>0.31430000000000002</v>
      </c>
      <c r="I5" s="140">
        <v>32502</v>
      </c>
      <c r="J5" s="140"/>
      <c r="K5" s="344"/>
      <c r="L5" s="35">
        <v>89479</v>
      </c>
      <c r="M5" s="35">
        <v>108722</v>
      </c>
      <c r="N5" s="35">
        <v>162345</v>
      </c>
      <c r="O5" s="35">
        <v>93571</v>
      </c>
      <c r="P5" s="32">
        <v>121643</v>
      </c>
      <c r="Q5" s="32">
        <v>135900</v>
      </c>
      <c r="R5" s="176">
        <v>135900</v>
      </c>
      <c r="S5" s="176">
        <v>0</v>
      </c>
      <c r="W5" s="364"/>
      <c r="X5" s="364"/>
      <c r="Y5" s="364"/>
    </row>
    <row r="6" spans="1:32" ht="15.75" customHeight="1" x14ac:dyDescent="0.25">
      <c r="A6" s="30" t="s">
        <v>1134</v>
      </c>
      <c r="B6" s="30" t="s">
        <v>76</v>
      </c>
      <c r="C6" s="344"/>
      <c r="D6" s="32">
        <v>5691</v>
      </c>
      <c r="E6" s="32">
        <v>1480</v>
      </c>
      <c r="F6" s="32">
        <v>654</v>
      </c>
      <c r="G6" s="32">
        <v>7995</v>
      </c>
      <c r="H6" s="131">
        <v>6.3100000000000003E-2</v>
      </c>
      <c r="I6" s="140">
        <v>505</v>
      </c>
      <c r="J6" s="140"/>
      <c r="K6" s="344"/>
      <c r="L6" s="35">
        <v>5579</v>
      </c>
      <c r="M6" s="35">
        <v>6461</v>
      </c>
      <c r="N6" s="35">
        <v>8000</v>
      </c>
      <c r="O6" s="35">
        <v>6408</v>
      </c>
      <c r="P6" s="38">
        <v>8000</v>
      </c>
      <c r="Q6" s="32">
        <v>8500</v>
      </c>
      <c r="R6" s="176">
        <v>8500</v>
      </c>
      <c r="S6" s="176">
        <v>0</v>
      </c>
      <c r="W6" s="364"/>
      <c r="X6" s="364"/>
      <c r="Y6" s="364"/>
    </row>
    <row r="7" spans="1:32" ht="15.75" customHeight="1" x14ac:dyDescent="0.25">
      <c r="A7" s="30" t="s">
        <v>1135</v>
      </c>
      <c r="B7" s="30" t="s">
        <v>80</v>
      </c>
      <c r="C7" s="344"/>
      <c r="D7" s="32">
        <v>2244</v>
      </c>
      <c r="E7" s="32">
        <v>583</v>
      </c>
      <c r="F7" s="32">
        <v>258</v>
      </c>
      <c r="G7" s="32">
        <v>3153</v>
      </c>
      <c r="H7" s="131">
        <v>-0.36559999999999998</v>
      </c>
      <c r="I7" s="140">
        <v>-1153</v>
      </c>
      <c r="J7" s="140"/>
      <c r="K7" s="344"/>
      <c r="L7" s="35">
        <v>249</v>
      </c>
      <c r="M7" s="35">
        <v>251</v>
      </c>
      <c r="N7" s="35">
        <v>300</v>
      </c>
      <c r="O7" s="35">
        <v>0</v>
      </c>
      <c r="P7" s="32">
        <v>0</v>
      </c>
      <c r="Q7" s="32">
        <v>2000</v>
      </c>
      <c r="R7" s="176">
        <v>2000</v>
      </c>
      <c r="S7" s="176">
        <v>0</v>
      </c>
      <c r="W7" s="364"/>
      <c r="X7" s="364"/>
      <c r="Y7" s="364"/>
    </row>
    <row r="8" spans="1:32" ht="15.75" customHeight="1" x14ac:dyDescent="0.25">
      <c r="A8" s="30" t="s">
        <v>1136</v>
      </c>
      <c r="B8" s="30" t="s">
        <v>82</v>
      </c>
      <c r="C8" s="344"/>
      <c r="D8" s="32">
        <v>701</v>
      </c>
      <c r="E8" s="32">
        <v>182</v>
      </c>
      <c r="F8" s="32">
        <v>81</v>
      </c>
      <c r="G8" s="32">
        <v>985</v>
      </c>
      <c r="H8" s="131">
        <v>2.0461999999999998</v>
      </c>
      <c r="I8" s="140">
        <v>2015</v>
      </c>
      <c r="J8" s="140">
        <v>-450</v>
      </c>
      <c r="K8" s="344"/>
      <c r="L8" s="35">
        <v>940</v>
      </c>
      <c r="M8" s="35">
        <v>1723</v>
      </c>
      <c r="N8" s="35">
        <v>1400</v>
      </c>
      <c r="O8" s="35">
        <v>454</v>
      </c>
      <c r="P8" s="32">
        <v>605</v>
      </c>
      <c r="Q8" s="32">
        <v>3000</v>
      </c>
      <c r="R8" s="176">
        <v>2550</v>
      </c>
      <c r="S8" s="176">
        <v>-450</v>
      </c>
      <c r="W8" s="364"/>
      <c r="X8" s="364"/>
      <c r="Y8" s="364"/>
    </row>
    <row r="9" spans="1:32" ht="15.75" customHeight="1" x14ac:dyDescent="0.25">
      <c r="A9" s="30" t="s">
        <v>1137</v>
      </c>
      <c r="B9" s="30" t="s">
        <v>84</v>
      </c>
      <c r="C9" s="344"/>
      <c r="D9" s="32">
        <v>320</v>
      </c>
      <c r="E9" s="32">
        <v>83</v>
      </c>
      <c r="F9" s="32">
        <v>37</v>
      </c>
      <c r="G9" s="32">
        <v>450</v>
      </c>
      <c r="H9" s="131">
        <v>1.4913000000000001</v>
      </c>
      <c r="I9" s="140">
        <v>670</v>
      </c>
      <c r="J9" s="140">
        <v>-620</v>
      </c>
      <c r="K9" s="344"/>
      <c r="L9" s="35">
        <v>268</v>
      </c>
      <c r="M9" s="35">
        <v>307</v>
      </c>
      <c r="N9" s="35">
        <v>1000</v>
      </c>
      <c r="O9" s="35">
        <v>549</v>
      </c>
      <c r="P9" s="32">
        <v>732</v>
      </c>
      <c r="Q9" s="32">
        <v>1120</v>
      </c>
      <c r="R9" s="176">
        <v>500</v>
      </c>
      <c r="S9" s="176">
        <v>-620</v>
      </c>
      <c r="W9" s="364"/>
      <c r="X9" s="364"/>
      <c r="Y9" s="364"/>
    </row>
    <row r="10" spans="1:32" ht="15.75" customHeight="1" x14ac:dyDescent="0.25">
      <c r="A10" s="30" t="s">
        <v>1138</v>
      </c>
      <c r="B10" s="30" t="s">
        <v>86</v>
      </c>
      <c r="C10" s="344"/>
      <c r="D10" s="32">
        <v>0</v>
      </c>
      <c r="E10" s="32">
        <v>0</v>
      </c>
      <c r="F10" s="32">
        <v>0</v>
      </c>
      <c r="G10" s="32">
        <v>0</v>
      </c>
      <c r="H10" s="131">
        <v>0</v>
      </c>
      <c r="I10" s="140">
        <v>0</v>
      </c>
      <c r="J10" s="140"/>
      <c r="K10" s="344"/>
      <c r="L10" s="35">
        <v>0</v>
      </c>
      <c r="M10" s="35">
        <v>0</v>
      </c>
      <c r="N10" s="35">
        <v>0</v>
      </c>
      <c r="O10" s="35"/>
      <c r="P10" s="32">
        <v>0</v>
      </c>
      <c r="Q10" s="32">
        <v>0</v>
      </c>
      <c r="R10" s="176">
        <v>0</v>
      </c>
      <c r="S10" s="176">
        <v>0</v>
      </c>
      <c r="W10" s="364"/>
      <c r="X10" s="364"/>
      <c r="Y10" s="364"/>
    </row>
    <row r="11" spans="1:32" ht="15.75" customHeight="1" x14ac:dyDescent="0.25">
      <c r="A11" s="30" t="s">
        <v>1139</v>
      </c>
      <c r="B11" s="30" t="s">
        <v>88</v>
      </c>
      <c r="C11" s="344"/>
      <c r="D11" s="32">
        <v>18238</v>
      </c>
      <c r="E11" s="32">
        <v>4742</v>
      </c>
      <c r="F11" s="32">
        <v>2097</v>
      </c>
      <c r="G11" s="32">
        <v>25623</v>
      </c>
      <c r="H11" s="131">
        <v>0.40500000000000003</v>
      </c>
      <c r="I11" s="140">
        <v>10377</v>
      </c>
      <c r="J11" s="140">
        <v>0</v>
      </c>
      <c r="K11" s="344"/>
      <c r="L11" s="35">
        <v>18590</v>
      </c>
      <c r="M11" s="35">
        <v>18189</v>
      </c>
      <c r="N11" s="35">
        <v>42500</v>
      </c>
      <c r="O11" s="35">
        <v>233</v>
      </c>
      <c r="P11" s="32">
        <v>311</v>
      </c>
      <c r="Q11" s="32">
        <v>36000</v>
      </c>
      <c r="R11" s="176">
        <v>36000</v>
      </c>
      <c r="S11" s="176">
        <v>0</v>
      </c>
      <c r="W11" s="364"/>
      <c r="X11" s="364"/>
      <c r="Y11" s="364"/>
    </row>
    <row r="12" spans="1:32" ht="15.75" customHeight="1" x14ac:dyDescent="0.25">
      <c r="A12" s="30" t="s">
        <v>1140</v>
      </c>
      <c r="B12" s="30" t="s">
        <v>90</v>
      </c>
      <c r="C12" s="344"/>
      <c r="D12" s="32">
        <v>0</v>
      </c>
      <c r="E12" s="32">
        <v>0</v>
      </c>
      <c r="F12" s="32">
        <v>0</v>
      </c>
      <c r="G12" s="32">
        <v>0</v>
      </c>
      <c r="H12" s="131">
        <v>0</v>
      </c>
      <c r="I12" s="140">
        <v>500</v>
      </c>
      <c r="J12" s="140"/>
      <c r="K12" s="344"/>
      <c r="L12" s="35">
        <v>0</v>
      </c>
      <c r="M12" s="35">
        <v>0</v>
      </c>
      <c r="N12" s="35">
        <v>500</v>
      </c>
      <c r="O12" s="35">
        <v>0</v>
      </c>
      <c r="P12" s="32">
        <v>0</v>
      </c>
      <c r="Q12" s="32">
        <v>500</v>
      </c>
      <c r="R12" s="176">
        <v>500</v>
      </c>
      <c r="S12" s="176">
        <v>0</v>
      </c>
      <c r="W12" s="364"/>
      <c r="X12" s="364"/>
      <c r="Y12" s="364"/>
    </row>
    <row r="13" spans="1:32" ht="15.75" customHeight="1" x14ac:dyDescent="0.25">
      <c r="A13" s="30" t="s">
        <v>1141</v>
      </c>
      <c r="B13" s="30" t="s">
        <v>92</v>
      </c>
      <c r="C13" s="344"/>
      <c r="D13" s="32">
        <v>0</v>
      </c>
      <c r="E13" s="32">
        <v>0</v>
      </c>
      <c r="F13" s="32">
        <v>0</v>
      </c>
      <c r="G13" s="32">
        <v>0</v>
      </c>
      <c r="H13" s="131">
        <v>0</v>
      </c>
      <c r="I13" s="140">
        <v>2500</v>
      </c>
      <c r="J13" s="140"/>
      <c r="K13" s="344"/>
      <c r="L13" s="35">
        <v>1859</v>
      </c>
      <c r="M13" s="35">
        <v>2297</v>
      </c>
      <c r="N13" s="35">
        <v>2000</v>
      </c>
      <c r="O13" s="35">
        <v>2958</v>
      </c>
      <c r="P13" s="38">
        <v>2958</v>
      </c>
      <c r="Q13" s="32">
        <v>2500</v>
      </c>
      <c r="R13" s="176">
        <v>2500</v>
      </c>
      <c r="S13" s="176">
        <v>0</v>
      </c>
      <c r="W13" s="364"/>
      <c r="X13" s="364"/>
      <c r="Y13" s="364"/>
    </row>
    <row r="14" spans="1:32" ht="15.75" customHeight="1" x14ac:dyDescent="0.25">
      <c r="A14" s="30" t="s">
        <v>1142</v>
      </c>
      <c r="B14" s="30" t="s">
        <v>1143</v>
      </c>
      <c r="C14" s="344"/>
      <c r="D14" s="32">
        <v>-160147</v>
      </c>
      <c r="E14" s="32">
        <v>-41638</v>
      </c>
      <c r="F14" s="32">
        <v>-18417</v>
      </c>
      <c r="G14" s="32">
        <v>-224991</v>
      </c>
      <c r="H14" s="131">
        <v>0.39129999999999998</v>
      </c>
      <c r="I14" s="140">
        <v>-88041</v>
      </c>
      <c r="J14" s="140">
        <v>642</v>
      </c>
      <c r="K14" s="344"/>
      <c r="L14" s="35">
        <v>-199286</v>
      </c>
      <c r="M14" s="176">
        <v>-238560</v>
      </c>
      <c r="N14" s="35">
        <v>-313000</v>
      </c>
      <c r="O14" s="176">
        <v>-190109</v>
      </c>
      <c r="P14" s="32">
        <v>-260389</v>
      </c>
      <c r="Q14" s="32">
        <v>-313032</v>
      </c>
      <c r="R14" s="176">
        <v>-312390</v>
      </c>
      <c r="S14" s="176">
        <v>642</v>
      </c>
      <c r="W14" s="364"/>
      <c r="X14" s="364"/>
      <c r="Y14" s="364"/>
    </row>
    <row r="15" spans="1:32" ht="15.75" customHeight="1" x14ac:dyDescent="0.25">
      <c r="A15" s="47" t="s">
        <v>1144</v>
      </c>
      <c r="B15" s="135"/>
      <c r="C15" s="136"/>
      <c r="D15" s="111">
        <f t="shared" ref="D15:G15" si="0">SUM(D3:D14)</f>
        <v>106764</v>
      </c>
      <c r="E15" s="111">
        <f t="shared" si="0"/>
        <v>27758</v>
      </c>
      <c r="F15" s="111">
        <f t="shared" si="0"/>
        <v>12278</v>
      </c>
      <c r="G15" s="111">
        <f t="shared" si="0"/>
        <v>149994</v>
      </c>
      <c r="H15" s="137">
        <f>IFERROR(((Q15-G15)/G15),0)</f>
        <v>0.39130898569276107</v>
      </c>
      <c r="I15" s="111">
        <f t="shared" ref="I15:J15" si="1">SUM(I3:I14)</f>
        <v>58694</v>
      </c>
      <c r="J15" s="111">
        <f t="shared" si="1"/>
        <v>-428</v>
      </c>
      <c r="K15" s="136"/>
      <c r="L15" s="110">
        <f t="shared" ref="L15:S15" si="2">SUM(L3:L14)</f>
        <v>132860</v>
      </c>
      <c r="M15" s="110">
        <f t="shared" si="2"/>
        <v>159042</v>
      </c>
      <c r="N15" s="110">
        <f t="shared" si="2"/>
        <v>208579</v>
      </c>
      <c r="O15" s="110">
        <f t="shared" si="2"/>
        <v>144627</v>
      </c>
      <c r="P15" s="111">
        <f t="shared" si="2"/>
        <v>173592</v>
      </c>
      <c r="Q15" s="111">
        <f t="shared" si="2"/>
        <v>208688</v>
      </c>
      <c r="R15" s="110">
        <f t="shared" si="2"/>
        <v>208260</v>
      </c>
      <c r="S15" s="110">
        <f t="shared" si="2"/>
        <v>-428</v>
      </c>
      <c r="W15" s="364"/>
      <c r="X15" s="364"/>
      <c r="Y15" s="364"/>
    </row>
    <row r="16" spans="1:32" ht="15.75" customHeight="1" x14ac:dyDescent="0.25">
      <c r="A16" s="30"/>
      <c r="B16" s="30"/>
      <c r="C16" s="139"/>
      <c r="D16" s="140"/>
      <c r="E16" s="140"/>
      <c r="F16" s="140"/>
      <c r="G16" s="140"/>
      <c r="H16" s="141"/>
      <c r="I16" s="140"/>
      <c r="J16" s="140"/>
      <c r="K16" s="337"/>
      <c r="L16" s="176"/>
      <c r="M16" s="176"/>
      <c r="N16" s="176"/>
      <c r="O16" s="176"/>
      <c r="P16" s="176"/>
      <c r="Q16" s="176"/>
      <c r="R16" s="176"/>
      <c r="S16" s="176"/>
      <c r="W16" s="364"/>
      <c r="X16" s="364"/>
      <c r="Y16" s="364"/>
    </row>
    <row r="17" spans="1:32" ht="15.75" customHeight="1" x14ac:dyDescent="0.25">
      <c r="A17" s="144" t="s">
        <v>184</v>
      </c>
      <c r="B17" s="30"/>
      <c r="C17" s="139"/>
      <c r="D17" s="140"/>
      <c r="E17" s="140"/>
      <c r="F17" s="140"/>
      <c r="G17" s="140"/>
      <c r="H17" s="141"/>
      <c r="I17" s="140"/>
      <c r="J17" s="140"/>
      <c r="K17" s="337"/>
      <c r="L17" s="176"/>
      <c r="M17" s="176"/>
      <c r="N17" s="176"/>
      <c r="O17" s="176"/>
      <c r="P17" s="176"/>
      <c r="Q17" s="176"/>
      <c r="R17" s="176"/>
      <c r="S17" s="176"/>
      <c r="W17" s="364"/>
      <c r="X17" s="364"/>
      <c r="Y17" s="364"/>
    </row>
    <row r="18" spans="1:32" ht="15.75" customHeight="1" x14ac:dyDescent="0.25">
      <c r="A18" s="30" t="s">
        <v>1145</v>
      </c>
      <c r="B18" s="30" t="s">
        <v>1146</v>
      </c>
      <c r="C18" s="31"/>
      <c r="D18" s="32">
        <v>0</v>
      </c>
      <c r="E18" s="32" t="e">
        <f>D18*#REF!</f>
        <v>#REF!</v>
      </c>
      <c r="F18" s="32" t="e">
        <f>D18*#REF!</f>
        <v>#REF!</v>
      </c>
      <c r="G18" s="32" t="e">
        <f>(D18*#REF!)*#REF!</f>
        <v>#REF!</v>
      </c>
      <c r="H18" s="131">
        <f t="shared" ref="H18:H19" si="3">IFERROR(((Q18-G18)/G18),0)</f>
        <v>0</v>
      </c>
      <c r="I18" s="32" t="e">
        <f>Q18-G18</f>
        <v>#REF!</v>
      </c>
      <c r="J18" s="32">
        <v>-21500</v>
      </c>
      <c r="K18" s="31"/>
      <c r="L18" s="35">
        <v>-9950</v>
      </c>
      <c r="M18" s="35">
        <v>-7697.3</v>
      </c>
      <c r="N18" s="35">
        <v>-12000</v>
      </c>
      <c r="O18" s="35">
        <v>-6450</v>
      </c>
      <c r="P18" s="32">
        <f>O18/9*12</f>
        <v>-8600</v>
      </c>
      <c r="Q18" s="32">
        <v>-10000</v>
      </c>
      <c r="R18" s="35">
        <v>-31500</v>
      </c>
      <c r="S18" s="35">
        <f>R18-Q18</f>
        <v>-21500</v>
      </c>
      <c r="W18" s="364"/>
      <c r="X18" s="364"/>
      <c r="Y18" s="364"/>
    </row>
    <row r="19" spans="1:32" ht="15.75" customHeight="1" x14ac:dyDescent="0.25">
      <c r="A19" s="144" t="s">
        <v>189</v>
      </c>
      <c r="B19" s="144"/>
      <c r="C19" s="136"/>
      <c r="D19" s="111">
        <f t="shared" ref="D19:G19" si="4">SUM(D17:D18)</f>
        <v>0</v>
      </c>
      <c r="E19" s="111" t="e">
        <f t="shared" si="4"/>
        <v>#REF!</v>
      </c>
      <c r="F19" s="111" t="e">
        <f t="shared" si="4"/>
        <v>#REF!</v>
      </c>
      <c r="G19" s="111" t="e">
        <f t="shared" si="4"/>
        <v>#REF!</v>
      </c>
      <c r="H19" s="137">
        <f t="shared" si="3"/>
        <v>0</v>
      </c>
      <c r="I19" s="111" t="e">
        <f t="shared" ref="I19:J19" si="5">SUM(I17:I18)</f>
        <v>#REF!</v>
      </c>
      <c r="J19" s="111">
        <f t="shared" si="5"/>
        <v>-21500</v>
      </c>
      <c r="K19" s="136"/>
      <c r="L19" s="110">
        <f t="shared" ref="L19:S19" si="6">SUM(L17:L18)</f>
        <v>-9950</v>
      </c>
      <c r="M19" s="110">
        <f t="shared" si="6"/>
        <v>-7697.3</v>
      </c>
      <c r="N19" s="110">
        <f t="shared" si="6"/>
        <v>-12000</v>
      </c>
      <c r="O19" s="110">
        <f t="shared" si="6"/>
        <v>-6450</v>
      </c>
      <c r="P19" s="111">
        <f t="shared" si="6"/>
        <v>-8600</v>
      </c>
      <c r="Q19" s="111">
        <f t="shared" si="6"/>
        <v>-10000</v>
      </c>
      <c r="R19" s="110">
        <f t="shared" si="6"/>
        <v>-31500</v>
      </c>
      <c r="S19" s="110">
        <f t="shared" si="6"/>
        <v>-21500</v>
      </c>
      <c r="W19" s="364"/>
      <c r="X19" s="364"/>
      <c r="Y19" s="364"/>
    </row>
    <row r="20" spans="1:32" ht="15.75" customHeight="1" x14ac:dyDescent="0.25">
      <c r="A20" s="30"/>
      <c r="B20" s="30"/>
      <c r="C20" s="139"/>
      <c r="D20" s="140"/>
      <c r="E20" s="140"/>
      <c r="F20" s="140"/>
      <c r="G20" s="140"/>
      <c r="H20" s="141"/>
      <c r="I20" s="140"/>
      <c r="J20" s="140"/>
      <c r="K20" s="337"/>
      <c r="L20" s="176"/>
      <c r="M20" s="176"/>
      <c r="N20" s="176"/>
      <c r="O20" s="176"/>
      <c r="P20" s="176"/>
      <c r="Q20" s="176"/>
      <c r="R20" s="176"/>
      <c r="S20" s="176"/>
      <c r="W20" s="364"/>
      <c r="X20" s="364"/>
      <c r="Y20" s="364"/>
    </row>
    <row r="21" spans="1:32" ht="15.75" customHeight="1" x14ac:dyDescent="0.25">
      <c r="A21" s="144" t="s">
        <v>190</v>
      </c>
      <c r="B21" s="30"/>
      <c r="C21" s="136"/>
      <c r="D21" s="111">
        <f t="shared" ref="D21:G21" si="7">D19+D15</f>
        <v>106764</v>
      </c>
      <c r="E21" s="111" t="e">
        <f t="shared" si="7"/>
        <v>#REF!</v>
      </c>
      <c r="F21" s="111" t="e">
        <f t="shared" si="7"/>
        <v>#REF!</v>
      </c>
      <c r="G21" s="111" t="e">
        <f t="shared" si="7"/>
        <v>#REF!</v>
      </c>
      <c r="H21" s="137">
        <f>IFERROR(((Q21-G21)/G21),0)</f>
        <v>0</v>
      </c>
      <c r="I21" s="111" t="e">
        <f>Q21-G21</f>
        <v>#REF!</v>
      </c>
      <c r="J21" s="111">
        <f>SUM(J20)</f>
        <v>0</v>
      </c>
      <c r="K21" s="136"/>
      <c r="L21" s="110">
        <f t="shared" ref="L21:S21" si="8">L19+L15</f>
        <v>122910</v>
      </c>
      <c r="M21" s="110">
        <f t="shared" si="8"/>
        <v>151344.70000000001</v>
      </c>
      <c r="N21" s="110">
        <f t="shared" si="8"/>
        <v>196579</v>
      </c>
      <c r="O21" s="110">
        <f t="shared" si="8"/>
        <v>138177</v>
      </c>
      <c r="P21" s="111">
        <f t="shared" si="8"/>
        <v>164992</v>
      </c>
      <c r="Q21" s="111">
        <f t="shared" si="8"/>
        <v>198688</v>
      </c>
      <c r="R21" s="110">
        <f t="shared" si="8"/>
        <v>176760</v>
      </c>
      <c r="S21" s="110">
        <f t="shared" si="8"/>
        <v>-21928</v>
      </c>
    </row>
    <row r="22" spans="1:32" ht="15.75" customHeight="1" x14ac:dyDescent="0.2">
      <c r="C22" s="60"/>
      <c r="D22" s="147"/>
      <c r="E22" s="147"/>
      <c r="F22" s="147"/>
      <c r="G22" s="147"/>
      <c r="H22" s="97"/>
      <c r="I22" s="147"/>
      <c r="J22" s="147"/>
      <c r="K22" s="180"/>
      <c r="L22" s="54"/>
      <c r="M22" s="54"/>
      <c r="N22" s="54"/>
      <c r="O22" s="54"/>
      <c r="P22" s="54"/>
      <c r="Q22" s="54"/>
      <c r="R22" s="54"/>
      <c r="S22" s="54"/>
    </row>
    <row r="23" spans="1:32" ht="15.75" customHeight="1" x14ac:dyDescent="0.2">
      <c r="C23" s="60"/>
      <c r="D23" s="147"/>
      <c r="E23" s="147"/>
      <c r="F23" s="147"/>
      <c r="G23" s="147"/>
      <c r="H23" s="97"/>
      <c r="I23" s="147"/>
      <c r="J23" s="147"/>
      <c r="K23" s="180"/>
      <c r="L23" s="345" t="s">
        <v>102</v>
      </c>
      <c r="M23" s="346" t="s">
        <v>59</v>
      </c>
      <c r="N23" s="345" t="s">
        <v>60</v>
      </c>
      <c r="O23" s="345" t="s">
        <v>61</v>
      </c>
      <c r="P23" s="345" t="s">
        <v>62</v>
      </c>
      <c r="Q23" s="345" t="s">
        <v>63</v>
      </c>
      <c r="R23" s="345" t="s">
        <v>64</v>
      </c>
      <c r="S23" s="365" t="s">
        <v>65</v>
      </c>
      <c r="T23" s="54"/>
    </row>
    <row r="24" spans="1:32" ht="15.75" customHeight="1" x14ac:dyDescent="0.2">
      <c r="A24" s="366"/>
      <c r="B24" s="367"/>
      <c r="C24" s="368"/>
      <c r="D24" s="369"/>
      <c r="E24" s="369"/>
      <c r="F24" s="147"/>
      <c r="G24" s="147"/>
      <c r="H24" s="97"/>
      <c r="I24" s="147"/>
      <c r="J24" s="147"/>
      <c r="K24" s="180"/>
      <c r="L24" s="347" t="s">
        <v>103</v>
      </c>
      <c r="M24" s="348">
        <f t="shared" ref="M24:S24" si="9">L15</f>
        <v>132860</v>
      </c>
      <c r="N24" s="348">
        <f t="shared" si="9"/>
        <v>159042</v>
      </c>
      <c r="O24" s="348">
        <f t="shared" si="9"/>
        <v>208579</v>
      </c>
      <c r="P24" s="348">
        <f t="shared" si="9"/>
        <v>144627</v>
      </c>
      <c r="Q24" s="348">
        <f t="shared" si="9"/>
        <v>173592</v>
      </c>
      <c r="R24" s="348">
        <f t="shared" si="9"/>
        <v>208688</v>
      </c>
      <c r="S24" s="348">
        <f t="shared" si="9"/>
        <v>208260</v>
      </c>
      <c r="Z24" s="366"/>
      <c r="AA24" s="366"/>
      <c r="AB24" s="366"/>
      <c r="AC24" s="366"/>
      <c r="AD24" s="366"/>
      <c r="AE24" s="366"/>
      <c r="AF24" s="366"/>
    </row>
    <row r="25" spans="1:32" ht="15.75" customHeight="1" x14ac:dyDescent="0.2">
      <c r="B25" s="62"/>
      <c r="C25" s="60"/>
      <c r="D25" s="147"/>
      <c r="E25" s="147"/>
      <c r="F25" s="147"/>
      <c r="G25" s="147"/>
      <c r="H25" s="97"/>
      <c r="I25" s="147"/>
      <c r="J25" s="147"/>
      <c r="K25" s="180"/>
      <c r="L25" s="54"/>
      <c r="M25" s="54"/>
      <c r="N25" s="54"/>
      <c r="O25" s="54"/>
      <c r="P25" s="54"/>
      <c r="Q25" s="54"/>
      <c r="R25" s="54"/>
    </row>
    <row r="26" spans="1:32" ht="15.75" customHeight="1" x14ac:dyDescent="0.2">
      <c r="C26" s="60"/>
      <c r="D26" s="147"/>
      <c r="E26" s="147"/>
      <c r="F26" s="147"/>
      <c r="G26" s="147"/>
      <c r="H26" s="97"/>
      <c r="I26" s="147"/>
      <c r="J26" s="147"/>
      <c r="K26" s="180"/>
      <c r="L26" s="54"/>
      <c r="M26" s="54"/>
      <c r="N26" s="54"/>
      <c r="O26" s="54"/>
      <c r="P26" s="54"/>
      <c r="Q26" s="54"/>
      <c r="R26" s="54"/>
      <c r="S26" s="54"/>
    </row>
    <row r="27" spans="1:32" ht="15.75" customHeight="1" x14ac:dyDescent="0.2">
      <c r="C27" s="60"/>
      <c r="D27" s="147"/>
      <c r="E27" s="147"/>
      <c r="F27" s="147"/>
      <c r="G27" s="147"/>
      <c r="H27" s="97"/>
      <c r="I27" s="147"/>
      <c r="J27" s="147"/>
      <c r="K27" s="180"/>
      <c r="L27" s="54"/>
      <c r="M27" s="54"/>
      <c r="N27" s="54"/>
      <c r="O27" s="54"/>
      <c r="P27" s="54"/>
      <c r="Q27" s="54"/>
      <c r="R27" s="54"/>
      <c r="S27" s="54"/>
    </row>
    <row r="28" spans="1:32" ht="15.75" customHeight="1" x14ac:dyDescent="0.2">
      <c r="C28" s="60"/>
      <c r="D28" s="147"/>
      <c r="E28" s="147"/>
      <c r="F28" s="147"/>
      <c r="G28" s="147"/>
      <c r="H28" s="97"/>
      <c r="I28" s="147"/>
      <c r="J28" s="147"/>
      <c r="K28" s="180"/>
      <c r="L28" s="54"/>
      <c r="M28" s="54"/>
      <c r="N28" s="54"/>
      <c r="O28" s="54"/>
      <c r="P28" s="54"/>
      <c r="Q28" s="54"/>
      <c r="R28" s="54"/>
      <c r="S28" s="55"/>
    </row>
    <row r="29" spans="1:32" ht="15.75" customHeight="1" x14ac:dyDescent="0.2">
      <c r="A29" s="51"/>
      <c r="B29" s="51"/>
      <c r="C29" s="60"/>
      <c r="D29" s="147"/>
      <c r="E29" s="147"/>
      <c r="F29" s="147"/>
      <c r="G29" s="147"/>
      <c r="H29" s="97"/>
      <c r="I29" s="147"/>
      <c r="J29" s="147"/>
      <c r="K29" s="180"/>
      <c r="L29" s="54"/>
      <c r="M29" s="54"/>
      <c r="N29" s="54"/>
      <c r="O29" s="54"/>
      <c r="P29" s="54"/>
      <c r="Q29" s="54"/>
      <c r="R29" s="54"/>
      <c r="S29" s="55"/>
    </row>
    <row r="30" spans="1:32" ht="15.75" customHeight="1" x14ac:dyDescent="0.2">
      <c r="A30" s="51"/>
      <c r="B30" s="51"/>
      <c r="C30" s="60"/>
      <c r="D30" s="147"/>
      <c r="E30" s="147"/>
      <c r="F30" s="147"/>
      <c r="G30" s="147"/>
      <c r="H30" s="97"/>
      <c r="I30" s="147"/>
      <c r="J30" s="147"/>
      <c r="K30" s="180"/>
      <c r="L30" s="54"/>
      <c r="M30" s="54"/>
      <c r="N30" s="54"/>
      <c r="O30" s="54"/>
      <c r="P30" s="54"/>
      <c r="Q30" s="54"/>
      <c r="R30" s="54"/>
      <c r="S30" s="55"/>
    </row>
    <row r="31" spans="1:32" ht="15.75" customHeight="1" x14ac:dyDescent="0.2">
      <c r="A31" s="51"/>
      <c r="B31" s="51"/>
      <c r="C31" s="60"/>
      <c r="D31" s="147"/>
      <c r="E31" s="147"/>
      <c r="F31" s="147"/>
      <c r="G31" s="147"/>
      <c r="H31" s="97"/>
      <c r="I31" s="147"/>
      <c r="J31" s="147"/>
      <c r="K31" s="180"/>
      <c r="L31" s="54"/>
      <c r="M31" s="54"/>
      <c r="N31" s="54"/>
      <c r="O31" s="54"/>
      <c r="P31" s="54"/>
      <c r="Q31" s="54"/>
      <c r="R31" s="54"/>
      <c r="S31" s="55"/>
    </row>
    <row r="32" spans="1:32" ht="15.75" customHeight="1" x14ac:dyDescent="0.2">
      <c r="A32" s="51"/>
      <c r="B32" s="51"/>
      <c r="C32" s="60"/>
      <c r="D32" s="147"/>
      <c r="E32" s="147"/>
      <c r="F32" s="147"/>
      <c r="G32" s="147"/>
      <c r="H32" s="97"/>
      <c r="I32" s="147"/>
      <c r="J32" s="147"/>
      <c r="K32" s="180"/>
      <c r="L32" s="54"/>
      <c r="M32" s="54"/>
      <c r="N32" s="54"/>
      <c r="O32" s="54"/>
      <c r="P32" s="54"/>
      <c r="Q32" s="54"/>
      <c r="R32" s="54"/>
      <c r="S32" s="55"/>
    </row>
    <row r="33" spans="1:19" ht="15.75" customHeight="1" x14ac:dyDescent="0.2">
      <c r="A33" s="51"/>
      <c r="B33" s="51"/>
      <c r="C33" s="60"/>
      <c r="D33" s="147"/>
      <c r="E33" s="147"/>
      <c r="F33" s="147"/>
      <c r="G33" s="147"/>
      <c r="H33" s="97"/>
      <c r="I33" s="147"/>
      <c r="J33" s="147"/>
      <c r="K33" s="180"/>
      <c r="L33" s="54"/>
      <c r="M33" s="54"/>
      <c r="N33" s="54"/>
      <c r="O33" s="54"/>
      <c r="P33" s="54"/>
      <c r="Q33" s="54"/>
      <c r="R33" s="54"/>
      <c r="S33" s="55"/>
    </row>
    <row r="34" spans="1:19" ht="15.75" customHeight="1" x14ac:dyDescent="0.2">
      <c r="A34" s="51"/>
      <c r="B34" s="51"/>
      <c r="C34" s="60"/>
      <c r="D34" s="147"/>
      <c r="E34" s="147"/>
      <c r="F34" s="147"/>
      <c r="G34" s="147"/>
      <c r="H34" s="97"/>
      <c r="I34" s="147"/>
      <c r="J34" s="147"/>
      <c r="K34" s="180"/>
      <c r="L34" s="54"/>
      <c r="M34" s="54"/>
      <c r="N34" s="54"/>
      <c r="O34" s="54"/>
      <c r="P34" s="54"/>
      <c r="Q34" s="54"/>
      <c r="R34" s="54"/>
      <c r="S34" s="55"/>
    </row>
    <row r="35" spans="1:19" ht="15.75" customHeight="1" x14ac:dyDescent="0.2">
      <c r="A35" s="51"/>
      <c r="B35" s="51"/>
      <c r="C35" s="60"/>
      <c r="D35" s="147"/>
      <c r="E35" s="147"/>
      <c r="F35" s="147"/>
      <c r="G35" s="147"/>
      <c r="H35" s="97"/>
      <c r="I35" s="147"/>
      <c r="J35" s="147"/>
      <c r="K35" s="180"/>
      <c r="L35" s="54"/>
      <c r="M35" s="54"/>
      <c r="N35" s="54"/>
      <c r="O35" s="54"/>
      <c r="P35" s="54"/>
      <c r="Q35" s="54"/>
      <c r="R35" s="54"/>
      <c r="S35" s="55"/>
    </row>
    <row r="36" spans="1:19" ht="15.75" customHeight="1" x14ac:dyDescent="0.2">
      <c r="A36" s="51"/>
      <c r="B36" s="51"/>
      <c r="C36" s="60"/>
      <c r="D36" s="147"/>
      <c r="E36" s="147"/>
      <c r="F36" s="147"/>
      <c r="G36" s="147"/>
      <c r="H36" s="97"/>
      <c r="I36" s="147"/>
      <c r="J36" s="147"/>
      <c r="K36" s="180"/>
      <c r="L36" s="54"/>
      <c r="M36" s="54"/>
      <c r="N36" s="54"/>
      <c r="O36" s="54"/>
      <c r="P36" s="54"/>
      <c r="Q36" s="54"/>
      <c r="R36" s="54"/>
      <c r="S36" s="55"/>
    </row>
    <row r="37" spans="1:19" ht="15.75" customHeight="1" x14ac:dyDescent="0.2">
      <c r="A37" s="51"/>
      <c r="B37" s="51"/>
      <c r="C37" s="60"/>
      <c r="D37" s="147"/>
      <c r="E37" s="147"/>
      <c r="F37" s="147"/>
      <c r="G37" s="147"/>
      <c r="H37" s="97"/>
      <c r="I37" s="147"/>
      <c r="J37" s="147"/>
      <c r="K37" s="180"/>
      <c r="L37" s="54"/>
      <c r="M37" s="54"/>
      <c r="N37" s="54"/>
      <c r="O37" s="54"/>
      <c r="P37" s="54"/>
      <c r="Q37" s="54"/>
      <c r="R37" s="54"/>
      <c r="S37" s="55"/>
    </row>
    <row r="38" spans="1:19" ht="15.75" customHeight="1" x14ac:dyDescent="0.2">
      <c r="A38" s="51"/>
      <c r="B38" s="51"/>
      <c r="C38" s="60"/>
      <c r="D38" s="147"/>
      <c r="E38" s="147"/>
      <c r="F38" s="147"/>
      <c r="G38" s="147"/>
      <c r="H38" s="97"/>
      <c r="I38" s="147"/>
      <c r="J38" s="147"/>
      <c r="K38" s="180"/>
      <c r="L38" s="54"/>
      <c r="M38" s="54"/>
      <c r="N38" s="54"/>
      <c r="O38" s="54"/>
      <c r="P38" s="54"/>
      <c r="Q38" s="54"/>
      <c r="R38" s="54"/>
      <c r="S38" s="55"/>
    </row>
    <row r="39" spans="1:19" ht="15.75" customHeight="1" x14ac:dyDescent="0.2">
      <c r="A39" s="51"/>
      <c r="B39" s="51"/>
      <c r="C39" s="60"/>
      <c r="D39" s="147"/>
      <c r="E39" s="147"/>
      <c r="F39" s="147"/>
      <c r="G39" s="147"/>
      <c r="H39" s="97"/>
      <c r="I39" s="147"/>
      <c r="J39" s="147"/>
      <c r="K39" s="180"/>
      <c r="L39" s="54"/>
      <c r="M39" s="54"/>
      <c r="N39" s="54"/>
      <c r="O39" s="54"/>
      <c r="P39" s="54"/>
      <c r="Q39" s="54"/>
      <c r="R39" s="54"/>
      <c r="S39" s="55"/>
    </row>
    <row r="40" spans="1:19" ht="15.75" customHeight="1" x14ac:dyDescent="0.2">
      <c r="A40" s="51"/>
      <c r="B40" s="51"/>
      <c r="C40" s="60"/>
      <c r="D40" s="147"/>
      <c r="E40" s="147"/>
      <c r="F40" s="147"/>
      <c r="G40" s="147"/>
      <c r="H40" s="97"/>
      <c r="I40" s="147"/>
      <c r="J40" s="147"/>
      <c r="K40" s="180"/>
      <c r="L40" s="54"/>
      <c r="M40" s="54"/>
      <c r="N40" s="54"/>
      <c r="O40" s="54"/>
      <c r="P40" s="54"/>
      <c r="Q40" s="54"/>
      <c r="R40" s="54"/>
      <c r="S40" s="55"/>
    </row>
    <row r="41" spans="1:19" ht="15.75" customHeight="1" x14ac:dyDescent="0.2">
      <c r="A41" s="51"/>
      <c r="B41" s="51"/>
      <c r="C41" s="60"/>
      <c r="D41" s="147"/>
      <c r="E41" s="147"/>
      <c r="F41" s="147"/>
      <c r="G41" s="147"/>
      <c r="H41" s="97"/>
      <c r="I41" s="147"/>
      <c r="J41" s="147"/>
      <c r="K41" s="180"/>
      <c r="L41" s="54"/>
      <c r="M41" s="54"/>
      <c r="N41" s="54"/>
      <c r="O41" s="54"/>
      <c r="P41" s="54"/>
      <c r="Q41" s="54"/>
      <c r="R41" s="54"/>
      <c r="S41" s="55"/>
    </row>
    <row r="42" spans="1:19" ht="15.75" customHeight="1" x14ac:dyDescent="0.2">
      <c r="A42" s="51"/>
      <c r="B42" s="51"/>
      <c r="C42" s="60"/>
      <c r="D42" s="147"/>
      <c r="E42" s="147"/>
      <c r="F42" s="147"/>
      <c r="G42" s="147"/>
      <c r="H42" s="97"/>
      <c r="I42" s="147"/>
      <c r="J42" s="147"/>
      <c r="K42" s="180"/>
      <c r="L42" s="54"/>
      <c r="M42" s="54"/>
      <c r="N42" s="54"/>
      <c r="O42" s="54"/>
      <c r="P42" s="54"/>
      <c r="Q42" s="54"/>
      <c r="R42" s="54"/>
      <c r="S42" s="55"/>
    </row>
    <row r="43" spans="1:19" ht="15.75" customHeight="1" x14ac:dyDescent="0.2">
      <c r="A43" s="51"/>
      <c r="B43" s="51"/>
      <c r="C43" s="60"/>
      <c r="D43" s="147"/>
      <c r="E43" s="147"/>
      <c r="F43" s="147"/>
      <c r="G43" s="147"/>
      <c r="H43" s="97"/>
      <c r="I43" s="147"/>
      <c r="J43" s="147"/>
      <c r="K43" s="180"/>
      <c r="L43" s="54"/>
      <c r="M43" s="54"/>
      <c r="N43" s="54"/>
      <c r="O43" s="54"/>
      <c r="P43" s="54"/>
      <c r="Q43" s="54"/>
      <c r="R43" s="54"/>
      <c r="S43" s="55"/>
    </row>
    <row r="44" spans="1:19" ht="15.75" customHeight="1" x14ac:dyDescent="0.2">
      <c r="A44" s="51"/>
      <c r="B44" s="51"/>
      <c r="C44" s="60"/>
      <c r="D44" s="147"/>
      <c r="E44" s="147"/>
      <c r="F44" s="147"/>
      <c r="G44" s="147"/>
      <c r="H44" s="97"/>
      <c r="I44" s="147"/>
      <c r="J44" s="147"/>
      <c r="K44" s="180"/>
      <c r="L44" s="54"/>
      <c r="M44" s="54"/>
      <c r="N44" s="54"/>
      <c r="O44" s="54"/>
      <c r="P44" s="54"/>
      <c r="Q44" s="54"/>
      <c r="R44" s="54"/>
      <c r="S44" s="55"/>
    </row>
    <row r="45" spans="1:19" ht="15.75" customHeight="1" x14ac:dyDescent="0.2">
      <c r="A45" s="51"/>
      <c r="B45" s="51"/>
      <c r="C45" s="60"/>
      <c r="D45" s="147"/>
      <c r="E45" s="147"/>
      <c r="F45" s="147"/>
      <c r="G45" s="147"/>
      <c r="H45" s="97"/>
      <c r="I45" s="147"/>
      <c r="J45" s="147"/>
      <c r="K45" s="180"/>
      <c r="L45" s="54"/>
      <c r="M45" s="54"/>
      <c r="N45" s="54"/>
      <c r="O45" s="54"/>
      <c r="P45" s="54"/>
      <c r="Q45" s="54"/>
      <c r="R45" s="54"/>
      <c r="S45" s="55"/>
    </row>
    <row r="46" spans="1:19" ht="15.75" customHeight="1" x14ac:dyDescent="0.2">
      <c r="A46" s="51"/>
      <c r="B46" s="51"/>
      <c r="C46" s="60"/>
      <c r="D46" s="147"/>
      <c r="E46" s="147"/>
      <c r="F46" s="147"/>
      <c r="G46" s="147"/>
      <c r="H46" s="97"/>
      <c r="I46" s="147"/>
      <c r="J46" s="147"/>
      <c r="K46" s="180"/>
      <c r="L46" s="54"/>
      <c r="M46" s="54"/>
      <c r="N46" s="54"/>
      <c r="O46" s="54"/>
      <c r="P46" s="54"/>
      <c r="Q46" s="54"/>
      <c r="R46" s="54"/>
      <c r="S46" s="55"/>
    </row>
    <row r="47" spans="1:19" ht="15.75" customHeight="1" x14ac:dyDescent="0.2">
      <c r="C47" s="60"/>
      <c r="D47" s="147"/>
      <c r="E47" s="147"/>
      <c r="F47" s="147"/>
      <c r="G47" s="147"/>
      <c r="H47" s="97"/>
      <c r="I47" s="147"/>
      <c r="J47" s="147"/>
      <c r="K47" s="180"/>
      <c r="L47" s="54"/>
      <c r="M47" s="54"/>
      <c r="N47" s="54"/>
      <c r="O47" s="54"/>
      <c r="P47" s="54"/>
      <c r="Q47" s="54"/>
      <c r="R47" s="54"/>
      <c r="S47" s="54"/>
    </row>
    <row r="48" spans="1:19" ht="15.75" customHeight="1" x14ac:dyDescent="0.25">
      <c r="C48" s="60"/>
      <c r="D48" s="147"/>
      <c r="E48" s="154"/>
      <c r="F48" s="154"/>
      <c r="G48" s="147"/>
      <c r="H48" s="97"/>
      <c r="I48" s="147"/>
      <c r="J48" s="147"/>
      <c r="K48" s="180"/>
      <c r="L48" s="54"/>
      <c r="M48" s="54"/>
      <c r="N48" s="54"/>
      <c r="O48" s="54"/>
      <c r="P48" s="54"/>
      <c r="Q48" s="54"/>
      <c r="R48" s="54"/>
      <c r="S48" s="54"/>
    </row>
    <row r="49" spans="3:19" ht="15.75" customHeight="1" x14ac:dyDescent="0.25">
      <c r="C49" s="60"/>
      <c r="D49" s="147"/>
      <c r="E49" s="154"/>
      <c r="F49" s="154"/>
      <c r="G49" s="147"/>
      <c r="H49" s="97"/>
      <c r="I49" s="147"/>
      <c r="J49" s="147"/>
      <c r="K49" s="180"/>
      <c r="L49" s="54"/>
      <c r="M49" s="54"/>
      <c r="N49" s="54"/>
      <c r="O49" s="54"/>
      <c r="P49" s="54"/>
      <c r="Q49" s="54"/>
      <c r="R49" s="54"/>
      <c r="S49" s="54"/>
    </row>
    <row r="50" spans="3:19" ht="15.75" customHeight="1" x14ac:dyDescent="0.25">
      <c r="C50" s="60"/>
      <c r="D50" s="147"/>
      <c r="E50" s="154"/>
      <c r="F50" s="154"/>
      <c r="G50" s="147"/>
      <c r="H50" s="97"/>
      <c r="I50" s="147"/>
      <c r="J50" s="147"/>
      <c r="K50" s="180"/>
      <c r="L50" s="54"/>
      <c r="M50" s="54"/>
      <c r="N50" s="54"/>
      <c r="O50" s="54"/>
      <c r="P50" s="54"/>
      <c r="Q50" s="54"/>
      <c r="R50" s="54"/>
      <c r="S50" s="54"/>
    </row>
    <row r="51" spans="3:19" ht="15.75" customHeight="1" x14ac:dyDescent="0.25">
      <c r="C51" s="60"/>
      <c r="D51" s="147"/>
      <c r="E51" s="154"/>
      <c r="F51" s="154"/>
      <c r="G51" s="147"/>
      <c r="H51" s="97"/>
      <c r="I51" s="147"/>
      <c r="J51" s="147"/>
      <c r="K51" s="180"/>
      <c r="L51" s="54"/>
      <c r="M51" s="54"/>
      <c r="N51" s="54"/>
      <c r="O51" s="54"/>
      <c r="P51" s="54"/>
      <c r="Q51" s="54"/>
      <c r="R51" s="54"/>
      <c r="S51" s="54"/>
    </row>
    <row r="52" spans="3:19" ht="15.75" customHeight="1" x14ac:dyDescent="0.25">
      <c r="C52" s="60"/>
      <c r="D52" s="147"/>
      <c r="E52" s="154"/>
      <c r="F52" s="154"/>
      <c r="G52" s="147"/>
      <c r="H52" s="97"/>
      <c r="I52" s="147"/>
      <c r="J52" s="147"/>
      <c r="K52" s="180"/>
      <c r="L52" s="54"/>
      <c r="M52" s="54"/>
      <c r="N52" s="54"/>
      <c r="O52" s="54"/>
      <c r="P52" s="54"/>
      <c r="Q52" s="54"/>
      <c r="R52" s="54"/>
      <c r="S52" s="54"/>
    </row>
    <row r="53" spans="3:19" ht="15.75" customHeight="1" x14ac:dyDescent="0.25">
      <c r="C53" s="60"/>
      <c r="D53" s="147"/>
      <c r="E53" s="154"/>
      <c r="F53" s="154"/>
      <c r="G53" s="147"/>
      <c r="H53" s="97"/>
      <c r="I53" s="147"/>
      <c r="J53" s="147"/>
      <c r="K53" s="180"/>
      <c r="L53" s="54"/>
      <c r="M53" s="54"/>
      <c r="N53" s="54"/>
      <c r="O53" s="54"/>
      <c r="P53" s="54"/>
      <c r="Q53" s="54"/>
      <c r="R53" s="54"/>
      <c r="S53" s="54"/>
    </row>
    <row r="54" spans="3:19" ht="15.75" customHeight="1" x14ac:dyDescent="0.25">
      <c r="C54" s="60"/>
      <c r="D54" s="147"/>
      <c r="E54" s="154"/>
      <c r="F54" s="154"/>
      <c r="G54" s="147"/>
      <c r="H54" s="97"/>
      <c r="I54" s="147"/>
      <c r="J54" s="147"/>
      <c r="K54" s="180"/>
      <c r="L54" s="54"/>
      <c r="M54" s="54"/>
      <c r="N54" s="54"/>
      <c r="O54" s="54"/>
      <c r="P54" s="54"/>
      <c r="Q54" s="54"/>
      <c r="R54" s="54"/>
      <c r="S54" s="54"/>
    </row>
    <row r="55" spans="3:19" ht="15.75" customHeight="1" x14ac:dyDescent="0.25">
      <c r="C55" s="60"/>
      <c r="D55" s="147"/>
      <c r="E55" s="154"/>
      <c r="F55" s="154"/>
      <c r="G55" s="147"/>
      <c r="H55" s="97"/>
      <c r="I55" s="147"/>
      <c r="J55" s="147"/>
      <c r="K55" s="180"/>
      <c r="L55" s="54"/>
      <c r="M55" s="54"/>
      <c r="N55" s="54"/>
      <c r="O55" s="54"/>
      <c r="P55" s="54"/>
      <c r="Q55" s="54"/>
      <c r="R55" s="54"/>
      <c r="S55" s="54"/>
    </row>
    <row r="56" spans="3:19" ht="15.75" customHeight="1" x14ac:dyDescent="0.25">
      <c r="C56" s="60"/>
      <c r="D56" s="147"/>
      <c r="E56" s="154"/>
      <c r="F56" s="154"/>
      <c r="G56" s="147"/>
      <c r="H56" s="97"/>
      <c r="I56" s="147"/>
      <c r="J56" s="147"/>
      <c r="K56" s="180"/>
      <c r="L56" s="54"/>
      <c r="M56" s="54"/>
      <c r="N56" s="54"/>
      <c r="O56" s="54"/>
      <c r="P56" s="54"/>
      <c r="Q56" s="54"/>
      <c r="R56" s="54"/>
      <c r="S56" s="54"/>
    </row>
    <row r="57" spans="3:19" ht="15.75" customHeight="1" x14ac:dyDescent="0.25">
      <c r="C57" s="60"/>
      <c r="D57" s="147"/>
      <c r="E57" s="154"/>
      <c r="F57" s="154"/>
      <c r="G57" s="147"/>
      <c r="H57" s="97"/>
      <c r="I57" s="147"/>
      <c r="J57" s="147"/>
      <c r="K57" s="180"/>
      <c r="L57" s="54"/>
      <c r="M57" s="54"/>
      <c r="N57" s="54"/>
      <c r="O57" s="54"/>
      <c r="P57" s="54"/>
      <c r="Q57" s="54"/>
      <c r="R57" s="54"/>
      <c r="S57" s="54"/>
    </row>
    <row r="58" spans="3:19" ht="15.75" customHeight="1" x14ac:dyDescent="0.25">
      <c r="C58" s="60"/>
      <c r="D58" s="147"/>
      <c r="E58" s="154"/>
      <c r="F58" s="154"/>
      <c r="G58" s="147"/>
      <c r="H58" s="97"/>
      <c r="I58" s="147"/>
      <c r="J58" s="147"/>
      <c r="K58" s="180"/>
      <c r="L58" s="54"/>
      <c r="M58" s="54"/>
      <c r="N58" s="54"/>
      <c r="O58" s="54"/>
      <c r="P58" s="54"/>
      <c r="Q58" s="54"/>
      <c r="R58" s="54"/>
      <c r="S58" s="54"/>
    </row>
    <row r="59" spans="3:19" ht="15.75" customHeight="1" x14ac:dyDescent="0.25">
      <c r="C59" s="60"/>
      <c r="D59" s="147"/>
      <c r="E59" s="154"/>
      <c r="F59" s="154"/>
      <c r="G59" s="147"/>
      <c r="H59" s="97"/>
      <c r="I59" s="147"/>
      <c r="J59" s="147"/>
      <c r="K59" s="180"/>
      <c r="L59" s="54"/>
      <c r="M59" s="54"/>
      <c r="N59" s="54"/>
      <c r="O59" s="54"/>
      <c r="P59" s="54"/>
      <c r="Q59" s="54"/>
      <c r="R59" s="54"/>
      <c r="S59" s="54"/>
    </row>
    <row r="60" spans="3:19" ht="15.75" customHeight="1" x14ac:dyDescent="0.25">
      <c r="C60" s="60"/>
      <c r="D60" s="147"/>
      <c r="E60" s="154"/>
      <c r="F60" s="154"/>
      <c r="G60" s="147"/>
      <c r="H60" s="97"/>
      <c r="I60" s="147"/>
      <c r="J60" s="147"/>
      <c r="K60" s="180"/>
      <c r="L60" s="54"/>
      <c r="M60" s="54"/>
      <c r="N60" s="54"/>
      <c r="O60" s="54"/>
      <c r="P60" s="54"/>
      <c r="Q60" s="54"/>
      <c r="R60" s="54"/>
      <c r="S60" s="54"/>
    </row>
    <row r="61" spans="3:19" ht="15.75" customHeight="1" x14ac:dyDescent="0.25">
      <c r="C61" s="60"/>
      <c r="D61" s="147"/>
      <c r="E61" s="154"/>
      <c r="F61" s="154"/>
      <c r="G61" s="147"/>
      <c r="H61" s="97"/>
      <c r="I61" s="147"/>
      <c r="J61" s="147"/>
      <c r="K61" s="180"/>
      <c r="L61" s="54"/>
      <c r="M61" s="54"/>
      <c r="N61" s="54"/>
      <c r="O61" s="54"/>
      <c r="P61" s="54"/>
      <c r="Q61" s="54"/>
      <c r="R61" s="54"/>
      <c r="S61" s="54"/>
    </row>
    <row r="62" spans="3:19" ht="15.75" customHeight="1" x14ac:dyDescent="0.25">
      <c r="C62" s="60"/>
      <c r="D62" s="147"/>
      <c r="E62" s="154"/>
      <c r="F62" s="154"/>
      <c r="G62" s="147"/>
      <c r="H62" s="97"/>
      <c r="I62" s="147"/>
      <c r="J62" s="147"/>
      <c r="K62" s="180"/>
      <c r="L62" s="54"/>
      <c r="M62" s="54"/>
      <c r="N62" s="54"/>
      <c r="O62" s="54"/>
      <c r="P62" s="54"/>
      <c r="Q62" s="54"/>
      <c r="R62" s="54"/>
      <c r="S62" s="54"/>
    </row>
    <row r="63" spans="3:19" ht="15.75" customHeight="1" x14ac:dyDescent="0.25">
      <c r="C63" s="60"/>
      <c r="D63" s="147"/>
      <c r="E63" s="154"/>
      <c r="F63" s="154"/>
      <c r="G63" s="147"/>
      <c r="H63" s="97"/>
      <c r="I63" s="147"/>
      <c r="J63" s="147"/>
      <c r="K63" s="180"/>
      <c r="L63" s="54"/>
      <c r="M63" s="54"/>
      <c r="N63" s="54"/>
      <c r="O63" s="54"/>
      <c r="P63" s="54"/>
      <c r="Q63" s="54"/>
      <c r="R63" s="54"/>
      <c r="S63" s="54"/>
    </row>
    <row r="64" spans="3:19" ht="15.75" customHeight="1" x14ac:dyDescent="0.25">
      <c r="C64" s="60"/>
      <c r="D64" s="147"/>
      <c r="E64" s="154"/>
      <c r="F64" s="154"/>
      <c r="G64" s="147"/>
      <c r="H64" s="97"/>
      <c r="I64" s="147"/>
      <c r="J64" s="147"/>
      <c r="K64" s="180"/>
      <c r="L64" s="54"/>
      <c r="M64" s="54"/>
      <c r="N64" s="54"/>
      <c r="O64" s="54"/>
      <c r="P64" s="54"/>
      <c r="Q64" s="54"/>
      <c r="R64" s="54"/>
      <c r="S64" s="54"/>
    </row>
    <row r="65" spans="3:24" ht="15.75" customHeight="1" x14ac:dyDescent="0.25">
      <c r="C65" s="60"/>
      <c r="D65" s="147"/>
      <c r="E65" s="154"/>
      <c r="F65" s="154"/>
      <c r="G65" s="147"/>
      <c r="H65" s="97"/>
      <c r="I65" s="147"/>
      <c r="J65" s="147"/>
      <c r="K65" s="180"/>
      <c r="L65" s="54"/>
      <c r="M65" s="54"/>
      <c r="N65" s="54"/>
      <c r="O65" s="54"/>
      <c r="P65" s="54"/>
      <c r="Q65" s="54"/>
      <c r="R65" s="54"/>
      <c r="S65" s="54"/>
    </row>
    <row r="66" spans="3:24" ht="15.75" customHeight="1" x14ac:dyDescent="0.25">
      <c r="C66" s="60"/>
      <c r="D66" s="147"/>
      <c r="E66" s="154"/>
      <c r="F66" s="154"/>
      <c r="G66" s="147"/>
      <c r="H66" s="97"/>
      <c r="I66" s="147"/>
      <c r="J66" s="147"/>
      <c r="K66" s="180"/>
      <c r="L66" s="54"/>
      <c r="M66" s="54"/>
      <c r="N66" s="54"/>
      <c r="O66" s="54"/>
      <c r="P66" s="54"/>
      <c r="Q66" s="54"/>
      <c r="R66" s="54"/>
      <c r="S66" s="54"/>
    </row>
    <row r="67" spans="3:24" ht="15.75" customHeight="1" x14ac:dyDescent="0.25">
      <c r="C67" s="60"/>
      <c r="D67" s="147"/>
      <c r="E67" s="154" t="s">
        <v>48</v>
      </c>
      <c r="F67" s="154" t="s">
        <v>1055</v>
      </c>
      <c r="G67" s="147"/>
      <c r="H67" s="97"/>
      <c r="I67" s="147"/>
      <c r="J67" s="147"/>
      <c r="K67" s="180"/>
      <c r="L67" s="54"/>
      <c r="M67" s="54"/>
      <c r="N67" s="54"/>
      <c r="O67" s="54"/>
      <c r="P67" s="54"/>
      <c r="Q67" s="54"/>
      <c r="R67" s="54"/>
      <c r="S67" s="54"/>
    </row>
    <row r="68" spans="3:24" ht="15.75" customHeight="1" x14ac:dyDescent="0.2">
      <c r="C68" s="60"/>
      <c r="D68" s="147"/>
      <c r="E68" s="147" t="s">
        <v>157</v>
      </c>
      <c r="F68" s="147"/>
      <c r="G68" s="147"/>
      <c r="H68" s="97"/>
      <c r="I68" s="147"/>
      <c r="J68" s="147"/>
      <c r="K68" s="180"/>
      <c r="L68" s="54"/>
      <c r="M68" s="54"/>
      <c r="N68" s="54"/>
      <c r="O68" s="54"/>
      <c r="P68" s="54"/>
      <c r="Q68" s="54"/>
      <c r="R68" s="54"/>
      <c r="S68" s="54"/>
    </row>
    <row r="69" spans="3:24" ht="15.75" customHeight="1" x14ac:dyDescent="0.25">
      <c r="C69" s="60"/>
      <c r="D69" s="147"/>
      <c r="E69" s="147"/>
      <c r="F69" s="147"/>
      <c r="G69" s="147"/>
      <c r="H69" s="97"/>
      <c r="I69" s="147"/>
      <c r="J69" s="147"/>
      <c r="K69" s="180"/>
      <c r="L69" s="54"/>
      <c r="M69" s="54"/>
      <c r="N69" s="54"/>
      <c r="O69" s="54"/>
      <c r="P69" s="54"/>
      <c r="Q69" s="54"/>
      <c r="R69" s="54"/>
      <c r="S69" s="54"/>
      <c r="W69" s="19"/>
      <c r="X69" s="20"/>
    </row>
    <row r="70" spans="3:24" ht="12.75" customHeight="1" x14ac:dyDescent="0.2"/>
    <row r="71" spans="3:24" ht="12.75" customHeight="1" x14ac:dyDescent="0.2"/>
    <row r="72" spans="3:24" ht="12.75" customHeight="1" x14ac:dyDescent="0.2"/>
    <row r="73" spans="3:24" ht="12.75" customHeight="1" x14ac:dyDescent="0.2"/>
    <row r="74" spans="3:24" ht="12.75" customHeight="1" x14ac:dyDescent="0.2"/>
    <row r="75" spans="3:24" ht="12.75" customHeight="1" x14ac:dyDescent="0.2"/>
    <row r="76" spans="3:24" ht="12.75" customHeight="1" x14ac:dyDescent="0.2"/>
    <row r="77" spans="3:24" ht="12.75" customHeight="1" x14ac:dyDescent="0.2"/>
    <row r="78" spans="3:24" ht="12.75" customHeight="1" x14ac:dyDescent="0.2"/>
    <row r="79" spans="3:24" ht="12.75" customHeight="1" x14ac:dyDescent="0.2"/>
    <row r="80" spans="3:24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conditionalFormatting sqref="H3:H15 H18:H19 H21">
    <cfRule type="cellIs" dxfId="10" priority="1" operator="lessThan">
      <formula>0</formula>
    </cfRule>
  </conditionalFormatting>
  <printOptions horizontalCentered="1" verticalCentered="1"/>
  <pageMargins left="0.25" right="0.25" top="0.75" bottom="0.75" header="0.3" footer="0.3"/>
  <pageSetup fitToHeight="0" orientation="landscape" r:id="rId1"/>
  <headerFooter>
    <oddHeader>&amp;A</oddHeader>
    <oddFooter>Page &amp;P of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000"/>
  <sheetViews>
    <sheetView topLeftCell="A4" workbookViewId="0"/>
  </sheetViews>
  <sheetFormatPr defaultColWidth="12.5703125" defaultRowHeight="15" customHeight="1" outlineLevelCol="1" x14ac:dyDescent="0.2"/>
  <cols>
    <col min="2" max="2" width="30.7109375" customWidth="1"/>
    <col min="3" max="3" width="3.5703125" hidden="1" customWidth="1" outlineLevel="1"/>
    <col min="4" max="4" width="12.42578125" hidden="1" customWidth="1" outlineLevel="1"/>
    <col min="5" max="5" width="12.140625" hidden="1" customWidth="1" outlineLevel="1"/>
    <col min="6" max="6" width="12.28515625" hidden="1" customWidth="1" outlineLevel="1"/>
    <col min="7" max="7" width="11.42578125" hidden="1" customWidth="1" outlineLevel="1"/>
    <col min="8" max="10" width="11.28515625" hidden="1" customWidth="1" outlineLevel="1"/>
    <col min="11" max="11" width="3.5703125" hidden="1" customWidth="1" outlineLevel="1"/>
    <col min="12" max="12" width="11.28515625" customWidth="1" collapsed="1"/>
    <col min="13" max="13" width="12.42578125" customWidth="1"/>
    <col min="14" max="14" width="11.5703125" customWidth="1"/>
    <col min="15" max="15" width="11.85546875" customWidth="1"/>
    <col min="16" max="17" width="13.140625" customWidth="1"/>
    <col min="18" max="18" width="13.5703125" customWidth="1"/>
    <col min="19" max="19" width="12" customWidth="1"/>
    <col min="20" max="20" width="12.42578125" customWidth="1"/>
    <col min="21" max="21" width="10.5703125" customWidth="1"/>
    <col min="22" max="22" width="13.42578125" customWidth="1"/>
    <col min="24" max="24" width="10.85546875" customWidth="1"/>
  </cols>
  <sheetData>
    <row r="1" spans="1:32" ht="15.75" hidden="1" customHeight="1" x14ac:dyDescent="0.25">
      <c r="A1" s="456"/>
      <c r="B1" s="456"/>
      <c r="C1" s="457"/>
      <c r="D1" s="458"/>
      <c r="E1" s="459" t="s">
        <v>48</v>
      </c>
      <c r="F1" s="459" t="s">
        <v>1054</v>
      </c>
      <c r="G1" s="458"/>
      <c r="H1" s="460"/>
      <c r="I1" s="458"/>
      <c r="J1" s="458"/>
      <c r="K1" s="461"/>
      <c r="L1" s="462"/>
      <c r="M1" s="462"/>
      <c r="N1" s="462"/>
      <c r="O1" s="462"/>
      <c r="P1" s="462"/>
      <c r="Q1" s="462"/>
      <c r="R1" s="463"/>
      <c r="S1" s="463"/>
    </row>
    <row r="2" spans="1:32" ht="15.75" hidden="1" customHeight="1" x14ac:dyDescent="0.25">
      <c r="A2" s="456"/>
      <c r="B2" s="456"/>
      <c r="C2" s="457"/>
      <c r="D2" s="458"/>
      <c r="E2" s="458" t="s">
        <v>157</v>
      </c>
      <c r="F2" s="458"/>
      <c r="G2" s="458"/>
      <c r="H2" s="460"/>
      <c r="I2" s="458"/>
      <c r="J2" s="458"/>
      <c r="K2" s="461"/>
      <c r="L2" s="462"/>
      <c r="M2" s="462"/>
      <c r="N2" s="462"/>
      <c r="O2" s="462"/>
      <c r="P2" s="462"/>
      <c r="Q2" s="462"/>
      <c r="R2" s="463"/>
      <c r="S2" s="463"/>
    </row>
    <row r="3" spans="1:32" ht="15.75" hidden="1" customHeight="1" x14ac:dyDescent="0.25">
      <c r="A3" s="456"/>
      <c r="B3" s="456"/>
      <c r="C3" s="457"/>
      <c r="D3" s="458"/>
      <c r="E3" s="458"/>
      <c r="F3" s="458"/>
      <c r="G3" s="458"/>
      <c r="H3" s="460"/>
      <c r="I3" s="458"/>
      <c r="J3" s="458"/>
      <c r="K3" s="461"/>
      <c r="L3" s="462"/>
      <c r="M3" s="462"/>
      <c r="N3" s="462"/>
      <c r="O3" s="462"/>
      <c r="P3" s="462"/>
      <c r="Q3" s="462"/>
      <c r="R3" s="463"/>
      <c r="S3" s="463"/>
      <c r="W3" s="19"/>
      <c r="X3" s="20"/>
    </row>
    <row r="4" spans="1:32" ht="30" customHeight="1" x14ac:dyDescent="0.25">
      <c r="A4" s="464" t="s">
        <v>1075</v>
      </c>
      <c r="B4" s="456"/>
      <c r="C4" s="465"/>
      <c r="D4" s="466"/>
      <c r="E4" s="458"/>
      <c r="F4" s="458"/>
      <c r="G4" s="458"/>
      <c r="H4" s="460"/>
      <c r="I4" s="458"/>
      <c r="J4" s="458"/>
      <c r="K4" s="465"/>
      <c r="L4" s="467"/>
      <c r="M4" s="467"/>
      <c r="N4" s="467"/>
      <c r="O4" s="467"/>
      <c r="P4" s="466"/>
      <c r="Q4" s="466"/>
      <c r="R4" s="462"/>
      <c r="S4" s="462"/>
    </row>
    <row r="5" spans="1:32" ht="51.75" customHeight="1" x14ac:dyDescent="0.25">
      <c r="A5" s="468" t="s">
        <v>50</v>
      </c>
      <c r="B5" s="468" t="s">
        <v>51</v>
      </c>
      <c r="C5" s="469"/>
      <c r="D5" s="470" t="s">
        <v>52</v>
      </c>
      <c r="E5" s="471" t="s">
        <v>53</v>
      </c>
      <c r="F5" s="471" t="s">
        <v>54</v>
      </c>
      <c r="G5" s="471" t="s">
        <v>55</v>
      </c>
      <c r="H5" s="472" t="s">
        <v>56</v>
      </c>
      <c r="I5" s="473" t="s">
        <v>57</v>
      </c>
      <c r="J5" s="474" t="s">
        <v>58</v>
      </c>
      <c r="K5" s="475"/>
      <c r="L5" s="476" t="s">
        <v>59</v>
      </c>
      <c r="M5" s="476" t="s">
        <v>60</v>
      </c>
      <c r="N5" s="476" t="s">
        <v>61</v>
      </c>
      <c r="O5" s="476" t="s">
        <v>62</v>
      </c>
      <c r="P5" s="476" t="s">
        <v>63</v>
      </c>
      <c r="Q5" s="476" t="s">
        <v>64</v>
      </c>
      <c r="R5" s="476" t="s">
        <v>65</v>
      </c>
      <c r="S5" s="476" t="s">
        <v>66</v>
      </c>
      <c r="W5" s="19"/>
    </row>
    <row r="6" spans="1:32" ht="15.75" customHeight="1" x14ac:dyDescent="0.25">
      <c r="A6" s="456" t="s">
        <v>1076</v>
      </c>
      <c r="B6" s="456" t="s">
        <v>68</v>
      </c>
      <c r="C6" s="477"/>
      <c r="D6" s="466">
        <v>41355</v>
      </c>
      <c r="E6" s="466" t="e">
        <f>D6*#REF!</f>
        <v>#REF!</v>
      </c>
      <c r="F6" s="466" t="e">
        <f>D6*#REF!</f>
        <v>#REF!</v>
      </c>
      <c r="G6" s="466" t="e">
        <f>(D6*#REF!)*#REF!</f>
        <v>#REF!</v>
      </c>
      <c r="H6" s="478">
        <f t="shared" ref="H6:H24" si="0">IFERROR(((Q6-D6)/D6),0)</f>
        <v>1.7396929029137951</v>
      </c>
      <c r="I6" s="466" t="e">
        <f t="shared" ref="I6:I23" si="1">Q6-G6</f>
        <v>#REF!</v>
      </c>
      <c r="J6" s="479"/>
      <c r="K6" s="477"/>
      <c r="L6" s="467">
        <v>61459</v>
      </c>
      <c r="M6" s="467">
        <v>98324.73</v>
      </c>
      <c r="N6" s="467">
        <v>103056</v>
      </c>
      <c r="O6" s="467">
        <v>77992.800000000003</v>
      </c>
      <c r="P6" s="466">
        <f t="shared" ref="P6:P9" si="2">O6/20*26</f>
        <v>101390.64000000001</v>
      </c>
      <c r="Q6" s="466">
        <v>113300</v>
      </c>
      <c r="R6" s="480">
        <v>113300</v>
      </c>
      <c r="S6" s="467">
        <f t="shared" ref="S6:S23" si="3">R6-Q6</f>
        <v>0</v>
      </c>
      <c r="T6" s="51"/>
      <c r="U6" s="51"/>
      <c r="V6" s="51"/>
      <c r="W6" s="52"/>
      <c r="X6" s="52"/>
      <c r="Y6" s="52"/>
      <c r="Z6" s="51"/>
      <c r="AA6" s="51"/>
      <c r="AB6" s="51"/>
      <c r="AC6" s="51"/>
      <c r="AD6" s="51"/>
      <c r="AE6" s="51"/>
      <c r="AF6" s="51"/>
    </row>
    <row r="7" spans="1:32" ht="15.75" customHeight="1" x14ac:dyDescent="0.25">
      <c r="A7" s="456" t="s">
        <v>1077</v>
      </c>
      <c r="B7" s="456" t="s">
        <v>70</v>
      </c>
      <c r="C7" s="477"/>
      <c r="D7" s="466">
        <v>0</v>
      </c>
      <c r="E7" s="466" t="e">
        <f>D7*#REF!</f>
        <v>#REF!</v>
      </c>
      <c r="F7" s="466" t="e">
        <f>D7*#REF!</f>
        <v>#REF!</v>
      </c>
      <c r="G7" s="466" t="e">
        <f>(D7*#REF!)*#REF!</f>
        <v>#REF!</v>
      </c>
      <c r="H7" s="478">
        <f t="shared" si="0"/>
        <v>0</v>
      </c>
      <c r="I7" s="466" t="e">
        <f t="shared" si="1"/>
        <v>#REF!</v>
      </c>
      <c r="J7" s="479"/>
      <c r="K7" s="477"/>
      <c r="L7" s="467">
        <v>3</v>
      </c>
      <c r="M7" s="467">
        <v>237.35</v>
      </c>
      <c r="N7" s="467">
        <v>1000</v>
      </c>
      <c r="O7" s="467">
        <v>0</v>
      </c>
      <c r="P7" s="466">
        <f t="shared" si="2"/>
        <v>0</v>
      </c>
      <c r="Q7" s="466">
        <v>1000</v>
      </c>
      <c r="R7" s="480">
        <v>1000</v>
      </c>
      <c r="S7" s="467">
        <f t="shared" si="3"/>
        <v>0</v>
      </c>
      <c r="T7" s="51"/>
      <c r="U7" s="51"/>
      <c r="V7" s="51"/>
      <c r="W7" s="51"/>
      <c r="X7" s="52"/>
      <c r="Y7" s="52"/>
      <c r="Z7" s="51"/>
      <c r="AA7" s="51"/>
      <c r="AB7" s="51"/>
      <c r="AC7" s="51"/>
      <c r="AD7" s="51"/>
      <c r="AE7" s="51"/>
      <c r="AF7" s="51"/>
    </row>
    <row r="8" spans="1:32" ht="15.75" customHeight="1" x14ac:dyDescent="0.25">
      <c r="A8" s="456" t="s">
        <v>1078</v>
      </c>
      <c r="B8" s="456" t="s">
        <v>132</v>
      </c>
      <c r="C8" s="477"/>
      <c r="D8" s="466">
        <v>5753</v>
      </c>
      <c r="E8" s="466" t="e">
        <f>D8*#REF!</f>
        <v>#REF!</v>
      </c>
      <c r="F8" s="466" t="e">
        <f>D8*#REF!</f>
        <v>#REF!</v>
      </c>
      <c r="G8" s="466" t="e">
        <f>(D8*#REF!)*#REF!</f>
        <v>#REF!</v>
      </c>
      <c r="H8" s="481">
        <f t="shared" si="0"/>
        <v>-1</v>
      </c>
      <c r="I8" s="466" t="e">
        <f t="shared" si="1"/>
        <v>#REF!</v>
      </c>
      <c r="J8" s="479"/>
      <c r="K8" s="477"/>
      <c r="L8" s="467">
        <v>0</v>
      </c>
      <c r="M8" s="467">
        <v>0</v>
      </c>
      <c r="N8" s="467">
        <v>0</v>
      </c>
      <c r="O8" s="467">
        <v>0</v>
      </c>
      <c r="P8" s="466">
        <f t="shared" si="2"/>
        <v>0</v>
      </c>
      <c r="Q8" s="466">
        <v>0</v>
      </c>
      <c r="R8" s="482">
        <v>0</v>
      </c>
      <c r="S8" s="467">
        <f t="shared" si="3"/>
        <v>0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</row>
    <row r="9" spans="1:32" ht="15.75" customHeight="1" x14ac:dyDescent="0.25">
      <c r="A9" s="456" t="s">
        <v>1079</v>
      </c>
      <c r="B9" s="456" t="s">
        <v>72</v>
      </c>
      <c r="C9" s="477"/>
      <c r="D9" s="466">
        <v>26061</v>
      </c>
      <c r="E9" s="466" t="e">
        <f>D9*#REF!</f>
        <v>#REF!</v>
      </c>
      <c r="F9" s="466" t="e">
        <f>D9*#REF!</f>
        <v>#REF!</v>
      </c>
      <c r="G9" s="466" t="e">
        <f>(D9*#REF!)*#REF!</f>
        <v>#REF!</v>
      </c>
      <c r="H9" s="478">
        <f t="shared" si="0"/>
        <v>1.3368251410153102</v>
      </c>
      <c r="I9" s="466" t="e">
        <f t="shared" si="1"/>
        <v>#REF!</v>
      </c>
      <c r="J9" s="479"/>
      <c r="K9" s="477"/>
      <c r="L9" s="467">
        <v>25744</v>
      </c>
      <c r="M9" s="467">
        <v>43177.43</v>
      </c>
      <c r="N9" s="467">
        <v>52418.5</v>
      </c>
      <c r="O9" s="467">
        <v>38476.94</v>
      </c>
      <c r="P9" s="466">
        <f t="shared" si="2"/>
        <v>50020.022000000004</v>
      </c>
      <c r="Q9" s="466">
        <v>60900</v>
      </c>
      <c r="R9" s="480">
        <v>60900</v>
      </c>
      <c r="S9" s="467">
        <f t="shared" si="3"/>
        <v>0</v>
      </c>
      <c r="T9" s="51"/>
      <c r="U9" s="51"/>
      <c r="V9" s="51"/>
      <c r="W9" s="52"/>
      <c r="X9" s="52"/>
      <c r="Y9" s="52"/>
      <c r="Z9" s="51"/>
      <c r="AA9" s="51"/>
      <c r="AB9" s="51"/>
      <c r="AC9" s="51"/>
      <c r="AD9" s="51"/>
      <c r="AE9" s="51"/>
      <c r="AF9" s="51"/>
    </row>
    <row r="10" spans="1:32" ht="15.75" customHeight="1" x14ac:dyDescent="0.25">
      <c r="A10" s="456" t="s">
        <v>1080</v>
      </c>
      <c r="B10" s="456" t="s">
        <v>74</v>
      </c>
      <c r="C10" s="477"/>
      <c r="D10" s="466">
        <v>456</v>
      </c>
      <c r="E10" s="466" t="e">
        <f>D10*#REF!</f>
        <v>#REF!</v>
      </c>
      <c r="F10" s="466" t="e">
        <f>D10*#REF!</f>
        <v>#REF!</v>
      </c>
      <c r="G10" s="466" t="e">
        <f>(D10*#REF!)*#REF!</f>
        <v>#REF!</v>
      </c>
      <c r="H10" s="478">
        <f t="shared" si="0"/>
        <v>3.3859649122807016</v>
      </c>
      <c r="I10" s="466" t="e">
        <f t="shared" si="1"/>
        <v>#REF!</v>
      </c>
      <c r="J10" s="479"/>
      <c r="K10" s="477"/>
      <c r="L10" s="467">
        <v>0</v>
      </c>
      <c r="M10" s="467">
        <v>0</v>
      </c>
      <c r="N10" s="467">
        <v>2000</v>
      </c>
      <c r="O10" s="467">
        <v>0</v>
      </c>
      <c r="P10" s="466">
        <f t="shared" ref="P10:P17" si="4">O10/9*12</f>
        <v>0</v>
      </c>
      <c r="Q10" s="466">
        <v>2000</v>
      </c>
      <c r="R10" s="480">
        <v>2000</v>
      </c>
      <c r="S10" s="467">
        <f t="shared" si="3"/>
        <v>0</v>
      </c>
      <c r="T10" s="51"/>
      <c r="U10" s="51"/>
      <c r="V10" s="51"/>
      <c r="W10" s="52"/>
      <c r="X10" s="52"/>
      <c r="Y10" s="52"/>
      <c r="Z10" s="51"/>
      <c r="AA10" s="51"/>
      <c r="AB10" s="51"/>
      <c r="AC10" s="51"/>
      <c r="AD10" s="51"/>
      <c r="AE10" s="51"/>
      <c r="AF10" s="51"/>
    </row>
    <row r="11" spans="1:32" ht="15.75" customHeight="1" x14ac:dyDescent="0.25">
      <c r="A11" s="456" t="s">
        <v>1081</v>
      </c>
      <c r="B11" s="456" t="s">
        <v>76</v>
      </c>
      <c r="C11" s="477"/>
      <c r="D11" s="466">
        <v>235</v>
      </c>
      <c r="E11" s="466" t="e">
        <f>D11*#REF!</f>
        <v>#REF!</v>
      </c>
      <c r="F11" s="466" t="e">
        <f>D11*#REF!</f>
        <v>#REF!</v>
      </c>
      <c r="G11" s="466" t="e">
        <f>(D11*#REF!)*#REF!</f>
        <v>#REF!</v>
      </c>
      <c r="H11" s="478">
        <f t="shared" si="0"/>
        <v>44.531914893617021</v>
      </c>
      <c r="I11" s="466" t="e">
        <f t="shared" si="1"/>
        <v>#REF!</v>
      </c>
      <c r="J11" s="479"/>
      <c r="K11" s="477"/>
      <c r="L11" s="467">
        <v>2969</v>
      </c>
      <c r="M11" s="467">
        <v>5750</v>
      </c>
      <c r="N11" s="467">
        <v>10700</v>
      </c>
      <c r="O11" s="467">
        <v>5296.32</v>
      </c>
      <c r="P11" s="466">
        <f t="shared" si="4"/>
        <v>7061.76</v>
      </c>
      <c r="Q11" s="466">
        <v>10700</v>
      </c>
      <c r="R11" s="480">
        <v>10700</v>
      </c>
      <c r="S11" s="467">
        <f t="shared" si="3"/>
        <v>0</v>
      </c>
      <c r="T11" s="51"/>
      <c r="U11" s="51"/>
      <c r="V11" s="51"/>
      <c r="W11" s="52"/>
      <c r="X11" s="52"/>
      <c r="Y11" s="52"/>
      <c r="Z11" s="51"/>
      <c r="AA11" s="51"/>
      <c r="AB11" s="51"/>
      <c r="AC11" s="51"/>
      <c r="AD11" s="51"/>
      <c r="AE11" s="51"/>
      <c r="AF11" s="51"/>
    </row>
    <row r="12" spans="1:32" ht="15.75" customHeight="1" x14ac:dyDescent="0.25">
      <c r="A12" s="456" t="s">
        <v>1082</v>
      </c>
      <c r="B12" s="456" t="s">
        <v>80</v>
      </c>
      <c r="C12" s="477"/>
      <c r="D12" s="466">
        <v>659</v>
      </c>
      <c r="E12" s="466" t="e">
        <f>D12*#REF!</f>
        <v>#REF!</v>
      </c>
      <c r="F12" s="466" t="e">
        <f>D12*#REF!</f>
        <v>#REF!</v>
      </c>
      <c r="G12" s="466" t="e">
        <f>(D12*#REF!)*#REF!</f>
        <v>#REF!</v>
      </c>
      <c r="H12" s="478">
        <f t="shared" si="0"/>
        <v>0.82094081942336872</v>
      </c>
      <c r="I12" s="466" t="e">
        <f t="shared" si="1"/>
        <v>#REF!</v>
      </c>
      <c r="J12" s="479"/>
      <c r="K12" s="477"/>
      <c r="L12" s="467">
        <v>130</v>
      </c>
      <c r="M12" s="467">
        <v>0</v>
      </c>
      <c r="N12" s="467">
        <v>1200</v>
      </c>
      <c r="O12" s="467">
        <v>79.33</v>
      </c>
      <c r="P12" s="466">
        <f t="shared" si="4"/>
        <v>105.77333333333333</v>
      </c>
      <c r="Q12" s="466">
        <v>1200</v>
      </c>
      <c r="R12" s="480">
        <v>1200</v>
      </c>
      <c r="S12" s="467">
        <f t="shared" si="3"/>
        <v>0</v>
      </c>
      <c r="T12" s="51"/>
      <c r="U12" s="51"/>
      <c r="V12" s="51"/>
      <c r="W12" s="52"/>
      <c r="X12" s="52"/>
      <c r="Y12" s="52"/>
      <c r="Z12" s="51"/>
      <c r="AA12" s="51"/>
      <c r="AB12" s="51"/>
      <c r="AC12" s="51"/>
      <c r="AD12" s="51"/>
      <c r="AE12" s="51"/>
      <c r="AF12" s="51"/>
    </row>
    <row r="13" spans="1:32" ht="15.75" customHeight="1" x14ac:dyDescent="0.25">
      <c r="A13" s="456" t="s">
        <v>1083</v>
      </c>
      <c r="B13" s="456" t="s">
        <v>82</v>
      </c>
      <c r="C13" s="477"/>
      <c r="D13" s="466">
        <v>782</v>
      </c>
      <c r="E13" s="466" t="e">
        <f>D13*#REF!</f>
        <v>#REF!</v>
      </c>
      <c r="F13" s="466" t="e">
        <f>D13*#REF!</f>
        <v>#REF!</v>
      </c>
      <c r="G13" s="466" t="e">
        <f>(D13*#REF!)*#REF!</f>
        <v>#REF!</v>
      </c>
      <c r="H13" s="481">
        <f t="shared" si="0"/>
        <v>-1</v>
      </c>
      <c r="I13" s="466" t="e">
        <f t="shared" si="1"/>
        <v>#REF!</v>
      </c>
      <c r="J13" s="479"/>
      <c r="K13" s="477"/>
      <c r="L13" s="467">
        <v>1485</v>
      </c>
      <c r="M13" s="467">
        <v>0</v>
      </c>
      <c r="N13" s="467">
        <v>0</v>
      </c>
      <c r="O13" s="467">
        <v>0</v>
      </c>
      <c r="P13" s="466">
        <f t="shared" si="4"/>
        <v>0</v>
      </c>
      <c r="Q13" s="466">
        <v>0</v>
      </c>
      <c r="R13" s="482">
        <v>0</v>
      </c>
      <c r="S13" s="467">
        <f t="shared" si="3"/>
        <v>0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</row>
    <row r="14" spans="1:32" ht="15.75" customHeight="1" x14ac:dyDescent="0.25">
      <c r="A14" s="456" t="s">
        <v>1084</v>
      </c>
      <c r="B14" s="456" t="s">
        <v>115</v>
      </c>
      <c r="C14" s="477"/>
      <c r="D14" s="466">
        <v>1684</v>
      </c>
      <c r="E14" s="466" t="e">
        <f>D14*#REF!</f>
        <v>#REF!</v>
      </c>
      <c r="F14" s="466" t="e">
        <f>D14*#REF!</f>
        <v>#REF!</v>
      </c>
      <c r="G14" s="466" t="e">
        <f>(D14*#REF!)*#REF!</f>
        <v>#REF!</v>
      </c>
      <c r="H14" s="478">
        <f t="shared" si="0"/>
        <v>0.78147268408551074</v>
      </c>
      <c r="I14" s="466" t="e">
        <f t="shared" si="1"/>
        <v>#REF!</v>
      </c>
      <c r="J14" s="479"/>
      <c r="K14" s="477"/>
      <c r="L14" s="467">
        <v>3839</v>
      </c>
      <c r="M14" s="467">
        <v>0</v>
      </c>
      <c r="N14" s="467">
        <v>5000</v>
      </c>
      <c r="O14" s="467">
        <v>0</v>
      </c>
      <c r="P14" s="466">
        <f t="shared" si="4"/>
        <v>0</v>
      </c>
      <c r="Q14" s="466">
        <v>3000</v>
      </c>
      <c r="R14" s="480">
        <v>3000</v>
      </c>
      <c r="S14" s="467">
        <f t="shared" si="3"/>
        <v>0</v>
      </c>
      <c r="T14" s="51"/>
      <c r="U14" s="51"/>
      <c r="V14" s="51"/>
      <c r="W14" s="52"/>
      <c r="X14" s="52"/>
      <c r="Y14" s="52"/>
      <c r="Z14" s="51"/>
      <c r="AA14" s="51"/>
      <c r="AB14" s="51"/>
      <c r="AC14" s="51"/>
      <c r="AD14" s="51"/>
      <c r="AE14" s="51"/>
      <c r="AF14" s="51"/>
    </row>
    <row r="15" spans="1:32" ht="15.75" customHeight="1" x14ac:dyDescent="0.25">
      <c r="A15" s="456" t="s">
        <v>1085</v>
      </c>
      <c r="B15" s="456" t="s">
        <v>84</v>
      </c>
      <c r="C15" s="477"/>
      <c r="D15" s="466">
        <v>0</v>
      </c>
      <c r="E15" s="466" t="e">
        <f>D15*#REF!</f>
        <v>#REF!</v>
      </c>
      <c r="F15" s="466" t="e">
        <f>D15*#REF!</f>
        <v>#REF!</v>
      </c>
      <c r="G15" s="466" t="e">
        <f>(D15*#REF!)*#REF!</f>
        <v>#REF!</v>
      </c>
      <c r="H15" s="478">
        <f t="shared" si="0"/>
        <v>0</v>
      </c>
      <c r="I15" s="466" t="e">
        <f t="shared" si="1"/>
        <v>#REF!</v>
      </c>
      <c r="J15" s="479"/>
      <c r="K15" s="477"/>
      <c r="L15" s="467">
        <v>99</v>
      </c>
      <c r="M15" s="467">
        <v>124.47</v>
      </c>
      <c r="N15" s="467">
        <v>1200</v>
      </c>
      <c r="O15" s="467">
        <v>732.65</v>
      </c>
      <c r="P15" s="466">
        <f t="shared" si="4"/>
        <v>976.86666666666656</v>
      </c>
      <c r="Q15" s="466">
        <v>800</v>
      </c>
      <c r="R15" s="483">
        <v>800</v>
      </c>
      <c r="S15" s="467">
        <f t="shared" si="3"/>
        <v>0</v>
      </c>
      <c r="T15" s="51"/>
      <c r="U15" s="51"/>
      <c r="V15" s="51"/>
      <c r="W15" s="52"/>
      <c r="X15" s="52"/>
      <c r="Y15" s="349"/>
      <c r="Z15" s="51"/>
      <c r="AA15" s="51"/>
      <c r="AB15" s="51"/>
      <c r="AC15" s="51"/>
      <c r="AD15" s="51"/>
      <c r="AE15" s="51"/>
      <c r="AF15" s="51"/>
    </row>
    <row r="16" spans="1:32" ht="15.75" customHeight="1" x14ac:dyDescent="0.25">
      <c r="A16" s="456" t="s">
        <v>1086</v>
      </c>
      <c r="B16" s="456" t="s">
        <v>1087</v>
      </c>
      <c r="C16" s="477"/>
      <c r="D16" s="466">
        <v>0</v>
      </c>
      <c r="E16" s="466" t="e">
        <f>D16*#REF!</f>
        <v>#REF!</v>
      </c>
      <c r="F16" s="466" t="e">
        <f>D16*#REF!</f>
        <v>#REF!</v>
      </c>
      <c r="G16" s="466" t="e">
        <f>(D16*#REF!)*#REF!</f>
        <v>#REF!</v>
      </c>
      <c r="H16" s="478">
        <f t="shared" si="0"/>
        <v>0</v>
      </c>
      <c r="I16" s="466" t="e">
        <f t="shared" si="1"/>
        <v>#REF!</v>
      </c>
      <c r="J16" s="479"/>
      <c r="K16" s="477"/>
      <c r="L16" s="467">
        <v>0</v>
      </c>
      <c r="M16" s="467">
        <v>1057.5</v>
      </c>
      <c r="N16" s="467">
        <v>3000</v>
      </c>
      <c r="O16" s="467">
        <v>440</v>
      </c>
      <c r="P16" s="466">
        <f t="shared" si="4"/>
        <v>586.66666666666663</v>
      </c>
      <c r="Q16" s="466">
        <v>3000</v>
      </c>
      <c r="R16" s="480">
        <v>3000</v>
      </c>
      <c r="S16" s="467">
        <f t="shared" si="3"/>
        <v>0</v>
      </c>
      <c r="T16" s="51"/>
      <c r="U16" s="51"/>
      <c r="V16" s="51"/>
      <c r="W16" s="52"/>
      <c r="X16" s="52"/>
      <c r="Y16" s="52"/>
      <c r="Z16" s="51"/>
      <c r="AA16" s="51"/>
      <c r="AB16" s="51"/>
      <c r="AC16" s="51"/>
      <c r="AD16" s="51"/>
      <c r="AE16" s="51"/>
      <c r="AF16" s="51"/>
    </row>
    <row r="17" spans="1:32" ht="15.75" customHeight="1" x14ac:dyDescent="0.25">
      <c r="A17" s="456" t="s">
        <v>1088</v>
      </c>
      <c r="B17" s="456" t="s">
        <v>86</v>
      </c>
      <c r="C17" s="477"/>
      <c r="D17" s="466">
        <v>220</v>
      </c>
      <c r="E17" s="466" t="e">
        <f>D17*#REF!</f>
        <v>#REF!</v>
      </c>
      <c r="F17" s="466" t="e">
        <f>D17*#REF!</f>
        <v>#REF!</v>
      </c>
      <c r="G17" s="466" t="e">
        <f>(D17*#REF!)*#REF!</f>
        <v>#REF!</v>
      </c>
      <c r="H17" s="478">
        <f t="shared" si="0"/>
        <v>180.81818181818181</v>
      </c>
      <c r="I17" s="466" t="e">
        <f t="shared" si="1"/>
        <v>#REF!</v>
      </c>
      <c r="J17" s="479"/>
      <c r="K17" s="477"/>
      <c r="L17" s="467">
        <v>15000</v>
      </c>
      <c r="M17" s="467">
        <v>440</v>
      </c>
      <c r="N17" s="467">
        <v>40000</v>
      </c>
      <c r="O17" s="467">
        <v>0</v>
      </c>
      <c r="P17" s="466">
        <f t="shared" si="4"/>
        <v>0</v>
      </c>
      <c r="Q17" s="466">
        <v>40000</v>
      </c>
      <c r="R17" s="480">
        <v>40000</v>
      </c>
      <c r="S17" s="467">
        <f t="shared" si="3"/>
        <v>0</v>
      </c>
      <c r="T17" s="51"/>
      <c r="U17" s="51"/>
      <c r="V17" s="51"/>
      <c r="W17" s="52"/>
      <c r="X17" s="52"/>
      <c r="Y17" s="52"/>
      <c r="Z17" s="51"/>
      <c r="AA17" s="51"/>
      <c r="AB17" s="51"/>
      <c r="AC17" s="51"/>
      <c r="AD17" s="51"/>
      <c r="AE17" s="51"/>
      <c r="AF17" s="51"/>
    </row>
    <row r="18" spans="1:32" ht="15.75" customHeight="1" x14ac:dyDescent="0.25">
      <c r="A18" s="456" t="s">
        <v>1089</v>
      </c>
      <c r="B18" s="456" t="s">
        <v>88</v>
      </c>
      <c r="C18" s="477"/>
      <c r="D18" s="466">
        <v>641</v>
      </c>
      <c r="E18" s="466" t="e">
        <f>D18*#REF!</f>
        <v>#REF!</v>
      </c>
      <c r="F18" s="466" t="e">
        <f>D18*#REF!</f>
        <v>#REF!</v>
      </c>
      <c r="G18" s="466" t="e">
        <f>(D18*#REF!)*#REF!</f>
        <v>#REF!</v>
      </c>
      <c r="H18" s="478">
        <f t="shared" si="0"/>
        <v>2.1357254290171608</v>
      </c>
      <c r="I18" s="466" t="e">
        <f t="shared" si="1"/>
        <v>#REF!</v>
      </c>
      <c r="J18" s="479"/>
      <c r="K18" s="477"/>
      <c r="L18" s="467">
        <v>735</v>
      </c>
      <c r="M18" s="467">
        <v>837.07</v>
      </c>
      <c r="N18" s="467">
        <v>2000</v>
      </c>
      <c r="O18" s="467">
        <v>1054.33</v>
      </c>
      <c r="P18" s="484">
        <f>N18</f>
        <v>2000</v>
      </c>
      <c r="Q18" s="466">
        <v>2010</v>
      </c>
      <c r="R18" s="480">
        <v>2010</v>
      </c>
      <c r="S18" s="467">
        <f t="shared" si="3"/>
        <v>0</v>
      </c>
      <c r="T18" s="51"/>
      <c r="U18" s="51"/>
      <c r="V18" s="51"/>
      <c r="W18" s="52"/>
      <c r="X18" s="52"/>
      <c r="Y18" s="52"/>
      <c r="Z18" s="51"/>
      <c r="AA18" s="51"/>
      <c r="AB18" s="51"/>
      <c r="AC18" s="51"/>
      <c r="AD18" s="51"/>
      <c r="AE18" s="51"/>
      <c r="AF18" s="51"/>
    </row>
    <row r="19" spans="1:32" ht="15.75" customHeight="1" x14ac:dyDescent="0.25">
      <c r="A19" s="456" t="s">
        <v>1090</v>
      </c>
      <c r="B19" s="456" t="s">
        <v>1091</v>
      </c>
      <c r="C19" s="477"/>
      <c r="D19" s="466">
        <v>0</v>
      </c>
      <c r="E19" s="466" t="e">
        <f>D19*#REF!</f>
        <v>#REF!</v>
      </c>
      <c r="F19" s="466" t="e">
        <f>D19*#REF!</f>
        <v>#REF!</v>
      </c>
      <c r="G19" s="466" t="e">
        <f>(D19*#REF!)*#REF!</f>
        <v>#REF!</v>
      </c>
      <c r="H19" s="478">
        <f t="shared" si="0"/>
        <v>0</v>
      </c>
      <c r="I19" s="466" t="e">
        <f t="shared" si="1"/>
        <v>#REF!</v>
      </c>
      <c r="J19" s="479"/>
      <c r="K19" s="477"/>
      <c r="L19" s="467">
        <v>29647</v>
      </c>
      <c r="M19" s="467">
        <v>0</v>
      </c>
      <c r="N19" s="467">
        <v>0</v>
      </c>
      <c r="O19" s="467">
        <v>0</v>
      </c>
      <c r="P19" s="466">
        <f t="shared" ref="P19:P20" si="5">O19/9*12</f>
        <v>0</v>
      </c>
      <c r="Q19" s="466">
        <v>0</v>
      </c>
      <c r="R19" s="482">
        <v>0</v>
      </c>
      <c r="S19" s="467">
        <f t="shared" si="3"/>
        <v>0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</row>
    <row r="20" spans="1:32" ht="15.75" customHeight="1" x14ac:dyDescent="0.25">
      <c r="A20" s="456" t="s">
        <v>1092</v>
      </c>
      <c r="B20" s="456" t="s">
        <v>1093</v>
      </c>
      <c r="C20" s="477"/>
      <c r="D20" s="466">
        <v>0</v>
      </c>
      <c r="E20" s="466" t="e">
        <f>D20*#REF!</f>
        <v>#REF!</v>
      </c>
      <c r="F20" s="466" t="e">
        <f>D20*#REF!</f>
        <v>#REF!</v>
      </c>
      <c r="G20" s="466" t="e">
        <f>(D20*#REF!)*#REF!</f>
        <v>#REF!</v>
      </c>
      <c r="H20" s="478">
        <f t="shared" si="0"/>
        <v>0</v>
      </c>
      <c r="I20" s="466" t="e">
        <f t="shared" si="1"/>
        <v>#REF!</v>
      </c>
      <c r="J20" s="479"/>
      <c r="K20" s="477"/>
      <c r="L20" s="467">
        <v>52440</v>
      </c>
      <c r="M20" s="467">
        <v>162301.41</v>
      </c>
      <c r="N20" s="467">
        <v>1624805</v>
      </c>
      <c r="O20" s="467">
        <v>103254.54</v>
      </c>
      <c r="P20" s="466">
        <f t="shared" si="5"/>
        <v>137672.71999999997</v>
      </c>
      <c r="Q20" s="466">
        <v>1581000</v>
      </c>
      <c r="R20" s="480">
        <v>1581000</v>
      </c>
      <c r="S20" s="467">
        <f t="shared" si="3"/>
        <v>0</v>
      </c>
      <c r="T20" s="51"/>
      <c r="U20" s="51"/>
      <c r="V20" s="51"/>
      <c r="W20" s="52"/>
      <c r="X20" s="52"/>
      <c r="Y20" s="52"/>
      <c r="Z20" s="51"/>
      <c r="AA20" s="51"/>
      <c r="AB20" s="51"/>
      <c r="AC20" s="51"/>
      <c r="AD20" s="51"/>
      <c r="AE20" s="51"/>
      <c r="AF20" s="51"/>
    </row>
    <row r="21" spans="1:32" ht="15.75" customHeight="1" x14ac:dyDescent="0.25">
      <c r="A21" s="456" t="s">
        <v>1094</v>
      </c>
      <c r="B21" s="456" t="s">
        <v>92</v>
      </c>
      <c r="C21" s="477"/>
      <c r="D21" s="466">
        <v>724</v>
      </c>
      <c r="E21" s="466" t="e">
        <f>D21*#REF!</f>
        <v>#REF!</v>
      </c>
      <c r="F21" s="466" t="e">
        <f>D21*#REF!</f>
        <v>#REF!</v>
      </c>
      <c r="G21" s="466" t="e">
        <f>(D21*#REF!)*#REF!</f>
        <v>#REF!</v>
      </c>
      <c r="H21" s="478">
        <f t="shared" si="0"/>
        <v>0.38121546961325969</v>
      </c>
      <c r="I21" s="466" t="e">
        <f t="shared" si="1"/>
        <v>#REF!</v>
      </c>
      <c r="J21" s="479"/>
      <c r="K21" s="477"/>
      <c r="L21" s="467">
        <v>666</v>
      </c>
      <c r="M21" s="467">
        <v>883.87</v>
      </c>
      <c r="N21" s="467">
        <v>1000</v>
      </c>
      <c r="O21" s="467">
        <v>993.61</v>
      </c>
      <c r="P21" s="466">
        <f t="shared" ref="P21:P22" si="6">O21</f>
        <v>993.61</v>
      </c>
      <c r="Q21" s="466">
        <v>1000</v>
      </c>
      <c r="R21" s="480">
        <v>1000</v>
      </c>
      <c r="S21" s="467">
        <f t="shared" si="3"/>
        <v>0</v>
      </c>
      <c r="T21" s="51"/>
      <c r="U21" s="51"/>
      <c r="V21" s="51"/>
      <c r="W21" s="52"/>
      <c r="X21" s="52"/>
      <c r="Y21" s="52"/>
      <c r="Z21" s="51"/>
      <c r="AA21" s="51"/>
      <c r="AB21" s="51"/>
      <c r="AC21" s="51"/>
      <c r="AD21" s="51"/>
      <c r="AE21" s="51"/>
      <c r="AF21" s="51"/>
    </row>
    <row r="22" spans="1:32" ht="15.75" customHeight="1" x14ac:dyDescent="0.25">
      <c r="A22" s="456" t="s">
        <v>1095</v>
      </c>
      <c r="B22" s="456" t="s">
        <v>94</v>
      </c>
      <c r="C22" s="477"/>
      <c r="D22" s="466">
        <v>18985</v>
      </c>
      <c r="E22" s="466" t="e">
        <f>D22*#REF!</f>
        <v>#REF!</v>
      </c>
      <c r="F22" s="466" t="e">
        <f>D22*#REF!</f>
        <v>#REF!</v>
      </c>
      <c r="G22" s="466" t="e">
        <f>(D22*#REF!)*#REF!</f>
        <v>#REF!</v>
      </c>
      <c r="H22" s="481">
        <f t="shared" si="0"/>
        <v>-0.73663418488280219</v>
      </c>
      <c r="I22" s="466" t="e">
        <f t="shared" si="1"/>
        <v>#REF!</v>
      </c>
      <c r="J22" s="479"/>
      <c r="K22" s="477"/>
      <c r="L22" s="467">
        <v>2300</v>
      </c>
      <c r="M22" s="467">
        <v>2278.15</v>
      </c>
      <c r="N22" s="467">
        <v>5000</v>
      </c>
      <c r="O22" s="467">
        <v>2571.52</v>
      </c>
      <c r="P22" s="466">
        <f t="shared" si="6"/>
        <v>2571.52</v>
      </c>
      <c r="Q22" s="466">
        <v>5000</v>
      </c>
      <c r="R22" s="480">
        <v>5000</v>
      </c>
      <c r="S22" s="467">
        <f t="shared" si="3"/>
        <v>0</v>
      </c>
      <c r="T22" s="51"/>
      <c r="U22" s="51"/>
      <c r="V22" s="51"/>
      <c r="W22" s="52"/>
      <c r="X22" s="52"/>
      <c r="Y22" s="52"/>
      <c r="Z22" s="51"/>
      <c r="AA22" s="51"/>
      <c r="AB22" s="51"/>
      <c r="AC22" s="51"/>
      <c r="AD22" s="51"/>
      <c r="AE22" s="51"/>
      <c r="AF22" s="51"/>
    </row>
    <row r="23" spans="1:32" ht="15.75" customHeight="1" x14ac:dyDescent="0.25">
      <c r="A23" s="456" t="s">
        <v>1096</v>
      </c>
      <c r="B23" s="456" t="s">
        <v>532</v>
      </c>
      <c r="C23" s="477"/>
      <c r="D23" s="466">
        <v>0</v>
      </c>
      <c r="E23" s="466" t="e">
        <f>D23*#REF!</f>
        <v>#REF!</v>
      </c>
      <c r="F23" s="466" t="e">
        <f>D23*#REF!</f>
        <v>#REF!</v>
      </c>
      <c r="G23" s="466" t="e">
        <f>(D23*#REF!)*#REF!</f>
        <v>#REF!</v>
      </c>
      <c r="H23" s="478">
        <f t="shared" si="0"/>
        <v>0</v>
      </c>
      <c r="I23" s="466" t="e">
        <f t="shared" si="1"/>
        <v>#REF!</v>
      </c>
      <c r="J23" s="479"/>
      <c r="K23" s="477"/>
      <c r="L23" s="467">
        <v>0</v>
      </c>
      <c r="M23" s="467">
        <v>50</v>
      </c>
      <c r="N23" s="467">
        <v>0</v>
      </c>
      <c r="O23" s="467">
        <v>0</v>
      </c>
      <c r="P23" s="466">
        <f>O23/9*12</f>
        <v>0</v>
      </c>
      <c r="Q23" s="466">
        <v>0</v>
      </c>
      <c r="R23" s="467">
        <v>0</v>
      </c>
      <c r="S23" s="467">
        <f t="shared" si="3"/>
        <v>0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</row>
    <row r="24" spans="1:32" ht="15.75" customHeight="1" x14ac:dyDescent="0.25">
      <c r="A24" s="485" t="s">
        <v>1097</v>
      </c>
      <c r="B24" s="485"/>
      <c r="C24" s="486"/>
      <c r="D24" s="487">
        <f t="shared" ref="D24:G24" si="7">SUM(D6:D23)</f>
        <v>97555</v>
      </c>
      <c r="E24" s="487" t="e">
        <f t="shared" si="7"/>
        <v>#REF!</v>
      </c>
      <c r="F24" s="487" t="e">
        <f t="shared" si="7"/>
        <v>#REF!</v>
      </c>
      <c r="G24" s="487" t="e">
        <f t="shared" si="7"/>
        <v>#REF!</v>
      </c>
      <c r="H24" s="488">
        <f t="shared" si="0"/>
        <v>17.70647327148788</v>
      </c>
      <c r="I24" s="487" t="e">
        <f t="shared" ref="I24:J24" si="8">SUM(I6:I23)</f>
        <v>#REF!</v>
      </c>
      <c r="J24" s="487">
        <f t="shared" si="8"/>
        <v>0</v>
      </c>
      <c r="K24" s="486"/>
      <c r="L24" s="489">
        <f t="shared" ref="L24:S24" si="9">SUM(L6:L23)</f>
        <v>196516</v>
      </c>
      <c r="M24" s="489">
        <f t="shared" si="9"/>
        <v>315461.98000000004</v>
      </c>
      <c r="N24" s="489">
        <f t="shared" si="9"/>
        <v>1852379.5</v>
      </c>
      <c r="O24" s="489">
        <f t="shared" si="9"/>
        <v>230892.03999999995</v>
      </c>
      <c r="P24" s="487">
        <f t="shared" si="9"/>
        <v>303379.57866666664</v>
      </c>
      <c r="Q24" s="487">
        <f t="shared" si="9"/>
        <v>1824910</v>
      </c>
      <c r="R24" s="489">
        <f t="shared" si="9"/>
        <v>1824910</v>
      </c>
      <c r="S24" s="489">
        <f t="shared" si="9"/>
        <v>0</v>
      </c>
    </row>
    <row r="25" spans="1:32" ht="15.75" customHeight="1" x14ac:dyDescent="0.25">
      <c r="A25" s="456"/>
      <c r="B25" s="456"/>
      <c r="C25" s="457"/>
      <c r="D25" s="458"/>
      <c r="E25" s="458"/>
      <c r="F25" s="458"/>
      <c r="G25" s="458"/>
      <c r="H25" s="460"/>
      <c r="I25" s="458"/>
      <c r="J25" s="458"/>
      <c r="K25" s="461"/>
      <c r="L25" s="462"/>
      <c r="M25" s="462"/>
      <c r="N25" s="462"/>
      <c r="O25" s="462"/>
      <c r="P25" s="462"/>
      <c r="Q25" s="462"/>
      <c r="R25" s="462"/>
      <c r="S25" s="462"/>
    </row>
    <row r="26" spans="1:32" ht="15.75" customHeight="1" x14ac:dyDescent="0.25">
      <c r="A26" s="485" t="s">
        <v>184</v>
      </c>
      <c r="B26" s="456"/>
      <c r="C26" s="457"/>
      <c r="D26" s="458"/>
      <c r="E26" s="458"/>
      <c r="F26" s="458"/>
      <c r="G26" s="458"/>
      <c r="H26" s="460"/>
      <c r="I26" s="458"/>
      <c r="J26" s="458"/>
      <c r="K26" s="461"/>
      <c r="L26" s="462"/>
      <c r="M26" s="462"/>
      <c r="N26" s="462"/>
      <c r="O26" s="462"/>
      <c r="P26" s="462"/>
      <c r="Q26" s="462"/>
      <c r="R26" s="462"/>
      <c r="S26" s="462"/>
    </row>
    <row r="27" spans="1:32" ht="15.75" customHeight="1" x14ac:dyDescent="0.25">
      <c r="A27" s="456" t="s">
        <v>1098</v>
      </c>
      <c r="B27" s="456" t="s">
        <v>1099</v>
      </c>
      <c r="C27" s="477"/>
      <c r="D27" s="466">
        <v>-23593.53</v>
      </c>
      <c r="E27" s="466" t="e">
        <f>D27*#REF!</f>
        <v>#REF!</v>
      </c>
      <c r="F27" s="466" t="e">
        <f>D27*#REF!</f>
        <v>#REF!</v>
      </c>
      <c r="G27" s="466" t="e">
        <f>(D27*#REF!)*#REF!</f>
        <v>#REF!</v>
      </c>
      <c r="H27" s="481">
        <f t="shared" ref="H27:H31" si="10">IFERROR(((Q27-G27)/G27),0)</f>
        <v>0</v>
      </c>
      <c r="I27" s="466" t="e">
        <f t="shared" ref="I27:I30" si="11">Q27-G27</f>
        <v>#REF!</v>
      </c>
      <c r="J27" s="479"/>
      <c r="K27" s="477"/>
      <c r="L27" s="467">
        <v>0</v>
      </c>
      <c r="M27" s="467">
        <v>0</v>
      </c>
      <c r="N27" s="467">
        <v>0</v>
      </c>
      <c r="O27" s="463"/>
      <c r="P27" s="466">
        <f>O27/9*12</f>
        <v>0</v>
      </c>
      <c r="Q27" s="466">
        <v>0</v>
      </c>
      <c r="R27" s="467">
        <v>0</v>
      </c>
      <c r="S27" s="467">
        <f t="shared" ref="S27:S30" si="12">R27-Q27</f>
        <v>0</v>
      </c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</row>
    <row r="28" spans="1:32" ht="15.75" customHeight="1" x14ac:dyDescent="0.25">
      <c r="A28" s="456" t="s">
        <v>1100</v>
      </c>
      <c r="B28" s="456" t="s">
        <v>1101</v>
      </c>
      <c r="C28" s="477"/>
      <c r="D28" s="466">
        <v>-46779.6</v>
      </c>
      <c r="E28" s="466" t="e">
        <f>D28*#REF!</f>
        <v>#REF!</v>
      </c>
      <c r="F28" s="466" t="e">
        <f>D28*#REF!</f>
        <v>#REF!</v>
      </c>
      <c r="G28" s="466" t="e">
        <f>(D28*#REF!)*#REF!</f>
        <v>#REF!</v>
      </c>
      <c r="H28" s="481">
        <f t="shared" si="10"/>
        <v>0</v>
      </c>
      <c r="I28" s="466" t="e">
        <f t="shared" si="11"/>
        <v>#REF!</v>
      </c>
      <c r="J28" s="479"/>
      <c r="K28" s="477"/>
      <c r="L28" s="467">
        <v>-48273.2</v>
      </c>
      <c r="M28" s="467">
        <v>-30854.400000000001</v>
      </c>
      <c r="N28" s="467">
        <v>-46000</v>
      </c>
      <c r="O28" s="467">
        <v>-70854.399999999994</v>
      </c>
      <c r="P28" s="484">
        <f>N28</f>
        <v>-46000</v>
      </c>
      <c r="Q28" s="466">
        <v>-40000</v>
      </c>
      <c r="R28" s="467">
        <v>-40000</v>
      </c>
      <c r="S28" s="467">
        <f t="shared" si="12"/>
        <v>0</v>
      </c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</row>
    <row r="29" spans="1:32" ht="15.75" customHeight="1" x14ac:dyDescent="0.25">
      <c r="A29" s="456" t="s">
        <v>1102</v>
      </c>
      <c r="B29" s="456" t="s">
        <v>1103</v>
      </c>
      <c r="C29" s="477"/>
      <c r="D29" s="466">
        <v>-20</v>
      </c>
      <c r="E29" s="466" t="e">
        <f>D29*#REF!</f>
        <v>#REF!</v>
      </c>
      <c r="F29" s="466" t="e">
        <f>D29*#REF!</f>
        <v>#REF!</v>
      </c>
      <c r="G29" s="466" t="e">
        <f>(D29*#REF!)*#REF!</f>
        <v>#REF!</v>
      </c>
      <c r="H29" s="481">
        <f t="shared" si="10"/>
        <v>0</v>
      </c>
      <c r="I29" s="466" t="e">
        <f t="shared" si="11"/>
        <v>#REF!</v>
      </c>
      <c r="J29" s="479"/>
      <c r="K29" s="477"/>
      <c r="L29" s="467">
        <v>0</v>
      </c>
      <c r="M29" s="467">
        <v>0</v>
      </c>
      <c r="N29" s="467">
        <v>-75000</v>
      </c>
      <c r="O29" s="467">
        <v>-70200</v>
      </c>
      <c r="P29" s="466">
        <f t="shared" ref="P29:P30" si="13">O29/9*12</f>
        <v>-93600</v>
      </c>
      <c r="Q29" s="466">
        <v>0</v>
      </c>
      <c r="R29" s="467">
        <v>0</v>
      </c>
      <c r="S29" s="467">
        <f t="shared" si="12"/>
        <v>0</v>
      </c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</row>
    <row r="30" spans="1:32" ht="15.75" customHeight="1" x14ac:dyDescent="0.25">
      <c r="A30" s="456" t="s">
        <v>1104</v>
      </c>
      <c r="B30" s="456" t="s">
        <v>1105</v>
      </c>
      <c r="C30" s="477"/>
      <c r="D30" s="466">
        <v>0</v>
      </c>
      <c r="E30" s="466" t="e">
        <f>D30*#REF!</f>
        <v>#REF!</v>
      </c>
      <c r="F30" s="466" t="e">
        <f>D30*#REF!</f>
        <v>#REF!</v>
      </c>
      <c r="G30" s="466" t="e">
        <f>(D30*#REF!)*#REF!</f>
        <v>#REF!</v>
      </c>
      <c r="H30" s="478">
        <f t="shared" si="10"/>
        <v>0</v>
      </c>
      <c r="I30" s="466" t="e">
        <f t="shared" si="11"/>
        <v>#REF!</v>
      </c>
      <c r="J30" s="479"/>
      <c r="K30" s="477"/>
      <c r="L30" s="467">
        <v>0</v>
      </c>
      <c r="M30" s="467">
        <v>0</v>
      </c>
      <c r="N30" s="467">
        <v>-1000</v>
      </c>
      <c r="O30" s="467">
        <v>0</v>
      </c>
      <c r="P30" s="466">
        <f t="shared" si="13"/>
        <v>0</v>
      </c>
      <c r="Q30" s="466">
        <v>-1000</v>
      </c>
      <c r="R30" s="467">
        <v>-1000</v>
      </c>
      <c r="S30" s="467">
        <f t="shared" si="12"/>
        <v>0</v>
      </c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</row>
    <row r="31" spans="1:32" ht="15.75" customHeight="1" x14ac:dyDescent="0.25">
      <c r="A31" s="485" t="s">
        <v>189</v>
      </c>
      <c r="B31" s="485"/>
      <c r="C31" s="490"/>
      <c r="D31" s="459">
        <f t="shared" ref="D31:G31" si="14">SUM(D26:D30)</f>
        <v>-70393.13</v>
      </c>
      <c r="E31" s="459" t="e">
        <f t="shared" si="14"/>
        <v>#REF!</v>
      </c>
      <c r="F31" s="459" t="e">
        <f t="shared" si="14"/>
        <v>#REF!</v>
      </c>
      <c r="G31" s="459" t="e">
        <f t="shared" si="14"/>
        <v>#REF!</v>
      </c>
      <c r="H31" s="488">
        <f t="shared" si="10"/>
        <v>0</v>
      </c>
      <c r="I31" s="459" t="e">
        <f t="shared" ref="I31:J31" si="15">SUM(I26:I30)</f>
        <v>#REF!</v>
      </c>
      <c r="J31" s="459">
        <f t="shared" si="15"/>
        <v>0</v>
      </c>
      <c r="K31" s="490"/>
      <c r="L31" s="491">
        <f t="shared" ref="L31:S31" si="16">SUM(L26:L30)</f>
        <v>-48273.2</v>
      </c>
      <c r="M31" s="491">
        <f t="shared" si="16"/>
        <v>-30854.400000000001</v>
      </c>
      <c r="N31" s="491">
        <f t="shared" si="16"/>
        <v>-122000</v>
      </c>
      <c r="O31" s="491">
        <f t="shared" si="16"/>
        <v>-141054.39999999999</v>
      </c>
      <c r="P31" s="459">
        <f t="shared" si="16"/>
        <v>-139600</v>
      </c>
      <c r="Q31" s="459">
        <f t="shared" si="16"/>
        <v>-41000</v>
      </c>
      <c r="R31" s="491">
        <f t="shared" si="16"/>
        <v>-41000</v>
      </c>
      <c r="S31" s="491">
        <f t="shared" si="16"/>
        <v>0</v>
      </c>
    </row>
    <row r="32" spans="1:32" ht="15.75" customHeight="1" x14ac:dyDescent="0.25">
      <c r="A32" s="456"/>
      <c r="B32" s="456"/>
      <c r="C32" s="457"/>
      <c r="D32" s="458"/>
      <c r="E32" s="458"/>
      <c r="F32" s="458"/>
      <c r="G32" s="458"/>
      <c r="H32" s="460"/>
      <c r="I32" s="458"/>
      <c r="J32" s="458"/>
      <c r="K32" s="461"/>
      <c r="L32" s="462"/>
      <c r="M32" s="462"/>
      <c r="N32" s="462"/>
      <c r="O32" s="462"/>
      <c r="P32" s="462"/>
      <c r="Q32" s="462"/>
      <c r="R32" s="462"/>
      <c r="S32" s="462"/>
    </row>
    <row r="33" spans="1:32" ht="15.75" customHeight="1" x14ac:dyDescent="0.25">
      <c r="A33" s="485" t="s">
        <v>190</v>
      </c>
      <c r="B33" s="456"/>
      <c r="C33" s="490"/>
      <c r="D33" s="459">
        <f t="shared" ref="D33:G33" si="17">D31+D24</f>
        <v>27161.869999999995</v>
      </c>
      <c r="E33" s="459" t="e">
        <f t="shared" si="17"/>
        <v>#REF!</v>
      </c>
      <c r="F33" s="459" t="e">
        <f t="shared" si="17"/>
        <v>#REF!</v>
      </c>
      <c r="G33" s="459" t="e">
        <f t="shared" si="17"/>
        <v>#REF!</v>
      </c>
      <c r="H33" s="488">
        <f>IFERROR(((Q33-G33)/G33),0)</f>
        <v>0</v>
      </c>
      <c r="I33" s="459" t="e">
        <f>Q33-G33</f>
        <v>#REF!</v>
      </c>
      <c r="J33" s="459">
        <f>SUM(J32)</f>
        <v>0</v>
      </c>
      <c r="K33" s="490"/>
      <c r="L33" s="491">
        <f t="shared" ref="L33:S33" si="18">L31+L24</f>
        <v>148242.79999999999</v>
      </c>
      <c r="M33" s="491">
        <f t="shared" si="18"/>
        <v>284607.58</v>
      </c>
      <c r="N33" s="491">
        <f t="shared" si="18"/>
        <v>1730379.5</v>
      </c>
      <c r="O33" s="491">
        <f t="shared" si="18"/>
        <v>89837.639999999956</v>
      </c>
      <c r="P33" s="459">
        <f t="shared" si="18"/>
        <v>163779.57866666664</v>
      </c>
      <c r="Q33" s="459">
        <f t="shared" si="18"/>
        <v>1783910</v>
      </c>
      <c r="R33" s="491">
        <f t="shared" si="18"/>
        <v>1783910</v>
      </c>
      <c r="S33" s="491">
        <f t="shared" si="18"/>
        <v>0</v>
      </c>
    </row>
    <row r="34" spans="1:32" ht="15.75" customHeight="1" x14ac:dyDescent="0.2">
      <c r="A34" s="350"/>
      <c r="B34" s="350"/>
      <c r="C34" s="351"/>
      <c r="D34" s="352"/>
      <c r="E34" s="352"/>
      <c r="F34" s="352"/>
      <c r="G34" s="352"/>
      <c r="H34" s="350"/>
      <c r="I34" s="352"/>
      <c r="J34" s="352"/>
      <c r="K34" s="353"/>
      <c r="L34" s="352"/>
      <c r="M34" s="352"/>
      <c r="N34" s="352"/>
      <c r="O34" s="352"/>
      <c r="P34" s="352"/>
      <c r="Q34" s="352"/>
      <c r="R34" s="352"/>
      <c r="S34" s="352"/>
    </row>
    <row r="35" spans="1:32" ht="15.75" customHeight="1" x14ac:dyDescent="0.2">
      <c r="A35" s="29"/>
      <c r="B35" s="94"/>
      <c r="C35" s="354"/>
      <c r="D35" s="355"/>
      <c r="E35" s="355"/>
      <c r="F35" s="355"/>
      <c r="G35" s="355"/>
      <c r="H35" s="29"/>
      <c r="I35" s="355"/>
      <c r="J35" s="355"/>
      <c r="K35" s="356"/>
      <c r="L35" s="346" t="s">
        <v>59</v>
      </c>
      <c r="M35" s="345" t="s">
        <v>60</v>
      </c>
      <c r="N35" s="346" t="s">
        <v>61</v>
      </c>
      <c r="O35" s="346" t="s">
        <v>62</v>
      </c>
      <c r="P35" s="346" t="s">
        <v>63</v>
      </c>
      <c r="Q35" s="346" t="s">
        <v>64</v>
      </c>
      <c r="R35" s="346" t="s">
        <v>65</v>
      </c>
      <c r="S35" s="346" t="str">
        <f>Q5</f>
        <v>2026
 Requested
 Budget</v>
      </c>
    </row>
    <row r="36" spans="1:32" ht="15.75" customHeight="1" x14ac:dyDescent="0.2">
      <c r="A36" s="357"/>
      <c r="B36" s="357"/>
      <c r="C36" s="358"/>
      <c r="D36" s="359"/>
      <c r="E36" s="359"/>
      <c r="F36" s="54"/>
      <c r="G36" s="54"/>
      <c r="I36" s="54"/>
      <c r="J36" s="54"/>
      <c r="K36" s="180"/>
      <c r="L36" s="360" t="s">
        <v>103</v>
      </c>
      <c r="M36" s="360">
        <f t="shared" ref="M36:S36" si="19">L24</f>
        <v>196516</v>
      </c>
      <c r="N36" s="360">
        <f t="shared" si="19"/>
        <v>315461.98000000004</v>
      </c>
      <c r="O36" s="360">
        <f t="shared" si="19"/>
        <v>1852379.5</v>
      </c>
      <c r="P36" s="360">
        <f t="shared" si="19"/>
        <v>230892.03999999995</v>
      </c>
      <c r="Q36" s="360">
        <f t="shared" si="19"/>
        <v>303379.57866666664</v>
      </c>
      <c r="R36" s="360">
        <f t="shared" si="19"/>
        <v>1824910</v>
      </c>
      <c r="S36" s="360">
        <f t="shared" si="19"/>
        <v>1824910</v>
      </c>
      <c r="Z36" s="361"/>
      <c r="AA36" s="361"/>
      <c r="AB36" s="361"/>
      <c r="AC36" s="361"/>
      <c r="AD36" s="361"/>
      <c r="AE36" s="361"/>
      <c r="AF36" s="361"/>
    </row>
    <row r="37" spans="1:32" ht="15.75" customHeight="1" x14ac:dyDescent="0.2">
      <c r="A37" s="51"/>
      <c r="B37" s="62"/>
      <c r="C37" s="362"/>
      <c r="D37" s="363"/>
      <c r="E37" s="363"/>
      <c r="F37" s="54"/>
      <c r="G37" s="54"/>
      <c r="I37" s="54"/>
      <c r="J37" s="54"/>
      <c r="K37" s="180"/>
      <c r="L37" s="54"/>
      <c r="M37" s="54"/>
      <c r="N37" s="54"/>
      <c r="O37" s="54"/>
      <c r="P37" s="54"/>
      <c r="Q37" s="54"/>
    </row>
    <row r="38" spans="1:32" ht="15.75" customHeight="1" x14ac:dyDescent="0.2">
      <c r="C38" s="60"/>
      <c r="D38" s="54"/>
      <c r="E38" s="54"/>
      <c r="F38" s="54"/>
      <c r="G38" s="54"/>
      <c r="I38" s="54"/>
      <c r="J38" s="54"/>
      <c r="K38" s="180"/>
      <c r="L38" s="54"/>
      <c r="M38" s="54"/>
      <c r="N38" s="54"/>
      <c r="O38" s="54"/>
      <c r="P38" s="54"/>
      <c r="Q38" s="54"/>
      <c r="R38" s="54"/>
      <c r="S38" s="54"/>
    </row>
    <row r="39" spans="1:32" ht="15.75" customHeight="1" x14ac:dyDescent="0.2">
      <c r="C39" s="60"/>
      <c r="D39" s="54"/>
      <c r="E39" s="54"/>
      <c r="F39" s="54"/>
      <c r="G39" s="54"/>
      <c r="I39" s="54"/>
      <c r="J39" s="54"/>
      <c r="K39" s="180"/>
      <c r="L39" s="54"/>
      <c r="M39" s="54"/>
      <c r="N39" s="54"/>
      <c r="O39" s="54"/>
      <c r="P39" s="54"/>
      <c r="Q39" s="54"/>
      <c r="R39" s="54"/>
      <c r="S39" s="54"/>
    </row>
    <row r="40" spans="1:32" ht="15.75" customHeight="1" x14ac:dyDescent="0.2">
      <c r="C40" s="60"/>
      <c r="D40" s="54"/>
      <c r="E40" s="54"/>
      <c r="F40" s="54"/>
      <c r="G40" s="54"/>
      <c r="I40" s="54"/>
      <c r="J40" s="54"/>
      <c r="K40" s="180"/>
      <c r="L40" s="54"/>
      <c r="M40" s="54"/>
      <c r="N40" s="54"/>
      <c r="O40" s="54"/>
      <c r="P40" s="54"/>
      <c r="Q40" s="54"/>
      <c r="R40" s="54"/>
      <c r="S40" s="54"/>
    </row>
    <row r="41" spans="1:32" ht="15.75" customHeight="1" x14ac:dyDescent="0.2">
      <c r="C41" s="60"/>
      <c r="D41" s="54"/>
      <c r="E41" s="54"/>
      <c r="F41" s="54"/>
      <c r="G41" s="54"/>
      <c r="I41" s="54"/>
      <c r="J41" s="54"/>
      <c r="K41" s="180"/>
      <c r="L41" s="54"/>
      <c r="M41" s="54"/>
      <c r="N41" s="54"/>
      <c r="O41" s="54"/>
      <c r="P41" s="54"/>
      <c r="Q41" s="54"/>
      <c r="R41" s="54"/>
      <c r="S41" s="54"/>
    </row>
    <row r="42" spans="1:32" ht="15.75" customHeight="1" x14ac:dyDescent="0.2">
      <c r="C42" s="60"/>
      <c r="D42" s="54"/>
      <c r="E42" s="54"/>
      <c r="F42" s="54"/>
      <c r="G42" s="54"/>
      <c r="I42" s="54"/>
      <c r="J42" s="54"/>
      <c r="K42" s="180"/>
      <c r="L42" s="54"/>
      <c r="M42" s="54"/>
      <c r="N42" s="54"/>
      <c r="O42" s="54"/>
      <c r="P42" s="54"/>
      <c r="Q42" s="54"/>
      <c r="R42" s="54"/>
      <c r="S42" s="54"/>
    </row>
    <row r="43" spans="1:32" ht="15.75" customHeight="1" x14ac:dyDescent="0.2">
      <c r="C43" s="60"/>
      <c r="D43" s="54"/>
      <c r="E43" s="54"/>
      <c r="F43" s="54"/>
      <c r="G43" s="54"/>
      <c r="I43" s="54"/>
      <c r="J43" s="54"/>
      <c r="K43" s="180"/>
      <c r="L43" s="54"/>
      <c r="M43" s="54"/>
      <c r="N43" s="54"/>
      <c r="O43" s="54"/>
      <c r="P43" s="54"/>
      <c r="Q43" s="54"/>
      <c r="R43" s="54"/>
      <c r="S43" s="54"/>
    </row>
    <row r="44" spans="1:32" ht="15.75" customHeight="1" x14ac:dyDescent="0.2">
      <c r="C44" s="60"/>
      <c r="D44" s="54"/>
      <c r="E44" s="54"/>
      <c r="F44" s="54"/>
      <c r="G44" s="54"/>
      <c r="I44" s="54"/>
      <c r="J44" s="54"/>
      <c r="K44" s="180"/>
      <c r="L44" s="54"/>
      <c r="M44" s="54"/>
      <c r="N44" s="54"/>
      <c r="O44" s="54"/>
      <c r="P44" s="54"/>
      <c r="Q44" s="54"/>
      <c r="R44" s="54"/>
      <c r="S44" s="54"/>
    </row>
    <row r="45" spans="1:32" ht="15.75" customHeight="1" x14ac:dyDescent="0.2">
      <c r="C45" s="60"/>
      <c r="D45" s="54"/>
      <c r="E45" s="54"/>
      <c r="F45" s="54"/>
      <c r="G45" s="54"/>
      <c r="I45" s="54"/>
      <c r="J45" s="54"/>
      <c r="K45" s="180"/>
      <c r="L45" s="54"/>
      <c r="M45" s="54"/>
      <c r="N45" s="54"/>
      <c r="O45" s="54"/>
      <c r="P45" s="54"/>
      <c r="Q45" s="54"/>
      <c r="R45" s="54"/>
      <c r="S45" s="54"/>
    </row>
    <row r="46" spans="1:32" ht="15.75" customHeight="1" x14ac:dyDescent="0.2">
      <c r="C46" s="60"/>
      <c r="D46" s="54"/>
      <c r="E46" s="54"/>
      <c r="F46" s="54"/>
      <c r="G46" s="54"/>
      <c r="I46" s="54"/>
      <c r="J46" s="54"/>
      <c r="K46" s="180"/>
      <c r="L46" s="54"/>
      <c r="M46" s="54"/>
      <c r="N46" s="54"/>
      <c r="O46" s="54"/>
      <c r="P46" s="54"/>
      <c r="Q46" s="54"/>
      <c r="R46" s="54"/>
      <c r="S46" s="54"/>
    </row>
    <row r="47" spans="1:32" ht="15.75" customHeight="1" x14ac:dyDescent="0.2">
      <c r="C47" s="60"/>
      <c r="D47" s="54"/>
      <c r="E47" s="54"/>
      <c r="F47" s="54"/>
      <c r="G47" s="54"/>
      <c r="I47" s="54"/>
      <c r="J47" s="54"/>
      <c r="K47" s="180"/>
      <c r="L47" s="54"/>
      <c r="M47" s="54"/>
      <c r="N47" s="54"/>
      <c r="O47" s="54"/>
      <c r="P47" s="54"/>
      <c r="Q47" s="54"/>
      <c r="R47" s="54"/>
      <c r="S47" s="54"/>
    </row>
    <row r="48" spans="1:32" ht="15.75" customHeight="1" x14ac:dyDescent="0.2">
      <c r="C48" s="60"/>
      <c r="D48" s="54"/>
      <c r="E48" s="54"/>
      <c r="F48" s="54"/>
      <c r="G48" s="54"/>
      <c r="I48" s="54"/>
      <c r="J48" s="54"/>
      <c r="K48" s="180"/>
      <c r="L48" s="54"/>
      <c r="M48" s="54"/>
      <c r="N48" s="54"/>
      <c r="O48" s="54"/>
      <c r="P48" s="54"/>
      <c r="Q48" s="54"/>
      <c r="R48" s="54"/>
      <c r="S48" s="54"/>
    </row>
    <row r="49" spans="3:19" ht="15.75" customHeight="1" x14ac:dyDescent="0.2">
      <c r="C49" s="60"/>
      <c r="D49" s="54"/>
      <c r="E49" s="54"/>
      <c r="F49" s="54"/>
      <c r="G49" s="54"/>
      <c r="I49" s="54"/>
      <c r="J49" s="54"/>
      <c r="K49" s="180"/>
      <c r="L49" s="54"/>
      <c r="M49" s="54"/>
      <c r="N49" s="54"/>
      <c r="O49" s="54"/>
      <c r="P49" s="54"/>
      <c r="Q49" s="54"/>
      <c r="R49" s="54"/>
      <c r="S49" s="54"/>
    </row>
    <row r="50" spans="3:19" ht="15.75" customHeight="1" x14ac:dyDescent="0.2">
      <c r="C50" s="60"/>
      <c r="D50" s="54"/>
      <c r="E50" s="54"/>
      <c r="F50" s="54"/>
      <c r="G50" s="54"/>
      <c r="I50" s="54"/>
      <c r="J50" s="54"/>
      <c r="K50" s="180"/>
      <c r="L50" s="54"/>
      <c r="M50" s="54"/>
      <c r="N50" s="54"/>
      <c r="O50" s="54"/>
      <c r="P50" s="54"/>
      <c r="Q50" s="54"/>
      <c r="R50" s="54"/>
      <c r="S50" s="54"/>
    </row>
    <row r="51" spans="3:19" ht="15.75" customHeight="1" x14ac:dyDescent="0.2">
      <c r="C51" s="60"/>
      <c r="D51" s="54"/>
      <c r="E51" s="54"/>
      <c r="F51" s="54"/>
      <c r="G51" s="54"/>
      <c r="I51" s="54"/>
      <c r="J51" s="54"/>
      <c r="K51" s="180"/>
      <c r="L51" s="54"/>
      <c r="M51" s="54"/>
      <c r="N51" s="54"/>
      <c r="O51" s="54"/>
      <c r="P51" s="54"/>
      <c r="Q51" s="54"/>
      <c r="R51" s="54"/>
      <c r="S51" s="54"/>
    </row>
    <row r="52" spans="3:19" ht="15.75" customHeight="1" x14ac:dyDescent="0.2">
      <c r="C52" s="60"/>
      <c r="D52" s="54"/>
      <c r="E52" s="54"/>
      <c r="F52" s="54"/>
      <c r="G52" s="54"/>
      <c r="I52" s="54"/>
      <c r="J52" s="54"/>
      <c r="K52" s="180"/>
      <c r="L52" s="54"/>
      <c r="M52" s="54"/>
      <c r="N52" s="54"/>
      <c r="O52" s="54"/>
      <c r="P52" s="54"/>
      <c r="Q52" s="54"/>
      <c r="R52" s="54"/>
      <c r="S52" s="54"/>
    </row>
    <row r="53" spans="3:19" ht="15.75" customHeight="1" x14ac:dyDescent="0.2">
      <c r="C53" s="60"/>
      <c r="D53" s="54"/>
      <c r="E53" s="54"/>
      <c r="F53" s="54"/>
      <c r="G53" s="54"/>
      <c r="I53" s="54"/>
      <c r="J53" s="54"/>
      <c r="K53" s="180"/>
      <c r="L53" s="54"/>
      <c r="M53" s="54"/>
      <c r="N53" s="54"/>
      <c r="O53" s="54"/>
      <c r="P53" s="54"/>
      <c r="Q53" s="54"/>
      <c r="R53" s="54"/>
      <c r="S53" s="54"/>
    </row>
    <row r="54" spans="3:19" ht="15.75" customHeight="1" x14ac:dyDescent="0.2">
      <c r="C54" s="60"/>
      <c r="D54" s="54"/>
      <c r="E54" s="54"/>
      <c r="F54" s="54"/>
      <c r="G54" s="54"/>
      <c r="I54" s="54"/>
      <c r="J54" s="54"/>
      <c r="K54" s="180"/>
      <c r="L54" s="54"/>
      <c r="M54" s="54"/>
      <c r="N54" s="54"/>
      <c r="O54" s="54"/>
      <c r="P54" s="54"/>
      <c r="Q54" s="54"/>
      <c r="R54" s="54"/>
      <c r="S54" s="54"/>
    </row>
    <row r="55" spans="3:19" ht="15.75" customHeight="1" x14ac:dyDescent="0.2">
      <c r="C55" s="60"/>
      <c r="D55" s="54"/>
      <c r="E55" s="54"/>
      <c r="F55" s="54"/>
      <c r="G55" s="54"/>
      <c r="I55" s="54"/>
      <c r="J55" s="54"/>
      <c r="K55" s="180"/>
      <c r="L55" s="54"/>
      <c r="M55" s="54"/>
      <c r="N55" s="54"/>
      <c r="O55" s="54"/>
      <c r="P55" s="54"/>
      <c r="Q55" s="54"/>
      <c r="R55" s="54"/>
      <c r="S55" s="54"/>
    </row>
    <row r="56" spans="3:19" ht="15.75" customHeight="1" x14ac:dyDescent="0.2">
      <c r="C56" s="60"/>
      <c r="D56" s="54"/>
      <c r="E56" s="54"/>
      <c r="F56" s="54"/>
      <c r="G56" s="54"/>
      <c r="I56" s="54"/>
      <c r="J56" s="54"/>
      <c r="K56" s="180"/>
      <c r="L56" s="54"/>
      <c r="M56" s="54"/>
      <c r="N56" s="54"/>
      <c r="O56" s="54"/>
      <c r="P56" s="54"/>
      <c r="Q56" s="54"/>
      <c r="R56" s="54"/>
      <c r="S56" s="54"/>
    </row>
    <row r="57" spans="3:19" ht="15.75" customHeight="1" x14ac:dyDescent="0.2">
      <c r="C57" s="60"/>
      <c r="D57" s="54"/>
      <c r="E57" s="54"/>
      <c r="F57" s="54"/>
      <c r="G57" s="54"/>
      <c r="I57" s="54"/>
      <c r="J57" s="54"/>
      <c r="K57" s="180"/>
      <c r="L57" s="54"/>
      <c r="M57" s="54"/>
      <c r="N57" s="54"/>
      <c r="O57" s="54"/>
      <c r="P57" s="54"/>
      <c r="Q57" s="54"/>
      <c r="R57" s="54"/>
      <c r="S57" s="54"/>
    </row>
    <row r="58" spans="3:19" ht="15.75" customHeight="1" x14ac:dyDescent="0.2">
      <c r="C58" s="60"/>
      <c r="D58" s="54"/>
      <c r="E58" s="54"/>
      <c r="F58" s="54"/>
      <c r="G58" s="54"/>
      <c r="I58" s="54"/>
      <c r="J58" s="54"/>
      <c r="K58" s="180"/>
      <c r="L58" s="54"/>
      <c r="M58" s="54"/>
      <c r="N58" s="54"/>
      <c r="O58" s="54"/>
      <c r="P58" s="54"/>
      <c r="Q58" s="54"/>
      <c r="R58" s="54"/>
      <c r="S58" s="54"/>
    </row>
    <row r="59" spans="3:19" ht="15.75" customHeight="1" x14ac:dyDescent="0.2">
      <c r="C59" s="60"/>
      <c r="D59" s="54"/>
      <c r="E59" s="54"/>
      <c r="F59" s="54"/>
      <c r="G59" s="54"/>
      <c r="I59" s="54"/>
      <c r="J59" s="54"/>
      <c r="K59" s="180"/>
      <c r="L59" s="54"/>
      <c r="M59" s="54"/>
      <c r="N59" s="54"/>
      <c r="O59" s="54"/>
      <c r="P59" s="54"/>
      <c r="Q59" s="54"/>
      <c r="R59" s="54"/>
      <c r="S59" s="54"/>
    </row>
    <row r="60" spans="3:19" ht="15.75" customHeight="1" x14ac:dyDescent="0.2">
      <c r="C60" s="60"/>
      <c r="D60" s="54"/>
      <c r="E60" s="54"/>
      <c r="F60" s="54"/>
      <c r="G60" s="54"/>
      <c r="I60" s="54"/>
      <c r="J60" s="54"/>
      <c r="K60" s="180"/>
      <c r="L60" s="54"/>
      <c r="M60" s="54"/>
      <c r="N60" s="54"/>
      <c r="O60" s="54"/>
      <c r="P60" s="54"/>
      <c r="Q60" s="54"/>
      <c r="R60" s="54"/>
      <c r="S60" s="54"/>
    </row>
    <row r="61" spans="3:19" ht="15.75" customHeight="1" x14ac:dyDescent="0.2">
      <c r="C61" s="60"/>
      <c r="D61" s="54"/>
      <c r="E61" s="54"/>
      <c r="F61" s="54"/>
      <c r="G61" s="54"/>
      <c r="I61" s="54"/>
      <c r="J61" s="54"/>
      <c r="K61" s="180"/>
      <c r="L61" s="54"/>
      <c r="M61" s="54"/>
      <c r="N61" s="54"/>
      <c r="O61" s="54"/>
      <c r="P61" s="54"/>
      <c r="Q61" s="54"/>
      <c r="R61" s="54"/>
      <c r="S61" s="54"/>
    </row>
    <row r="62" spans="3:19" ht="15.75" customHeight="1" x14ac:dyDescent="0.2">
      <c r="C62" s="60"/>
      <c r="D62" s="54"/>
      <c r="E62" s="54"/>
      <c r="F62" s="54"/>
      <c r="G62" s="54"/>
      <c r="I62" s="54"/>
      <c r="J62" s="54"/>
      <c r="K62" s="180"/>
      <c r="L62" s="54"/>
      <c r="M62" s="54"/>
      <c r="N62" s="54"/>
      <c r="O62" s="54"/>
      <c r="P62" s="54"/>
      <c r="Q62" s="54"/>
      <c r="R62" s="54"/>
      <c r="S62" s="54"/>
    </row>
    <row r="63" spans="3:19" ht="15.75" customHeight="1" x14ac:dyDescent="0.2">
      <c r="C63" s="60"/>
      <c r="D63" s="54"/>
      <c r="E63" s="54"/>
      <c r="F63" s="54"/>
      <c r="G63" s="54"/>
      <c r="I63" s="54"/>
      <c r="J63" s="54"/>
      <c r="K63" s="180"/>
      <c r="L63" s="54"/>
      <c r="M63" s="54"/>
      <c r="N63" s="54"/>
      <c r="O63" s="54"/>
      <c r="P63" s="54"/>
      <c r="Q63" s="54"/>
      <c r="R63" s="54"/>
      <c r="S63" s="54"/>
    </row>
    <row r="64" spans="3:19" ht="15.75" customHeight="1" x14ac:dyDescent="0.2">
      <c r="C64" s="60"/>
      <c r="D64" s="54"/>
      <c r="E64" s="54"/>
      <c r="F64" s="54"/>
      <c r="G64" s="54"/>
      <c r="I64" s="54"/>
      <c r="J64" s="54"/>
      <c r="K64" s="180"/>
      <c r="L64" s="54"/>
      <c r="M64" s="54"/>
      <c r="N64" s="54"/>
      <c r="O64" s="54"/>
      <c r="P64" s="54"/>
      <c r="Q64" s="54"/>
      <c r="R64" s="54"/>
      <c r="S64" s="54"/>
    </row>
    <row r="65" spans="3:19" ht="15.75" customHeight="1" x14ac:dyDescent="0.2">
      <c r="C65" s="60"/>
      <c r="D65" s="54"/>
      <c r="E65" s="54"/>
      <c r="F65" s="54"/>
      <c r="G65" s="54"/>
      <c r="I65" s="54"/>
      <c r="J65" s="54"/>
      <c r="K65" s="180"/>
      <c r="L65" s="54"/>
      <c r="M65" s="54"/>
      <c r="N65" s="54"/>
      <c r="O65" s="54"/>
      <c r="P65" s="54"/>
      <c r="Q65" s="54"/>
      <c r="R65" s="54"/>
      <c r="S65" s="54"/>
    </row>
    <row r="66" spans="3:19" ht="15.75" customHeight="1" x14ac:dyDescent="0.2">
      <c r="C66" s="60"/>
      <c r="D66" s="54"/>
      <c r="E66" s="54"/>
      <c r="F66" s="54"/>
      <c r="G66" s="54"/>
      <c r="I66" s="54"/>
      <c r="J66" s="54"/>
      <c r="K66" s="180"/>
      <c r="L66" s="54"/>
      <c r="M66" s="54"/>
      <c r="N66" s="54"/>
      <c r="O66" s="54"/>
      <c r="P66" s="54"/>
      <c r="Q66" s="54"/>
      <c r="R66" s="54"/>
      <c r="S66" s="54"/>
    </row>
    <row r="67" spans="3:19" ht="15.75" customHeight="1" x14ac:dyDescent="0.2">
      <c r="C67" s="60"/>
      <c r="D67" s="54"/>
      <c r="E67" s="54"/>
      <c r="F67" s="54"/>
      <c r="G67" s="54"/>
      <c r="I67" s="54"/>
      <c r="J67" s="54"/>
      <c r="K67" s="180"/>
      <c r="L67" s="54"/>
      <c r="M67" s="54"/>
      <c r="N67" s="54"/>
      <c r="O67" s="54"/>
      <c r="P67" s="54"/>
      <c r="Q67" s="54"/>
      <c r="R67" s="54"/>
      <c r="S67" s="54"/>
    </row>
    <row r="68" spans="3:19" ht="15.75" customHeight="1" x14ac:dyDescent="0.2">
      <c r="C68" s="60"/>
      <c r="D68" s="54"/>
      <c r="E68" s="54"/>
      <c r="F68" s="54"/>
      <c r="G68" s="54"/>
      <c r="I68" s="54"/>
      <c r="J68" s="54"/>
      <c r="K68" s="180"/>
      <c r="L68" s="54"/>
      <c r="M68" s="54"/>
      <c r="N68" s="54"/>
      <c r="O68" s="54"/>
      <c r="P68" s="54"/>
      <c r="Q68" s="54"/>
      <c r="R68" s="54"/>
      <c r="S68" s="54"/>
    </row>
    <row r="69" spans="3:19" ht="15.75" customHeight="1" x14ac:dyDescent="0.2">
      <c r="C69" s="60"/>
      <c r="D69" s="54"/>
      <c r="E69" s="54"/>
      <c r="F69" s="54"/>
      <c r="G69" s="54"/>
      <c r="I69" s="54"/>
      <c r="J69" s="54"/>
      <c r="K69" s="180"/>
      <c r="L69" s="54"/>
      <c r="M69" s="54"/>
      <c r="N69" s="54"/>
      <c r="O69" s="54"/>
      <c r="P69" s="54"/>
      <c r="Q69" s="54"/>
      <c r="R69" s="54"/>
      <c r="S69" s="54"/>
    </row>
    <row r="70" spans="3:19" ht="15.75" customHeight="1" x14ac:dyDescent="0.2">
      <c r="C70" s="60"/>
      <c r="D70" s="54"/>
      <c r="E70" s="54"/>
      <c r="F70" s="54"/>
      <c r="G70" s="54"/>
      <c r="I70" s="54"/>
      <c r="J70" s="54"/>
      <c r="K70" s="180"/>
      <c r="L70" s="54"/>
      <c r="M70" s="54"/>
      <c r="N70" s="54"/>
      <c r="O70" s="54"/>
      <c r="P70" s="54"/>
      <c r="Q70" s="54"/>
      <c r="R70" s="54"/>
      <c r="S70" s="54"/>
    </row>
    <row r="71" spans="3:19" ht="15.75" customHeight="1" x14ac:dyDescent="0.2">
      <c r="C71" s="60"/>
      <c r="D71" s="54"/>
      <c r="E71" s="54"/>
      <c r="F71" s="54"/>
      <c r="G71" s="54"/>
      <c r="I71" s="54"/>
      <c r="J71" s="54"/>
      <c r="K71" s="180"/>
      <c r="L71" s="54"/>
      <c r="M71" s="54"/>
      <c r="N71" s="54"/>
      <c r="O71" s="54"/>
      <c r="P71" s="54"/>
      <c r="Q71" s="54"/>
      <c r="R71" s="54"/>
      <c r="S71" s="54"/>
    </row>
    <row r="72" spans="3:19" ht="15.75" customHeight="1" x14ac:dyDescent="0.2">
      <c r="C72" s="60"/>
      <c r="D72" s="54"/>
      <c r="E72" s="54"/>
      <c r="F72" s="54"/>
      <c r="G72" s="54"/>
      <c r="I72" s="54"/>
      <c r="J72" s="54"/>
      <c r="K72" s="180"/>
      <c r="L72" s="54"/>
      <c r="M72" s="54"/>
      <c r="N72" s="54"/>
      <c r="O72" s="54"/>
      <c r="P72" s="54"/>
      <c r="Q72" s="54"/>
      <c r="R72" s="54"/>
      <c r="S72" s="54"/>
    </row>
    <row r="73" spans="3:19" ht="15.75" customHeight="1" x14ac:dyDescent="0.2">
      <c r="C73" s="60"/>
      <c r="D73" s="54"/>
      <c r="E73" s="54"/>
      <c r="F73" s="54"/>
      <c r="G73" s="54"/>
      <c r="I73" s="54"/>
      <c r="J73" s="54"/>
      <c r="K73" s="180"/>
      <c r="L73" s="54"/>
      <c r="M73" s="54"/>
      <c r="N73" s="54"/>
      <c r="O73" s="54"/>
      <c r="P73" s="54"/>
      <c r="Q73" s="54"/>
      <c r="R73" s="54"/>
      <c r="S73" s="54"/>
    </row>
    <row r="74" spans="3:19" ht="15.75" customHeight="1" x14ac:dyDescent="0.2">
      <c r="C74" s="60"/>
      <c r="D74" s="54"/>
      <c r="E74" s="54"/>
      <c r="F74" s="54"/>
      <c r="G74" s="54"/>
      <c r="I74" s="54"/>
      <c r="J74" s="54"/>
      <c r="K74" s="180"/>
      <c r="L74" s="54"/>
      <c r="M74" s="54"/>
      <c r="N74" s="54"/>
      <c r="O74" s="54"/>
      <c r="P74" s="54"/>
      <c r="Q74" s="54"/>
      <c r="R74" s="54"/>
      <c r="S74" s="54"/>
    </row>
    <row r="75" spans="3:19" ht="15.75" customHeight="1" x14ac:dyDescent="0.2">
      <c r="C75" s="60"/>
      <c r="D75" s="54"/>
      <c r="E75" s="54"/>
      <c r="F75" s="54"/>
      <c r="G75" s="54"/>
      <c r="I75" s="54"/>
      <c r="J75" s="54"/>
      <c r="K75" s="180"/>
      <c r="L75" s="54"/>
      <c r="M75" s="54"/>
      <c r="N75" s="54"/>
      <c r="O75" s="54"/>
      <c r="P75" s="54"/>
      <c r="Q75" s="54"/>
      <c r="R75" s="54"/>
      <c r="S75" s="54"/>
    </row>
    <row r="76" spans="3:19" ht="15.75" customHeight="1" x14ac:dyDescent="0.2">
      <c r="C76" s="60"/>
      <c r="D76" s="54"/>
      <c r="E76" s="54"/>
      <c r="F76" s="54"/>
      <c r="G76" s="54"/>
      <c r="I76" s="54"/>
      <c r="J76" s="54"/>
      <c r="K76" s="180"/>
      <c r="L76" s="54"/>
      <c r="M76" s="54"/>
      <c r="N76" s="54"/>
      <c r="O76" s="54"/>
      <c r="P76" s="54"/>
      <c r="Q76" s="54"/>
      <c r="R76" s="54"/>
      <c r="S76" s="54"/>
    </row>
    <row r="77" spans="3:19" ht="15.75" customHeight="1" x14ac:dyDescent="0.2">
      <c r="C77" s="60"/>
      <c r="D77" s="54"/>
      <c r="E77" s="54"/>
      <c r="F77" s="54"/>
      <c r="G77" s="54"/>
      <c r="I77" s="54"/>
      <c r="J77" s="54"/>
      <c r="K77" s="180"/>
      <c r="L77" s="54"/>
      <c r="M77" s="54"/>
      <c r="N77" s="54"/>
      <c r="O77" s="54"/>
      <c r="P77" s="54"/>
      <c r="Q77" s="54"/>
      <c r="R77" s="54"/>
      <c r="S77" s="54"/>
    </row>
    <row r="78" spans="3:19" ht="15.75" customHeight="1" x14ac:dyDescent="0.2">
      <c r="C78" s="60"/>
      <c r="D78" s="54"/>
      <c r="E78" s="54"/>
      <c r="F78" s="54"/>
      <c r="G78" s="54"/>
      <c r="I78" s="54"/>
      <c r="J78" s="54"/>
      <c r="K78" s="180"/>
      <c r="L78" s="54"/>
      <c r="M78" s="54"/>
      <c r="N78" s="54"/>
      <c r="O78" s="54"/>
      <c r="P78" s="54"/>
      <c r="Q78" s="54"/>
      <c r="R78" s="54"/>
      <c r="S78" s="54"/>
    </row>
    <row r="79" spans="3:19" ht="15.75" customHeight="1" x14ac:dyDescent="0.2">
      <c r="C79" s="60"/>
      <c r="D79" s="54"/>
      <c r="E79" s="54"/>
      <c r="F79" s="54"/>
      <c r="G79" s="54"/>
      <c r="I79" s="54"/>
      <c r="J79" s="54"/>
      <c r="K79" s="180"/>
      <c r="L79" s="54"/>
      <c r="M79" s="54"/>
      <c r="N79" s="54"/>
      <c r="O79" s="54"/>
      <c r="P79" s="54"/>
      <c r="Q79" s="54"/>
      <c r="R79" s="54"/>
      <c r="S79" s="54"/>
    </row>
    <row r="80" spans="3:19" ht="15.75" customHeight="1" x14ac:dyDescent="0.2">
      <c r="C80" s="60"/>
      <c r="D80" s="54"/>
      <c r="E80" s="54"/>
      <c r="F80" s="54"/>
      <c r="G80" s="54"/>
      <c r="I80" s="54"/>
      <c r="J80" s="54"/>
      <c r="K80" s="180"/>
      <c r="L80" s="54"/>
      <c r="M80" s="54"/>
      <c r="N80" s="54"/>
      <c r="O80" s="54"/>
      <c r="P80" s="54"/>
      <c r="Q80" s="54"/>
      <c r="R80" s="54"/>
      <c r="S80" s="54"/>
    </row>
    <row r="81" spans="3:19" ht="15.75" customHeight="1" x14ac:dyDescent="0.2">
      <c r="C81" s="60"/>
      <c r="D81" s="54"/>
      <c r="E81" s="54"/>
      <c r="F81" s="54"/>
      <c r="G81" s="54"/>
      <c r="I81" s="54"/>
      <c r="J81" s="54"/>
      <c r="K81" s="180"/>
      <c r="L81" s="54"/>
      <c r="M81" s="54"/>
      <c r="N81" s="54"/>
      <c r="O81" s="54"/>
      <c r="P81" s="54"/>
      <c r="Q81" s="54"/>
      <c r="R81" s="54"/>
      <c r="S81" s="54"/>
    </row>
    <row r="82" spans="3:19" ht="15.75" customHeight="1" x14ac:dyDescent="0.2">
      <c r="C82" s="60"/>
      <c r="D82" s="54"/>
      <c r="E82" s="54"/>
      <c r="F82" s="54"/>
      <c r="G82" s="54"/>
      <c r="I82" s="54"/>
      <c r="J82" s="54"/>
      <c r="K82" s="180"/>
      <c r="L82" s="54"/>
      <c r="M82" s="54"/>
      <c r="N82" s="54"/>
      <c r="O82" s="54"/>
      <c r="P82" s="54"/>
      <c r="Q82" s="54"/>
      <c r="R82" s="54"/>
      <c r="S82" s="54"/>
    </row>
    <row r="83" spans="3:19" ht="15.75" customHeight="1" x14ac:dyDescent="0.2">
      <c r="C83" s="60"/>
      <c r="D83" s="54"/>
      <c r="E83" s="54"/>
      <c r="F83" s="54"/>
      <c r="G83" s="54"/>
      <c r="I83" s="54"/>
      <c r="J83" s="54"/>
      <c r="K83" s="180"/>
      <c r="L83" s="54"/>
      <c r="M83" s="54"/>
      <c r="N83" s="54"/>
      <c r="O83" s="54"/>
      <c r="P83" s="54"/>
      <c r="Q83" s="54"/>
      <c r="R83" s="54"/>
      <c r="S83" s="54"/>
    </row>
    <row r="84" spans="3:19" ht="15.75" customHeight="1" x14ac:dyDescent="0.2">
      <c r="C84" s="60"/>
      <c r="D84" s="54"/>
      <c r="E84" s="54"/>
      <c r="F84" s="54"/>
      <c r="G84" s="54"/>
      <c r="I84" s="54"/>
      <c r="J84" s="54"/>
      <c r="K84" s="180"/>
      <c r="L84" s="54"/>
      <c r="M84" s="54"/>
      <c r="N84" s="54"/>
      <c r="O84" s="54"/>
      <c r="P84" s="54"/>
      <c r="Q84" s="54"/>
      <c r="R84" s="54"/>
      <c r="S84" s="54"/>
    </row>
    <row r="85" spans="3:19" ht="15.75" customHeight="1" x14ac:dyDescent="0.2">
      <c r="C85" s="60"/>
      <c r="D85" s="54"/>
      <c r="E85" s="54"/>
      <c r="F85" s="54"/>
      <c r="G85" s="54"/>
      <c r="I85" s="54"/>
      <c r="J85" s="54"/>
      <c r="K85" s="180"/>
      <c r="L85" s="54"/>
      <c r="M85" s="54"/>
      <c r="N85" s="54"/>
      <c r="O85" s="54"/>
      <c r="P85" s="54"/>
      <c r="Q85" s="54"/>
      <c r="R85" s="54"/>
      <c r="S85" s="54"/>
    </row>
    <row r="86" spans="3:19" ht="15.75" customHeight="1" x14ac:dyDescent="0.2">
      <c r="C86" s="60"/>
      <c r="D86" s="54"/>
      <c r="E86" s="54"/>
      <c r="F86" s="54"/>
      <c r="G86" s="54"/>
      <c r="I86" s="54"/>
      <c r="J86" s="54"/>
      <c r="K86" s="180"/>
      <c r="L86" s="54"/>
      <c r="M86" s="54"/>
      <c r="N86" s="54"/>
      <c r="O86" s="54"/>
      <c r="P86" s="54"/>
      <c r="Q86" s="54"/>
      <c r="R86" s="54"/>
      <c r="S86" s="54"/>
    </row>
    <row r="87" spans="3:19" ht="15.75" customHeight="1" x14ac:dyDescent="0.2">
      <c r="C87" s="60"/>
      <c r="D87" s="54"/>
      <c r="E87" s="54"/>
      <c r="F87" s="54"/>
      <c r="G87" s="54"/>
      <c r="I87" s="54"/>
      <c r="J87" s="54"/>
      <c r="K87" s="180"/>
      <c r="L87" s="54"/>
      <c r="M87" s="54"/>
      <c r="N87" s="54"/>
      <c r="O87" s="54"/>
      <c r="P87" s="54"/>
      <c r="Q87" s="54"/>
      <c r="R87" s="54"/>
      <c r="S87" s="54"/>
    </row>
    <row r="88" spans="3:19" ht="15.75" customHeight="1" x14ac:dyDescent="0.2">
      <c r="C88" s="60"/>
      <c r="D88" s="54"/>
      <c r="E88" s="54"/>
      <c r="F88" s="54"/>
      <c r="G88" s="54"/>
      <c r="I88" s="54"/>
      <c r="J88" s="54"/>
      <c r="K88" s="180"/>
      <c r="L88" s="54"/>
      <c r="M88" s="54"/>
      <c r="N88" s="54"/>
      <c r="O88" s="54"/>
      <c r="P88" s="54"/>
      <c r="Q88" s="54"/>
      <c r="R88" s="54"/>
      <c r="S88" s="54"/>
    </row>
    <row r="89" spans="3:19" ht="15.75" customHeight="1" x14ac:dyDescent="0.2">
      <c r="C89" s="60"/>
      <c r="D89" s="54"/>
      <c r="E89" s="54"/>
      <c r="F89" s="54"/>
      <c r="G89" s="54"/>
      <c r="I89" s="54"/>
      <c r="J89" s="54"/>
      <c r="K89" s="180"/>
      <c r="L89" s="54"/>
      <c r="M89" s="54"/>
      <c r="N89" s="54"/>
      <c r="O89" s="54"/>
      <c r="P89" s="54"/>
      <c r="Q89" s="54"/>
      <c r="R89" s="54"/>
      <c r="S89" s="54"/>
    </row>
    <row r="90" spans="3:19" ht="15.75" customHeight="1" x14ac:dyDescent="0.2">
      <c r="C90" s="60"/>
      <c r="D90" s="54"/>
      <c r="E90" s="54"/>
      <c r="F90" s="54"/>
      <c r="G90" s="54"/>
      <c r="I90" s="54"/>
      <c r="J90" s="54"/>
      <c r="K90" s="180"/>
      <c r="L90" s="54"/>
      <c r="M90" s="54"/>
      <c r="N90" s="54"/>
      <c r="O90" s="54"/>
      <c r="P90" s="54"/>
      <c r="Q90" s="54"/>
      <c r="R90" s="54"/>
      <c r="S90" s="54"/>
    </row>
    <row r="91" spans="3:19" ht="15.75" customHeight="1" x14ac:dyDescent="0.2">
      <c r="C91" s="60"/>
      <c r="D91" s="54"/>
      <c r="E91" s="54"/>
      <c r="F91" s="54"/>
      <c r="G91" s="54"/>
      <c r="I91" s="54"/>
      <c r="J91" s="54"/>
      <c r="K91" s="180"/>
      <c r="L91" s="54"/>
      <c r="M91" s="54"/>
      <c r="N91" s="54"/>
      <c r="O91" s="54"/>
      <c r="P91" s="54"/>
      <c r="Q91" s="54"/>
      <c r="R91" s="54"/>
      <c r="S91" s="54"/>
    </row>
    <row r="92" spans="3:19" ht="15.75" customHeight="1" x14ac:dyDescent="0.2">
      <c r="C92" s="60"/>
      <c r="D92" s="54"/>
      <c r="E92" s="54"/>
      <c r="F92" s="54"/>
      <c r="G92" s="54"/>
      <c r="I92" s="54"/>
      <c r="J92" s="54"/>
      <c r="K92" s="180"/>
      <c r="L92" s="54"/>
      <c r="M92" s="54"/>
      <c r="N92" s="54"/>
      <c r="O92" s="54"/>
      <c r="P92" s="54"/>
      <c r="Q92" s="54"/>
      <c r="R92" s="54"/>
      <c r="S92" s="54"/>
    </row>
    <row r="93" spans="3:19" ht="15.75" customHeight="1" x14ac:dyDescent="0.2">
      <c r="C93" s="60"/>
      <c r="D93" s="54"/>
      <c r="E93" s="54"/>
      <c r="F93" s="54"/>
      <c r="G93" s="54"/>
      <c r="I93" s="54"/>
      <c r="J93" s="54"/>
      <c r="K93" s="180"/>
      <c r="L93" s="54"/>
      <c r="M93" s="54"/>
      <c r="N93" s="54"/>
      <c r="O93" s="54"/>
      <c r="P93" s="54"/>
      <c r="Q93" s="54"/>
      <c r="R93" s="54"/>
      <c r="S93" s="54"/>
    </row>
    <row r="94" spans="3:19" ht="15.75" customHeight="1" x14ac:dyDescent="0.2">
      <c r="C94" s="60"/>
      <c r="D94" s="54"/>
      <c r="E94" s="54"/>
      <c r="F94" s="54"/>
      <c r="G94" s="54"/>
      <c r="I94" s="54"/>
      <c r="J94" s="54"/>
      <c r="K94" s="180"/>
      <c r="L94" s="54"/>
      <c r="M94" s="54"/>
      <c r="N94" s="54"/>
      <c r="O94" s="54"/>
      <c r="P94" s="54"/>
      <c r="Q94" s="54"/>
      <c r="R94" s="54"/>
      <c r="S94" s="54"/>
    </row>
    <row r="95" spans="3:19" ht="15.75" customHeight="1" x14ac:dyDescent="0.2">
      <c r="C95" s="60"/>
      <c r="D95" s="54"/>
      <c r="E95" s="54"/>
      <c r="F95" s="54"/>
      <c r="G95" s="54"/>
      <c r="I95" s="54"/>
      <c r="J95" s="54"/>
      <c r="K95" s="180"/>
      <c r="L95" s="54"/>
      <c r="M95" s="54"/>
      <c r="N95" s="54"/>
      <c r="O95" s="54"/>
      <c r="P95" s="54"/>
      <c r="Q95" s="54"/>
      <c r="R95" s="54"/>
      <c r="S95" s="54"/>
    </row>
    <row r="96" spans="3:19" ht="15.75" customHeight="1" x14ac:dyDescent="0.2">
      <c r="C96" s="60"/>
      <c r="D96" s="54"/>
      <c r="E96" s="54"/>
      <c r="F96" s="54"/>
      <c r="G96" s="54"/>
      <c r="I96" s="54"/>
      <c r="J96" s="54"/>
      <c r="K96" s="180"/>
      <c r="L96" s="54"/>
      <c r="M96" s="54"/>
      <c r="N96" s="54"/>
      <c r="O96" s="54"/>
      <c r="P96" s="54"/>
      <c r="Q96" s="54"/>
      <c r="R96" s="54"/>
      <c r="S96" s="54"/>
    </row>
    <row r="97" spans="3:19" ht="15.75" customHeight="1" x14ac:dyDescent="0.2">
      <c r="C97" s="60"/>
      <c r="D97" s="54"/>
      <c r="E97" s="54"/>
      <c r="F97" s="54"/>
      <c r="G97" s="54"/>
      <c r="I97" s="54"/>
      <c r="J97" s="54"/>
      <c r="K97" s="180"/>
      <c r="L97" s="54"/>
      <c r="M97" s="54"/>
      <c r="N97" s="54"/>
      <c r="O97" s="54"/>
      <c r="P97" s="54"/>
      <c r="Q97" s="54"/>
      <c r="R97" s="54"/>
      <c r="S97" s="54"/>
    </row>
    <row r="98" spans="3:19" ht="15.75" customHeight="1" x14ac:dyDescent="0.2">
      <c r="C98" s="60"/>
      <c r="D98" s="54"/>
      <c r="E98" s="54"/>
      <c r="F98" s="54"/>
      <c r="G98" s="54"/>
      <c r="I98" s="54"/>
      <c r="J98" s="54"/>
      <c r="K98" s="180"/>
      <c r="L98" s="54"/>
      <c r="M98" s="54"/>
      <c r="N98" s="54"/>
      <c r="O98" s="54"/>
      <c r="P98" s="54"/>
      <c r="Q98" s="54"/>
      <c r="R98" s="54"/>
      <c r="S98" s="54"/>
    </row>
    <row r="99" spans="3:19" ht="15.75" customHeight="1" x14ac:dyDescent="0.2">
      <c r="C99" s="60"/>
      <c r="D99" s="54"/>
      <c r="E99" s="54"/>
      <c r="F99" s="54"/>
      <c r="G99" s="54"/>
      <c r="I99" s="54"/>
      <c r="J99" s="54"/>
      <c r="K99" s="180"/>
      <c r="L99" s="54"/>
      <c r="M99" s="54"/>
      <c r="N99" s="54"/>
      <c r="O99" s="54"/>
      <c r="P99" s="54"/>
      <c r="Q99" s="54"/>
      <c r="R99" s="54"/>
      <c r="S99" s="54"/>
    </row>
    <row r="100" spans="3:19" ht="15.75" customHeight="1" x14ac:dyDescent="0.2">
      <c r="C100" s="60"/>
      <c r="D100" s="54"/>
      <c r="E100" s="54"/>
      <c r="F100" s="54"/>
      <c r="G100" s="54"/>
      <c r="I100" s="54"/>
      <c r="J100" s="54"/>
      <c r="K100" s="180"/>
      <c r="L100" s="54"/>
      <c r="M100" s="54"/>
      <c r="N100" s="54"/>
      <c r="O100" s="54"/>
      <c r="P100" s="54"/>
      <c r="Q100" s="54"/>
      <c r="R100" s="54"/>
      <c r="S100" s="54"/>
    </row>
    <row r="101" spans="3:19" ht="15.75" customHeight="1" x14ac:dyDescent="0.2">
      <c r="C101" s="60"/>
      <c r="D101" s="54"/>
      <c r="E101" s="54"/>
      <c r="F101" s="54"/>
      <c r="G101" s="54"/>
      <c r="I101" s="54"/>
      <c r="J101" s="54"/>
      <c r="K101" s="180"/>
      <c r="L101" s="54"/>
      <c r="M101" s="54"/>
      <c r="N101" s="54"/>
      <c r="O101" s="54"/>
      <c r="P101" s="54"/>
      <c r="Q101" s="54"/>
      <c r="R101" s="54"/>
      <c r="S101" s="54"/>
    </row>
    <row r="102" spans="3:19" ht="15.75" customHeight="1" x14ac:dyDescent="0.2">
      <c r="C102" s="60"/>
      <c r="D102" s="54"/>
      <c r="E102" s="54"/>
      <c r="F102" s="54"/>
      <c r="G102" s="54"/>
      <c r="I102" s="54"/>
      <c r="J102" s="54"/>
      <c r="K102" s="180"/>
      <c r="L102" s="54"/>
      <c r="M102" s="54"/>
      <c r="N102" s="54"/>
      <c r="O102" s="54"/>
      <c r="P102" s="54"/>
      <c r="Q102" s="54"/>
      <c r="R102" s="54"/>
      <c r="S102" s="54"/>
    </row>
    <row r="103" spans="3:19" ht="15.75" customHeight="1" x14ac:dyDescent="0.2">
      <c r="C103" s="60"/>
      <c r="D103" s="54"/>
      <c r="E103" s="54"/>
      <c r="F103" s="54"/>
      <c r="G103" s="54"/>
      <c r="I103" s="54"/>
      <c r="J103" s="54"/>
      <c r="K103" s="180"/>
      <c r="L103" s="54"/>
      <c r="M103" s="54"/>
      <c r="N103" s="54"/>
      <c r="O103" s="54"/>
      <c r="P103" s="54"/>
      <c r="Q103" s="54"/>
      <c r="R103" s="54"/>
      <c r="S103" s="54"/>
    </row>
    <row r="104" spans="3:19" ht="15.75" customHeight="1" x14ac:dyDescent="0.2">
      <c r="C104" s="60"/>
      <c r="D104" s="54"/>
      <c r="E104" s="54"/>
      <c r="F104" s="54"/>
      <c r="G104" s="54"/>
      <c r="I104" s="54"/>
      <c r="J104" s="54"/>
      <c r="K104" s="180"/>
      <c r="L104" s="54"/>
      <c r="M104" s="54"/>
      <c r="N104" s="54"/>
      <c r="O104" s="54"/>
      <c r="P104" s="54"/>
      <c r="Q104" s="54"/>
      <c r="R104" s="54"/>
      <c r="S104" s="54"/>
    </row>
    <row r="105" spans="3:19" ht="15.75" customHeight="1" x14ac:dyDescent="0.2">
      <c r="C105" s="60"/>
      <c r="D105" s="54"/>
      <c r="E105" s="54"/>
      <c r="F105" s="54"/>
      <c r="G105" s="54"/>
      <c r="I105" s="54"/>
      <c r="J105" s="54"/>
      <c r="K105" s="180"/>
      <c r="L105" s="54"/>
      <c r="M105" s="54"/>
      <c r="N105" s="54"/>
      <c r="O105" s="54"/>
      <c r="P105" s="54"/>
      <c r="Q105" s="54"/>
      <c r="R105" s="54"/>
      <c r="S105" s="54"/>
    </row>
    <row r="106" spans="3:19" ht="15.75" customHeight="1" x14ac:dyDescent="0.2">
      <c r="C106" s="60"/>
      <c r="D106" s="54"/>
      <c r="E106" s="54"/>
      <c r="F106" s="54"/>
      <c r="G106" s="54"/>
      <c r="I106" s="54"/>
      <c r="J106" s="54"/>
      <c r="K106" s="180"/>
      <c r="L106" s="54"/>
      <c r="M106" s="54"/>
      <c r="N106" s="54"/>
      <c r="O106" s="54"/>
      <c r="P106" s="54"/>
      <c r="Q106" s="54"/>
      <c r="R106" s="54"/>
      <c r="S106" s="54"/>
    </row>
    <row r="107" spans="3:19" ht="15.75" customHeight="1" x14ac:dyDescent="0.2">
      <c r="C107" s="60"/>
      <c r="D107" s="54"/>
      <c r="E107" s="54"/>
      <c r="F107" s="54"/>
      <c r="G107" s="54"/>
      <c r="I107" s="54"/>
      <c r="J107" s="54"/>
      <c r="K107" s="180"/>
      <c r="L107" s="54"/>
      <c r="M107" s="54"/>
      <c r="N107" s="54"/>
      <c r="O107" s="54"/>
      <c r="P107" s="54"/>
      <c r="Q107" s="54"/>
      <c r="R107" s="54"/>
      <c r="S107" s="54"/>
    </row>
    <row r="108" spans="3:19" ht="15.75" customHeight="1" x14ac:dyDescent="0.2">
      <c r="C108" s="60"/>
      <c r="D108" s="54"/>
      <c r="E108" s="54"/>
      <c r="F108" s="54"/>
      <c r="G108" s="54"/>
      <c r="I108" s="54"/>
      <c r="J108" s="54"/>
      <c r="K108" s="180"/>
      <c r="L108" s="54"/>
      <c r="M108" s="54"/>
      <c r="N108" s="54"/>
      <c r="O108" s="54"/>
      <c r="P108" s="54"/>
      <c r="Q108" s="54"/>
      <c r="R108" s="54"/>
      <c r="S108" s="54"/>
    </row>
    <row r="109" spans="3:19" ht="15.75" customHeight="1" x14ac:dyDescent="0.2">
      <c r="C109" s="60"/>
      <c r="D109" s="54"/>
      <c r="E109" s="54"/>
      <c r="F109" s="54"/>
      <c r="G109" s="54"/>
      <c r="I109" s="54"/>
      <c r="J109" s="54"/>
      <c r="K109" s="180"/>
      <c r="L109" s="54"/>
      <c r="M109" s="54"/>
      <c r="N109" s="54"/>
      <c r="O109" s="54"/>
      <c r="P109" s="54"/>
      <c r="Q109" s="54"/>
      <c r="R109" s="54"/>
      <c r="S109" s="54"/>
    </row>
    <row r="110" spans="3:19" ht="15.75" customHeight="1" x14ac:dyDescent="0.2">
      <c r="C110" s="60"/>
      <c r="D110" s="54"/>
      <c r="E110" s="54"/>
      <c r="F110" s="54"/>
      <c r="G110" s="54"/>
      <c r="I110" s="54"/>
      <c r="J110" s="54"/>
      <c r="K110" s="180"/>
      <c r="L110" s="54"/>
      <c r="M110" s="54"/>
      <c r="N110" s="54"/>
      <c r="O110" s="54"/>
      <c r="P110" s="54"/>
      <c r="Q110" s="54"/>
      <c r="R110" s="54"/>
      <c r="S110" s="54"/>
    </row>
    <row r="111" spans="3:19" ht="15.75" customHeight="1" x14ac:dyDescent="0.2">
      <c r="C111" s="60"/>
      <c r="D111" s="54"/>
      <c r="E111" s="54"/>
      <c r="F111" s="54"/>
      <c r="G111" s="54"/>
      <c r="I111" s="54"/>
      <c r="J111" s="54"/>
      <c r="K111" s="180"/>
      <c r="L111" s="54"/>
      <c r="M111" s="54"/>
      <c r="N111" s="54"/>
      <c r="O111" s="54"/>
      <c r="P111" s="54"/>
      <c r="Q111" s="54"/>
      <c r="R111" s="54"/>
      <c r="S111" s="54"/>
    </row>
    <row r="112" spans="3:19" ht="15.75" customHeight="1" x14ac:dyDescent="0.2">
      <c r="C112" s="60"/>
      <c r="D112" s="54"/>
      <c r="E112" s="54"/>
      <c r="F112" s="54"/>
      <c r="G112" s="54"/>
      <c r="I112" s="54"/>
      <c r="J112" s="54"/>
      <c r="K112" s="180"/>
      <c r="L112" s="54"/>
      <c r="M112" s="54"/>
      <c r="N112" s="54"/>
      <c r="O112" s="54"/>
      <c r="P112" s="54"/>
      <c r="Q112" s="54"/>
      <c r="R112" s="54"/>
      <c r="S112" s="54"/>
    </row>
    <row r="113" spans="3:19" ht="15.75" customHeight="1" x14ac:dyDescent="0.2">
      <c r="C113" s="60"/>
      <c r="D113" s="54"/>
      <c r="E113" s="54"/>
      <c r="F113" s="54"/>
      <c r="G113" s="54"/>
      <c r="I113" s="54"/>
      <c r="J113" s="54"/>
      <c r="K113" s="180"/>
      <c r="L113" s="54"/>
      <c r="M113" s="54"/>
      <c r="N113" s="54"/>
      <c r="O113" s="54"/>
      <c r="P113" s="54"/>
      <c r="Q113" s="54"/>
      <c r="R113" s="54"/>
      <c r="S113" s="54"/>
    </row>
    <row r="114" spans="3:19" ht="15.75" customHeight="1" x14ac:dyDescent="0.2">
      <c r="C114" s="60"/>
      <c r="D114" s="54"/>
      <c r="E114" s="54"/>
      <c r="F114" s="54"/>
      <c r="G114" s="54"/>
      <c r="I114" s="54"/>
      <c r="J114" s="54"/>
      <c r="K114" s="180"/>
      <c r="L114" s="54"/>
      <c r="M114" s="54"/>
      <c r="N114" s="54"/>
      <c r="O114" s="54"/>
      <c r="P114" s="54"/>
      <c r="Q114" s="54"/>
      <c r="R114" s="54"/>
      <c r="S114" s="54"/>
    </row>
    <row r="115" spans="3:19" ht="15.75" customHeight="1" x14ac:dyDescent="0.2">
      <c r="C115" s="60"/>
      <c r="D115" s="54"/>
      <c r="E115" s="54"/>
      <c r="F115" s="54"/>
      <c r="G115" s="54"/>
      <c r="I115" s="54"/>
      <c r="J115" s="54"/>
      <c r="K115" s="180"/>
      <c r="L115" s="54"/>
      <c r="M115" s="54"/>
      <c r="N115" s="54"/>
      <c r="O115" s="54"/>
      <c r="P115" s="54"/>
      <c r="Q115" s="54"/>
      <c r="R115" s="54"/>
      <c r="S115" s="54"/>
    </row>
    <row r="116" spans="3:19" ht="15.75" customHeight="1" x14ac:dyDescent="0.2">
      <c r="C116" s="60"/>
      <c r="D116" s="54"/>
      <c r="E116" s="54"/>
      <c r="F116" s="54"/>
      <c r="G116" s="54"/>
      <c r="I116" s="54"/>
      <c r="J116" s="54"/>
      <c r="K116" s="180"/>
      <c r="L116" s="54"/>
      <c r="M116" s="54"/>
      <c r="N116" s="54"/>
      <c r="O116" s="54"/>
      <c r="P116" s="54"/>
      <c r="Q116" s="54"/>
      <c r="R116" s="54"/>
      <c r="S116" s="54"/>
    </row>
    <row r="117" spans="3:19" ht="15.75" customHeight="1" x14ac:dyDescent="0.2">
      <c r="C117" s="60"/>
      <c r="D117" s="54"/>
      <c r="E117" s="54"/>
      <c r="F117" s="54"/>
      <c r="G117" s="54"/>
      <c r="I117" s="54"/>
      <c r="J117" s="54"/>
      <c r="K117" s="180"/>
      <c r="L117" s="54"/>
      <c r="M117" s="54"/>
      <c r="N117" s="54"/>
      <c r="O117" s="54"/>
      <c r="P117" s="54"/>
      <c r="Q117" s="54"/>
      <c r="R117" s="54"/>
      <c r="S117" s="54"/>
    </row>
    <row r="118" spans="3:19" ht="15.75" customHeight="1" x14ac:dyDescent="0.2">
      <c r="C118" s="60"/>
      <c r="D118" s="54"/>
      <c r="E118" s="54"/>
      <c r="F118" s="54"/>
      <c r="G118" s="54"/>
      <c r="I118" s="54"/>
      <c r="J118" s="54"/>
      <c r="K118" s="180"/>
      <c r="L118" s="54"/>
      <c r="M118" s="54"/>
      <c r="N118" s="54"/>
      <c r="O118" s="54"/>
      <c r="P118" s="54"/>
      <c r="Q118" s="54"/>
      <c r="R118" s="54"/>
      <c r="S118" s="54"/>
    </row>
    <row r="119" spans="3:19" ht="15.75" customHeight="1" x14ac:dyDescent="0.2">
      <c r="C119" s="60"/>
      <c r="D119" s="54"/>
      <c r="E119" s="54"/>
      <c r="F119" s="54"/>
      <c r="G119" s="54"/>
      <c r="I119" s="54"/>
      <c r="J119" s="54"/>
      <c r="K119" s="180"/>
      <c r="L119" s="54"/>
      <c r="M119" s="54"/>
      <c r="N119" s="54"/>
      <c r="O119" s="54"/>
      <c r="P119" s="54"/>
      <c r="Q119" s="54"/>
      <c r="R119" s="54"/>
      <c r="S119" s="54"/>
    </row>
    <row r="120" spans="3:19" ht="15.75" customHeight="1" x14ac:dyDescent="0.2">
      <c r="C120" s="60"/>
      <c r="D120" s="54"/>
      <c r="E120" s="54"/>
      <c r="F120" s="54"/>
      <c r="G120" s="54"/>
      <c r="I120" s="54"/>
      <c r="J120" s="54"/>
      <c r="K120" s="180"/>
      <c r="L120" s="54"/>
      <c r="M120" s="54"/>
      <c r="N120" s="54"/>
      <c r="O120" s="54"/>
      <c r="P120" s="54"/>
      <c r="Q120" s="54"/>
      <c r="R120" s="54"/>
      <c r="S120" s="54"/>
    </row>
    <row r="121" spans="3:19" ht="15.75" customHeight="1" x14ac:dyDescent="0.2">
      <c r="C121" s="60"/>
      <c r="D121" s="54"/>
      <c r="E121" s="54"/>
      <c r="F121" s="54"/>
      <c r="G121" s="54"/>
      <c r="I121" s="54"/>
      <c r="J121" s="54"/>
      <c r="K121" s="180"/>
      <c r="L121" s="54"/>
      <c r="M121" s="54"/>
      <c r="N121" s="54"/>
      <c r="O121" s="54"/>
      <c r="P121" s="54"/>
      <c r="Q121" s="54"/>
      <c r="R121" s="54"/>
      <c r="S121" s="54"/>
    </row>
    <row r="122" spans="3:19" ht="15.75" customHeight="1" x14ac:dyDescent="0.2">
      <c r="C122" s="60"/>
      <c r="D122" s="54"/>
      <c r="E122" s="54"/>
      <c r="F122" s="54"/>
      <c r="G122" s="54"/>
      <c r="I122" s="54"/>
      <c r="J122" s="54"/>
      <c r="K122" s="180"/>
      <c r="L122" s="54"/>
      <c r="M122" s="54"/>
      <c r="N122" s="54"/>
      <c r="O122" s="54"/>
      <c r="P122" s="54"/>
      <c r="Q122" s="54"/>
      <c r="R122" s="54"/>
      <c r="S122" s="54"/>
    </row>
    <row r="123" spans="3:19" ht="15.75" customHeight="1" x14ac:dyDescent="0.2"/>
    <row r="124" spans="3:19" ht="15.75" customHeight="1" x14ac:dyDescent="0.2"/>
    <row r="125" spans="3:19" ht="15.75" customHeight="1" x14ac:dyDescent="0.2"/>
    <row r="126" spans="3:19" ht="15.75" customHeight="1" x14ac:dyDescent="0.2"/>
    <row r="127" spans="3:19" ht="15.75" customHeight="1" x14ac:dyDescent="0.2"/>
    <row r="128" spans="3:19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conditionalFormatting sqref="H6:H23 H27:H31 H33">
    <cfRule type="cellIs" dxfId="9" priority="1" operator="lessThan">
      <formula>0</formula>
    </cfRule>
  </conditionalFormatting>
  <printOptions horizontalCentered="1" verticalCentered="1"/>
  <pageMargins left="0.25" right="0.25" top="0.75" bottom="0.75" header="0.3" footer="0.3"/>
  <pageSetup scale="96" fitToHeight="0" orientation="landscape" r:id="rId1"/>
  <headerFooter>
    <oddHeader>&amp;A</oddHeader>
    <oddFooter>Page &amp;P of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99"/>
  <sheetViews>
    <sheetView topLeftCell="A4" workbookViewId="0"/>
  </sheetViews>
  <sheetFormatPr defaultColWidth="12.5703125" defaultRowHeight="15" customHeight="1" outlineLevelCol="1" x14ac:dyDescent="0.2"/>
  <cols>
    <col min="2" max="2" width="30.42578125" customWidth="1" collapsed="1"/>
    <col min="3" max="3" width="3.7109375" hidden="1" customWidth="1" outlineLevel="1"/>
    <col min="4" max="4" width="11.140625" hidden="1" customWidth="1" outlineLevel="1"/>
    <col min="5" max="5" width="11.7109375" hidden="1" customWidth="1" outlineLevel="1"/>
    <col min="6" max="6" width="10.140625" hidden="1" customWidth="1" outlineLevel="1"/>
    <col min="7" max="7" width="10.7109375" hidden="1" customWidth="1" outlineLevel="1"/>
    <col min="8" max="8" width="9.28515625" hidden="1" customWidth="1" outlineLevel="1"/>
    <col min="9" max="9" width="9.42578125" hidden="1" customWidth="1" outlineLevel="1"/>
    <col min="10" max="10" width="10.5703125" hidden="1" customWidth="1" outlineLevel="1"/>
    <col min="11" max="11" width="3.7109375" hidden="1" customWidth="1" outlineLevel="1"/>
    <col min="12" max="12" width="10.28515625" customWidth="1"/>
    <col min="13" max="13" width="11.85546875" customWidth="1"/>
    <col min="14" max="15" width="11.28515625" customWidth="1"/>
    <col min="16" max="16" width="11.7109375" customWidth="1"/>
    <col min="17" max="17" width="10" customWidth="1"/>
    <col min="21" max="21" width="3.5703125" customWidth="1"/>
  </cols>
  <sheetData>
    <row r="1" spans="1:32" ht="15.75" hidden="1" customHeight="1" x14ac:dyDescent="0.25">
      <c r="A1" s="326">
        <v>2</v>
      </c>
      <c r="B1" s="54"/>
      <c r="C1" s="180"/>
      <c r="D1" s="54"/>
      <c r="E1" s="116" t="s">
        <v>48</v>
      </c>
      <c r="F1" s="116" t="s">
        <v>30</v>
      </c>
      <c r="G1" s="54"/>
      <c r="H1" s="54"/>
      <c r="I1" s="54"/>
      <c r="J1" s="54"/>
      <c r="K1" s="180"/>
      <c r="L1" s="54"/>
      <c r="M1" s="54"/>
      <c r="N1" s="54"/>
      <c r="O1" s="54"/>
      <c r="P1" s="54"/>
      <c r="Q1" s="54"/>
      <c r="R1" s="54"/>
      <c r="S1" s="54"/>
      <c r="T1" s="54"/>
    </row>
    <row r="2" spans="1:32" ht="15.75" hidden="1" customHeight="1" x14ac:dyDescent="0.2">
      <c r="B2" s="54"/>
      <c r="C2" s="180"/>
      <c r="D2" s="54"/>
      <c r="E2" s="54"/>
      <c r="F2" s="54"/>
      <c r="G2" s="54"/>
      <c r="H2" s="54"/>
      <c r="I2" s="54"/>
      <c r="J2" s="54"/>
      <c r="K2" s="180"/>
      <c r="L2" s="54"/>
      <c r="M2" s="54"/>
      <c r="N2" s="54"/>
      <c r="O2" s="54"/>
      <c r="P2" s="54"/>
      <c r="Q2" s="54"/>
      <c r="R2" s="54"/>
      <c r="S2" s="54"/>
      <c r="T2" s="54"/>
    </row>
    <row r="3" spans="1:32" ht="15.75" hidden="1" customHeight="1" x14ac:dyDescent="0.2">
      <c r="B3" s="54"/>
      <c r="C3" s="180"/>
      <c r="D3" s="54"/>
      <c r="E3" s="54"/>
      <c r="F3" s="54"/>
      <c r="G3" s="54"/>
      <c r="H3" s="54"/>
      <c r="I3" s="54"/>
      <c r="J3" s="54"/>
      <c r="K3" s="180"/>
      <c r="L3" s="54"/>
      <c r="M3" s="54"/>
      <c r="N3" s="54"/>
      <c r="O3" s="54"/>
      <c r="P3" s="54"/>
      <c r="Q3" s="54"/>
      <c r="R3" s="54"/>
      <c r="S3" s="54"/>
      <c r="T3" s="54"/>
    </row>
    <row r="4" spans="1:32" ht="28.5" customHeight="1" x14ac:dyDescent="0.25">
      <c r="A4" s="1" t="s">
        <v>30</v>
      </c>
      <c r="B4" s="5"/>
      <c r="C4" s="15"/>
      <c r="D4" s="16"/>
      <c r="E4" s="16"/>
      <c r="F4" s="16"/>
      <c r="G4" s="16"/>
      <c r="H4" s="18"/>
      <c r="I4" s="16"/>
      <c r="J4" s="16"/>
      <c r="K4" s="15"/>
      <c r="L4" s="7"/>
      <c r="M4" s="7"/>
      <c r="N4" s="7"/>
      <c r="O4" s="7"/>
      <c r="P4" s="7"/>
      <c r="Q4" s="7"/>
      <c r="R4" s="7"/>
      <c r="S4" s="7"/>
      <c r="W4" s="19"/>
      <c r="X4" s="20"/>
    </row>
    <row r="5" spans="1:32" ht="75" x14ac:dyDescent="0.2">
      <c r="A5" s="3" t="s">
        <v>50</v>
      </c>
      <c r="B5" s="3" t="s">
        <v>51</v>
      </c>
      <c r="C5" s="21"/>
      <c r="D5" s="22" t="s">
        <v>52</v>
      </c>
      <c r="E5" s="23" t="s">
        <v>53</v>
      </c>
      <c r="F5" s="23" t="s">
        <v>54</v>
      </c>
      <c r="G5" s="23" t="s">
        <v>55</v>
      </c>
      <c r="H5" s="100" t="s">
        <v>56</v>
      </c>
      <c r="I5" s="23" t="s">
        <v>57</v>
      </c>
      <c r="J5" s="129" t="s">
        <v>58</v>
      </c>
      <c r="K5" s="130"/>
      <c r="L5" s="27" t="s">
        <v>59</v>
      </c>
      <c r="M5" s="27" t="s">
        <v>60</v>
      </c>
      <c r="N5" s="27" t="s">
        <v>61</v>
      </c>
      <c r="O5" s="27" t="s">
        <v>62</v>
      </c>
      <c r="P5" s="27" t="s">
        <v>63</v>
      </c>
      <c r="Q5" s="27" t="s">
        <v>64</v>
      </c>
      <c r="R5" s="27" t="s">
        <v>65</v>
      </c>
      <c r="S5" s="27" t="s">
        <v>66</v>
      </c>
      <c r="V5" s="28"/>
      <c r="W5" s="19"/>
      <c r="Y5" s="28"/>
      <c r="Z5" s="28"/>
      <c r="AA5" s="28"/>
      <c r="AB5" s="28"/>
      <c r="AC5" s="28"/>
      <c r="AD5" s="28"/>
      <c r="AE5" s="28"/>
      <c r="AF5" s="28"/>
    </row>
    <row r="6" spans="1:32" ht="15.75" customHeight="1" x14ac:dyDescent="0.25">
      <c r="A6" s="30" t="s">
        <v>1506</v>
      </c>
      <c r="B6" s="176" t="s">
        <v>68</v>
      </c>
      <c r="C6" s="31"/>
      <c r="D6" s="32">
        <v>607499</v>
      </c>
      <c r="E6" s="32" t="e">
        <f>D6*#REF!</f>
        <v>#REF!</v>
      </c>
      <c r="F6" s="32" t="e">
        <f>D6*#REF!</f>
        <v>#REF!</v>
      </c>
      <c r="G6" s="32" t="e">
        <f>(D6*#REF!)*#REF!</f>
        <v>#REF!</v>
      </c>
      <c r="H6" s="119">
        <f t="shared" ref="H6:H24" si="0">IFERROR(((P6-G6)/G6),0)</f>
        <v>0</v>
      </c>
      <c r="I6" s="34" t="e">
        <f t="shared" ref="I6:I23" si="1">P6-G6</f>
        <v>#REF!</v>
      </c>
      <c r="J6" s="34">
        <v>-93000</v>
      </c>
      <c r="K6" s="31"/>
      <c r="L6" s="35">
        <v>868746</v>
      </c>
      <c r="M6" s="35">
        <v>893863.6</v>
      </c>
      <c r="N6" s="35">
        <v>932941</v>
      </c>
      <c r="O6" s="35">
        <f>VLOOKUP(A6,TB!A:F,3)</f>
        <v>706160</v>
      </c>
      <c r="P6" s="32">
        <f t="shared" ref="P6:P9" si="2">O6/20*26</f>
        <v>918008</v>
      </c>
      <c r="Q6" s="34">
        <f>VLOOKUP(A6,TB!A:F,5)</f>
        <v>1113100</v>
      </c>
      <c r="R6" s="36">
        <f>VLOOKUP(A6,TB!A:F,6)</f>
        <v>1020100</v>
      </c>
      <c r="S6" s="36">
        <f t="shared" ref="S6:S23" si="3">R6-Q6</f>
        <v>-93000</v>
      </c>
      <c r="T6" s="54"/>
    </row>
    <row r="7" spans="1:32" ht="15.75" customHeight="1" x14ac:dyDescent="0.25">
      <c r="A7" s="30" t="s">
        <v>1507</v>
      </c>
      <c r="B7" s="176" t="s">
        <v>70</v>
      </c>
      <c r="C7" s="31"/>
      <c r="D7" s="32">
        <v>140</v>
      </c>
      <c r="E7" s="32" t="e">
        <f>D7*#REF!</f>
        <v>#REF!</v>
      </c>
      <c r="F7" s="32" t="e">
        <f>D7*#REF!</f>
        <v>#REF!</v>
      </c>
      <c r="G7" s="32" t="e">
        <f>(D7*#REF!)*#REF!</f>
        <v>#REF!</v>
      </c>
      <c r="H7" s="121">
        <f t="shared" si="0"/>
        <v>0</v>
      </c>
      <c r="I7" s="34" t="e">
        <f t="shared" si="1"/>
        <v>#REF!</v>
      </c>
      <c r="J7" s="16"/>
      <c r="K7" s="31"/>
      <c r="L7" s="35">
        <v>0</v>
      </c>
      <c r="M7" s="35">
        <v>0</v>
      </c>
      <c r="N7" s="35">
        <v>1000</v>
      </c>
      <c r="O7" s="35">
        <f>VLOOKUP(A7,TB!A:F,3)</f>
        <v>0</v>
      </c>
      <c r="P7" s="32">
        <f t="shared" si="2"/>
        <v>0</v>
      </c>
      <c r="Q7" s="34">
        <f>VLOOKUP(A7,TB!A:F,5)</f>
        <v>1000</v>
      </c>
      <c r="R7" s="36">
        <f>VLOOKUP(A7,TB!A:F,6)</f>
        <v>1000</v>
      </c>
      <c r="S7" s="36">
        <f t="shared" si="3"/>
        <v>0</v>
      </c>
      <c r="T7" s="54"/>
    </row>
    <row r="8" spans="1:32" ht="15.75" customHeight="1" x14ac:dyDescent="0.25">
      <c r="A8" s="30" t="s">
        <v>1508</v>
      </c>
      <c r="B8" s="176" t="s">
        <v>108</v>
      </c>
      <c r="C8" s="31"/>
      <c r="D8" s="32">
        <v>4503</v>
      </c>
      <c r="E8" s="32" t="e">
        <f>D8*#REF!</f>
        <v>#REF!</v>
      </c>
      <c r="F8" s="32" t="e">
        <f>D8*#REF!</f>
        <v>#REF!</v>
      </c>
      <c r="G8" s="32" t="e">
        <f>(D8*#REF!)*#REF!</f>
        <v>#REF!</v>
      </c>
      <c r="H8" s="119">
        <f t="shared" si="0"/>
        <v>0</v>
      </c>
      <c r="I8" s="34" t="e">
        <f t="shared" si="1"/>
        <v>#REF!</v>
      </c>
      <c r="J8" s="16"/>
      <c r="K8" s="31"/>
      <c r="L8" s="35">
        <v>0</v>
      </c>
      <c r="M8" s="35">
        <v>0</v>
      </c>
      <c r="N8" s="35">
        <v>20800</v>
      </c>
      <c r="O8" s="35">
        <f>VLOOKUP(A8,TB!A:F,3)</f>
        <v>4953</v>
      </c>
      <c r="P8" s="32">
        <f t="shared" si="2"/>
        <v>6438.9000000000005</v>
      </c>
      <c r="Q8" s="34">
        <f>VLOOKUP(A8,TB!A:F,5)</f>
        <v>20800</v>
      </c>
      <c r="R8" s="36">
        <f>VLOOKUP(A8,TB!A:F,6)</f>
        <v>20800</v>
      </c>
      <c r="S8" s="36">
        <f t="shared" si="3"/>
        <v>0</v>
      </c>
      <c r="T8" s="54"/>
    </row>
    <row r="9" spans="1:32" ht="15.75" customHeight="1" x14ac:dyDescent="0.25">
      <c r="A9" s="30" t="s">
        <v>1509</v>
      </c>
      <c r="B9" s="176" t="s">
        <v>72</v>
      </c>
      <c r="C9" s="31"/>
      <c r="D9" s="32">
        <v>259351</v>
      </c>
      <c r="E9" s="32" t="e">
        <f>D9*#REF!</f>
        <v>#REF!</v>
      </c>
      <c r="F9" s="32" t="e">
        <f>D9*#REF!</f>
        <v>#REF!</v>
      </c>
      <c r="G9" s="32" t="e">
        <f>(D9*#REF!)*#REF!</f>
        <v>#REF!</v>
      </c>
      <c r="H9" s="119">
        <f t="shared" si="0"/>
        <v>0</v>
      </c>
      <c r="I9" s="34" t="e">
        <f t="shared" si="1"/>
        <v>#REF!</v>
      </c>
      <c r="J9" s="34">
        <v>-51000</v>
      </c>
      <c r="K9" s="31"/>
      <c r="L9" s="35">
        <v>351745</v>
      </c>
      <c r="M9" s="35">
        <v>393358.94</v>
      </c>
      <c r="N9" s="35">
        <v>482175</v>
      </c>
      <c r="O9" s="35">
        <f>VLOOKUP(A9,TB!A:F,3)</f>
        <v>296090.36</v>
      </c>
      <c r="P9" s="32">
        <f t="shared" si="2"/>
        <v>384917.46799999999</v>
      </c>
      <c r="Q9" s="34">
        <f>VLOOKUP(A9,TB!A:F,5)</f>
        <v>482900</v>
      </c>
      <c r="R9" s="36">
        <f>VLOOKUP(A9,TB!A:F,6)</f>
        <v>431900</v>
      </c>
      <c r="S9" s="36">
        <f t="shared" si="3"/>
        <v>-51000</v>
      </c>
      <c r="T9" s="54"/>
    </row>
    <row r="10" spans="1:32" ht="15.75" customHeight="1" x14ac:dyDescent="0.25">
      <c r="A10" s="30" t="s">
        <v>1510</v>
      </c>
      <c r="B10" s="176" t="s">
        <v>74</v>
      </c>
      <c r="C10" s="31"/>
      <c r="D10" s="32">
        <v>0</v>
      </c>
      <c r="E10" s="32" t="e">
        <f>D10*#REF!</f>
        <v>#REF!</v>
      </c>
      <c r="F10" s="32" t="e">
        <f>D10*#REF!</f>
        <v>#REF!</v>
      </c>
      <c r="G10" s="32" t="e">
        <f>(D10*#REF!)*#REF!</f>
        <v>#REF!</v>
      </c>
      <c r="H10" s="119">
        <f t="shared" si="0"/>
        <v>0</v>
      </c>
      <c r="I10" s="34" t="e">
        <f t="shared" si="1"/>
        <v>#REF!</v>
      </c>
      <c r="J10" s="16"/>
      <c r="K10" s="31"/>
      <c r="L10" s="35">
        <v>0</v>
      </c>
      <c r="M10" s="35">
        <v>0</v>
      </c>
      <c r="N10" s="35">
        <v>102100</v>
      </c>
      <c r="O10" s="35">
        <f>VLOOKUP(A10,TB!A:F,3)</f>
        <v>78781.679999999993</v>
      </c>
      <c r="P10" s="32">
        <f t="shared" ref="P10:P11" si="4">IF(O10/9*12&lt;N10,N10,O10/9*12)</f>
        <v>105042.23999999999</v>
      </c>
      <c r="Q10" s="34">
        <f>VLOOKUP(A10,TB!A:F,5)</f>
        <v>107700</v>
      </c>
      <c r="R10" s="36">
        <f>VLOOKUP(A10,TB!A:F,6)</f>
        <v>107700</v>
      </c>
      <c r="S10" s="36">
        <f t="shared" si="3"/>
        <v>0</v>
      </c>
      <c r="T10" s="54"/>
    </row>
    <row r="11" spans="1:32" ht="15.75" customHeight="1" x14ac:dyDescent="0.25">
      <c r="A11" s="30" t="s">
        <v>1511</v>
      </c>
      <c r="B11" s="176" t="s">
        <v>1512</v>
      </c>
      <c r="C11" s="31"/>
      <c r="D11" s="32">
        <v>52825</v>
      </c>
      <c r="E11" s="32" t="e">
        <f>D11*#REF!</f>
        <v>#REF!</v>
      </c>
      <c r="F11" s="32" t="e">
        <f>D11*#REF!</f>
        <v>#REF!</v>
      </c>
      <c r="G11" s="32" t="e">
        <f>(D11*#REF!)*#REF!</f>
        <v>#REF!</v>
      </c>
      <c r="H11" s="121">
        <f t="shared" si="0"/>
        <v>0</v>
      </c>
      <c r="I11" s="34" t="e">
        <f t="shared" si="1"/>
        <v>#REF!</v>
      </c>
      <c r="J11" s="16"/>
      <c r="K11" s="31"/>
      <c r="L11" s="35">
        <v>93766</v>
      </c>
      <c r="M11" s="35">
        <v>74068.17</v>
      </c>
      <c r="N11" s="35">
        <v>0</v>
      </c>
      <c r="O11" s="35">
        <f>VLOOKUP(A11,TB!A:F,3)</f>
        <v>0</v>
      </c>
      <c r="P11" s="32">
        <f t="shared" si="4"/>
        <v>0</v>
      </c>
      <c r="Q11" s="34">
        <f>VLOOKUP(A11,TB!A:F,5)</f>
        <v>0</v>
      </c>
      <c r="R11" s="36">
        <f>VLOOKUP(A11,TB!A:F,6)</f>
        <v>0</v>
      </c>
      <c r="S11" s="36">
        <f t="shared" si="3"/>
        <v>0</v>
      </c>
      <c r="T11" s="54"/>
    </row>
    <row r="12" spans="1:32" ht="15.75" customHeight="1" x14ac:dyDescent="0.25">
      <c r="A12" s="30" t="s">
        <v>1513</v>
      </c>
      <c r="B12" s="176" t="s">
        <v>76</v>
      </c>
      <c r="C12" s="31"/>
      <c r="D12" s="32">
        <v>21015</v>
      </c>
      <c r="E12" s="32" t="e">
        <f>D12*#REF!</f>
        <v>#REF!</v>
      </c>
      <c r="F12" s="32" t="e">
        <f>D12*#REF!</f>
        <v>#REF!</v>
      </c>
      <c r="G12" s="32" t="e">
        <f>(D12*#REF!)*#REF!</f>
        <v>#REF!</v>
      </c>
      <c r="H12" s="121">
        <f t="shared" si="0"/>
        <v>0</v>
      </c>
      <c r="I12" s="34" t="e">
        <f t="shared" si="1"/>
        <v>#REF!</v>
      </c>
      <c r="J12" s="16"/>
      <c r="K12" s="31"/>
      <c r="L12" s="35">
        <v>17691</v>
      </c>
      <c r="M12" s="35">
        <v>8841.7999999999993</v>
      </c>
      <c r="N12" s="35">
        <v>16500</v>
      </c>
      <c r="O12" s="35">
        <f>VLOOKUP(A12,TB!A:F,3)</f>
        <v>1688.66</v>
      </c>
      <c r="P12" s="32">
        <f>O12/9*12</f>
        <v>2251.5466666666666</v>
      </c>
      <c r="Q12" s="34">
        <f>VLOOKUP(A12,TB!A:F,5)</f>
        <v>16500</v>
      </c>
      <c r="R12" s="36">
        <f>VLOOKUP(A12,TB!A:F,6)</f>
        <v>16500</v>
      </c>
      <c r="S12" s="36">
        <f t="shared" si="3"/>
        <v>0</v>
      </c>
      <c r="T12" s="54"/>
    </row>
    <row r="13" spans="1:32" ht="15.75" customHeight="1" x14ac:dyDescent="0.25">
      <c r="A13" s="30" t="s">
        <v>1514</v>
      </c>
      <c r="B13" s="176" t="s">
        <v>80</v>
      </c>
      <c r="C13" s="31"/>
      <c r="D13" s="32">
        <v>1530</v>
      </c>
      <c r="E13" s="32" t="e">
        <f>D13*#REF!</f>
        <v>#REF!</v>
      </c>
      <c r="F13" s="32" t="e">
        <f>D13*#REF!</f>
        <v>#REF!</v>
      </c>
      <c r="G13" s="32" t="e">
        <f>(D13*#REF!)*#REF!</f>
        <v>#REF!</v>
      </c>
      <c r="H13" s="119">
        <f t="shared" si="0"/>
        <v>0</v>
      </c>
      <c r="I13" s="34" t="e">
        <f t="shared" si="1"/>
        <v>#REF!</v>
      </c>
      <c r="J13" s="16"/>
      <c r="K13" s="31"/>
      <c r="L13" s="35">
        <v>1451</v>
      </c>
      <c r="M13" s="35">
        <v>1323.47</v>
      </c>
      <c r="N13" s="35">
        <v>2500</v>
      </c>
      <c r="O13" s="35">
        <f>VLOOKUP(A13,TB!A:F,3)</f>
        <v>826.31</v>
      </c>
      <c r="P13" s="32">
        <f t="shared" ref="P13:P16" si="5">IF(O13/9*12&lt;N13,N13,O13/9*12)</f>
        <v>2500</v>
      </c>
      <c r="Q13" s="34">
        <f>VLOOKUP(A13,TB!A:F,5)</f>
        <v>2500</v>
      </c>
      <c r="R13" s="36">
        <f>VLOOKUP(A13,TB!A:F,6)</f>
        <v>2500</v>
      </c>
      <c r="S13" s="36">
        <f t="shared" si="3"/>
        <v>0</v>
      </c>
      <c r="T13" s="54"/>
    </row>
    <row r="14" spans="1:32" ht="15.75" customHeight="1" x14ac:dyDescent="0.25">
      <c r="A14" s="30" t="s">
        <v>1515</v>
      </c>
      <c r="B14" s="176" t="s">
        <v>82</v>
      </c>
      <c r="C14" s="31"/>
      <c r="D14" s="32">
        <v>30753</v>
      </c>
      <c r="E14" s="32" t="e">
        <f>D14*#REF!</f>
        <v>#REF!</v>
      </c>
      <c r="F14" s="32" t="e">
        <f>D14*#REF!</f>
        <v>#REF!</v>
      </c>
      <c r="G14" s="32" t="e">
        <f>(D14*#REF!)*#REF!</f>
        <v>#REF!</v>
      </c>
      <c r="H14" s="119">
        <f t="shared" si="0"/>
        <v>0</v>
      </c>
      <c r="I14" s="34" t="e">
        <f t="shared" si="1"/>
        <v>#REF!</v>
      </c>
      <c r="J14" s="16"/>
      <c r="K14" s="31"/>
      <c r="L14" s="35">
        <v>13312</v>
      </c>
      <c r="M14" s="35">
        <v>46508.92</v>
      </c>
      <c r="N14" s="35">
        <v>59500</v>
      </c>
      <c r="O14" s="35">
        <f>VLOOKUP(A14,TB!A:F,3)</f>
        <v>38752.720000000001</v>
      </c>
      <c r="P14" s="38">
        <f t="shared" si="5"/>
        <v>59500</v>
      </c>
      <c r="Q14" s="34">
        <f>VLOOKUP(A14,TB!A:F,5)</f>
        <v>42000</v>
      </c>
      <c r="R14" s="36">
        <f>VLOOKUP(A14,TB!A:F,6)</f>
        <v>42000</v>
      </c>
      <c r="S14" s="36">
        <f t="shared" si="3"/>
        <v>0</v>
      </c>
      <c r="T14" s="54"/>
    </row>
    <row r="15" spans="1:32" ht="15.75" customHeight="1" x14ac:dyDescent="0.25">
      <c r="A15" s="30" t="s">
        <v>1516</v>
      </c>
      <c r="B15" s="176" t="s">
        <v>115</v>
      </c>
      <c r="C15" s="31"/>
      <c r="D15" s="32">
        <v>94240</v>
      </c>
      <c r="E15" s="32" t="e">
        <f>D15*#REF!</f>
        <v>#REF!</v>
      </c>
      <c r="F15" s="32" t="e">
        <f>D15*#REF!</f>
        <v>#REF!</v>
      </c>
      <c r="G15" s="32" t="e">
        <f>(D15*#REF!)*#REF!</f>
        <v>#REF!</v>
      </c>
      <c r="H15" s="119">
        <f t="shared" si="0"/>
        <v>0</v>
      </c>
      <c r="I15" s="34" t="e">
        <f t="shared" si="1"/>
        <v>#REF!</v>
      </c>
      <c r="J15" s="16"/>
      <c r="K15" s="31"/>
      <c r="L15" s="35">
        <v>248821</v>
      </c>
      <c r="M15" s="35">
        <v>77949.279999999999</v>
      </c>
      <c r="N15" s="35">
        <v>200400</v>
      </c>
      <c r="O15" s="35">
        <f>VLOOKUP(A15,TB!A:F,3)</f>
        <v>135300.85</v>
      </c>
      <c r="P15" s="38">
        <f t="shared" si="5"/>
        <v>200400</v>
      </c>
      <c r="Q15" s="34">
        <f>VLOOKUP(A15,TB!A:F,5)</f>
        <v>211400</v>
      </c>
      <c r="R15" s="36">
        <f>VLOOKUP(A15,TB!A:F,6)</f>
        <v>211400</v>
      </c>
      <c r="S15" s="36">
        <f t="shared" si="3"/>
        <v>0</v>
      </c>
      <c r="T15" s="54"/>
    </row>
    <row r="16" spans="1:32" ht="15.75" customHeight="1" x14ac:dyDescent="0.25">
      <c r="A16" s="30" t="s">
        <v>1517</v>
      </c>
      <c r="B16" s="176" t="s">
        <v>84</v>
      </c>
      <c r="C16" s="31"/>
      <c r="D16" s="32">
        <v>14706</v>
      </c>
      <c r="E16" s="32" t="e">
        <f>D16*#REF!</f>
        <v>#REF!</v>
      </c>
      <c r="F16" s="32" t="e">
        <f>D16*#REF!</f>
        <v>#REF!</v>
      </c>
      <c r="G16" s="32" t="e">
        <f>(D16*#REF!)*#REF!</f>
        <v>#REF!</v>
      </c>
      <c r="H16" s="119">
        <f t="shared" si="0"/>
        <v>0</v>
      </c>
      <c r="I16" s="34" t="e">
        <f t="shared" si="1"/>
        <v>#REF!</v>
      </c>
      <c r="J16" s="16"/>
      <c r="K16" s="31"/>
      <c r="L16" s="35">
        <v>19447</v>
      </c>
      <c r="M16" s="35">
        <v>29240.49</v>
      </c>
      <c r="N16" s="35">
        <v>39200</v>
      </c>
      <c r="O16" s="35">
        <f>VLOOKUP(A16,TB!A:F,3)</f>
        <v>28046.04</v>
      </c>
      <c r="P16" s="38">
        <f t="shared" si="5"/>
        <v>39200</v>
      </c>
      <c r="Q16" s="34">
        <f>VLOOKUP(A16,TB!A:F,5)</f>
        <v>38700</v>
      </c>
      <c r="R16" s="36">
        <f>VLOOKUP(A16,TB!A:F,6)</f>
        <v>38700</v>
      </c>
      <c r="S16" s="36">
        <f t="shared" si="3"/>
        <v>0</v>
      </c>
      <c r="T16" s="54"/>
    </row>
    <row r="17" spans="1:27" ht="15.75" customHeight="1" x14ac:dyDescent="0.25">
      <c r="A17" s="30" t="s">
        <v>1518</v>
      </c>
      <c r="B17" s="176" t="s">
        <v>86</v>
      </c>
      <c r="C17" s="31"/>
      <c r="D17" s="32">
        <v>936</v>
      </c>
      <c r="E17" s="32" t="e">
        <f>D17*#REF!</f>
        <v>#REF!</v>
      </c>
      <c r="F17" s="32" t="e">
        <f>D17*#REF!</f>
        <v>#REF!</v>
      </c>
      <c r="G17" s="32" t="e">
        <f>(D17*#REF!)*#REF!</f>
        <v>#REF!</v>
      </c>
      <c r="H17" s="121">
        <f t="shared" si="0"/>
        <v>0</v>
      </c>
      <c r="I17" s="34" t="e">
        <f t="shared" si="1"/>
        <v>#REF!</v>
      </c>
      <c r="J17" s="16"/>
      <c r="K17" s="31"/>
      <c r="L17" s="35">
        <v>845</v>
      </c>
      <c r="M17" s="35">
        <v>0</v>
      </c>
      <c r="N17" s="35">
        <v>5000</v>
      </c>
      <c r="O17" s="35">
        <f>VLOOKUP(A17,TB!A:F,3)</f>
        <v>213</v>
      </c>
      <c r="P17" s="32">
        <f>O17/9*12</f>
        <v>284</v>
      </c>
      <c r="Q17" s="34">
        <f>VLOOKUP(A17,TB!A:F,5)</f>
        <v>5000</v>
      </c>
      <c r="R17" s="36">
        <f>VLOOKUP(A17,TB!A:F,6)</f>
        <v>5000</v>
      </c>
      <c r="S17" s="36">
        <f t="shared" si="3"/>
        <v>0</v>
      </c>
      <c r="T17" s="54"/>
    </row>
    <row r="18" spans="1:27" ht="15.75" customHeight="1" x14ac:dyDescent="0.25">
      <c r="A18" s="30" t="s">
        <v>1519</v>
      </c>
      <c r="B18" s="176" t="s">
        <v>88</v>
      </c>
      <c r="C18" s="31"/>
      <c r="D18" s="32">
        <v>19534</v>
      </c>
      <c r="E18" s="32" t="e">
        <f>D18*#REF!</f>
        <v>#REF!</v>
      </c>
      <c r="F18" s="32" t="e">
        <f>D18*#REF!</f>
        <v>#REF!</v>
      </c>
      <c r="G18" s="32" t="e">
        <f>(D18*#REF!)*#REF!</f>
        <v>#REF!</v>
      </c>
      <c r="H18" s="121">
        <f t="shared" si="0"/>
        <v>0</v>
      </c>
      <c r="I18" s="34" t="e">
        <f t="shared" si="1"/>
        <v>#REF!</v>
      </c>
      <c r="J18" s="16"/>
      <c r="K18" s="31"/>
      <c r="L18" s="35">
        <v>7539</v>
      </c>
      <c r="M18" s="35">
        <v>12255.29</v>
      </c>
      <c r="N18" s="35">
        <v>15500</v>
      </c>
      <c r="O18" s="35">
        <f>VLOOKUP(A18,TB!A:F,3)</f>
        <v>6382.27</v>
      </c>
      <c r="P18" s="38">
        <f>IF(O18/9*12&lt;N18,N18,O18/9*12)</f>
        <v>15500</v>
      </c>
      <c r="Q18" s="34">
        <f>VLOOKUP(A18,TB!A:F,5)</f>
        <v>7500</v>
      </c>
      <c r="R18" s="36">
        <f>VLOOKUP(A18,TB!A:F,6)</f>
        <v>7500</v>
      </c>
      <c r="S18" s="36">
        <f t="shared" si="3"/>
        <v>0</v>
      </c>
      <c r="T18" s="54"/>
    </row>
    <row r="19" spans="1:27" ht="15.75" customHeight="1" x14ac:dyDescent="0.25">
      <c r="A19" s="30" t="s">
        <v>1520</v>
      </c>
      <c r="B19" s="176" t="s">
        <v>90</v>
      </c>
      <c r="C19" s="31"/>
      <c r="D19" s="32">
        <v>0</v>
      </c>
      <c r="E19" s="32" t="e">
        <f>D19*#REF!</f>
        <v>#REF!</v>
      </c>
      <c r="F19" s="32" t="e">
        <f>D19*#REF!</f>
        <v>#REF!</v>
      </c>
      <c r="G19" s="32" t="e">
        <f>(D19*#REF!)*#REF!</f>
        <v>#REF!</v>
      </c>
      <c r="H19" s="119">
        <f t="shared" si="0"/>
        <v>0</v>
      </c>
      <c r="I19" s="34" t="e">
        <f t="shared" si="1"/>
        <v>#REF!</v>
      </c>
      <c r="J19" s="16"/>
      <c r="K19" s="31"/>
      <c r="L19" s="35">
        <v>0</v>
      </c>
      <c r="M19" s="35">
        <v>0</v>
      </c>
      <c r="N19" s="35">
        <v>14100</v>
      </c>
      <c r="O19" s="35">
        <f>VLOOKUP(A19,TB!A:F,3)</f>
        <v>4174.1499999999996</v>
      </c>
      <c r="P19" s="32">
        <f>O19/9*12</f>
        <v>5565.5333333333328</v>
      </c>
      <c r="Q19" s="34">
        <f>VLOOKUP(A19,TB!A:F,5)</f>
        <v>14400</v>
      </c>
      <c r="R19" s="36">
        <f>VLOOKUP(A19,TB!A:F,6)</f>
        <v>14400</v>
      </c>
      <c r="S19" s="36">
        <f t="shared" si="3"/>
        <v>0</v>
      </c>
      <c r="T19" s="54"/>
    </row>
    <row r="20" spans="1:27" ht="15.75" customHeight="1" x14ac:dyDescent="0.25">
      <c r="A20" s="30" t="s">
        <v>1521</v>
      </c>
      <c r="B20" s="176" t="s">
        <v>92</v>
      </c>
      <c r="C20" s="31"/>
      <c r="D20" s="32">
        <v>0</v>
      </c>
      <c r="E20" s="32" t="e">
        <f>D20*#REF!</f>
        <v>#REF!</v>
      </c>
      <c r="F20" s="32" t="e">
        <f>D20*#REF!</f>
        <v>#REF!</v>
      </c>
      <c r="G20" s="32" t="e">
        <f>(D20*#REF!)*#REF!</f>
        <v>#REF!</v>
      </c>
      <c r="H20" s="119">
        <f t="shared" si="0"/>
        <v>0</v>
      </c>
      <c r="I20" s="34" t="e">
        <f t="shared" si="1"/>
        <v>#REF!</v>
      </c>
      <c r="J20" s="16"/>
      <c r="K20" s="31"/>
      <c r="L20" s="35">
        <v>7683</v>
      </c>
      <c r="M20" s="35">
        <v>7648.05</v>
      </c>
      <c r="N20" s="35">
        <v>9000</v>
      </c>
      <c r="O20" s="35">
        <f>VLOOKUP(A20,TB!A:F,3)</f>
        <v>9384.27</v>
      </c>
      <c r="P20" s="32">
        <f t="shared" ref="P20:P21" si="6">IF(O20/9*12&lt;N20,N20,O20/9*12)</f>
        <v>12512.36</v>
      </c>
      <c r="Q20" s="34">
        <f>VLOOKUP(A20,TB!A:F,5)</f>
        <v>9000</v>
      </c>
      <c r="R20" s="36">
        <f>VLOOKUP(A20,TB!A:F,6)</f>
        <v>9000</v>
      </c>
      <c r="S20" s="36">
        <f t="shared" si="3"/>
        <v>0</v>
      </c>
      <c r="T20" s="54"/>
    </row>
    <row r="21" spans="1:27" ht="15.75" customHeight="1" x14ac:dyDescent="0.25">
      <c r="A21" s="30" t="s">
        <v>1522</v>
      </c>
      <c r="B21" s="176" t="s">
        <v>94</v>
      </c>
      <c r="C21" s="31"/>
      <c r="D21" s="32">
        <v>1568</v>
      </c>
      <c r="E21" s="32" t="e">
        <f>D21*#REF!</f>
        <v>#REF!</v>
      </c>
      <c r="F21" s="32" t="e">
        <f>D21*#REF!</f>
        <v>#REF!</v>
      </c>
      <c r="G21" s="32" t="e">
        <f>(D21*#REF!)*#REF!</f>
        <v>#REF!</v>
      </c>
      <c r="H21" s="119">
        <f t="shared" si="0"/>
        <v>0</v>
      </c>
      <c r="I21" s="34" t="e">
        <f t="shared" si="1"/>
        <v>#REF!</v>
      </c>
      <c r="J21" s="16"/>
      <c r="K21" s="31"/>
      <c r="L21" s="35">
        <v>2077</v>
      </c>
      <c r="M21" s="35">
        <v>1744.16</v>
      </c>
      <c r="N21" s="35">
        <v>2750</v>
      </c>
      <c r="O21" s="35">
        <f>VLOOKUP(A21,TB!A:F,3)</f>
        <v>703.39</v>
      </c>
      <c r="P21" s="38">
        <f t="shared" si="6"/>
        <v>2750</v>
      </c>
      <c r="Q21" s="34">
        <f>VLOOKUP(A21,TB!A:F,5)</f>
        <v>2750</v>
      </c>
      <c r="R21" s="36">
        <f>VLOOKUP(A21,TB!A:F,6)</f>
        <v>2750</v>
      </c>
      <c r="S21" s="36">
        <f t="shared" si="3"/>
        <v>0</v>
      </c>
      <c r="T21" s="54"/>
    </row>
    <row r="22" spans="1:27" ht="15.75" customHeight="1" x14ac:dyDescent="0.25">
      <c r="A22" s="30" t="s">
        <v>1523</v>
      </c>
      <c r="B22" s="176" t="s">
        <v>1524</v>
      </c>
      <c r="C22" s="31"/>
      <c r="D22" s="32">
        <v>0</v>
      </c>
      <c r="E22" s="32" t="e">
        <f>D22*#REF!</f>
        <v>#REF!</v>
      </c>
      <c r="F22" s="32" t="e">
        <f>D22*#REF!</f>
        <v>#REF!</v>
      </c>
      <c r="G22" s="32" t="e">
        <f>(D22*#REF!)*#REF!</f>
        <v>#REF!</v>
      </c>
      <c r="H22" s="119">
        <f t="shared" si="0"/>
        <v>0</v>
      </c>
      <c r="I22" s="34" t="e">
        <f t="shared" si="1"/>
        <v>#REF!</v>
      </c>
      <c r="J22" s="16"/>
      <c r="K22" s="31"/>
      <c r="L22" s="35">
        <v>16269</v>
      </c>
      <c r="M22" s="35">
        <v>29029.5</v>
      </c>
      <c r="N22" s="35">
        <v>47200</v>
      </c>
      <c r="O22" s="35">
        <f>VLOOKUP(A22,TB!A:F,3)</f>
        <v>28662.61</v>
      </c>
      <c r="P22" s="38">
        <f>N22</f>
        <v>47200</v>
      </c>
      <c r="Q22" s="34">
        <f>VLOOKUP(A22,TB!A:F,5)</f>
        <v>49700</v>
      </c>
      <c r="R22" s="36">
        <f>VLOOKUP(A22,TB!A:F,6)</f>
        <v>49700</v>
      </c>
      <c r="S22" s="36">
        <f t="shared" si="3"/>
        <v>0</v>
      </c>
      <c r="T22" s="54"/>
    </row>
    <row r="23" spans="1:27" ht="15.75" customHeight="1" x14ac:dyDescent="0.25">
      <c r="A23" s="30" t="s">
        <v>1525</v>
      </c>
      <c r="B23" s="176" t="s">
        <v>1526</v>
      </c>
      <c r="C23" s="31"/>
      <c r="D23" s="32">
        <v>-358858</v>
      </c>
      <c r="E23" s="32" t="e">
        <f>D23*#REF!</f>
        <v>#REF!</v>
      </c>
      <c r="F23" s="32" t="e">
        <f>D23*#REF!</f>
        <v>#REF!</v>
      </c>
      <c r="G23" s="32" t="e">
        <f>(D23*#REF!)*#REF!</f>
        <v>#REF!</v>
      </c>
      <c r="H23" s="119">
        <f t="shared" si="0"/>
        <v>0</v>
      </c>
      <c r="I23" s="34" t="e">
        <f t="shared" si="1"/>
        <v>#REF!</v>
      </c>
      <c r="J23" s="34">
        <v>43200</v>
      </c>
      <c r="K23" s="31"/>
      <c r="L23" s="35">
        <v>-502198</v>
      </c>
      <c r="M23" s="35">
        <v>-552110.65</v>
      </c>
      <c r="N23" s="35">
        <v>-585200</v>
      </c>
      <c r="O23" s="35">
        <f>VLOOKUP(A23,TB!A:F,3)</f>
        <v>-384389.46</v>
      </c>
      <c r="P23" s="32">
        <f>SUM(P6:P22)*-0.3</f>
        <v>-540621.01439999999</v>
      </c>
      <c r="Q23" s="34">
        <f>VLOOKUP(A23,TB!A:F,5)</f>
        <v>-637485</v>
      </c>
      <c r="R23" s="36">
        <f>VLOOKUP(A23,TB!A:F,6)</f>
        <v>-594285</v>
      </c>
      <c r="S23" s="36">
        <f t="shared" si="3"/>
        <v>43200</v>
      </c>
      <c r="T23" s="54"/>
    </row>
    <row r="24" spans="1:27" ht="15.75" customHeight="1" x14ac:dyDescent="0.25">
      <c r="A24" s="47" t="s">
        <v>1527</v>
      </c>
      <c r="B24" s="12"/>
      <c r="C24" s="49"/>
      <c r="D24" s="50">
        <f t="shared" ref="D24:G24" si="7">SUM(D6:D23)</f>
        <v>749742</v>
      </c>
      <c r="E24" s="50" t="e">
        <f t="shared" si="7"/>
        <v>#REF!</v>
      </c>
      <c r="F24" s="50" t="e">
        <f t="shared" si="7"/>
        <v>#REF!</v>
      </c>
      <c r="G24" s="50" t="e">
        <f t="shared" si="7"/>
        <v>#REF!</v>
      </c>
      <c r="H24" s="122">
        <f t="shared" si="0"/>
        <v>0</v>
      </c>
      <c r="I24" s="50" t="e">
        <f t="shared" ref="I24:J24" si="8">SUM(I6:I23)</f>
        <v>#REF!</v>
      </c>
      <c r="J24" s="50">
        <f t="shared" si="8"/>
        <v>-100800</v>
      </c>
      <c r="K24" s="49"/>
      <c r="L24" s="12">
        <f t="shared" ref="L24:S24" si="9">SUM(L6:L23)</f>
        <v>1147194</v>
      </c>
      <c r="M24" s="12">
        <f t="shared" si="9"/>
        <v>1023721.0199999999</v>
      </c>
      <c r="N24" s="12">
        <f t="shared" si="9"/>
        <v>1365466</v>
      </c>
      <c r="O24" s="12">
        <f t="shared" si="9"/>
        <v>955729.85000000009</v>
      </c>
      <c r="P24" s="50">
        <f t="shared" si="9"/>
        <v>1261449.0336000002</v>
      </c>
      <c r="Q24" s="50">
        <f t="shared" si="9"/>
        <v>1487465</v>
      </c>
      <c r="R24" s="12">
        <f t="shared" si="9"/>
        <v>1386665</v>
      </c>
      <c r="S24" s="12">
        <f t="shared" si="9"/>
        <v>-100800</v>
      </c>
      <c r="T24" s="54"/>
      <c r="U24" s="44"/>
      <c r="V24" s="44"/>
      <c r="W24" s="44"/>
      <c r="X24" s="44"/>
      <c r="Y24" s="44"/>
      <c r="Z24" s="44"/>
      <c r="AA24" s="44"/>
    </row>
    <row r="25" spans="1:27" ht="15.75" customHeight="1" x14ac:dyDescent="0.2">
      <c r="A25" s="5"/>
      <c r="B25" s="7"/>
      <c r="C25" s="31"/>
      <c r="D25" s="213"/>
      <c r="E25" s="213"/>
      <c r="F25" s="213"/>
      <c r="G25" s="213"/>
      <c r="H25" s="213"/>
      <c r="I25" s="213"/>
      <c r="J25" s="213"/>
      <c r="K25" s="31"/>
      <c r="L25" s="7"/>
      <c r="M25" s="7"/>
      <c r="N25" s="7"/>
      <c r="O25" s="7"/>
      <c r="P25" s="7"/>
      <c r="Q25" s="7"/>
      <c r="R25" s="7"/>
      <c r="S25" s="7"/>
      <c r="T25" s="54"/>
    </row>
    <row r="26" spans="1:27" ht="15.75" customHeight="1" x14ac:dyDescent="0.2">
      <c r="A26" s="5"/>
      <c r="B26" s="7"/>
      <c r="C26" s="31"/>
      <c r="D26" s="213"/>
      <c r="E26" s="213"/>
      <c r="F26" s="213"/>
      <c r="G26" s="213"/>
      <c r="H26" s="213"/>
      <c r="I26" s="213"/>
      <c r="J26" s="213"/>
      <c r="K26" s="31"/>
      <c r="L26" s="7"/>
      <c r="M26" s="7"/>
      <c r="N26" s="7"/>
      <c r="O26" s="7"/>
      <c r="P26" s="7"/>
      <c r="Q26" s="7"/>
      <c r="R26" s="7"/>
      <c r="S26" s="7"/>
      <c r="T26" s="54"/>
    </row>
    <row r="27" spans="1:27" ht="15.75" customHeight="1" x14ac:dyDescent="0.25">
      <c r="A27" s="6" t="s">
        <v>1528</v>
      </c>
      <c r="B27" s="7" t="s">
        <v>180</v>
      </c>
      <c r="C27" s="31"/>
      <c r="D27" s="32">
        <v>0</v>
      </c>
      <c r="E27" s="32" t="e">
        <f>D27*#REF!</f>
        <v>#REF!</v>
      </c>
      <c r="F27" s="32" t="e">
        <f>D27*#REF!</f>
        <v>#REF!</v>
      </c>
      <c r="G27" s="32" t="e">
        <f>(D27*#REF!)*#REF!</f>
        <v>#REF!</v>
      </c>
      <c r="H27" s="119">
        <f t="shared" ref="H27:H30" si="10">IFERROR(((P27-G27)/G27),0)</f>
        <v>0</v>
      </c>
      <c r="I27" s="34" t="e">
        <f t="shared" ref="I27:I29" si="11">P27-G27</f>
        <v>#REF!</v>
      </c>
      <c r="J27" s="16"/>
      <c r="K27" s="31"/>
      <c r="L27" s="35">
        <v>0</v>
      </c>
      <c r="M27" s="35">
        <v>0</v>
      </c>
      <c r="N27" s="35">
        <v>0</v>
      </c>
      <c r="O27" s="35">
        <v>0</v>
      </c>
      <c r="P27" s="32">
        <v>0</v>
      </c>
      <c r="Q27" s="34">
        <f>VLOOKUP(A27,TB!A:F,5)</f>
        <v>0</v>
      </c>
      <c r="R27" s="36">
        <f>VLOOKUP(A27,TB!A:F,6)</f>
        <v>0</v>
      </c>
      <c r="S27" s="36">
        <f t="shared" ref="S27:S29" si="12">R27-Q27</f>
        <v>0</v>
      </c>
      <c r="T27" s="54"/>
    </row>
    <row r="28" spans="1:27" ht="15.75" customHeight="1" x14ac:dyDescent="0.25">
      <c r="A28" s="6" t="s">
        <v>1529</v>
      </c>
      <c r="B28" s="7" t="s">
        <v>99</v>
      </c>
      <c r="C28" s="31"/>
      <c r="D28" s="32">
        <v>87593.03</v>
      </c>
      <c r="E28" s="32" t="e">
        <f>D28*#REF!</f>
        <v>#REF!</v>
      </c>
      <c r="F28" s="32" t="e">
        <f>D28*#REF!</f>
        <v>#REF!</v>
      </c>
      <c r="G28" s="32" t="e">
        <f>(D28*#REF!)*#REF!</f>
        <v>#REF!</v>
      </c>
      <c r="H28" s="119">
        <f t="shared" si="10"/>
        <v>0</v>
      </c>
      <c r="I28" s="34" t="e">
        <f t="shared" si="11"/>
        <v>#REF!</v>
      </c>
      <c r="J28" s="16"/>
      <c r="K28" s="31"/>
      <c r="L28" s="35">
        <v>24600</v>
      </c>
      <c r="M28" s="35">
        <v>264914.94</v>
      </c>
      <c r="N28" s="35">
        <v>155000</v>
      </c>
      <c r="O28" s="35">
        <v>139289.18</v>
      </c>
      <c r="P28" s="32">
        <f>N28</f>
        <v>155000</v>
      </c>
      <c r="Q28" s="34">
        <f>VLOOKUP(A28,TB!A:F,5)</f>
        <v>51500</v>
      </c>
      <c r="R28" s="36">
        <f>VLOOKUP(A28,TB!A:F,6)</f>
        <v>51500</v>
      </c>
      <c r="S28" s="36">
        <f t="shared" si="12"/>
        <v>0</v>
      </c>
      <c r="T28" s="54"/>
    </row>
    <row r="29" spans="1:27" ht="15.75" customHeight="1" x14ac:dyDescent="0.25">
      <c r="A29" s="6" t="s">
        <v>1530</v>
      </c>
      <c r="B29" s="7" t="s">
        <v>1531</v>
      </c>
      <c r="C29" s="31"/>
      <c r="D29" s="32">
        <v>0</v>
      </c>
      <c r="E29" s="32" t="e">
        <f>D29*#REF!</f>
        <v>#REF!</v>
      </c>
      <c r="F29" s="32" t="e">
        <f>D29*#REF!</f>
        <v>#REF!</v>
      </c>
      <c r="G29" s="32" t="e">
        <f>(D29*#REF!)*#REF!</f>
        <v>#REF!</v>
      </c>
      <c r="H29" s="119">
        <f t="shared" si="10"/>
        <v>0</v>
      </c>
      <c r="I29" s="34" t="e">
        <f t="shared" si="11"/>
        <v>#REF!</v>
      </c>
      <c r="J29" s="16"/>
      <c r="K29" s="31"/>
      <c r="L29" s="35">
        <v>484653.05</v>
      </c>
      <c r="M29" s="35">
        <v>587009.46</v>
      </c>
      <c r="N29" s="35">
        <v>0</v>
      </c>
      <c r="O29" s="35">
        <v>0</v>
      </c>
      <c r="P29" s="32">
        <v>0</v>
      </c>
      <c r="Q29" s="34">
        <v>0</v>
      </c>
      <c r="R29" s="36">
        <v>0</v>
      </c>
      <c r="S29" s="36">
        <f t="shared" si="12"/>
        <v>0</v>
      </c>
      <c r="T29" s="54"/>
    </row>
    <row r="30" spans="1:27" ht="15.75" customHeight="1" x14ac:dyDescent="0.25">
      <c r="A30" s="47" t="s">
        <v>1532</v>
      </c>
      <c r="B30" s="12"/>
      <c r="C30" s="49"/>
      <c r="D30" s="50">
        <f t="shared" ref="D30:G30" si="13">SUM(D27:D29)</f>
        <v>87593.03</v>
      </c>
      <c r="E30" s="50" t="e">
        <f t="shared" si="13"/>
        <v>#REF!</v>
      </c>
      <c r="F30" s="50" t="e">
        <f t="shared" si="13"/>
        <v>#REF!</v>
      </c>
      <c r="G30" s="50" t="e">
        <f t="shared" si="13"/>
        <v>#REF!</v>
      </c>
      <c r="H30" s="122">
        <f t="shared" si="10"/>
        <v>0</v>
      </c>
      <c r="I30" s="50" t="e">
        <f t="shared" ref="I30:J30" si="14">SUM(I27:I29)</f>
        <v>#REF!</v>
      </c>
      <c r="J30" s="50">
        <f t="shared" si="14"/>
        <v>0</v>
      </c>
      <c r="K30" s="49"/>
      <c r="L30" s="12">
        <f t="shared" ref="L30:S30" si="15">SUM(L27:L29)</f>
        <v>509253.05</v>
      </c>
      <c r="M30" s="12">
        <f t="shared" si="15"/>
        <v>851924.39999999991</v>
      </c>
      <c r="N30" s="12">
        <f t="shared" si="15"/>
        <v>155000</v>
      </c>
      <c r="O30" s="12">
        <f t="shared" si="15"/>
        <v>139289.18</v>
      </c>
      <c r="P30" s="50">
        <f t="shared" si="15"/>
        <v>155000</v>
      </c>
      <c r="Q30" s="50">
        <f t="shared" si="15"/>
        <v>51500</v>
      </c>
      <c r="R30" s="12">
        <f t="shared" si="15"/>
        <v>51500</v>
      </c>
      <c r="S30" s="12">
        <f t="shared" si="15"/>
        <v>0</v>
      </c>
      <c r="T30" s="54"/>
    </row>
    <row r="31" spans="1:27" ht="15.75" customHeight="1" x14ac:dyDescent="0.2">
      <c r="A31" s="5"/>
      <c r="B31" s="7"/>
      <c r="C31" s="31"/>
      <c r="D31" s="213"/>
      <c r="E31" s="213"/>
      <c r="F31" s="213"/>
      <c r="G31" s="213"/>
      <c r="H31" s="213"/>
      <c r="I31" s="213"/>
      <c r="J31" s="213"/>
      <c r="K31" s="31"/>
      <c r="L31" s="7"/>
      <c r="M31" s="7"/>
      <c r="N31" s="7"/>
      <c r="O31" s="7"/>
      <c r="P31" s="7"/>
      <c r="Q31" s="7"/>
      <c r="R31" s="7"/>
      <c r="S31" s="7"/>
      <c r="T31" s="54"/>
    </row>
    <row r="32" spans="1:27" ht="15.75" customHeight="1" x14ac:dyDescent="0.25">
      <c r="A32" s="11" t="s">
        <v>1533</v>
      </c>
      <c r="B32" s="12"/>
      <c r="C32" s="40"/>
      <c r="D32" s="41">
        <f t="shared" ref="D32:G32" si="16">D24+D30</f>
        <v>837335.03</v>
      </c>
      <c r="E32" s="41" t="e">
        <f t="shared" si="16"/>
        <v>#REF!</v>
      </c>
      <c r="F32" s="41" t="e">
        <f t="shared" si="16"/>
        <v>#REF!</v>
      </c>
      <c r="G32" s="41" t="e">
        <f t="shared" si="16"/>
        <v>#REF!</v>
      </c>
      <c r="H32" s="122">
        <f>IFERROR(((P32-G32)/G32),0)</f>
        <v>0</v>
      </c>
      <c r="I32" s="50" t="e">
        <f>P32-G32</f>
        <v>#REF!</v>
      </c>
      <c r="J32" s="178">
        <f>SUM(J31)</f>
        <v>0</v>
      </c>
      <c r="K32" s="40"/>
      <c r="L32" s="41">
        <f t="shared" ref="L32:S32" si="17">L24+L30</f>
        <v>1656447.05</v>
      </c>
      <c r="M32" s="41">
        <f t="shared" si="17"/>
        <v>1875645.42</v>
      </c>
      <c r="N32" s="41">
        <f t="shared" si="17"/>
        <v>1520466</v>
      </c>
      <c r="O32" s="41">
        <f t="shared" si="17"/>
        <v>1095019.03</v>
      </c>
      <c r="P32" s="41">
        <f t="shared" si="17"/>
        <v>1416449.0336000002</v>
      </c>
      <c r="Q32" s="41">
        <f t="shared" si="17"/>
        <v>1538965</v>
      </c>
      <c r="R32" s="41">
        <f t="shared" si="17"/>
        <v>1438165</v>
      </c>
      <c r="S32" s="41">
        <f t="shared" si="17"/>
        <v>-100800</v>
      </c>
      <c r="T32" s="54"/>
    </row>
    <row r="33" spans="1:27" ht="15.75" customHeight="1" x14ac:dyDescent="0.2">
      <c r="B33" s="54"/>
      <c r="C33" s="180"/>
      <c r="D33" s="54"/>
      <c r="E33" s="54"/>
      <c r="F33" s="54"/>
      <c r="G33" s="54"/>
      <c r="H33" s="54"/>
      <c r="I33" s="54"/>
      <c r="J33" s="54"/>
      <c r="K33" s="180"/>
      <c r="L33" s="54"/>
      <c r="M33" s="54"/>
      <c r="N33" s="54"/>
      <c r="O33" s="54"/>
      <c r="P33" s="54"/>
      <c r="Q33" s="54"/>
      <c r="R33" s="54"/>
      <c r="S33" s="54"/>
      <c r="T33" s="54"/>
      <c r="U33" s="54"/>
    </row>
    <row r="34" spans="1:27" ht="15.75" customHeight="1" x14ac:dyDescent="0.2">
      <c r="B34" s="54"/>
      <c r="C34" s="180"/>
      <c r="D34" s="54"/>
      <c r="E34" s="54"/>
      <c r="F34" s="54"/>
      <c r="G34" s="54"/>
      <c r="H34" s="54"/>
      <c r="I34" s="54"/>
      <c r="J34" s="54"/>
      <c r="K34" s="180"/>
      <c r="L34" s="54"/>
      <c r="M34" s="54"/>
      <c r="N34" s="54"/>
      <c r="O34" s="54"/>
      <c r="P34" s="54"/>
      <c r="Q34" s="54"/>
      <c r="R34" s="54"/>
      <c r="S34" s="54"/>
      <c r="T34" s="54"/>
    </row>
    <row r="35" spans="1:27" ht="15.75" customHeight="1" x14ac:dyDescent="0.2">
      <c r="A35" s="56"/>
      <c r="B35" s="59"/>
      <c r="C35" s="204"/>
      <c r="D35" s="59"/>
      <c r="E35" s="59"/>
      <c r="F35" s="54"/>
      <c r="G35" s="54"/>
      <c r="H35" s="125"/>
      <c r="I35" s="125"/>
      <c r="J35" s="125"/>
      <c r="K35" s="204"/>
      <c r="L35" s="248" t="e">
        <f t="shared" ref="L35:R35" si="18">#REF!</f>
        <v>#REF!</v>
      </c>
      <c r="M35" s="248" t="e">
        <f t="shared" si="18"/>
        <v>#REF!</v>
      </c>
      <c r="N35" s="248" t="e">
        <f t="shared" si="18"/>
        <v>#REF!</v>
      </c>
      <c r="O35" s="248" t="e">
        <f t="shared" si="18"/>
        <v>#REF!</v>
      </c>
      <c r="P35" s="248" t="e">
        <f t="shared" si="18"/>
        <v>#REF!</v>
      </c>
      <c r="Q35" s="248" t="e">
        <f t="shared" si="18"/>
        <v>#REF!</v>
      </c>
      <c r="R35" s="61" t="e">
        <f t="shared" si="18"/>
        <v>#REF!</v>
      </c>
      <c r="S35" s="54"/>
      <c r="T35" s="54"/>
      <c r="W35" s="56"/>
      <c r="X35" s="56"/>
      <c r="Y35" s="56"/>
      <c r="Z35" s="56"/>
      <c r="AA35" s="56"/>
    </row>
    <row r="36" spans="1:27" ht="15.75" customHeight="1" x14ac:dyDescent="0.2">
      <c r="B36" s="54"/>
      <c r="C36" s="180"/>
      <c r="D36" s="54"/>
      <c r="E36" s="54"/>
      <c r="F36" s="54"/>
      <c r="G36" s="54"/>
      <c r="H36" s="54"/>
      <c r="I36" s="54"/>
      <c r="J36" s="54"/>
      <c r="K36" s="180"/>
      <c r="L36" s="200">
        <f t="shared" ref="L36:R36" si="19">L32</f>
        <v>1656447.05</v>
      </c>
      <c r="M36" s="200">
        <f t="shared" si="19"/>
        <v>1875645.42</v>
      </c>
      <c r="N36" s="200">
        <f t="shared" si="19"/>
        <v>1520466</v>
      </c>
      <c r="O36" s="200">
        <f t="shared" si="19"/>
        <v>1095019.03</v>
      </c>
      <c r="P36" s="200">
        <f t="shared" si="19"/>
        <v>1416449.0336000002</v>
      </c>
      <c r="Q36" s="200">
        <f t="shared" si="19"/>
        <v>1538965</v>
      </c>
      <c r="R36" s="7">
        <f t="shared" si="19"/>
        <v>1438165</v>
      </c>
      <c r="S36" s="54"/>
      <c r="T36" s="54"/>
    </row>
    <row r="37" spans="1:27" ht="15.75" customHeight="1" x14ac:dyDescent="0.2">
      <c r="B37" s="54"/>
      <c r="C37" s="180"/>
      <c r="D37" s="54"/>
      <c r="E37" s="54"/>
      <c r="F37" s="54"/>
      <c r="G37" s="54"/>
      <c r="H37" s="54"/>
      <c r="I37" s="54"/>
      <c r="J37" s="54"/>
      <c r="K37" s="180"/>
      <c r="L37" s="54"/>
      <c r="M37" s="54"/>
      <c r="N37" s="54"/>
      <c r="O37" s="54"/>
      <c r="P37" s="54"/>
      <c r="Q37" s="54"/>
      <c r="R37" s="54"/>
      <c r="S37" s="54"/>
      <c r="T37" s="54"/>
    </row>
    <row r="38" spans="1:27" ht="15.75" customHeight="1" x14ac:dyDescent="0.2">
      <c r="B38" s="54"/>
      <c r="C38" s="180"/>
      <c r="D38" s="54"/>
      <c r="E38" s="54"/>
      <c r="F38" s="54"/>
      <c r="G38" s="54"/>
      <c r="H38" s="54"/>
      <c r="I38" s="54"/>
      <c r="J38" s="54"/>
      <c r="K38" s="180"/>
      <c r="L38" s="54"/>
      <c r="M38" s="54"/>
      <c r="N38" s="54"/>
      <c r="O38" s="54"/>
      <c r="P38" s="54"/>
      <c r="Q38" s="54"/>
      <c r="R38" s="54"/>
      <c r="S38" s="54"/>
      <c r="T38" s="54"/>
    </row>
    <row r="39" spans="1:27" ht="15.75" customHeight="1" x14ac:dyDescent="0.2">
      <c r="B39" s="54"/>
      <c r="C39" s="180"/>
      <c r="D39" s="54"/>
      <c r="E39" s="54"/>
      <c r="F39" s="54"/>
      <c r="G39" s="54"/>
      <c r="H39" s="54"/>
      <c r="I39" s="54"/>
      <c r="J39" s="54"/>
      <c r="K39" s="180"/>
      <c r="L39" s="54"/>
      <c r="M39" s="54"/>
      <c r="N39" s="54"/>
      <c r="O39" s="54"/>
      <c r="P39" s="54"/>
      <c r="Q39" s="54"/>
      <c r="R39" s="54"/>
      <c r="S39" s="54"/>
      <c r="T39" s="54"/>
    </row>
    <row r="40" spans="1:27" ht="15.75" customHeight="1" x14ac:dyDescent="0.2">
      <c r="B40" s="54"/>
      <c r="C40" s="180"/>
      <c r="D40" s="54"/>
      <c r="E40" s="54"/>
      <c r="F40" s="54"/>
      <c r="G40" s="54"/>
      <c r="H40" s="54"/>
      <c r="I40" s="54"/>
      <c r="J40" s="54"/>
      <c r="K40" s="180"/>
      <c r="L40" s="54"/>
      <c r="M40" s="54"/>
      <c r="N40" s="54"/>
      <c r="O40" s="54"/>
      <c r="P40" s="54"/>
      <c r="Q40" s="54"/>
      <c r="R40" s="54"/>
      <c r="S40" s="54"/>
      <c r="T40" s="54"/>
    </row>
    <row r="41" spans="1:27" ht="15.75" customHeight="1" x14ac:dyDescent="0.2">
      <c r="B41" s="54"/>
      <c r="C41" s="180"/>
      <c r="D41" s="54"/>
      <c r="E41" s="54"/>
      <c r="F41" s="54"/>
      <c r="G41" s="54"/>
      <c r="H41" s="54"/>
      <c r="I41" s="54"/>
      <c r="J41" s="54"/>
      <c r="K41" s="180"/>
      <c r="L41" s="54"/>
      <c r="M41" s="54"/>
      <c r="N41" s="54"/>
      <c r="O41" s="54"/>
      <c r="P41" s="54"/>
      <c r="Q41" s="54"/>
      <c r="R41" s="54"/>
      <c r="S41" s="54"/>
      <c r="T41" s="54"/>
    </row>
    <row r="42" spans="1:27" ht="15.75" customHeight="1" x14ac:dyDescent="0.2">
      <c r="B42" s="54"/>
      <c r="C42" s="180"/>
      <c r="D42" s="54"/>
      <c r="E42" s="54"/>
      <c r="F42" s="54"/>
      <c r="G42" s="54"/>
      <c r="H42" s="54"/>
      <c r="I42" s="54"/>
      <c r="J42" s="54"/>
      <c r="K42" s="180"/>
      <c r="L42" s="54"/>
      <c r="M42" s="54"/>
      <c r="N42" s="54"/>
      <c r="O42" s="54"/>
      <c r="P42" s="54"/>
      <c r="Q42" s="54"/>
      <c r="R42" s="54"/>
      <c r="S42" s="54"/>
      <c r="T42" s="54"/>
    </row>
    <row r="43" spans="1:27" ht="15.75" customHeight="1" x14ac:dyDescent="0.2">
      <c r="B43" s="54"/>
      <c r="C43" s="180"/>
      <c r="D43" s="54"/>
      <c r="E43" s="54"/>
      <c r="F43" s="54"/>
      <c r="G43" s="54"/>
      <c r="H43" s="54"/>
      <c r="I43" s="54"/>
      <c r="J43" s="54"/>
      <c r="K43" s="180"/>
      <c r="L43" s="54"/>
      <c r="M43" s="54"/>
      <c r="N43" s="54"/>
      <c r="O43" s="54"/>
      <c r="P43" s="54"/>
      <c r="Q43" s="54"/>
      <c r="R43" s="54"/>
      <c r="S43" s="54"/>
      <c r="T43" s="54"/>
    </row>
    <row r="44" spans="1:27" ht="15.75" customHeight="1" x14ac:dyDescent="0.2">
      <c r="B44" s="54"/>
      <c r="C44" s="180"/>
      <c r="D44" s="54"/>
      <c r="E44" s="54"/>
      <c r="F44" s="54"/>
      <c r="G44" s="54"/>
      <c r="H44" s="54"/>
      <c r="I44" s="54"/>
      <c r="J44" s="54"/>
      <c r="K44" s="180"/>
      <c r="L44" s="54"/>
      <c r="M44" s="54"/>
      <c r="N44" s="54"/>
      <c r="O44" s="54"/>
      <c r="P44" s="54"/>
      <c r="Q44" s="54"/>
      <c r="R44" s="54"/>
      <c r="S44" s="54"/>
      <c r="T44" s="54"/>
    </row>
    <row r="45" spans="1:27" ht="15.75" customHeight="1" x14ac:dyDescent="0.2">
      <c r="B45" s="54"/>
      <c r="C45" s="180"/>
      <c r="D45" s="54"/>
      <c r="E45" s="54"/>
      <c r="F45" s="54"/>
      <c r="G45" s="54"/>
      <c r="H45" s="54"/>
      <c r="I45" s="54"/>
      <c r="J45" s="54"/>
      <c r="K45" s="180"/>
      <c r="L45" s="54"/>
      <c r="M45" s="54"/>
      <c r="N45" s="54"/>
      <c r="O45" s="54"/>
      <c r="P45" s="54"/>
      <c r="Q45" s="54"/>
      <c r="R45" s="54"/>
      <c r="S45" s="54"/>
      <c r="T45" s="54"/>
    </row>
    <row r="46" spans="1:27" ht="15.75" customHeight="1" x14ac:dyDescent="0.2">
      <c r="B46" s="54"/>
      <c r="C46" s="180"/>
      <c r="D46" s="54"/>
      <c r="E46" s="54"/>
      <c r="F46" s="54"/>
      <c r="G46" s="54"/>
      <c r="H46" s="54"/>
      <c r="I46" s="54"/>
      <c r="J46" s="54"/>
      <c r="K46" s="180"/>
      <c r="L46" s="54"/>
      <c r="M46" s="54"/>
      <c r="N46" s="54"/>
      <c r="O46" s="54"/>
      <c r="P46" s="54"/>
      <c r="Q46" s="54"/>
      <c r="R46" s="54"/>
      <c r="S46" s="54"/>
      <c r="T46" s="54"/>
    </row>
    <row r="47" spans="1:27" ht="15.75" customHeight="1" x14ac:dyDescent="0.2">
      <c r="B47" s="54"/>
      <c r="C47" s="180"/>
      <c r="D47" s="54"/>
      <c r="E47" s="54"/>
      <c r="F47" s="54"/>
      <c r="G47" s="54"/>
      <c r="H47" s="54"/>
      <c r="I47" s="54"/>
      <c r="J47" s="54"/>
      <c r="K47" s="180"/>
      <c r="L47" s="54"/>
      <c r="M47" s="54"/>
      <c r="N47" s="54"/>
      <c r="O47" s="54"/>
      <c r="P47" s="54"/>
      <c r="Q47" s="54"/>
      <c r="R47" s="54"/>
      <c r="S47" s="54"/>
      <c r="T47" s="54"/>
    </row>
    <row r="48" spans="1:27" ht="15.75" customHeight="1" x14ac:dyDescent="0.2">
      <c r="B48" s="54"/>
      <c r="C48" s="180"/>
      <c r="D48" s="54"/>
      <c r="E48" s="54"/>
      <c r="F48" s="54"/>
      <c r="G48" s="54"/>
      <c r="H48" s="54"/>
      <c r="I48" s="54"/>
      <c r="J48" s="54"/>
      <c r="K48" s="180"/>
      <c r="L48" s="54"/>
      <c r="M48" s="54"/>
      <c r="N48" s="54"/>
      <c r="O48" s="54"/>
      <c r="P48" s="54"/>
      <c r="Q48" s="54"/>
      <c r="R48" s="54"/>
      <c r="S48" s="54"/>
      <c r="T48" s="54"/>
    </row>
    <row r="49" spans="2:20" ht="15.75" customHeight="1" x14ac:dyDescent="0.2">
      <c r="B49" s="54"/>
      <c r="C49" s="180"/>
      <c r="D49" s="54"/>
      <c r="E49" s="54"/>
      <c r="F49" s="54"/>
      <c r="G49" s="54"/>
      <c r="H49" s="54"/>
      <c r="I49" s="54"/>
      <c r="J49" s="54"/>
      <c r="K49" s="180"/>
      <c r="L49" s="54"/>
      <c r="M49" s="54"/>
      <c r="N49" s="54"/>
      <c r="O49" s="54"/>
      <c r="P49" s="54"/>
      <c r="Q49" s="54"/>
      <c r="R49" s="54"/>
      <c r="S49" s="54"/>
      <c r="T49" s="54"/>
    </row>
    <row r="50" spans="2:20" ht="15.75" customHeight="1" x14ac:dyDescent="0.2">
      <c r="B50" s="54"/>
      <c r="C50" s="180"/>
      <c r="D50" s="54"/>
      <c r="E50" s="54"/>
      <c r="F50" s="54"/>
      <c r="G50" s="54"/>
      <c r="H50" s="54"/>
      <c r="I50" s="54"/>
      <c r="J50" s="54"/>
      <c r="K50" s="180"/>
      <c r="L50" s="54"/>
      <c r="M50" s="54"/>
      <c r="N50" s="54"/>
      <c r="O50" s="54"/>
      <c r="P50" s="54"/>
      <c r="Q50" s="54"/>
      <c r="R50" s="54"/>
      <c r="S50" s="54"/>
      <c r="T50" s="54"/>
    </row>
    <row r="51" spans="2:20" ht="15.75" customHeight="1" x14ac:dyDescent="0.2">
      <c r="B51" s="54"/>
      <c r="C51" s="180"/>
      <c r="D51" s="54"/>
      <c r="E51" s="54"/>
      <c r="F51" s="54"/>
      <c r="G51" s="54"/>
      <c r="H51" s="54"/>
      <c r="I51" s="54"/>
      <c r="J51" s="54"/>
      <c r="K51" s="180"/>
      <c r="L51" s="54"/>
      <c r="M51" s="54"/>
      <c r="N51" s="54"/>
      <c r="O51" s="54"/>
      <c r="P51" s="54"/>
      <c r="Q51" s="54"/>
      <c r="R51" s="54"/>
      <c r="S51" s="54"/>
      <c r="T51" s="54"/>
    </row>
    <row r="52" spans="2:20" ht="15.75" customHeight="1" x14ac:dyDescent="0.2">
      <c r="B52" s="54"/>
      <c r="C52" s="180"/>
      <c r="D52" s="54"/>
      <c r="E52" s="54"/>
      <c r="F52" s="54"/>
      <c r="G52" s="54"/>
      <c r="H52" s="54"/>
      <c r="I52" s="54"/>
      <c r="J52" s="54"/>
      <c r="K52" s="180"/>
      <c r="L52" s="54"/>
      <c r="M52" s="54"/>
      <c r="N52" s="54"/>
      <c r="O52" s="54"/>
      <c r="P52" s="54"/>
      <c r="Q52" s="54"/>
      <c r="R52" s="54"/>
      <c r="S52" s="54"/>
      <c r="T52" s="54"/>
    </row>
    <row r="53" spans="2:20" ht="15.75" customHeight="1" x14ac:dyDescent="0.2">
      <c r="B53" s="54"/>
      <c r="C53" s="180"/>
      <c r="D53" s="54"/>
      <c r="E53" s="54"/>
      <c r="F53" s="54"/>
      <c r="G53" s="54"/>
      <c r="H53" s="54"/>
      <c r="I53" s="54"/>
      <c r="J53" s="54"/>
      <c r="K53" s="180"/>
      <c r="L53" s="54"/>
      <c r="M53" s="54"/>
      <c r="N53" s="54"/>
      <c r="O53" s="54"/>
      <c r="P53" s="54"/>
      <c r="Q53" s="54"/>
      <c r="R53" s="54"/>
      <c r="S53" s="54"/>
      <c r="T53" s="54"/>
    </row>
    <row r="54" spans="2:20" ht="15.75" customHeight="1" x14ac:dyDescent="0.2">
      <c r="B54" s="54"/>
      <c r="C54" s="180"/>
      <c r="D54" s="54"/>
      <c r="E54" s="54"/>
      <c r="F54" s="54"/>
      <c r="G54" s="54"/>
      <c r="H54" s="54"/>
      <c r="I54" s="54"/>
      <c r="J54" s="54"/>
      <c r="K54" s="180"/>
      <c r="L54" s="54"/>
      <c r="M54" s="54"/>
      <c r="N54" s="54"/>
      <c r="O54" s="54"/>
      <c r="P54" s="54"/>
      <c r="Q54" s="54"/>
      <c r="R54" s="54"/>
      <c r="S54" s="54"/>
      <c r="T54" s="54"/>
    </row>
    <row r="55" spans="2:20" ht="15.75" customHeight="1" x14ac:dyDescent="0.2">
      <c r="B55" s="54"/>
      <c r="C55" s="180"/>
      <c r="D55" s="54"/>
      <c r="E55" s="54"/>
      <c r="F55" s="54"/>
      <c r="G55" s="54"/>
      <c r="H55" s="54"/>
      <c r="I55" s="54"/>
      <c r="J55" s="54"/>
      <c r="K55" s="180"/>
      <c r="L55" s="54"/>
      <c r="M55" s="54"/>
      <c r="N55" s="54"/>
      <c r="O55" s="54"/>
      <c r="P55" s="54"/>
      <c r="Q55" s="54"/>
      <c r="R55" s="54"/>
      <c r="S55" s="54"/>
      <c r="T55" s="54"/>
    </row>
    <row r="56" spans="2:20" ht="15.75" customHeight="1" x14ac:dyDescent="0.2">
      <c r="B56" s="54"/>
      <c r="C56" s="180"/>
      <c r="D56" s="54"/>
      <c r="E56" s="54"/>
      <c r="F56" s="54"/>
      <c r="G56" s="54"/>
      <c r="H56" s="54"/>
      <c r="I56" s="54"/>
      <c r="J56" s="54"/>
      <c r="K56" s="180"/>
      <c r="L56" s="54"/>
      <c r="M56" s="54"/>
      <c r="N56" s="54"/>
      <c r="O56" s="54"/>
      <c r="P56" s="54"/>
      <c r="Q56" s="54"/>
      <c r="R56" s="54"/>
      <c r="S56" s="54"/>
      <c r="T56" s="54"/>
    </row>
    <row r="57" spans="2:20" ht="15.75" customHeight="1" x14ac:dyDescent="0.2">
      <c r="B57" s="54"/>
      <c r="C57" s="180"/>
      <c r="D57" s="54"/>
      <c r="E57" s="54"/>
      <c r="F57" s="54"/>
      <c r="G57" s="54"/>
      <c r="H57" s="54"/>
      <c r="I57" s="54"/>
      <c r="J57" s="54"/>
      <c r="K57" s="180"/>
      <c r="L57" s="54"/>
      <c r="M57" s="54"/>
      <c r="N57" s="54"/>
      <c r="O57" s="54"/>
      <c r="P57" s="54"/>
      <c r="Q57" s="54"/>
      <c r="R57" s="54"/>
      <c r="S57" s="54"/>
      <c r="T57" s="54"/>
    </row>
    <row r="58" spans="2:20" ht="15.75" customHeight="1" x14ac:dyDescent="0.2">
      <c r="B58" s="54"/>
      <c r="C58" s="180"/>
      <c r="D58" s="54"/>
      <c r="E58" s="54"/>
      <c r="F58" s="54"/>
      <c r="G58" s="54"/>
      <c r="H58" s="54"/>
      <c r="I58" s="54"/>
      <c r="J58" s="54"/>
      <c r="K58" s="180"/>
      <c r="L58" s="54"/>
      <c r="M58" s="54"/>
      <c r="N58" s="54"/>
      <c r="O58" s="54"/>
      <c r="P58" s="54"/>
      <c r="Q58" s="54"/>
      <c r="R58" s="54"/>
      <c r="S58" s="54"/>
      <c r="T58" s="54"/>
    </row>
    <row r="59" spans="2:20" ht="15.75" customHeight="1" x14ac:dyDescent="0.2">
      <c r="B59" s="54"/>
      <c r="C59" s="180"/>
      <c r="D59" s="54"/>
      <c r="E59" s="54"/>
      <c r="F59" s="54"/>
      <c r="G59" s="54"/>
      <c r="H59" s="54"/>
      <c r="I59" s="54"/>
      <c r="J59" s="54"/>
      <c r="K59" s="180"/>
      <c r="L59" s="54"/>
      <c r="M59" s="54"/>
      <c r="N59" s="54"/>
      <c r="O59" s="54"/>
      <c r="P59" s="54"/>
      <c r="Q59" s="54"/>
      <c r="R59" s="54"/>
      <c r="S59" s="54"/>
      <c r="T59" s="54"/>
    </row>
    <row r="60" spans="2:20" ht="15.75" customHeight="1" x14ac:dyDescent="0.2">
      <c r="B60" s="54"/>
      <c r="C60" s="180"/>
      <c r="D60" s="54"/>
      <c r="E60" s="54"/>
      <c r="F60" s="54"/>
      <c r="G60" s="54"/>
      <c r="H60" s="54"/>
      <c r="I60" s="54"/>
      <c r="J60" s="54"/>
      <c r="K60" s="180"/>
      <c r="L60" s="54"/>
      <c r="M60" s="54"/>
      <c r="N60" s="54"/>
      <c r="O60" s="54"/>
      <c r="P60" s="54"/>
      <c r="Q60" s="54"/>
      <c r="R60" s="54"/>
      <c r="S60" s="54"/>
      <c r="T60" s="54"/>
    </row>
    <row r="61" spans="2:20" ht="15.75" customHeight="1" x14ac:dyDescent="0.2">
      <c r="B61" s="54"/>
      <c r="C61" s="180"/>
      <c r="D61" s="54"/>
      <c r="E61" s="54"/>
      <c r="F61" s="54"/>
      <c r="G61" s="54"/>
      <c r="H61" s="54"/>
      <c r="I61" s="54"/>
      <c r="J61" s="54"/>
      <c r="K61" s="180"/>
      <c r="L61" s="54"/>
      <c r="M61" s="54"/>
      <c r="N61" s="54"/>
      <c r="O61" s="54"/>
      <c r="P61" s="54"/>
      <c r="Q61" s="54"/>
      <c r="R61" s="54"/>
      <c r="S61" s="54"/>
      <c r="T61" s="54"/>
    </row>
    <row r="62" spans="2:20" ht="15.75" customHeight="1" x14ac:dyDescent="0.2">
      <c r="B62" s="54"/>
      <c r="C62" s="180"/>
      <c r="D62" s="54"/>
      <c r="E62" s="54"/>
      <c r="F62" s="54"/>
      <c r="G62" s="54"/>
      <c r="H62" s="54"/>
      <c r="I62" s="54"/>
      <c r="J62" s="54"/>
      <c r="K62" s="180"/>
      <c r="L62" s="54"/>
      <c r="M62" s="54"/>
      <c r="N62" s="54"/>
      <c r="O62" s="54"/>
      <c r="P62" s="54"/>
      <c r="Q62" s="54"/>
      <c r="R62" s="54"/>
      <c r="S62" s="54"/>
      <c r="T62" s="54"/>
    </row>
    <row r="63" spans="2:20" ht="15.75" customHeight="1" x14ac:dyDescent="0.2">
      <c r="B63" s="54"/>
      <c r="C63" s="180"/>
      <c r="D63" s="54"/>
      <c r="E63" s="54"/>
      <c r="F63" s="54"/>
      <c r="G63" s="54"/>
      <c r="H63" s="54"/>
      <c r="I63" s="54"/>
      <c r="J63" s="54"/>
      <c r="K63" s="180"/>
      <c r="L63" s="54"/>
      <c r="M63" s="54"/>
      <c r="N63" s="54"/>
      <c r="O63" s="54"/>
      <c r="P63" s="54"/>
      <c r="Q63" s="54"/>
      <c r="R63" s="54"/>
      <c r="S63" s="54"/>
      <c r="T63" s="54"/>
    </row>
    <row r="64" spans="2:20" ht="15.75" customHeight="1" x14ac:dyDescent="0.2">
      <c r="B64" s="54"/>
      <c r="C64" s="180"/>
      <c r="D64" s="54"/>
      <c r="E64" s="54"/>
      <c r="F64" s="54"/>
      <c r="G64" s="54"/>
      <c r="H64" s="54"/>
      <c r="I64" s="54"/>
      <c r="J64" s="54"/>
      <c r="K64" s="180"/>
      <c r="L64" s="54"/>
      <c r="M64" s="54"/>
      <c r="N64" s="54"/>
      <c r="O64" s="54"/>
      <c r="P64" s="54"/>
      <c r="Q64" s="54"/>
      <c r="R64" s="54"/>
      <c r="S64" s="54"/>
      <c r="T64" s="54"/>
    </row>
    <row r="65" spans="2:20" ht="15.75" customHeight="1" x14ac:dyDescent="0.2">
      <c r="B65" s="54"/>
      <c r="C65" s="180"/>
      <c r="D65" s="54"/>
      <c r="E65" s="54"/>
      <c r="F65" s="54"/>
      <c r="G65" s="54"/>
      <c r="H65" s="54"/>
      <c r="I65" s="54"/>
      <c r="J65" s="54"/>
      <c r="K65" s="180"/>
      <c r="L65" s="54"/>
      <c r="M65" s="54"/>
      <c r="N65" s="54"/>
      <c r="O65" s="54"/>
      <c r="P65" s="54"/>
      <c r="Q65" s="54"/>
      <c r="R65" s="54"/>
      <c r="S65" s="54"/>
      <c r="T65" s="54"/>
    </row>
    <row r="66" spans="2:20" ht="15.75" customHeight="1" x14ac:dyDescent="0.2">
      <c r="B66" s="54"/>
      <c r="C66" s="180"/>
      <c r="D66" s="54"/>
      <c r="E66" s="54"/>
      <c r="F66" s="54"/>
      <c r="G66" s="54"/>
      <c r="H66" s="54"/>
      <c r="I66" s="54"/>
      <c r="J66" s="54"/>
      <c r="K66" s="180"/>
      <c r="L66" s="54"/>
      <c r="M66" s="54"/>
      <c r="N66" s="54"/>
      <c r="O66" s="54"/>
      <c r="P66" s="54"/>
      <c r="Q66" s="54"/>
      <c r="R66" s="54"/>
      <c r="S66" s="54"/>
      <c r="T66" s="54"/>
    </row>
    <row r="67" spans="2:20" ht="15.75" customHeight="1" x14ac:dyDescent="0.2">
      <c r="B67" s="54"/>
      <c r="C67" s="180"/>
      <c r="D67" s="54"/>
      <c r="E67" s="54"/>
      <c r="F67" s="54"/>
      <c r="G67" s="54"/>
      <c r="H67" s="54"/>
      <c r="I67" s="54"/>
      <c r="J67" s="54"/>
      <c r="K67" s="180"/>
      <c r="L67" s="54"/>
      <c r="M67" s="54"/>
      <c r="N67" s="54"/>
      <c r="O67" s="54"/>
      <c r="P67" s="54"/>
      <c r="Q67" s="54"/>
      <c r="R67" s="54"/>
      <c r="S67" s="54"/>
      <c r="T67" s="54"/>
    </row>
    <row r="68" spans="2:20" ht="15.75" customHeight="1" x14ac:dyDescent="0.2">
      <c r="B68" s="54"/>
      <c r="C68" s="180"/>
      <c r="D68" s="54"/>
      <c r="E68" s="54"/>
      <c r="F68" s="54"/>
      <c r="G68" s="54"/>
      <c r="H68" s="54"/>
      <c r="I68" s="54"/>
      <c r="J68" s="54"/>
      <c r="K68" s="180"/>
      <c r="L68" s="54"/>
      <c r="M68" s="54"/>
      <c r="N68" s="54"/>
      <c r="O68" s="54"/>
      <c r="P68" s="54"/>
      <c r="Q68" s="54"/>
      <c r="R68" s="54"/>
      <c r="S68" s="54"/>
      <c r="T68" s="54"/>
    </row>
    <row r="69" spans="2:20" ht="15.75" customHeight="1" x14ac:dyDescent="0.2">
      <c r="B69" s="54"/>
      <c r="C69" s="180"/>
      <c r="D69" s="54"/>
      <c r="E69" s="54"/>
      <c r="F69" s="54"/>
      <c r="G69" s="54"/>
      <c r="H69" s="54"/>
      <c r="I69" s="54"/>
      <c r="J69" s="54"/>
      <c r="K69" s="180"/>
      <c r="L69" s="54"/>
      <c r="M69" s="54"/>
      <c r="N69" s="54"/>
      <c r="O69" s="54"/>
      <c r="P69" s="54"/>
      <c r="Q69" s="54"/>
      <c r="R69" s="54"/>
      <c r="S69" s="54"/>
      <c r="T69" s="54"/>
    </row>
    <row r="70" spans="2:20" ht="15.75" customHeight="1" x14ac:dyDescent="0.2">
      <c r="B70" s="54"/>
      <c r="C70" s="180"/>
      <c r="D70" s="54"/>
      <c r="E70" s="54"/>
      <c r="F70" s="54"/>
      <c r="G70" s="54"/>
      <c r="H70" s="54"/>
      <c r="I70" s="54"/>
      <c r="J70" s="54"/>
      <c r="K70" s="180"/>
      <c r="L70" s="54"/>
      <c r="M70" s="54"/>
      <c r="N70" s="54"/>
      <c r="O70" s="54"/>
      <c r="P70" s="54"/>
      <c r="Q70" s="54"/>
      <c r="R70" s="54"/>
      <c r="S70" s="54"/>
      <c r="T70" s="54"/>
    </row>
    <row r="71" spans="2:20" ht="15.75" customHeight="1" x14ac:dyDescent="0.2">
      <c r="B71" s="54"/>
      <c r="C71" s="180"/>
      <c r="D71" s="54"/>
      <c r="E71" s="54"/>
      <c r="F71" s="54"/>
      <c r="G71" s="54"/>
      <c r="H71" s="54"/>
      <c r="I71" s="54"/>
      <c r="J71" s="54"/>
      <c r="K71" s="180"/>
      <c r="L71" s="54"/>
      <c r="M71" s="54"/>
      <c r="N71" s="54"/>
      <c r="O71" s="54"/>
      <c r="P71" s="54"/>
      <c r="Q71" s="54"/>
      <c r="R71" s="54"/>
      <c r="S71" s="54"/>
      <c r="T71" s="54"/>
    </row>
    <row r="72" spans="2:20" ht="15.75" customHeight="1" x14ac:dyDescent="0.2">
      <c r="B72" s="54"/>
      <c r="C72" s="180"/>
      <c r="D72" s="54"/>
      <c r="E72" s="54"/>
      <c r="F72" s="54"/>
      <c r="G72" s="54"/>
      <c r="H72" s="54"/>
      <c r="I72" s="54"/>
      <c r="J72" s="54"/>
      <c r="K72" s="180"/>
      <c r="L72" s="54"/>
      <c r="M72" s="54"/>
      <c r="N72" s="54"/>
      <c r="O72" s="54"/>
      <c r="P72" s="54"/>
      <c r="Q72" s="54"/>
      <c r="R72" s="54"/>
      <c r="S72" s="54"/>
      <c r="T72" s="54"/>
    </row>
    <row r="73" spans="2:20" ht="15.75" customHeight="1" x14ac:dyDescent="0.2">
      <c r="B73" s="54"/>
      <c r="C73" s="180"/>
      <c r="D73" s="54"/>
      <c r="E73" s="54"/>
      <c r="F73" s="54"/>
      <c r="G73" s="54"/>
      <c r="H73" s="54"/>
      <c r="I73" s="54"/>
      <c r="J73" s="54"/>
      <c r="K73" s="180"/>
      <c r="L73" s="54"/>
      <c r="M73" s="54"/>
      <c r="N73" s="54"/>
      <c r="O73" s="54"/>
      <c r="P73" s="54"/>
      <c r="Q73" s="54"/>
      <c r="R73" s="54"/>
      <c r="S73" s="54"/>
      <c r="T73" s="54"/>
    </row>
    <row r="74" spans="2:20" ht="15.75" customHeight="1" x14ac:dyDescent="0.2">
      <c r="B74" s="54"/>
      <c r="C74" s="180"/>
      <c r="D74" s="54"/>
      <c r="E74" s="54"/>
      <c r="F74" s="54"/>
      <c r="G74" s="54"/>
      <c r="H74" s="54"/>
      <c r="I74" s="54"/>
      <c r="J74" s="54"/>
      <c r="K74" s="180"/>
      <c r="L74" s="54"/>
      <c r="M74" s="54"/>
      <c r="N74" s="54"/>
      <c r="O74" s="54"/>
      <c r="P74" s="54"/>
      <c r="Q74" s="54"/>
      <c r="R74" s="54"/>
      <c r="S74" s="54"/>
      <c r="T74" s="54"/>
    </row>
    <row r="75" spans="2:20" ht="15.75" customHeight="1" x14ac:dyDescent="0.2">
      <c r="B75" s="54"/>
      <c r="C75" s="180"/>
      <c r="D75" s="54"/>
      <c r="E75" s="54"/>
      <c r="F75" s="54"/>
      <c r="G75" s="54"/>
      <c r="H75" s="54"/>
      <c r="I75" s="54"/>
      <c r="J75" s="54"/>
      <c r="K75" s="180"/>
      <c r="L75" s="54"/>
      <c r="M75" s="54"/>
      <c r="N75" s="54"/>
      <c r="O75" s="54"/>
      <c r="P75" s="54"/>
      <c r="Q75" s="54"/>
      <c r="R75" s="54"/>
      <c r="S75" s="54"/>
      <c r="T75" s="54"/>
    </row>
    <row r="76" spans="2:20" ht="15.75" customHeight="1" x14ac:dyDescent="0.2">
      <c r="B76" s="54"/>
      <c r="C76" s="180"/>
      <c r="D76" s="54"/>
      <c r="E76" s="54"/>
      <c r="F76" s="54"/>
      <c r="G76" s="54"/>
      <c r="H76" s="54"/>
      <c r="I76" s="54"/>
      <c r="J76" s="54"/>
      <c r="K76" s="180"/>
      <c r="L76" s="54"/>
      <c r="M76" s="54"/>
      <c r="N76" s="54"/>
      <c r="O76" s="54"/>
      <c r="P76" s="54"/>
      <c r="Q76" s="54"/>
      <c r="R76" s="54"/>
      <c r="S76" s="54"/>
      <c r="T76" s="54"/>
    </row>
    <row r="77" spans="2:20" ht="15.75" customHeight="1" x14ac:dyDescent="0.2">
      <c r="B77" s="54"/>
      <c r="C77" s="180"/>
      <c r="D77" s="54"/>
      <c r="E77" s="54"/>
      <c r="F77" s="54"/>
      <c r="G77" s="54"/>
      <c r="H77" s="54"/>
      <c r="I77" s="54"/>
      <c r="J77" s="54"/>
      <c r="K77" s="180"/>
      <c r="L77" s="54"/>
      <c r="M77" s="54"/>
      <c r="N77" s="54"/>
      <c r="O77" s="54"/>
      <c r="P77" s="54"/>
      <c r="Q77" s="54"/>
      <c r="R77" s="54"/>
      <c r="S77" s="54"/>
      <c r="T77" s="54"/>
    </row>
    <row r="78" spans="2:20" ht="15.75" customHeight="1" x14ac:dyDescent="0.2">
      <c r="B78" s="54"/>
      <c r="C78" s="180"/>
      <c r="D78" s="54"/>
      <c r="E78" s="54"/>
      <c r="F78" s="54"/>
      <c r="G78" s="54"/>
      <c r="H78" s="54"/>
      <c r="I78" s="54"/>
      <c r="J78" s="54"/>
      <c r="K78" s="180"/>
      <c r="L78" s="54"/>
      <c r="M78" s="54"/>
      <c r="N78" s="54"/>
      <c r="O78" s="54"/>
      <c r="P78" s="54"/>
      <c r="Q78" s="54"/>
      <c r="R78" s="54"/>
      <c r="S78" s="54"/>
      <c r="T78" s="54"/>
    </row>
    <row r="79" spans="2:20" ht="15.75" customHeight="1" x14ac:dyDescent="0.2">
      <c r="B79" s="54"/>
      <c r="C79" s="180"/>
      <c r="D79" s="54"/>
      <c r="E79" s="54"/>
      <c r="F79" s="54"/>
      <c r="G79" s="54"/>
      <c r="H79" s="54"/>
      <c r="I79" s="54"/>
      <c r="J79" s="54"/>
      <c r="K79" s="180"/>
      <c r="L79" s="54"/>
      <c r="M79" s="54"/>
      <c r="N79" s="54"/>
      <c r="O79" s="54"/>
      <c r="P79" s="54"/>
      <c r="Q79" s="54"/>
      <c r="R79" s="54"/>
      <c r="S79" s="54"/>
      <c r="T79" s="54"/>
    </row>
    <row r="80" spans="2:20" ht="15.75" customHeight="1" x14ac:dyDescent="0.2">
      <c r="B80" s="54"/>
      <c r="C80" s="180"/>
      <c r="D80" s="54"/>
      <c r="E80" s="54"/>
      <c r="F80" s="54"/>
      <c r="G80" s="54"/>
      <c r="H80" s="54"/>
      <c r="I80" s="54"/>
      <c r="J80" s="54"/>
      <c r="K80" s="180"/>
      <c r="L80" s="54"/>
      <c r="M80" s="54"/>
      <c r="N80" s="54"/>
      <c r="O80" s="54"/>
      <c r="P80" s="54"/>
      <c r="Q80" s="54"/>
      <c r="R80" s="54"/>
      <c r="S80" s="54"/>
      <c r="T80" s="54"/>
    </row>
    <row r="81" spans="1:21" ht="15.75" customHeight="1" x14ac:dyDescent="0.2">
      <c r="B81" s="54"/>
      <c r="C81" s="180"/>
      <c r="D81" s="54"/>
      <c r="E81" s="54"/>
      <c r="F81" s="54"/>
      <c r="G81" s="54"/>
      <c r="H81" s="54"/>
      <c r="I81" s="54"/>
      <c r="J81" s="54"/>
      <c r="K81" s="180"/>
      <c r="L81" s="54"/>
      <c r="M81" s="54"/>
      <c r="N81" s="54"/>
      <c r="O81" s="54"/>
      <c r="P81" s="54"/>
      <c r="Q81" s="54"/>
      <c r="R81" s="54"/>
      <c r="S81" s="54"/>
      <c r="T81" s="54"/>
    </row>
    <row r="82" spans="1:21" ht="15.75" customHeight="1" x14ac:dyDescent="0.2">
      <c r="B82" s="54"/>
      <c r="C82" s="180"/>
      <c r="D82" s="54"/>
      <c r="E82" s="54"/>
      <c r="F82" s="54"/>
      <c r="G82" s="54"/>
      <c r="H82" s="54"/>
      <c r="I82" s="54"/>
      <c r="J82" s="54"/>
      <c r="K82" s="180"/>
      <c r="L82" s="54"/>
      <c r="M82" s="54"/>
      <c r="N82" s="54"/>
      <c r="O82" s="54"/>
      <c r="P82" s="54"/>
      <c r="Q82" s="54"/>
      <c r="R82" s="54"/>
      <c r="S82" s="54"/>
      <c r="T82" s="54"/>
    </row>
    <row r="83" spans="1:21" ht="15.75" customHeight="1" x14ac:dyDescent="0.2">
      <c r="B83" s="54"/>
      <c r="C83" s="180"/>
      <c r="D83" s="54"/>
      <c r="E83" s="54"/>
      <c r="F83" s="54"/>
      <c r="G83" s="54"/>
      <c r="H83" s="54"/>
      <c r="I83" s="54"/>
      <c r="J83" s="54"/>
      <c r="K83" s="180"/>
      <c r="L83" s="54"/>
      <c r="M83" s="54"/>
      <c r="N83" s="54"/>
      <c r="O83" s="54"/>
      <c r="P83" s="54"/>
      <c r="Q83" s="54"/>
      <c r="R83" s="54"/>
      <c r="S83" s="54"/>
      <c r="T83" s="54"/>
    </row>
    <row r="84" spans="1:21" ht="15.75" customHeight="1" x14ac:dyDescent="0.2">
      <c r="B84" s="54"/>
      <c r="C84" s="180"/>
      <c r="D84" s="54"/>
      <c r="E84" s="54"/>
      <c r="F84" s="54"/>
      <c r="G84" s="54"/>
      <c r="H84" s="54"/>
      <c r="I84" s="54"/>
      <c r="J84" s="54"/>
      <c r="K84" s="180"/>
      <c r="L84" s="54"/>
      <c r="M84" s="54"/>
      <c r="N84" s="54"/>
      <c r="O84" s="54"/>
      <c r="P84" s="54"/>
      <c r="Q84" s="54"/>
      <c r="R84" s="54"/>
      <c r="S84" s="54"/>
      <c r="T84" s="54"/>
    </row>
    <row r="85" spans="1:21" ht="15.75" customHeight="1" x14ac:dyDescent="0.2">
      <c r="B85" s="54"/>
      <c r="C85" s="180"/>
      <c r="D85" s="54"/>
      <c r="E85" s="54"/>
      <c r="F85" s="54"/>
      <c r="G85" s="54"/>
      <c r="H85" s="54"/>
      <c r="I85" s="54"/>
      <c r="J85" s="54"/>
      <c r="K85" s="180"/>
      <c r="L85" s="54"/>
      <c r="M85" s="54"/>
      <c r="N85" s="54"/>
      <c r="O85" s="54"/>
      <c r="P85" s="54"/>
      <c r="Q85" s="54"/>
      <c r="R85" s="54"/>
      <c r="S85" s="54"/>
      <c r="T85" s="54"/>
    </row>
    <row r="86" spans="1:21" ht="15.75" customHeight="1" x14ac:dyDescent="0.2">
      <c r="A86" s="3" t="s">
        <v>50</v>
      </c>
      <c r="B86" s="4" t="s">
        <v>51</v>
      </c>
      <c r="C86" s="130"/>
      <c r="D86" s="4" t="s">
        <v>52</v>
      </c>
      <c r="E86" s="4" t="s">
        <v>53</v>
      </c>
      <c r="F86" s="27" t="s">
        <v>54</v>
      </c>
      <c r="G86" s="4" t="s">
        <v>55</v>
      </c>
      <c r="H86" s="68" t="s">
        <v>56</v>
      </c>
      <c r="I86" s="68" t="s">
        <v>57</v>
      </c>
      <c r="J86" s="263" t="s">
        <v>58</v>
      </c>
      <c r="K86" s="130"/>
      <c r="L86" s="4" t="s">
        <v>59</v>
      </c>
      <c r="M86" s="4" t="s">
        <v>60</v>
      </c>
      <c r="N86" s="4" t="s">
        <v>436</v>
      </c>
      <c r="O86" s="4" t="s">
        <v>437</v>
      </c>
      <c r="P86" s="418" t="s">
        <v>541</v>
      </c>
      <c r="Q86" s="418" t="s">
        <v>438</v>
      </c>
      <c r="R86" s="418" t="s">
        <v>65</v>
      </c>
      <c r="S86" s="418" t="s">
        <v>586</v>
      </c>
      <c r="T86" s="54"/>
    </row>
    <row r="87" spans="1:21" ht="15.75" customHeight="1" x14ac:dyDescent="0.25">
      <c r="A87" s="156" t="s">
        <v>1534</v>
      </c>
      <c r="B87" s="65"/>
      <c r="C87" s="71"/>
      <c r="D87" s="65"/>
      <c r="E87" s="65"/>
      <c r="F87" s="65"/>
      <c r="G87" s="157"/>
      <c r="H87" s="55"/>
      <c r="I87" s="54"/>
      <c r="J87" s="54"/>
      <c r="K87" s="71"/>
      <c r="L87" s="65"/>
      <c r="M87" s="65"/>
      <c r="N87" s="65"/>
      <c r="O87" s="65"/>
      <c r="P87" s="157"/>
      <c r="Q87" s="147"/>
      <c r="R87" s="54"/>
      <c r="S87" s="54"/>
      <c r="T87" s="54"/>
    </row>
    <row r="88" spans="1:21" ht="15.75" customHeight="1" x14ac:dyDescent="0.25">
      <c r="A88" s="138" t="s">
        <v>1535</v>
      </c>
      <c r="B88" s="162" t="s">
        <v>68</v>
      </c>
      <c r="C88" s="180"/>
      <c r="D88" s="185">
        <v>266863.43</v>
      </c>
      <c r="E88" s="185" t="e">
        <f>D88*#REF!</f>
        <v>#REF!</v>
      </c>
      <c r="F88" s="185" t="e">
        <f>D88*#REF!</f>
        <v>#REF!</v>
      </c>
      <c r="G88" s="161" t="e">
        <f>(D88*#REF!)*#REF!</f>
        <v>#REF!</v>
      </c>
      <c r="H88" s="186">
        <f t="shared" ref="H88:H91" si="20">IFERROR(((P88-G88)/G88),0)</f>
        <v>0</v>
      </c>
      <c r="I88" s="73" t="e">
        <f t="shared" ref="I88:I90" si="21">P88-G88</f>
        <v>#REF!</v>
      </c>
      <c r="J88" s="54"/>
      <c r="K88" s="180"/>
      <c r="L88" s="185">
        <v>328484.2</v>
      </c>
      <c r="M88" s="185">
        <v>336429.46</v>
      </c>
      <c r="N88" s="185">
        <v>352170.5</v>
      </c>
      <c r="O88" s="185">
        <v>210942.4</v>
      </c>
      <c r="P88" s="161">
        <f t="shared" ref="P88:P89" si="22">O88/20*26</f>
        <v>274225.12</v>
      </c>
      <c r="Q88" s="198">
        <f>VLOOKUP(A88,TB!A:F,5)</f>
        <v>379900</v>
      </c>
      <c r="R88" s="73">
        <f>VLOOKUP(A88,TB!A:F,6)</f>
        <v>379900</v>
      </c>
      <c r="S88" s="73">
        <f t="shared" ref="S88:S90" si="23">R88-Q88</f>
        <v>0</v>
      </c>
      <c r="T88" s="54"/>
    </row>
    <row r="89" spans="1:21" ht="15.75" customHeight="1" x14ac:dyDescent="0.25">
      <c r="A89" s="138" t="s">
        <v>1536</v>
      </c>
      <c r="B89" s="162" t="s">
        <v>72</v>
      </c>
      <c r="C89" s="180"/>
      <c r="D89" s="185">
        <v>121449.27</v>
      </c>
      <c r="E89" s="185" t="e">
        <f>D89*#REF!</f>
        <v>#REF!</v>
      </c>
      <c r="F89" s="185" t="e">
        <f>D89*#REF!</f>
        <v>#REF!</v>
      </c>
      <c r="G89" s="161" t="e">
        <f>(D89*#REF!)*#REF!</f>
        <v>#REF!</v>
      </c>
      <c r="H89" s="186">
        <f t="shared" si="20"/>
        <v>0</v>
      </c>
      <c r="I89" s="73" t="e">
        <f t="shared" si="21"/>
        <v>#REF!</v>
      </c>
      <c r="J89" s="54"/>
      <c r="K89" s="180"/>
      <c r="L89" s="185">
        <v>136885.43</v>
      </c>
      <c r="M89" s="185">
        <v>150072.28</v>
      </c>
      <c r="N89" s="185">
        <v>174705.5</v>
      </c>
      <c r="O89" s="185">
        <v>94523.73</v>
      </c>
      <c r="P89" s="161">
        <f t="shared" si="22"/>
        <v>122880.84899999999</v>
      </c>
      <c r="Q89" s="198">
        <f>VLOOKUP(A89,TB!A:F,5)</f>
        <v>166600</v>
      </c>
      <c r="R89" s="73">
        <f>VLOOKUP(A89,TB!A:F,6)</f>
        <v>166600</v>
      </c>
      <c r="S89" s="73">
        <f t="shared" si="23"/>
        <v>0</v>
      </c>
      <c r="T89" s="54"/>
    </row>
    <row r="90" spans="1:21" ht="15.75" customHeight="1" x14ac:dyDescent="0.25">
      <c r="A90" s="138" t="s">
        <v>1537</v>
      </c>
      <c r="B90" s="162" t="s">
        <v>92</v>
      </c>
      <c r="C90" s="180"/>
      <c r="D90" s="185">
        <v>0</v>
      </c>
      <c r="E90" s="185" t="e">
        <f>D90*#REF!</f>
        <v>#REF!</v>
      </c>
      <c r="F90" s="185" t="e">
        <f>D90*#REF!</f>
        <v>#REF!</v>
      </c>
      <c r="G90" s="161" t="e">
        <f>(D90*#REF!)*#REF!</f>
        <v>#REF!</v>
      </c>
      <c r="H90" s="55">
        <f t="shared" si="20"/>
        <v>0</v>
      </c>
      <c r="I90" s="73" t="e">
        <f t="shared" si="21"/>
        <v>#REF!</v>
      </c>
      <c r="J90" s="54"/>
      <c r="K90" s="180"/>
      <c r="L90" s="185">
        <v>2842.28</v>
      </c>
      <c r="M90" s="185">
        <v>2844.5</v>
      </c>
      <c r="N90" s="185">
        <v>6400</v>
      </c>
      <c r="O90" s="185">
        <v>0</v>
      </c>
      <c r="P90" s="187">
        <f>N90</f>
        <v>6400</v>
      </c>
      <c r="Q90" s="198">
        <f>VLOOKUP(A90,TB!A:F,5)</f>
        <v>6400</v>
      </c>
      <c r="R90" s="73">
        <f>VLOOKUP(A90,TB!A:F,6)</f>
        <v>6400</v>
      </c>
      <c r="S90" s="73">
        <f t="shared" si="23"/>
        <v>0</v>
      </c>
      <c r="T90" s="54"/>
    </row>
    <row r="91" spans="1:21" ht="15.75" customHeight="1" x14ac:dyDescent="0.25">
      <c r="A91" s="74" t="s">
        <v>1527</v>
      </c>
      <c r="B91" s="77"/>
      <c r="C91" s="188"/>
      <c r="D91" s="77">
        <f t="shared" ref="D91:G91" si="24">SUM(D87:D90)</f>
        <v>388312.7</v>
      </c>
      <c r="E91" s="77" t="e">
        <f t="shared" si="24"/>
        <v>#REF!</v>
      </c>
      <c r="F91" s="77" t="e">
        <f t="shared" si="24"/>
        <v>#REF!</v>
      </c>
      <c r="G91" s="189" t="e">
        <f t="shared" si="24"/>
        <v>#REF!</v>
      </c>
      <c r="H91" s="72">
        <f t="shared" si="20"/>
        <v>0</v>
      </c>
      <c r="I91" s="77" t="e">
        <f>SUM(I88:I90)</f>
        <v>#REF!</v>
      </c>
      <c r="J91" s="77"/>
      <c r="K91" s="188"/>
      <c r="L91" s="77">
        <f t="shared" ref="L91:S91" si="25">SUM(L87:L90)</f>
        <v>468211.91000000003</v>
      </c>
      <c r="M91" s="77">
        <f t="shared" si="25"/>
        <v>489346.24</v>
      </c>
      <c r="N91" s="77">
        <f t="shared" si="25"/>
        <v>533276</v>
      </c>
      <c r="O91" s="77">
        <f t="shared" si="25"/>
        <v>305466.13</v>
      </c>
      <c r="P91" s="189">
        <f t="shared" si="25"/>
        <v>403505.96899999998</v>
      </c>
      <c r="Q91" s="189">
        <f t="shared" si="25"/>
        <v>552900</v>
      </c>
      <c r="R91" s="77">
        <f t="shared" si="25"/>
        <v>552900</v>
      </c>
      <c r="S91" s="77">
        <f t="shared" si="25"/>
        <v>0</v>
      </c>
      <c r="T91" s="54"/>
      <c r="U91" s="44"/>
    </row>
    <row r="92" spans="1:21" ht="15.75" customHeight="1" x14ac:dyDescent="0.2">
      <c r="B92" s="54"/>
      <c r="C92" s="180"/>
      <c r="D92" s="54"/>
      <c r="E92" s="54"/>
      <c r="F92" s="54"/>
      <c r="G92" s="54"/>
      <c r="H92" s="54"/>
      <c r="I92" s="54"/>
      <c r="J92" s="54"/>
      <c r="K92" s="180"/>
      <c r="L92" s="54"/>
      <c r="M92" s="54"/>
      <c r="N92" s="54"/>
      <c r="O92" s="54"/>
      <c r="P92" s="54"/>
      <c r="Q92" s="54"/>
      <c r="R92" s="54"/>
      <c r="S92" s="54"/>
      <c r="T92" s="54"/>
    </row>
    <row r="93" spans="1:21" ht="15.75" customHeight="1" x14ac:dyDescent="0.2">
      <c r="A93" s="69" t="s">
        <v>184</v>
      </c>
      <c r="B93" s="54"/>
      <c r="C93" s="180"/>
      <c r="D93" s="54"/>
      <c r="E93" s="54"/>
      <c r="F93" s="54"/>
      <c r="G93" s="54"/>
      <c r="H93" s="54"/>
      <c r="I93" s="54"/>
      <c r="J93" s="54"/>
      <c r="K93" s="180"/>
      <c r="L93" s="54"/>
      <c r="M93" s="54"/>
      <c r="N93" s="54"/>
      <c r="O93" s="54"/>
      <c r="P93" s="54"/>
      <c r="Q93" s="54"/>
      <c r="R93" s="54"/>
      <c r="S93" s="54"/>
      <c r="T93" s="54"/>
    </row>
    <row r="94" spans="1:21" ht="15.75" customHeight="1" x14ac:dyDescent="0.25">
      <c r="A94" s="51" t="s">
        <v>1538</v>
      </c>
      <c r="B94" s="54" t="s">
        <v>317</v>
      </c>
      <c r="C94" s="180"/>
      <c r="D94" s="73">
        <v>-417388</v>
      </c>
      <c r="E94" s="185" t="e">
        <f>D94*#REF!</f>
        <v>#REF!</v>
      </c>
      <c r="F94" s="185" t="e">
        <f>D94*#REF!</f>
        <v>#REF!</v>
      </c>
      <c r="G94" s="161" t="e">
        <f>(D94*#REF!)*#REF!</f>
        <v>#REF!</v>
      </c>
      <c r="H94" s="186">
        <f t="shared" ref="H94:H95" si="26">IFERROR(((P94-G94)/G94),0)</f>
        <v>0</v>
      </c>
      <c r="I94" s="73" t="e">
        <f>P94-G94</f>
        <v>#REF!</v>
      </c>
      <c r="J94" s="54"/>
      <c r="K94" s="180"/>
      <c r="L94" s="185">
        <v>-156070.64000000001</v>
      </c>
      <c r="M94" s="185">
        <v>-163115.41</v>
      </c>
      <c r="N94" s="185">
        <v>-167000</v>
      </c>
      <c r="O94" s="185">
        <v>-95363.16</v>
      </c>
      <c r="P94" s="161">
        <v>-184300</v>
      </c>
      <c r="Q94" s="198">
        <f>VLOOKUP(A94,TB!A:F,5)</f>
        <v>-184300</v>
      </c>
      <c r="R94" s="73">
        <f>VLOOKUP(A94,TB!A:F,6)</f>
        <v>-184300</v>
      </c>
      <c r="S94" s="73">
        <f>R94-Q94</f>
        <v>0</v>
      </c>
      <c r="T94" s="54"/>
    </row>
    <row r="95" spans="1:21" ht="15.75" customHeight="1" x14ac:dyDescent="0.25">
      <c r="A95" s="74" t="s">
        <v>1527</v>
      </c>
      <c r="B95" s="77"/>
      <c r="C95" s="188"/>
      <c r="D95" s="77">
        <f t="shared" ref="D95:G95" si="27">SUM(D93:D94)</f>
        <v>-417388</v>
      </c>
      <c r="E95" s="77" t="e">
        <f t="shared" si="27"/>
        <v>#REF!</v>
      </c>
      <c r="F95" s="77" t="e">
        <f t="shared" si="27"/>
        <v>#REF!</v>
      </c>
      <c r="G95" s="189" t="e">
        <f t="shared" si="27"/>
        <v>#REF!</v>
      </c>
      <c r="H95" s="72">
        <f t="shared" si="26"/>
        <v>0</v>
      </c>
      <c r="I95" s="77" t="e">
        <f>SUM(I92:I94)</f>
        <v>#REF!</v>
      </c>
      <c r="J95" s="77"/>
      <c r="K95" s="188"/>
      <c r="L95" s="77">
        <f t="shared" ref="L95:S95" si="28">SUM(L93:L94)</f>
        <v>-156070.64000000001</v>
      </c>
      <c r="M95" s="77">
        <f t="shared" si="28"/>
        <v>-163115.41</v>
      </c>
      <c r="N95" s="77">
        <f t="shared" si="28"/>
        <v>-167000</v>
      </c>
      <c r="O95" s="77">
        <f t="shared" si="28"/>
        <v>-95363.16</v>
      </c>
      <c r="P95" s="189">
        <f t="shared" si="28"/>
        <v>-184300</v>
      </c>
      <c r="Q95" s="189">
        <f t="shared" si="28"/>
        <v>-184300</v>
      </c>
      <c r="R95" s="77">
        <f t="shared" si="28"/>
        <v>-184300</v>
      </c>
      <c r="S95" s="77">
        <f t="shared" si="28"/>
        <v>0</v>
      </c>
      <c r="T95" s="54"/>
      <c r="U95" s="44"/>
    </row>
    <row r="96" spans="1:21" ht="15.75" customHeight="1" x14ac:dyDescent="0.2">
      <c r="B96" s="54"/>
      <c r="C96" s="180"/>
      <c r="D96" s="54"/>
      <c r="E96" s="54"/>
      <c r="F96" s="54"/>
      <c r="G96" s="54"/>
      <c r="H96" s="54"/>
      <c r="I96" s="54"/>
      <c r="J96" s="54"/>
      <c r="K96" s="180"/>
      <c r="L96" s="54"/>
      <c r="M96" s="54"/>
      <c r="N96" s="54"/>
      <c r="O96" s="54"/>
      <c r="P96" s="54"/>
      <c r="Q96" s="54"/>
      <c r="R96" s="54"/>
      <c r="S96" s="54"/>
      <c r="T96" s="54"/>
    </row>
    <row r="97" spans="1:27" ht="15.75" customHeight="1" x14ac:dyDescent="0.25">
      <c r="A97" s="69" t="s">
        <v>190</v>
      </c>
      <c r="B97" s="78"/>
      <c r="C97" s="195"/>
      <c r="D97" s="196">
        <f t="shared" ref="D97:G97" si="29">D91+D95</f>
        <v>-29075.299999999988</v>
      </c>
      <c r="E97" s="196" t="e">
        <f t="shared" si="29"/>
        <v>#REF!</v>
      </c>
      <c r="F97" s="196" t="e">
        <f t="shared" si="29"/>
        <v>#REF!</v>
      </c>
      <c r="G97" s="196" t="e">
        <f t="shared" si="29"/>
        <v>#REF!</v>
      </c>
      <c r="H97" s="72">
        <f>IFERROR(((P97-G97)/G97),0)</f>
        <v>0</v>
      </c>
      <c r="I97" s="77" t="e">
        <f>P97-G97</f>
        <v>#REF!</v>
      </c>
      <c r="J97" s="190">
        <f>SUM(J96)</f>
        <v>0</v>
      </c>
      <c r="K97" s="195"/>
      <c r="L97" s="196">
        <f t="shared" ref="L97:S97" si="30">L91+L95</f>
        <v>312141.27</v>
      </c>
      <c r="M97" s="196">
        <f t="shared" si="30"/>
        <v>326230.82999999996</v>
      </c>
      <c r="N97" s="196">
        <f t="shared" si="30"/>
        <v>366276</v>
      </c>
      <c r="O97" s="196">
        <f t="shared" si="30"/>
        <v>210102.97</v>
      </c>
      <c r="P97" s="196">
        <f t="shared" si="30"/>
        <v>219205.96899999998</v>
      </c>
      <c r="Q97" s="196">
        <f t="shared" si="30"/>
        <v>368600</v>
      </c>
      <c r="R97" s="196">
        <f t="shared" si="30"/>
        <v>368600</v>
      </c>
      <c r="S97" s="196">
        <f t="shared" si="30"/>
        <v>0</v>
      </c>
      <c r="T97" s="54"/>
      <c r="U97" s="69"/>
      <c r="V97" s="69"/>
      <c r="W97" s="69"/>
      <c r="X97" s="69"/>
      <c r="Y97" s="69"/>
      <c r="Z97" s="69"/>
      <c r="AA97" s="69"/>
    </row>
    <row r="98" spans="1:27" ht="15.75" customHeight="1" x14ac:dyDescent="0.2">
      <c r="B98" s="54"/>
      <c r="C98" s="180"/>
      <c r="D98" s="54"/>
      <c r="E98" s="54"/>
      <c r="F98" s="54"/>
      <c r="G98" s="54"/>
      <c r="H98" s="54"/>
      <c r="I98" s="54"/>
      <c r="J98" s="54"/>
      <c r="K98" s="180"/>
      <c r="L98" s="54"/>
      <c r="M98" s="54"/>
      <c r="N98" s="54"/>
      <c r="O98" s="54"/>
      <c r="P98" s="54"/>
      <c r="Q98" s="54"/>
      <c r="R98" s="54"/>
      <c r="S98" s="54"/>
      <c r="T98" s="54"/>
    </row>
    <row r="99" spans="1:27" ht="15.75" customHeight="1" x14ac:dyDescent="0.2">
      <c r="B99" s="54"/>
      <c r="C99" s="180"/>
      <c r="D99" s="54"/>
      <c r="E99" s="54"/>
      <c r="F99" s="54"/>
      <c r="G99" s="54"/>
      <c r="H99" s="54"/>
      <c r="I99" s="54"/>
      <c r="J99" s="54"/>
      <c r="K99" s="180"/>
      <c r="L99" s="54"/>
      <c r="M99" s="54"/>
      <c r="N99" s="54"/>
      <c r="O99" s="54"/>
      <c r="P99" s="54"/>
      <c r="Q99" s="54"/>
      <c r="R99" s="54"/>
      <c r="S99" s="54"/>
      <c r="T99" s="54"/>
    </row>
    <row r="100" spans="1:27" ht="15.75" customHeight="1" x14ac:dyDescent="0.2">
      <c r="B100" s="54"/>
      <c r="C100" s="180"/>
      <c r="D100" s="54"/>
      <c r="E100" s="54"/>
      <c r="F100" s="419"/>
      <c r="G100" s="419"/>
      <c r="H100" s="54"/>
      <c r="I100" s="54"/>
      <c r="J100" s="54"/>
      <c r="K100" s="180"/>
      <c r="L100" s="420" t="e">
        <f t="shared" ref="L100:R100" si="31">#REF!</f>
        <v>#REF!</v>
      </c>
      <c r="M100" s="420" t="e">
        <f t="shared" si="31"/>
        <v>#REF!</v>
      </c>
      <c r="N100" s="420" t="e">
        <f t="shared" si="31"/>
        <v>#REF!</v>
      </c>
      <c r="O100" s="420" t="e">
        <f t="shared" si="31"/>
        <v>#REF!</v>
      </c>
      <c r="P100" s="420" t="e">
        <f t="shared" si="31"/>
        <v>#REF!</v>
      </c>
      <c r="Q100" s="420" t="e">
        <f t="shared" si="31"/>
        <v>#REF!</v>
      </c>
      <c r="R100" s="420" t="e">
        <f t="shared" si="31"/>
        <v>#REF!</v>
      </c>
      <c r="S100" s="54"/>
      <c r="T100" s="54"/>
    </row>
    <row r="101" spans="1:27" ht="15.75" customHeight="1" x14ac:dyDescent="0.2">
      <c r="B101" s="54"/>
      <c r="C101" s="180"/>
      <c r="D101" s="54"/>
      <c r="E101" s="54"/>
      <c r="F101" s="421"/>
      <c r="G101" s="422"/>
      <c r="H101" s="54"/>
      <c r="I101" s="54"/>
      <c r="J101" s="54"/>
      <c r="K101" s="180"/>
      <c r="L101" s="423">
        <f t="shared" ref="L101:R101" si="32">L97</f>
        <v>312141.27</v>
      </c>
      <c r="M101" s="423">
        <f t="shared" si="32"/>
        <v>326230.82999999996</v>
      </c>
      <c r="N101" s="423">
        <f t="shared" si="32"/>
        <v>366276</v>
      </c>
      <c r="O101" s="423">
        <f t="shared" si="32"/>
        <v>210102.97</v>
      </c>
      <c r="P101" s="423">
        <f t="shared" si="32"/>
        <v>219205.96899999998</v>
      </c>
      <c r="Q101" s="423">
        <f t="shared" si="32"/>
        <v>368600</v>
      </c>
      <c r="R101" s="423">
        <f t="shared" si="32"/>
        <v>368600</v>
      </c>
      <c r="S101" s="54"/>
      <c r="T101" s="54"/>
    </row>
    <row r="102" spans="1:27" ht="15.75" customHeight="1" x14ac:dyDescent="0.2">
      <c r="B102" s="54"/>
      <c r="C102" s="180"/>
      <c r="D102" s="54"/>
      <c r="E102" s="54"/>
      <c r="F102" s="54"/>
      <c r="G102" s="54"/>
      <c r="H102" s="54"/>
      <c r="I102" s="54"/>
      <c r="J102" s="54"/>
      <c r="K102" s="180"/>
      <c r="L102" s="54"/>
      <c r="M102" s="54"/>
      <c r="N102" s="54"/>
      <c r="O102" s="54"/>
      <c r="P102" s="54"/>
      <c r="Q102" s="54"/>
      <c r="R102" s="54"/>
      <c r="S102" s="54"/>
      <c r="T102" s="54"/>
    </row>
    <row r="103" spans="1:27" ht="15.75" customHeight="1" x14ac:dyDescent="0.2">
      <c r="B103" s="54"/>
      <c r="C103" s="180"/>
      <c r="D103" s="54"/>
      <c r="E103" s="54"/>
      <c r="F103" s="54"/>
      <c r="G103" s="54"/>
      <c r="H103" s="54"/>
      <c r="I103" s="54"/>
      <c r="J103" s="54"/>
      <c r="K103" s="180"/>
      <c r="L103" s="54"/>
      <c r="M103" s="54"/>
      <c r="N103" s="54"/>
      <c r="O103" s="54"/>
      <c r="P103" s="54"/>
      <c r="Q103" s="54"/>
      <c r="R103" s="54"/>
      <c r="S103" s="54"/>
      <c r="T103" s="54"/>
    </row>
    <row r="104" spans="1:27" ht="15.75" customHeight="1" x14ac:dyDescent="0.2">
      <c r="B104" s="54"/>
      <c r="C104" s="180"/>
      <c r="D104" s="54"/>
      <c r="E104" s="54"/>
      <c r="F104" s="54"/>
      <c r="G104" s="54"/>
      <c r="H104" s="54"/>
      <c r="I104" s="54"/>
      <c r="J104" s="54"/>
      <c r="K104" s="180"/>
      <c r="L104" s="54"/>
      <c r="M104" s="54"/>
      <c r="N104" s="54"/>
      <c r="O104" s="54"/>
      <c r="P104" s="54"/>
      <c r="Q104" s="54"/>
      <c r="R104" s="54"/>
      <c r="S104" s="54"/>
      <c r="T104" s="54"/>
    </row>
    <row r="105" spans="1:27" ht="15.75" customHeight="1" x14ac:dyDescent="0.2">
      <c r="B105" s="54"/>
      <c r="C105" s="180"/>
      <c r="D105" s="54"/>
      <c r="E105" s="54"/>
      <c r="F105" s="54"/>
      <c r="G105" s="54"/>
      <c r="H105" s="54"/>
      <c r="I105" s="54"/>
      <c r="J105" s="54"/>
      <c r="K105" s="180"/>
      <c r="L105" s="54"/>
      <c r="M105" s="54"/>
      <c r="N105" s="54"/>
      <c r="O105" s="54"/>
      <c r="P105" s="54"/>
      <c r="Q105" s="54"/>
      <c r="R105" s="54"/>
      <c r="S105" s="54"/>
      <c r="T105" s="54"/>
    </row>
    <row r="106" spans="1:27" ht="15.75" customHeight="1" x14ac:dyDescent="0.2">
      <c r="B106" s="54"/>
      <c r="C106" s="180"/>
      <c r="D106" s="54"/>
      <c r="E106" s="54"/>
      <c r="F106" s="54"/>
      <c r="G106" s="54"/>
      <c r="H106" s="54"/>
      <c r="I106" s="54"/>
      <c r="J106" s="54"/>
      <c r="K106" s="180"/>
      <c r="L106" s="54"/>
      <c r="M106" s="54"/>
      <c r="N106" s="54"/>
      <c r="O106" s="54"/>
      <c r="P106" s="54"/>
      <c r="Q106" s="54"/>
      <c r="R106" s="54"/>
      <c r="S106" s="54"/>
      <c r="T106" s="54"/>
    </row>
    <row r="107" spans="1:27" ht="15.75" customHeight="1" x14ac:dyDescent="0.2">
      <c r="B107" s="54"/>
      <c r="C107" s="180"/>
      <c r="D107" s="54"/>
      <c r="E107" s="54"/>
      <c r="F107" s="54"/>
      <c r="G107" s="54"/>
      <c r="H107" s="54"/>
      <c r="I107" s="54"/>
      <c r="J107" s="54"/>
      <c r="K107" s="180"/>
      <c r="L107" s="54"/>
      <c r="M107" s="54"/>
      <c r="N107" s="54"/>
      <c r="O107" s="54"/>
      <c r="P107" s="54"/>
      <c r="Q107" s="54"/>
      <c r="R107" s="54"/>
      <c r="S107" s="54"/>
      <c r="T107" s="54"/>
    </row>
    <row r="108" spans="1:27" ht="15.75" customHeight="1" x14ac:dyDescent="0.2">
      <c r="B108" s="54"/>
      <c r="C108" s="180"/>
      <c r="D108" s="54"/>
      <c r="E108" s="54"/>
      <c r="F108" s="54"/>
      <c r="G108" s="54"/>
      <c r="H108" s="54"/>
      <c r="I108" s="54"/>
      <c r="J108" s="54"/>
      <c r="K108" s="180"/>
      <c r="L108" s="54"/>
      <c r="M108" s="54"/>
      <c r="N108" s="54"/>
      <c r="O108" s="54"/>
      <c r="P108" s="54"/>
      <c r="Q108" s="54"/>
      <c r="R108" s="54"/>
      <c r="S108" s="54"/>
      <c r="T108" s="54"/>
    </row>
    <row r="109" spans="1:27" ht="15.75" customHeight="1" x14ac:dyDescent="0.2">
      <c r="B109" s="54"/>
      <c r="C109" s="180"/>
      <c r="D109" s="54"/>
      <c r="E109" s="54"/>
      <c r="F109" s="54"/>
      <c r="G109" s="54"/>
      <c r="H109" s="54"/>
      <c r="I109" s="54"/>
      <c r="J109" s="54"/>
      <c r="K109" s="180"/>
      <c r="L109" s="54"/>
      <c r="M109" s="54"/>
      <c r="N109" s="54"/>
      <c r="O109" s="54"/>
      <c r="P109" s="54"/>
      <c r="Q109" s="54"/>
      <c r="R109" s="54"/>
      <c r="S109" s="54"/>
      <c r="T109" s="54"/>
    </row>
    <row r="110" spans="1:27" ht="15.75" customHeight="1" x14ac:dyDescent="0.2">
      <c r="B110" s="54"/>
      <c r="C110" s="180"/>
      <c r="D110" s="54"/>
      <c r="E110" s="54"/>
      <c r="F110" s="54"/>
      <c r="G110" s="54"/>
      <c r="H110" s="54"/>
      <c r="I110" s="54"/>
      <c r="J110" s="54"/>
      <c r="K110" s="180"/>
      <c r="L110" s="54"/>
      <c r="M110" s="54"/>
      <c r="N110" s="54"/>
      <c r="O110" s="54"/>
      <c r="P110" s="54"/>
      <c r="Q110" s="54"/>
      <c r="R110" s="54"/>
      <c r="S110" s="54"/>
      <c r="T110" s="54"/>
    </row>
    <row r="111" spans="1:27" ht="15.75" customHeight="1" x14ac:dyDescent="0.2">
      <c r="B111" s="54"/>
      <c r="C111" s="180"/>
      <c r="D111" s="54"/>
      <c r="E111" s="54"/>
      <c r="F111" s="54"/>
      <c r="G111" s="54"/>
      <c r="H111" s="54"/>
      <c r="I111" s="54"/>
      <c r="J111" s="54"/>
      <c r="K111" s="180"/>
      <c r="L111" s="54"/>
      <c r="M111" s="54"/>
      <c r="N111" s="54"/>
      <c r="O111" s="54"/>
      <c r="P111" s="54"/>
      <c r="Q111" s="54"/>
      <c r="R111" s="54"/>
      <c r="S111" s="54"/>
      <c r="T111" s="54"/>
    </row>
    <row r="112" spans="1:27" ht="15.75" customHeight="1" x14ac:dyDescent="0.2">
      <c r="B112" s="54"/>
      <c r="C112" s="180"/>
      <c r="D112" s="54"/>
      <c r="E112" s="54"/>
      <c r="F112" s="54"/>
      <c r="G112" s="54"/>
      <c r="H112" s="54"/>
      <c r="I112" s="54"/>
      <c r="J112" s="54"/>
      <c r="K112" s="180"/>
      <c r="L112" s="54"/>
      <c r="M112" s="54"/>
      <c r="N112" s="54"/>
      <c r="O112" s="54"/>
      <c r="P112" s="54"/>
      <c r="Q112" s="54"/>
      <c r="R112" s="54"/>
      <c r="S112" s="54"/>
      <c r="T112" s="54"/>
    </row>
    <row r="113" spans="2:20" ht="15.75" customHeight="1" x14ac:dyDescent="0.2">
      <c r="B113" s="54"/>
      <c r="C113" s="180"/>
      <c r="D113" s="54"/>
      <c r="E113" s="54"/>
      <c r="F113" s="54"/>
      <c r="G113" s="54"/>
      <c r="H113" s="54"/>
      <c r="I113" s="54"/>
      <c r="J113" s="54"/>
      <c r="K113" s="180"/>
      <c r="L113" s="54"/>
      <c r="M113" s="54"/>
      <c r="N113" s="54"/>
      <c r="O113" s="54"/>
      <c r="P113" s="54"/>
      <c r="Q113" s="54"/>
      <c r="R113" s="54"/>
      <c r="S113" s="54"/>
      <c r="T113" s="54"/>
    </row>
    <row r="114" spans="2:20" ht="15.75" customHeight="1" x14ac:dyDescent="0.2">
      <c r="B114" s="54"/>
      <c r="C114" s="180"/>
      <c r="D114" s="54"/>
      <c r="E114" s="54"/>
      <c r="F114" s="54"/>
      <c r="G114" s="54"/>
      <c r="H114" s="54"/>
      <c r="I114" s="54"/>
      <c r="J114" s="54"/>
      <c r="K114" s="180"/>
      <c r="L114" s="54"/>
      <c r="M114" s="54"/>
      <c r="N114" s="54"/>
      <c r="O114" s="54"/>
      <c r="P114" s="54"/>
      <c r="Q114" s="54"/>
      <c r="R114" s="54"/>
      <c r="S114" s="54"/>
      <c r="T114" s="54"/>
    </row>
    <row r="115" spans="2:20" ht="15.75" customHeight="1" x14ac:dyDescent="0.2">
      <c r="B115" s="54"/>
      <c r="C115" s="180"/>
      <c r="D115" s="54"/>
      <c r="E115" s="54"/>
      <c r="F115" s="54"/>
      <c r="G115" s="54"/>
      <c r="H115" s="54"/>
      <c r="I115" s="54"/>
      <c r="J115" s="54"/>
      <c r="K115" s="180"/>
      <c r="L115" s="54"/>
      <c r="M115" s="54"/>
      <c r="N115" s="54"/>
      <c r="O115" s="54"/>
      <c r="P115" s="54"/>
      <c r="Q115" s="54"/>
      <c r="R115" s="54"/>
      <c r="S115" s="54"/>
      <c r="T115" s="54"/>
    </row>
    <row r="116" spans="2:20" ht="15.75" customHeight="1" x14ac:dyDescent="0.2">
      <c r="B116" s="54"/>
      <c r="C116" s="180"/>
      <c r="D116" s="54"/>
      <c r="E116" s="54"/>
      <c r="F116" s="54"/>
      <c r="G116" s="54"/>
      <c r="H116" s="54"/>
      <c r="I116" s="54"/>
      <c r="J116" s="54"/>
      <c r="K116" s="180"/>
      <c r="L116" s="54"/>
      <c r="M116" s="54"/>
      <c r="N116" s="54"/>
      <c r="O116" s="54"/>
      <c r="P116" s="54"/>
      <c r="Q116" s="54"/>
      <c r="R116" s="54"/>
      <c r="S116" s="54"/>
      <c r="T116" s="54"/>
    </row>
    <row r="117" spans="2:20" ht="15.75" customHeight="1" x14ac:dyDescent="0.2">
      <c r="B117" s="54"/>
      <c r="C117" s="180"/>
      <c r="D117" s="54"/>
      <c r="E117" s="54"/>
      <c r="F117" s="54"/>
      <c r="G117" s="54"/>
      <c r="H117" s="54"/>
      <c r="I117" s="54"/>
      <c r="J117" s="54"/>
      <c r="K117" s="180"/>
      <c r="L117" s="54"/>
      <c r="M117" s="54"/>
      <c r="N117" s="54"/>
      <c r="O117" s="54"/>
      <c r="P117" s="54"/>
      <c r="Q117" s="54"/>
      <c r="R117" s="54"/>
      <c r="S117" s="54"/>
      <c r="T117" s="54"/>
    </row>
    <row r="118" spans="2:20" ht="15.75" customHeight="1" x14ac:dyDescent="0.2">
      <c r="B118" s="54"/>
      <c r="C118" s="180"/>
      <c r="D118" s="54"/>
      <c r="E118" s="54"/>
      <c r="F118" s="54"/>
      <c r="G118" s="54"/>
      <c r="H118" s="54"/>
      <c r="I118" s="54"/>
      <c r="J118" s="54"/>
      <c r="K118" s="180"/>
      <c r="L118" s="54"/>
      <c r="M118" s="54"/>
      <c r="N118" s="54"/>
      <c r="O118" s="54"/>
      <c r="P118" s="54"/>
      <c r="Q118" s="54"/>
      <c r="R118" s="54"/>
      <c r="S118" s="54"/>
      <c r="T118" s="54"/>
    </row>
    <row r="119" spans="2:20" ht="15.75" customHeight="1" x14ac:dyDescent="0.2">
      <c r="B119" s="54"/>
      <c r="C119" s="180"/>
      <c r="D119" s="54"/>
      <c r="E119" s="54"/>
      <c r="F119" s="54"/>
      <c r="G119" s="54"/>
      <c r="H119" s="54"/>
      <c r="I119" s="54"/>
      <c r="J119" s="54"/>
      <c r="K119" s="180"/>
      <c r="L119" s="54"/>
      <c r="M119" s="54"/>
      <c r="N119" s="54"/>
      <c r="O119" s="54"/>
      <c r="P119" s="54"/>
      <c r="Q119" s="54"/>
      <c r="R119" s="54"/>
      <c r="S119" s="54"/>
      <c r="T119" s="54"/>
    </row>
    <row r="120" spans="2:20" ht="15.75" customHeight="1" x14ac:dyDescent="0.2">
      <c r="B120" s="54"/>
      <c r="C120" s="180"/>
      <c r="D120" s="54"/>
      <c r="E120" s="54"/>
      <c r="F120" s="54"/>
      <c r="G120" s="54"/>
      <c r="H120" s="54"/>
      <c r="I120" s="54"/>
      <c r="J120" s="54"/>
      <c r="K120" s="180"/>
      <c r="L120" s="54"/>
      <c r="M120" s="54"/>
      <c r="N120" s="54"/>
      <c r="O120" s="54"/>
      <c r="P120" s="54"/>
      <c r="Q120" s="54"/>
      <c r="R120" s="54"/>
      <c r="S120" s="54"/>
      <c r="T120" s="54"/>
    </row>
    <row r="121" spans="2:20" ht="15.75" customHeight="1" x14ac:dyDescent="0.2">
      <c r="B121" s="54"/>
      <c r="C121" s="180"/>
      <c r="D121" s="54"/>
      <c r="E121" s="54"/>
      <c r="F121" s="54"/>
      <c r="G121" s="54"/>
      <c r="H121" s="54"/>
      <c r="I121" s="54"/>
      <c r="J121" s="54"/>
      <c r="K121" s="180"/>
      <c r="L121" s="54"/>
      <c r="M121" s="54"/>
      <c r="N121" s="54"/>
      <c r="O121" s="54"/>
      <c r="P121" s="54"/>
      <c r="Q121" s="54"/>
      <c r="R121" s="54"/>
      <c r="S121" s="54"/>
      <c r="T121" s="54"/>
    </row>
    <row r="122" spans="2:20" ht="15.75" customHeight="1" x14ac:dyDescent="0.2">
      <c r="B122" s="54"/>
      <c r="C122" s="180"/>
      <c r="D122" s="54"/>
      <c r="E122" s="54"/>
      <c r="F122" s="54"/>
      <c r="G122" s="54"/>
      <c r="H122" s="54"/>
      <c r="I122" s="54"/>
      <c r="J122" s="54"/>
      <c r="K122" s="180"/>
      <c r="L122" s="54"/>
      <c r="M122" s="54"/>
      <c r="N122" s="54"/>
      <c r="O122" s="54"/>
      <c r="P122" s="54"/>
      <c r="Q122" s="54"/>
      <c r="R122" s="54"/>
      <c r="S122" s="54"/>
      <c r="T122" s="54"/>
    </row>
    <row r="123" spans="2:20" ht="15.75" customHeight="1" x14ac:dyDescent="0.2">
      <c r="B123" s="54"/>
      <c r="C123" s="180"/>
      <c r="D123" s="54"/>
      <c r="E123" s="54"/>
      <c r="F123" s="54"/>
      <c r="G123" s="54"/>
      <c r="H123" s="54"/>
      <c r="I123" s="54"/>
      <c r="J123" s="54"/>
      <c r="K123" s="180"/>
      <c r="L123" s="54"/>
      <c r="M123" s="54"/>
      <c r="N123" s="54"/>
      <c r="O123" s="54"/>
      <c r="P123" s="54"/>
      <c r="Q123" s="54"/>
      <c r="R123" s="54"/>
      <c r="S123" s="54"/>
      <c r="T123" s="54"/>
    </row>
    <row r="124" spans="2:20" ht="15.75" customHeight="1" x14ac:dyDescent="0.2">
      <c r="B124" s="54"/>
      <c r="C124" s="180"/>
      <c r="D124" s="54"/>
      <c r="E124" s="54"/>
      <c r="F124" s="54"/>
      <c r="G124" s="54"/>
      <c r="H124" s="54"/>
      <c r="I124" s="54"/>
      <c r="J124" s="54"/>
      <c r="K124" s="180"/>
      <c r="L124" s="54"/>
      <c r="M124" s="54"/>
      <c r="N124" s="54"/>
      <c r="O124" s="54"/>
      <c r="P124" s="54"/>
      <c r="Q124" s="54"/>
      <c r="R124" s="54"/>
      <c r="S124" s="54"/>
      <c r="T124" s="54"/>
    </row>
    <row r="125" spans="2:20" ht="15.75" customHeight="1" x14ac:dyDescent="0.2">
      <c r="B125" s="54"/>
      <c r="C125" s="180"/>
      <c r="D125" s="54"/>
      <c r="E125" s="54"/>
      <c r="F125" s="54"/>
      <c r="G125" s="54"/>
      <c r="H125" s="54"/>
      <c r="I125" s="54"/>
      <c r="J125" s="54"/>
      <c r="K125" s="180"/>
      <c r="L125" s="54"/>
      <c r="M125" s="54"/>
      <c r="N125" s="54"/>
      <c r="O125" s="54"/>
      <c r="P125" s="54"/>
      <c r="Q125" s="54"/>
      <c r="R125" s="54"/>
      <c r="S125" s="54"/>
      <c r="T125" s="54"/>
    </row>
    <row r="126" spans="2:20" ht="15.75" customHeight="1" x14ac:dyDescent="0.2">
      <c r="B126" s="54"/>
      <c r="C126" s="180"/>
      <c r="D126" s="54"/>
      <c r="E126" s="54"/>
      <c r="F126" s="54"/>
      <c r="G126" s="54"/>
      <c r="H126" s="54"/>
      <c r="I126" s="54"/>
      <c r="J126" s="54"/>
      <c r="K126" s="180"/>
      <c r="L126" s="54"/>
      <c r="M126" s="54"/>
      <c r="N126" s="54"/>
      <c r="O126" s="54"/>
      <c r="P126" s="54"/>
      <c r="Q126" s="54"/>
      <c r="R126" s="54"/>
      <c r="S126" s="54"/>
      <c r="T126" s="54"/>
    </row>
    <row r="127" spans="2:20" ht="15.75" customHeight="1" x14ac:dyDescent="0.2">
      <c r="B127" s="54"/>
      <c r="C127" s="180"/>
      <c r="D127" s="54"/>
      <c r="E127" s="54"/>
      <c r="F127" s="54"/>
      <c r="G127" s="54"/>
      <c r="H127" s="54"/>
      <c r="I127" s="54"/>
      <c r="J127" s="54"/>
      <c r="K127" s="180"/>
      <c r="L127" s="54"/>
      <c r="M127" s="54"/>
      <c r="N127" s="54"/>
      <c r="O127" s="54"/>
      <c r="P127" s="54"/>
      <c r="Q127" s="54"/>
      <c r="R127" s="54"/>
      <c r="S127" s="54"/>
      <c r="T127" s="54"/>
    </row>
    <row r="128" spans="2:20" ht="15.75" customHeight="1" x14ac:dyDescent="0.2">
      <c r="B128" s="54"/>
      <c r="C128" s="180"/>
      <c r="D128" s="54"/>
      <c r="E128" s="54"/>
      <c r="F128" s="54"/>
      <c r="G128" s="54"/>
      <c r="H128" s="54"/>
      <c r="I128" s="54"/>
      <c r="J128" s="54"/>
      <c r="K128" s="180"/>
      <c r="L128" s="54"/>
      <c r="M128" s="54"/>
      <c r="N128" s="54"/>
      <c r="O128" s="54"/>
      <c r="P128" s="54"/>
      <c r="Q128" s="54"/>
      <c r="R128" s="54"/>
      <c r="S128" s="54"/>
      <c r="T128" s="54"/>
    </row>
    <row r="129" spans="2:20" ht="15.75" customHeight="1" x14ac:dyDescent="0.2">
      <c r="B129" s="54"/>
      <c r="C129" s="180"/>
      <c r="D129" s="54"/>
      <c r="E129" s="54"/>
      <c r="F129" s="54"/>
      <c r="G129" s="54"/>
      <c r="H129" s="54"/>
      <c r="I129" s="54"/>
      <c r="J129" s="54"/>
      <c r="K129" s="180"/>
      <c r="L129" s="54"/>
      <c r="M129" s="54"/>
      <c r="N129" s="54"/>
      <c r="O129" s="54"/>
      <c r="P129" s="54"/>
      <c r="Q129" s="54"/>
      <c r="R129" s="54"/>
      <c r="S129" s="54"/>
      <c r="T129" s="54"/>
    </row>
    <row r="130" spans="2:20" ht="15.75" customHeight="1" x14ac:dyDescent="0.2">
      <c r="B130" s="54"/>
      <c r="C130" s="180"/>
      <c r="D130" s="54"/>
      <c r="E130" s="54"/>
      <c r="F130" s="54"/>
      <c r="G130" s="54"/>
      <c r="H130" s="54"/>
      <c r="I130" s="54"/>
      <c r="J130" s="54"/>
      <c r="K130" s="180"/>
      <c r="L130" s="54"/>
      <c r="M130" s="54"/>
      <c r="N130" s="54"/>
      <c r="O130" s="54"/>
      <c r="P130" s="54"/>
      <c r="Q130" s="54"/>
      <c r="R130" s="54"/>
      <c r="S130" s="54"/>
      <c r="T130" s="54"/>
    </row>
    <row r="131" spans="2:20" ht="15.75" customHeight="1" x14ac:dyDescent="0.2">
      <c r="B131" s="54"/>
      <c r="C131" s="180"/>
      <c r="D131" s="54"/>
      <c r="E131" s="54"/>
      <c r="F131" s="54"/>
      <c r="G131" s="54"/>
      <c r="H131" s="54"/>
      <c r="I131" s="54"/>
      <c r="J131" s="54"/>
      <c r="K131" s="180"/>
      <c r="L131" s="54"/>
      <c r="M131" s="54"/>
      <c r="N131" s="54"/>
      <c r="O131" s="54"/>
      <c r="P131" s="54"/>
      <c r="Q131" s="54"/>
      <c r="R131" s="54"/>
      <c r="S131" s="54"/>
      <c r="T131" s="54"/>
    </row>
    <row r="132" spans="2:20" ht="15.75" customHeight="1" x14ac:dyDescent="0.2">
      <c r="B132" s="54"/>
      <c r="C132" s="180"/>
      <c r="D132" s="54"/>
      <c r="E132" s="54"/>
      <c r="F132" s="54"/>
      <c r="G132" s="54"/>
      <c r="H132" s="54"/>
      <c r="I132" s="54"/>
      <c r="J132" s="54"/>
      <c r="K132" s="180"/>
      <c r="L132" s="54"/>
      <c r="M132" s="54"/>
      <c r="N132" s="54"/>
      <c r="O132" s="54"/>
      <c r="P132" s="54"/>
      <c r="Q132" s="54"/>
      <c r="R132" s="54"/>
      <c r="S132" s="54"/>
      <c r="T132" s="54"/>
    </row>
    <row r="133" spans="2:20" ht="15.75" customHeight="1" x14ac:dyDescent="0.2">
      <c r="B133" s="54"/>
      <c r="C133" s="180"/>
      <c r="D133" s="54"/>
      <c r="E133" s="54"/>
      <c r="F133" s="54"/>
      <c r="G133" s="54"/>
      <c r="H133" s="54"/>
      <c r="I133" s="54"/>
      <c r="J133" s="54"/>
      <c r="K133" s="180"/>
      <c r="L133" s="54"/>
      <c r="M133" s="54"/>
      <c r="N133" s="54"/>
      <c r="O133" s="54"/>
      <c r="P133" s="54"/>
      <c r="Q133" s="54"/>
      <c r="R133" s="54"/>
      <c r="S133" s="54"/>
      <c r="T133" s="54"/>
    </row>
    <row r="134" spans="2:20" ht="15.75" customHeight="1" x14ac:dyDescent="0.2">
      <c r="B134" s="54"/>
      <c r="C134" s="180"/>
      <c r="D134" s="54"/>
      <c r="E134" s="54"/>
      <c r="F134" s="54"/>
      <c r="G134" s="54"/>
      <c r="H134" s="54"/>
      <c r="I134" s="54"/>
      <c r="J134" s="54"/>
      <c r="K134" s="180"/>
      <c r="L134" s="54"/>
      <c r="M134" s="54"/>
      <c r="N134" s="54"/>
      <c r="O134" s="54"/>
      <c r="P134" s="54"/>
      <c r="Q134" s="54"/>
      <c r="R134" s="54"/>
      <c r="S134" s="54"/>
      <c r="T134" s="54"/>
    </row>
    <row r="135" spans="2:20" ht="15.75" customHeight="1" x14ac:dyDescent="0.2">
      <c r="B135" s="54"/>
      <c r="C135" s="180"/>
      <c r="D135" s="54"/>
      <c r="E135" s="54"/>
      <c r="F135" s="54"/>
      <c r="G135" s="54"/>
      <c r="H135" s="54"/>
      <c r="I135" s="54"/>
      <c r="J135" s="54"/>
      <c r="K135" s="180"/>
      <c r="L135" s="54"/>
      <c r="M135" s="54"/>
      <c r="N135" s="54"/>
      <c r="O135" s="54"/>
      <c r="P135" s="54"/>
      <c r="Q135" s="54"/>
      <c r="R135" s="54"/>
      <c r="S135" s="54"/>
      <c r="T135" s="54"/>
    </row>
    <row r="136" spans="2:20" ht="15.75" customHeight="1" x14ac:dyDescent="0.2">
      <c r="B136" s="54"/>
      <c r="C136" s="180"/>
      <c r="D136" s="54"/>
      <c r="E136" s="54"/>
      <c r="F136" s="54"/>
      <c r="G136" s="54"/>
      <c r="H136" s="54"/>
      <c r="I136" s="54"/>
      <c r="J136" s="54"/>
      <c r="K136" s="180"/>
      <c r="L136" s="54"/>
      <c r="M136" s="54"/>
      <c r="N136" s="54"/>
      <c r="O136" s="54"/>
      <c r="P136" s="54"/>
      <c r="Q136" s="54"/>
      <c r="R136" s="54"/>
      <c r="S136" s="54"/>
      <c r="T136" s="54"/>
    </row>
    <row r="137" spans="2:20" ht="15.75" customHeight="1" x14ac:dyDescent="0.2">
      <c r="B137" s="54"/>
      <c r="C137" s="180"/>
      <c r="D137" s="54"/>
      <c r="E137" s="54"/>
      <c r="F137" s="54"/>
      <c r="G137" s="54"/>
      <c r="H137" s="54"/>
      <c r="I137" s="54"/>
      <c r="J137" s="54"/>
      <c r="K137" s="180"/>
      <c r="L137" s="54"/>
      <c r="M137" s="54"/>
      <c r="N137" s="54"/>
      <c r="O137" s="54"/>
      <c r="P137" s="54"/>
      <c r="Q137" s="54"/>
      <c r="R137" s="54"/>
      <c r="S137" s="54"/>
      <c r="T137" s="54"/>
    </row>
    <row r="138" spans="2:20" ht="15.75" customHeight="1" x14ac:dyDescent="0.2">
      <c r="B138" s="54"/>
      <c r="C138" s="180"/>
      <c r="D138" s="54"/>
      <c r="E138" s="54"/>
      <c r="F138" s="54"/>
      <c r="G138" s="54"/>
      <c r="H138" s="54"/>
      <c r="I138" s="54"/>
      <c r="J138" s="54"/>
      <c r="K138" s="180"/>
      <c r="L138" s="54"/>
      <c r="M138" s="54"/>
      <c r="N138" s="54"/>
      <c r="O138" s="54"/>
      <c r="P138" s="54"/>
      <c r="Q138" s="54"/>
      <c r="R138" s="54"/>
      <c r="S138" s="54"/>
      <c r="T138" s="54"/>
    </row>
    <row r="139" spans="2:20" ht="15.75" customHeight="1" x14ac:dyDescent="0.2">
      <c r="B139" s="54"/>
      <c r="C139" s="180"/>
      <c r="D139" s="54"/>
      <c r="E139" s="54"/>
      <c r="F139" s="54"/>
      <c r="G139" s="54"/>
      <c r="H139" s="54"/>
      <c r="I139" s="54"/>
      <c r="J139" s="54"/>
      <c r="K139" s="180"/>
      <c r="L139" s="54"/>
      <c r="M139" s="54"/>
      <c r="N139" s="54"/>
      <c r="O139" s="54"/>
      <c r="P139" s="54"/>
      <c r="Q139" s="54"/>
      <c r="R139" s="54"/>
      <c r="S139" s="54"/>
      <c r="T139" s="54"/>
    </row>
    <row r="140" spans="2:20" ht="15.75" customHeight="1" x14ac:dyDescent="0.2">
      <c r="B140" s="54"/>
      <c r="C140" s="180"/>
      <c r="D140" s="54"/>
      <c r="E140" s="54"/>
      <c r="F140" s="54"/>
      <c r="G140" s="54"/>
      <c r="H140" s="54"/>
      <c r="I140" s="54"/>
      <c r="J140" s="54"/>
      <c r="K140" s="180"/>
      <c r="L140" s="54"/>
      <c r="M140" s="54"/>
      <c r="N140" s="54"/>
      <c r="O140" s="54"/>
      <c r="P140" s="54"/>
      <c r="Q140" s="54"/>
      <c r="R140" s="54"/>
      <c r="S140" s="54"/>
      <c r="T140" s="54"/>
    </row>
    <row r="141" spans="2:20" ht="15.75" customHeight="1" x14ac:dyDescent="0.2">
      <c r="B141" s="54"/>
      <c r="C141" s="180"/>
      <c r="D141" s="54"/>
      <c r="E141" s="54"/>
      <c r="F141" s="54"/>
      <c r="G141" s="54"/>
      <c r="H141" s="54"/>
      <c r="I141" s="54"/>
      <c r="J141" s="54"/>
      <c r="K141" s="180"/>
      <c r="L141" s="54"/>
      <c r="M141" s="54"/>
      <c r="N141" s="54"/>
      <c r="O141" s="54"/>
      <c r="P141" s="54"/>
      <c r="Q141" s="54"/>
      <c r="R141" s="54"/>
      <c r="S141" s="54"/>
      <c r="T141" s="54"/>
    </row>
    <row r="142" spans="2:20" ht="15.75" customHeight="1" x14ac:dyDescent="0.2">
      <c r="B142" s="54"/>
      <c r="C142" s="180"/>
      <c r="D142" s="54"/>
      <c r="E142" s="54"/>
      <c r="F142" s="54"/>
      <c r="G142" s="54"/>
      <c r="H142" s="54"/>
      <c r="I142" s="54"/>
      <c r="J142" s="54"/>
      <c r="K142" s="180"/>
      <c r="L142" s="54"/>
      <c r="M142" s="54"/>
      <c r="N142" s="54"/>
      <c r="O142" s="54"/>
      <c r="P142" s="54"/>
      <c r="Q142" s="54"/>
      <c r="R142" s="54"/>
      <c r="S142" s="54"/>
      <c r="T142" s="54"/>
    </row>
    <row r="143" spans="2:20" ht="15.75" customHeight="1" x14ac:dyDescent="0.2">
      <c r="B143" s="54"/>
      <c r="C143" s="180"/>
      <c r="D143" s="54"/>
      <c r="E143" s="54"/>
      <c r="F143" s="54"/>
      <c r="G143" s="54"/>
      <c r="H143" s="54"/>
      <c r="I143" s="54"/>
      <c r="J143" s="54"/>
      <c r="K143" s="180"/>
      <c r="L143" s="54"/>
      <c r="M143" s="54"/>
      <c r="N143" s="54"/>
      <c r="O143" s="54"/>
      <c r="P143" s="54"/>
      <c r="Q143" s="54"/>
      <c r="R143" s="54"/>
      <c r="S143" s="54"/>
      <c r="T143" s="54"/>
    </row>
    <row r="144" spans="2:20" ht="15.75" customHeight="1" x14ac:dyDescent="0.2">
      <c r="B144" s="54"/>
      <c r="C144" s="180"/>
      <c r="D144" s="54"/>
      <c r="E144" s="54"/>
      <c r="F144" s="54"/>
      <c r="G144" s="54"/>
      <c r="H144" s="54"/>
      <c r="I144" s="54"/>
      <c r="J144" s="54"/>
      <c r="K144" s="180"/>
      <c r="L144" s="54"/>
      <c r="M144" s="54"/>
      <c r="N144" s="54"/>
      <c r="O144" s="54"/>
      <c r="P144" s="54"/>
      <c r="Q144" s="54"/>
      <c r="R144" s="54"/>
      <c r="S144" s="54"/>
      <c r="T144" s="54"/>
    </row>
    <row r="145" spans="2:20" ht="15.75" customHeight="1" x14ac:dyDescent="0.2">
      <c r="B145" s="54"/>
      <c r="C145" s="180"/>
      <c r="D145" s="54"/>
      <c r="E145" s="54"/>
      <c r="F145" s="54"/>
      <c r="G145" s="54"/>
      <c r="H145" s="54"/>
      <c r="I145" s="54"/>
      <c r="J145" s="54"/>
      <c r="K145" s="180"/>
      <c r="L145" s="54"/>
      <c r="M145" s="54"/>
      <c r="N145" s="54"/>
      <c r="O145" s="54"/>
      <c r="P145" s="54"/>
      <c r="Q145" s="54"/>
      <c r="R145" s="54"/>
      <c r="S145" s="54"/>
      <c r="T145" s="54"/>
    </row>
    <row r="146" spans="2:20" ht="15.75" customHeight="1" x14ac:dyDescent="0.2">
      <c r="B146" s="54"/>
      <c r="C146" s="180"/>
      <c r="D146" s="54"/>
      <c r="E146" s="54"/>
      <c r="F146" s="54"/>
      <c r="G146" s="54"/>
      <c r="H146" s="54"/>
      <c r="I146" s="54"/>
      <c r="J146" s="54"/>
      <c r="K146" s="180"/>
      <c r="L146" s="54"/>
      <c r="M146" s="54"/>
      <c r="N146" s="54"/>
      <c r="O146" s="54"/>
      <c r="P146" s="54"/>
      <c r="Q146" s="54"/>
      <c r="R146" s="54"/>
      <c r="S146" s="54"/>
      <c r="T146" s="54"/>
    </row>
    <row r="147" spans="2:20" ht="15.75" customHeight="1" x14ac:dyDescent="0.2">
      <c r="B147" s="54"/>
      <c r="C147" s="180"/>
      <c r="D147" s="54"/>
      <c r="E147" s="54"/>
      <c r="F147" s="54"/>
      <c r="G147" s="54"/>
      <c r="H147" s="54"/>
      <c r="I147" s="54"/>
      <c r="J147" s="54"/>
      <c r="K147" s="180"/>
      <c r="L147" s="54"/>
      <c r="M147" s="54"/>
      <c r="N147" s="54"/>
      <c r="O147" s="54"/>
      <c r="P147" s="54"/>
      <c r="Q147" s="54"/>
      <c r="R147" s="54"/>
      <c r="S147" s="54"/>
      <c r="T147" s="54"/>
    </row>
    <row r="148" spans="2:20" ht="15.75" customHeight="1" x14ac:dyDescent="0.2">
      <c r="B148" s="54"/>
      <c r="C148" s="180"/>
      <c r="D148" s="54"/>
      <c r="E148" s="54"/>
      <c r="F148" s="54"/>
      <c r="G148" s="54"/>
      <c r="H148" s="54"/>
      <c r="I148" s="54"/>
      <c r="J148" s="54"/>
      <c r="K148" s="180"/>
      <c r="L148" s="54"/>
      <c r="M148" s="54"/>
      <c r="N148" s="54"/>
      <c r="O148" s="54"/>
      <c r="P148" s="54"/>
      <c r="Q148" s="54"/>
      <c r="R148" s="54"/>
      <c r="S148" s="54"/>
      <c r="T148" s="54"/>
    </row>
    <row r="149" spans="2:20" ht="15.75" customHeight="1" x14ac:dyDescent="0.2">
      <c r="B149" s="54"/>
      <c r="C149" s="180"/>
      <c r="D149" s="54"/>
      <c r="E149" s="54"/>
      <c r="F149" s="54"/>
      <c r="G149" s="54"/>
      <c r="H149" s="54"/>
      <c r="I149" s="54"/>
      <c r="J149" s="54"/>
      <c r="K149" s="180"/>
      <c r="L149" s="54"/>
      <c r="M149" s="54"/>
      <c r="N149" s="54"/>
      <c r="O149" s="54"/>
      <c r="P149" s="54"/>
      <c r="Q149" s="54"/>
      <c r="R149" s="54"/>
      <c r="S149" s="54"/>
      <c r="T149" s="54"/>
    </row>
    <row r="150" spans="2:20" ht="15.75" customHeight="1" x14ac:dyDescent="0.2">
      <c r="B150" s="54"/>
      <c r="C150" s="180"/>
      <c r="D150" s="54"/>
      <c r="E150" s="54"/>
      <c r="F150" s="54"/>
      <c r="G150" s="54"/>
      <c r="H150" s="54"/>
      <c r="I150" s="54"/>
      <c r="J150" s="54"/>
      <c r="K150" s="180"/>
      <c r="L150" s="54"/>
      <c r="M150" s="54"/>
      <c r="N150" s="54"/>
      <c r="O150" s="54"/>
      <c r="P150" s="54"/>
      <c r="Q150" s="54"/>
      <c r="R150" s="54"/>
      <c r="S150" s="54"/>
      <c r="T150" s="54"/>
    </row>
    <row r="151" spans="2:20" ht="15.75" customHeight="1" x14ac:dyDescent="0.2">
      <c r="B151" s="54"/>
      <c r="C151" s="180"/>
      <c r="D151" s="54"/>
      <c r="E151" s="54"/>
      <c r="F151" s="54"/>
      <c r="G151" s="54"/>
      <c r="H151" s="54"/>
      <c r="I151" s="54"/>
      <c r="J151" s="54"/>
      <c r="K151" s="180"/>
      <c r="L151" s="54"/>
      <c r="M151" s="54"/>
      <c r="N151" s="54"/>
      <c r="O151" s="54"/>
      <c r="P151" s="54"/>
      <c r="Q151" s="54"/>
      <c r="R151" s="54"/>
      <c r="S151" s="54"/>
      <c r="T151" s="54"/>
    </row>
    <row r="152" spans="2:20" ht="15.75" customHeight="1" x14ac:dyDescent="0.2">
      <c r="B152" s="54"/>
      <c r="C152" s="180"/>
      <c r="D152" s="54"/>
      <c r="E152" s="54"/>
      <c r="F152" s="54"/>
      <c r="G152" s="54"/>
      <c r="H152" s="54"/>
      <c r="I152" s="54"/>
      <c r="J152" s="54"/>
      <c r="K152" s="180"/>
      <c r="L152" s="54"/>
      <c r="M152" s="54"/>
      <c r="N152" s="54"/>
      <c r="O152" s="54"/>
      <c r="P152" s="54"/>
      <c r="Q152" s="54"/>
      <c r="R152" s="54"/>
      <c r="S152" s="54"/>
      <c r="T152" s="54"/>
    </row>
    <row r="153" spans="2:20" ht="15.75" customHeight="1" x14ac:dyDescent="0.2">
      <c r="B153" s="54"/>
      <c r="C153" s="180"/>
      <c r="D153" s="54"/>
      <c r="E153" s="54"/>
      <c r="F153" s="54"/>
      <c r="G153" s="54"/>
      <c r="H153" s="54"/>
      <c r="I153" s="54"/>
      <c r="J153" s="54"/>
      <c r="K153" s="180"/>
      <c r="L153" s="54"/>
      <c r="M153" s="54"/>
      <c r="N153" s="54"/>
      <c r="O153" s="54"/>
      <c r="P153" s="54"/>
      <c r="Q153" s="54"/>
      <c r="R153" s="54"/>
      <c r="S153" s="54"/>
      <c r="T153" s="54"/>
    </row>
    <row r="154" spans="2:20" ht="15.75" customHeight="1" x14ac:dyDescent="0.2">
      <c r="B154" s="54"/>
      <c r="C154" s="180"/>
      <c r="D154" s="54"/>
      <c r="E154" s="54"/>
      <c r="F154" s="54"/>
      <c r="G154" s="54"/>
      <c r="H154" s="54"/>
      <c r="I154" s="54"/>
      <c r="J154" s="54"/>
      <c r="K154" s="180"/>
      <c r="L154" s="54"/>
      <c r="M154" s="54"/>
      <c r="N154" s="54"/>
      <c r="O154" s="54"/>
      <c r="P154" s="54"/>
      <c r="Q154" s="54"/>
      <c r="R154" s="54"/>
      <c r="S154" s="54"/>
      <c r="T154" s="54"/>
    </row>
    <row r="155" spans="2:20" ht="15.75" customHeight="1" x14ac:dyDescent="0.2">
      <c r="B155" s="54"/>
      <c r="C155" s="180"/>
      <c r="D155" s="54"/>
      <c r="E155" s="54"/>
      <c r="F155" s="54"/>
      <c r="G155" s="54"/>
      <c r="H155" s="54"/>
      <c r="I155" s="54"/>
      <c r="J155" s="54"/>
      <c r="K155" s="180"/>
      <c r="L155" s="54"/>
      <c r="M155" s="54"/>
      <c r="N155" s="54"/>
      <c r="O155" s="54"/>
      <c r="P155" s="54"/>
      <c r="Q155" s="54"/>
      <c r="R155" s="54"/>
      <c r="S155" s="54"/>
      <c r="T155" s="54"/>
    </row>
    <row r="156" spans="2:20" ht="15.75" customHeight="1" x14ac:dyDescent="0.2">
      <c r="B156" s="54"/>
      <c r="C156" s="180"/>
      <c r="D156" s="54"/>
      <c r="E156" s="54"/>
      <c r="F156" s="54"/>
      <c r="G156" s="54"/>
      <c r="H156" s="54"/>
      <c r="I156" s="54"/>
      <c r="J156" s="54"/>
      <c r="K156" s="180"/>
      <c r="L156" s="54"/>
      <c r="M156" s="54"/>
      <c r="N156" s="54"/>
      <c r="O156" s="54"/>
      <c r="P156" s="54"/>
      <c r="Q156" s="54"/>
      <c r="R156" s="54"/>
      <c r="S156" s="54"/>
      <c r="T156" s="54"/>
    </row>
    <row r="157" spans="2:20" ht="15.75" customHeight="1" x14ac:dyDescent="0.2">
      <c r="B157" s="54"/>
      <c r="C157" s="180"/>
      <c r="D157" s="54"/>
      <c r="E157" s="54"/>
      <c r="F157" s="54"/>
      <c r="G157" s="54"/>
      <c r="H157" s="54"/>
      <c r="I157" s="54"/>
      <c r="J157" s="54"/>
      <c r="K157" s="180"/>
      <c r="L157" s="54"/>
      <c r="M157" s="54"/>
      <c r="N157" s="54"/>
      <c r="O157" s="54"/>
      <c r="P157" s="54"/>
      <c r="Q157" s="54"/>
      <c r="R157" s="54"/>
      <c r="S157" s="54"/>
      <c r="T157" s="54"/>
    </row>
    <row r="158" spans="2:20" ht="15.75" customHeight="1" x14ac:dyDescent="0.2">
      <c r="B158" s="54"/>
      <c r="C158" s="180"/>
      <c r="D158" s="54"/>
      <c r="E158" s="54"/>
      <c r="F158" s="54"/>
      <c r="G158" s="54"/>
      <c r="H158" s="54"/>
      <c r="I158" s="54"/>
      <c r="J158" s="54"/>
      <c r="K158" s="180"/>
      <c r="L158" s="54"/>
      <c r="M158" s="54"/>
      <c r="N158" s="54"/>
      <c r="O158" s="54"/>
      <c r="P158" s="54"/>
      <c r="Q158" s="54"/>
      <c r="R158" s="54"/>
      <c r="S158" s="54"/>
      <c r="T158" s="54"/>
    </row>
    <row r="159" spans="2:20" ht="15.75" customHeight="1" x14ac:dyDescent="0.2">
      <c r="B159" s="54"/>
      <c r="C159" s="180"/>
      <c r="D159" s="54"/>
      <c r="E159" s="54"/>
      <c r="F159" s="54"/>
      <c r="G159" s="54"/>
      <c r="H159" s="54"/>
      <c r="I159" s="54"/>
      <c r="J159" s="54"/>
      <c r="K159" s="180"/>
      <c r="L159" s="54"/>
      <c r="M159" s="54"/>
      <c r="N159" s="54"/>
      <c r="O159" s="54"/>
      <c r="P159" s="54"/>
      <c r="Q159" s="54"/>
      <c r="R159" s="54"/>
      <c r="S159" s="54"/>
      <c r="T159" s="54"/>
    </row>
    <row r="160" spans="2:20" ht="15.75" customHeight="1" x14ac:dyDescent="0.2">
      <c r="B160" s="54"/>
      <c r="C160" s="180"/>
      <c r="D160" s="54"/>
      <c r="E160" s="54"/>
      <c r="F160" s="54"/>
      <c r="G160" s="54"/>
      <c r="H160" s="54"/>
      <c r="I160" s="54"/>
      <c r="J160" s="54"/>
      <c r="K160" s="180"/>
      <c r="L160" s="54"/>
      <c r="M160" s="54"/>
      <c r="N160" s="54"/>
      <c r="O160" s="54"/>
      <c r="P160" s="54"/>
      <c r="Q160" s="54"/>
      <c r="R160" s="54"/>
      <c r="S160" s="54"/>
      <c r="T160" s="54"/>
    </row>
    <row r="161" spans="2:20" ht="15.75" customHeight="1" x14ac:dyDescent="0.2">
      <c r="B161" s="54"/>
      <c r="C161" s="180"/>
      <c r="D161" s="54"/>
      <c r="E161" s="54"/>
      <c r="F161" s="54"/>
      <c r="G161" s="54"/>
      <c r="H161" s="54"/>
      <c r="I161" s="54"/>
      <c r="J161" s="54"/>
      <c r="K161" s="180"/>
      <c r="L161" s="54"/>
      <c r="M161" s="54"/>
      <c r="N161" s="54"/>
      <c r="O161" s="54"/>
      <c r="P161" s="54"/>
      <c r="Q161" s="54"/>
      <c r="R161" s="54"/>
      <c r="S161" s="54"/>
      <c r="T161" s="54"/>
    </row>
    <row r="162" spans="2:20" ht="15.75" customHeight="1" x14ac:dyDescent="0.2">
      <c r="B162" s="54"/>
      <c r="C162" s="180"/>
      <c r="D162" s="54"/>
      <c r="E162" s="54"/>
      <c r="F162" s="54"/>
      <c r="G162" s="54"/>
      <c r="H162" s="54"/>
      <c r="I162" s="54"/>
      <c r="J162" s="54"/>
      <c r="K162" s="180"/>
      <c r="L162" s="54"/>
      <c r="M162" s="54"/>
      <c r="N162" s="54"/>
      <c r="O162" s="54"/>
      <c r="P162" s="54"/>
      <c r="Q162" s="54"/>
      <c r="R162" s="54"/>
      <c r="S162" s="54"/>
      <c r="T162" s="54"/>
    </row>
    <row r="163" spans="2:20" ht="15.75" customHeight="1" x14ac:dyDescent="0.2">
      <c r="B163" s="54"/>
      <c r="C163" s="180"/>
      <c r="D163" s="54"/>
      <c r="E163" s="54"/>
      <c r="F163" s="54"/>
      <c r="G163" s="54"/>
      <c r="H163" s="54"/>
      <c r="I163" s="54"/>
      <c r="J163" s="54"/>
      <c r="K163" s="180"/>
      <c r="L163" s="54"/>
      <c r="M163" s="54"/>
      <c r="N163" s="54"/>
      <c r="O163" s="54"/>
      <c r="P163" s="54"/>
      <c r="Q163" s="54"/>
      <c r="R163" s="54"/>
      <c r="S163" s="54"/>
      <c r="T163" s="54"/>
    </row>
    <row r="164" spans="2:20" ht="15.75" customHeight="1" x14ac:dyDescent="0.2">
      <c r="B164" s="54"/>
      <c r="C164" s="180"/>
      <c r="D164" s="54"/>
      <c r="E164" s="54"/>
      <c r="F164" s="54"/>
      <c r="G164" s="54"/>
      <c r="H164" s="54"/>
      <c r="I164" s="54"/>
      <c r="J164" s="54"/>
      <c r="K164" s="180"/>
      <c r="L164" s="54"/>
      <c r="M164" s="54"/>
      <c r="N164" s="54"/>
      <c r="O164" s="54"/>
      <c r="P164" s="54"/>
      <c r="Q164" s="54"/>
      <c r="R164" s="54"/>
      <c r="S164" s="54"/>
      <c r="T164" s="54"/>
    </row>
    <row r="165" spans="2:20" ht="15.75" customHeight="1" x14ac:dyDescent="0.2">
      <c r="B165" s="54"/>
      <c r="C165" s="180"/>
      <c r="D165" s="54"/>
      <c r="E165" s="54"/>
      <c r="F165" s="54"/>
      <c r="G165" s="54"/>
      <c r="H165" s="54"/>
      <c r="I165" s="54"/>
      <c r="J165" s="54"/>
      <c r="K165" s="180"/>
      <c r="L165" s="54"/>
      <c r="M165" s="54"/>
      <c r="N165" s="54"/>
      <c r="O165" s="54"/>
      <c r="P165" s="54"/>
      <c r="Q165" s="54"/>
      <c r="R165" s="54"/>
      <c r="S165" s="54"/>
      <c r="T165" s="54"/>
    </row>
    <row r="166" spans="2:20" ht="15.75" customHeight="1" x14ac:dyDescent="0.2">
      <c r="B166" s="54"/>
      <c r="C166" s="180"/>
      <c r="D166" s="54"/>
      <c r="E166" s="54"/>
      <c r="F166" s="54"/>
      <c r="G166" s="54"/>
      <c r="H166" s="54"/>
      <c r="I166" s="54"/>
      <c r="J166" s="54"/>
      <c r="K166" s="180"/>
      <c r="L166" s="54"/>
      <c r="M166" s="54"/>
      <c r="N166" s="54"/>
      <c r="O166" s="54"/>
      <c r="P166" s="54"/>
      <c r="Q166" s="54"/>
      <c r="R166" s="54"/>
      <c r="S166" s="54"/>
      <c r="T166" s="54"/>
    </row>
    <row r="167" spans="2:20" ht="15.75" customHeight="1" x14ac:dyDescent="0.2">
      <c r="B167" s="54"/>
      <c r="C167" s="180"/>
      <c r="D167" s="54"/>
      <c r="E167" s="54"/>
      <c r="F167" s="54"/>
      <c r="G167" s="54"/>
      <c r="H167" s="54"/>
      <c r="I167" s="54"/>
      <c r="J167" s="54"/>
      <c r="K167" s="180"/>
      <c r="L167" s="54"/>
      <c r="M167" s="54"/>
      <c r="N167" s="54"/>
      <c r="O167" s="54"/>
      <c r="P167" s="54"/>
      <c r="Q167" s="54"/>
      <c r="R167" s="54"/>
      <c r="S167" s="54"/>
      <c r="T167" s="54"/>
    </row>
    <row r="168" spans="2:20" ht="15.75" customHeight="1" x14ac:dyDescent="0.2">
      <c r="B168" s="54"/>
      <c r="C168" s="180"/>
      <c r="D168" s="54"/>
      <c r="E168" s="54"/>
      <c r="F168" s="54"/>
      <c r="G168" s="54"/>
      <c r="H168" s="54"/>
      <c r="I168" s="54"/>
      <c r="J168" s="54"/>
      <c r="K168" s="180"/>
      <c r="L168" s="54"/>
      <c r="M168" s="54"/>
      <c r="N168" s="54"/>
      <c r="O168" s="54"/>
      <c r="P168" s="54"/>
      <c r="Q168" s="54"/>
      <c r="R168" s="54"/>
      <c r="S168" s="54"/>
      <c r="T168" s="54"/>
    </row>
    <row r="169" spans="2:20" ht="15.75" customHeight="1" x14ac:dyDescent="0.2">
      <c r="B169" s="54"/>
      <c r="C169" s="180"/>
      <c r="D169" s="54"/>
      <c r="E169" s="54"/>
      <c r="F169" s="54"/>
      <c r="G169" s="54"/>
      <c r="H169" s="54"/>
      <c r="I169" s="54"/>
      <c r="J169" s="54"/>
      <c r="K169" s="180"/>
      <c r="L169" s="54"/>
      <c r="M169" s="54"/>
      <c r="N169" s="54"/>
      <c r="O169" s="54"/>
      <c r="P169" s="54"/>
      <c r="Q169" s="54"/>
      <c r="R169" s="54"/>
      <c r="S169" s="54"/>
      <c r="T169" s="54"/>
    </row>
    <row r="170" spans="2:20" ht="15.75" customHeight="1" x14ac:dyDescent="0.2">
      <c r="B170" s="54"/>
      <c r="C170" s="180"/>
      <c r="D170" s="54"/>
      <c r="E170" s="54"/>
      <c r="F170" s="54"/>
      <c r="G170" s="54"/>
      <c r="H170" s="54"/>
      <c r="I170" s="54"/>
      <c r="J170" s="54"/>
      <c r="K170" s="180"/>
      <c r="L170" s="54"/>
      <c r="M170" s="54"/>
      <c r="N170" s="54"/>
      <c r="O170" s="54"/>
      <c r="P170" s="54"/>
      <c r="Q170" s="54"/>
      <c r="R170" s="54"/>
      <c r="S170" s="54"/>
      <c r="T170" s="54"/>
    </row>
    <row r="171" spans="2:20" ht="15.75" customHeight="1" x14ac:dyDescent="0.2">
      <c r="B171" s="54"/>
      <c r="C171" s="180"/>
      <c r="D171" s="54"/>
      <c r="E171" s="54"/>
      <c r="F171" s="54"/>
      <c r="G171" s="54"/>
      <c r="H171" s="54"/>
      <c r="I171" s="54"/>
      <c r="J171" s="54"/>
      <c r="K171" s="180"/>
      <c r="L171" s="54"/>
      <c r="M171" s="54"/>
      <c r="N171" s="54"/>
      <c r="O171" s="54"/>
      <c r="P171" s="54"/>
      <c r="Q171" s="54"/>
      <c r="R171" s="54"/>
      <c r="S171" s="54"/>
      <c r="T171" s="54"/>
    </row>
    <row r="172" spans="2:20" ht="15.75" customHeight="1" x14ac:dyDescent="0.2">
      <c r="B172" s="54"/>
      <c r="C172" s="180"/>
      <c r="D172" s="54"/>
      <c r="E172" s="54"/>
      <c r="F172" s="54"/>
      <c r="G172" s="54"/>
      <c r="H172" s="54"/>
      <c r="I172" s="54"/>
      <c r="J172" s="54"/>
      <c r="K172" s="180"/>
      <c r="L172" s="54"/>
      <c r="M172" s="54"/>
      <c r="N172" s="54"/>
      <c r="O172" s="54"/>
      <c r="P172" s="54"/>
      <c r="Q172" s="54"/>
      <c r="R172" s="54"/>
      <c r="S172" s="54"/>
      <c r="T172" s="54"/>
    </row>
    <row r="173" spans="2:20" ht="15.75" customHeight="1" x14ac:dyDescent="0.2">
      <c r="B173" s="54"/>
      <c r="C173" s="180"/>
      <c r="D173" s="54"/>
      <c r="E173" s="54"/>
      <c r="F173" s="54"/>
      <c r="G173" s="54"/>
      <c r="H173" s="54"/>
      <c r="I173" s="54"/>
      <c r="J173" s="54"/>
      <c r="K173" s="180"/>
      <c r="L173" s="54"/>
      <c r="M173" s="54"/>
      <c r="N173" s="54"/>
      <c r="O173" s="54"/>
      <c r="P173" s="54"/>
      <c r="Q173" s="54"/>
      <c r="R173" s="54"/>
      <c r="S173" s="54"/>
      <c r="T173" s="54"/>
    </row>
    <row r="174" spans="2:20" ht="15.75" customHeight="1" x14ac:dyDescent="0.2">
      <c r="B174" s="54"/>
      <c r="C174" s="180"/>
      <c r="D174" s="54"/>
      <c r="E174" s="54"/>
      <c r="F174" s="54"/>
      <c r="G174" s="54"/>
      <c r="H174" s="54"/>
      <c r="I174" s="54"/>
      <c r="J174" s="54"/>
      <c r="K174" s="180"/>
      <c r="L174" s="54"/>
      <c r="M174" s="54"/>
      <c r="N174" s="54"/>
      <c r="O174" s="54"/>
      <c r="P174" s="54"/>
      <c r="Q174" s="54"/>
      <c r="R174" s="54"/>
      <c r="S174" s="54"/>
      <c r="T174" s="54"/>
    </row>
    <row r="175" spans="2:20" ht="15.75" customHeight="1" x14ac:dyDescent="0.2">
      <c r="B175" s="54"/>
      <c r="C175" s="180"/>
      <c r="D175" s="54"/>
      <c r="E175" s="54"/>
      <c r="F175" s="54"/>
      <c r="G175" s="54"/>
      <c r="H175" s="54"/>
      <c r="I175" s="54"/>
      <c r="J175" s="54"/>
      <c r="K175" s="180"/>
      <c r="L175" s="54"/>
      <c r="M175" s="54"/>
      <c r="N175" s="54"/>
      <c r="O175" s="54"/>
      <c r="P175" s="54"/>
      <c r="Q175" s="54"/>
      <c r="R175" s="54"/>
      <c r="S175" s="54"/>
      <c r="T175" s="54"/>
    </row>
    <row r="176" spans="2:20" ht="15.75" customHeight="1" x14ac:dyDescent="0.2">
      <c r="B176" s="54"/>
      <c r="C176" s="180"/>
      <c r="D176" s="54"/>
      <c r="E176" s="54"/>
      <c r="F176" s="54"/>
      <c r="G176" s="54"/>
      <c r="H176" s="54"/>
      <c r="I176" s="54"/>
      <c r="J176" s="54"/>
      <c r="K176" s="180"/>
      <c r="L176" s="54"/>
      <c r="M176" s="54"/>
      <c r="N176" s="54"/>
      <c r="O176" s="54"/>
      <c r="P176" s="54"/>
      <c r="Q176" s="54"/>
      <c r="R176" s="54"/>
      <c r="S176" s="54"/>
      <c r="T176" s="54"/>
    </row>
    <row r="177" spans="2:20" ht="15.75" customHeight="1" x14ac:dyDescent="0.2">
      <c r="B177" s="54"/>
      <c r="C177" s="180"/>
      <c r="D177" s="54"/>
      <c r="E177" s="54"/>
      <c r="F177" s="54"/>
      <c r="G177" s="54"/>
      <c r="H177" s="54"/>
      <c r="I177" s="54"/>
      <c r="J177" s="54"/>
      <c r="K177" s="180"/>
      <c r="L177" s="54"/>
      <c r="M177" s="54"/>
      <c r="N177" s="54"/>
      <c r="O177" s="54"/>
      <c r="P177" s="54"/>
      <c r="Q177" s="54"/>
      <c r="R177" s="54"/>
      <c r="S177" s="54"/>
      <c r="T177" s="54"/>
    </row>
    <row r="178" spans="2:20" ht="15.75" customHeight="1" x14ac:dyDescent="0.2">
      <c r="B178" s="54"/>
      <c r="C178" s="180"/>
      <c r="D178" s="54"/>
      <c r="E178" s="54"/>
      <c r="F178" s="54"/>
      <c r="G178" s="54"/>
      <c r="H178" s="54"/>
      <c r="I178" s="54"/>
      <c r="J178" s="54"/>
      <c r="K178" s="180"/>
      <c r="L178" s="54"/>
      <c r="M178" s="54"/>
      <c r="N178" s="54"/>
      <c r="O178" s="54"/>
      <c r="P178" s="54"/>
      <c r="Q178" s="54"/>
      <c r="R178" s="54"/>
      <c r="S178" s="54"/>
      <c r="T178" s="54"/>
    </row>
    <row r="179" spans="2:20" ht="15.75" customHeight="1" x14ac:dyDescent="0.2">
      <c r="B179" s="54"/>
      <c r="C179" s="180"/>
      <c r="D179" s="54"/>
      <c r="E179" s="54"/>
      <c r="F179" s="54"/>
      <c r="G179" s="54"/>
      <c r="H179" s="54"/>
      <c r="I179" s="54"/>
      <c r="J179" s="54"/>
      <c r="K179" s="180"/>
      <c r="L179" s="54"/>
      <c r="M179" s="54"/>
      <c r="N179" s="54"/>
      <c r="O179" s="54"/>
      <c r="P179" s="54"/>
      <c r="Q179" s="54"/>
      <c r="R179" s="54"/>
      <c r="S179" s="54"/>
      <c r="T179" s="54"/>
    </row>
    <row r="180" spans="2:20" ht="15.75" customHeight="1" x14ac:dyDescent="0.2">
      <c r="B180" s="54"/>
      <c r="C180" s="180"/>
      <c r="D180" s="54"/>
      <c r="E180" s="54"/>
      <c r="F180" s="54"/>
      <c r="G180" s="54"/>
      <c r="H180" s="54"/>
      <c r="I180" s="54"/>
      <c r="J180" s="54"/>
      <c r="K180" s="180"/>
      <c r="L180" s="54"/>
      <c r="M180" s="54"/>
      <c r="N180" s="54"/>
      <c r="O180" s="54"/>
      <c r="P180" s="54"/>
      <c r="Q180" s="54"/>
      <c r="R180" s="54"/>
      <c r="S180" s="54"/>
      <c r="T180" s="54"/>
    </row>
    <row r="181" spans="2:20" ht="15.75" customHeight="1" x14ac:dyDescent="0.2">
      <c r="B181" s="54"/>
      <c r="C181" s="180"/>
      <c r="D181" s="54"/>
      <c r="E181" s="54"/>
      <c r="F181" s="54"/>
      <c r="G181" s="54"/>
      <c r="H181" s="54"/>
      <c r="I181" s="54"/>
      <c r="J181" s="54"/>
      <c r="K181" s="180"/>
      <c r="L181" s="54"/>
      <c r="M181" s="54"/>
      <c r="N181" s="54"/>
      <c r="O181" s="54"/>
      <c r="P181" s="54"/>
      <c r="Q181" s="54"/>
      <c r="R181" s="54"/>
      <c r="S181" s="54"/>
      <c r="T181" s="54"/>
    </row>
    <row r="182" spans="2:20" ht="15.75" customHeight="1" x14ac:dyDescent="0.2">
      <c r="B182" s="54"/>
      <c r="C182" s="180"/>
      <c r="D182" s="54"/>
      <c r="E182" s="54"/>
      <c r="F182" s="54"/>
      <c r="G182" s="54"/>
      <c r="H182" s="54"/>
      <c r="I182" s="54"/>
      <c r="J182" s="54"/>
      <c r="K182" s="180"/>
      <c r="L182" s="54"/>
      <c r="M182" s="54"/>
      <c r="N182" s="54"/>
      <c r="O182" s="54"/>
      <c r="P182" s="54"/>
      <c r="Q182" s="54"/>
      <c r="R182" s="54"/>
      <c r="S182" s="54"/>
      <c r="T182" s="54"/>
    </row>
    <row r="183" spans="2:20" ht="15.75" customHeight="1" x14ac:dyDescent="0.2">
      <c r="B183" s="54"/>
      <c r="C183" s="180"/>
      <c r="D183" s="54"/>
      <c r="E183" s="54"/>
      <c r="F183" s="54"/>
      <c r="G183" s="54"/>
      <c r="H183" s="54"/>
      <c r="I183" s="54"/>
      <c r="J183" s="54"/>
      <c r="K183" s="180"/>
      <c r="L183" s="54"/>
      <c r="M183" s="54"/>
      <c r="N183" s="54"/>
      <c r="O183" s="54"/>
      <c r="P183" s="54"/>
      <c r="Q183" s="54"/>
      <c r="R183" s="54"/>
      <c r="S183" s="54"/>
      <c r="T183" s="54"/>
    </row>
    <row r="184" spans="2:20" ht="15.75" customHeight="1" x14ac:dyDescent="0.2">
      <c r="B184" s="54"/>
      <c r="C184" s="180"/>
      <c r="D184" s="54"/>
      <c r="E184" s="54"/>
      <c r="F184" s="54"/>
      <c r="G184" s="54"/>
      <c r="H184" s="54"/>
      <c r="I184" s="54"/>
      <c r="J184" s="54"/>
      <c r="K184" s="180"/>
      <c r="L184" s="54"/>
      <c r="M184" s="54"/>
      <c r="N184" s="54"/>
      <c r="O184" s="54"/>
      <c r="P184" s="54"/>
      <c r="Q184" s="54"/>
      <c r="R184" s="54"/>
      <c r="S184" s="54"/>
      <c r="T184" s="54"/>
    </row>
    <row r="185" spans="2:20" ht="15.75" customHeight="1" x14ac:dyDescent="0.2">
      <c r="B185" s="54"/>
      <c r="C185" s="180"/>
      <c r="D185" s="54"/>
      <c r="E185" s="54"/>
      <c r="F185" s="54"/>
      <c r="G185" s="54"/>
      <c r="H185" s="54"/>
      <c r="I185" s="54"/>
      <c r="J185" s="54"/>
      <c r="K185" s="180"/>
      <c r="L185" s="54"/>
      <c r="M185" s="54"/>
      <c r="N185" s="54"/>
      <c r="O185" s="54"/>
      <c r="P185" s="54"/>
      <c r="Q185" s="54"/>
      <c r="R185" s="54"/>
      <c r="S185" s="54"/>
      <c r="T185" s="54"/>
    </row>
    <row r="186" spans="2:20" ht="15.75" customHeight="1" x14ac:dyDescent="0.2">
      <c r="B186" s="54"/>
      <c r="C186" s="180"/>
      <c r="D186" s="54"/>
      <c r="E186" s="54"/>
      <c r="F186" s="54"/>
      <c r="G186" s="54"/>
      <c r="H186" s="54"/>
      <c r="I186" s="54"/>
      <c r="J186" s="54"/>
      <c r="K186" s="180"/>
      <c r="L186" s="54"/>
      <c r="M186" s="54"/>
      <c r="N186" s="54"/>
      <c r="O186" s="54"/>
      <c r="P186" s="54"/>
      <c r="Q186" s="54"/>
      <c r="R186" s="54"/>
      <c r="S186" s="54"/>
      <c r="T186" s="54"/>
    </row>
    <row r="187" spans="2:20" ht="15.75" customHeight="1" x14ac:dyDescent="0.2">
      <c r="B187" s="54"/>
      <c r="C187" s="180"/>
      <c r="D187" s="54"/>
      <c r="E187" s="54"/>
      <c r="F187" s="54"/>
      <c r="G187" s="54"/>
      <c r="H187" s="54"/>
      <c r="I187" s="54"/>
      <c r="J187" s="54"/>
      <c r="K187" s="180"/>
      <c r="L187" s="54"/>
      <c r="M187" s="54"/>
      <c r="N187" s="54"/>
      <c r="O187" s="54"/>
      <c r="P187" s="54"/>
      <c r="Q187" s="54"/>
      <c r="R187" s="54"/>
      <c r="S187" s="54"/>
      <c r="T187" s="54"/>
    </row>
    <row r="188" spans="2:20" ht="15.75" customHeight="1" x14ac:dyDescent="0.2">
      <c r="B188" s="54"/>
      <c r="C188" s="180"/>
      <c r="D188" s="54"/>
      <c r="E188" s="54"/>
      <c r="F188" s="54"/>
      <c r="G188" s="54"/>
      <c r="H188" s="54"/>
      <c r="I188" s="54"/>
      <c r="J188" s="54"/>
      <c r="K188" s="180"/>
      <c r="L188" s="54"/>
      <c r="M188" s="54"/>
      <c r="N188" s="54"/>
      <c r="O188" s="54"/>
      <c r="P188" s="54"/>
      <c r="Q188" s="54"/>
      <c r="R188" s="54"/>
      <c r="S188" s="54"/>
      <c r="T188" s="54"/>
    </row>
    <row r="189" spans="2:20" ht="15.75" customHeight="1" x14ac:dyDescent="0.2">
      <c r="B189" s="54"/>
      <c r="C189" s="180"/>
      <c r="D189" s="54"/>
      <c r="E189" s="54"/>
      <c r="F189" s="54"/>
      <c r="G189" s="54"/>
      <c r="H189" s="54"/>
      <c r="I189" s="54"/>
      <c r="J189" s="54"/>
      <c r="K189" s="180"/>
      <c r="L189" s="54"/>
      <c r="M189" s="54"/>
      <c r="N189" s="54"/>
      <c r="O189" s="54"/>
      <c r="P189" s="54"/>
      <c r="Q189" s="54"/>
      <c r="R189" s="54"/>
      <c r="S189" s="54"/>
      <c r="T189" s="54"/>
    </row>
    <row r="190" spans="2:20" ht="15.75" customHeight="1" x14ac:dyDescent="0.2">
      <c r="B190" s="54"/>
      <c r="C190" s="180"/>
      <c r="D190" s="54"/>
      <c r="E190" s="54"/>
      <c r="F190" s="54"/>
      <c r="G190" s="54"/>
      <c r="H190" s="54"/>
      <c r="I190" s="54"/>
      <c r="J190" s="54"/>
      <c r="K190" s="180"/>
      <c r="L190" s="54"/>
      <c r="M190" s="54"/>
      <c r="N190" s="54"/>
      <c r="O190" s="54"/>
      <c r="P190" s="54"/>
      <c r="Q190" s="54"/>
      <c r="R190" s="54"/>
      <c r="S190" s="54"/>
      <c r="T190" s="54"/>
    </row>
    <row r="191" spans="2:20" ht="15.75" customHeight="1" x14ac:dyDescent="0.2">
      <c r="B191" s="54"/>
      <c r="C191" s="180"/>
      <c r="D191" s="54"/>
      <c r="E191" s="54"/>
      <c r="F191" s="54"/>
      <c r="G191" s="54"/>
      <c r="H191" s="54"/>
      <c r="I191" s="54"/>
      <c r="J191" s="54"/>
      <c r="K191" s="180"/>
      <c r="L191" s="54"/>
      <c r="M191" s="54"/>
      <c r="N191" s="54"/>
      <c r="O191" s="54"/>
      <c r="P191" s="54"/>
      <c r="Q191" s="54"/>
      <c r="R191" s="54"/>
      <c r="S191" s="54"/>
      <c r="T191" s="54"/>
    </row>
    <row r="192" spans="2:20" ht="15.75" customHeight="1" x14ac:dyDescent="0.2">
      <c r="B192" s="54"/>
      <c r="C192" s="180"/>
      <c r="D192" s="54"/>
      <c r="E192" s="54"/>
      <c r="F192" s="54"/>
      <c r="G192" s="54"/>
      <c r="H192" s="54"/>
      <c r="I192" s="54"/>
      <c r="J192" s="54"/>
      <c r="K192" s="180"/>
      <c r="L192" s="54"/>
      <c r="M192" s="54"/>
      <c r="N192" s="54"/>
      <c r="O192" s="54"/>
      <c r="P192" s="54"/>
      <c r="Q192" s="54"/>
      <c r="R192" s="54"/>
      <c r="S192" s="54"/>
      <c r="T192" s="54"/>
    </row>
    <row r="193" spans="2:20" ht="15.75" customHeight="1" x14ac:dyDescent="0.2">
      <c r="B193" s="54"/>
      <c r="C193" s="180"/>
      <c r="D193" s="54"/>
      <c r="E193" s="54"/>
      <c r="F193" s="54"/>
      <c r="G193" s="54"/>
      <c r="H193" s="54"/>
      <c r="I193" s="54"/>
      <c r="J193" s="54"/>
      <c r="K193" s="180"/>
      <c r="L193" s="54"/>
      <c r="M193" s="54"/>
      <c r="N193" s="54"/>
      <c r="O193" s="54"/>
      <c r="P193" s="54"/>
      <c r="Q193" s="54"/>
      <c r="R193" s="54"/>
      <c r="S193" s="54"/>
      <c r="T193" s="54"/>
    </row>
    <row r="194" spans="2:20" ht="15.75" customHeight="1" x14ac:dyDescent="0.2">
      <c r="B194" s="54"/>
      <c r="C194" s="180"/>
      <c r="D194" s="54"/>
      <c r="E194" s="54"/>
      <c r="F194" s="54"/>
      <c r="G194" s="54"/>
      <c r="H194" s="54"/>
      <c r="I194" s="54"/>
      <c r="J194" s="54"/>
      <c r="K194" s="180"/>
      <c r="L194" s="54"/>
      <c r="M194" s="54"/>
      <c r="N194" s="54"/>
      <c r="O194" s="54"/>
      <c r="P194" s="54"/>
      <c r="Q194" s="54"/>
      <c r="R194" s="54"/>
      <c r="S194" s="54"/>
      <c r="T194" s="54"/>
    </row>
    <row r="195" spans="2:20" ht="15.75" customHeight="1" x14ac:dyDescent="0.2">
      <c r="B195" s="54"/>
      <c r="C195" s="180"/>
      <c r="D195" s="54"/>
      <c r="E195" s="54"/>
      <c r="F195" s="54"/>
      <c r="G195" s="54"/>
      <c r="H195" s="54"/>
      <c r="I195" s="54"/>
      <c r="J195" s="54"/>
      <c r="K195" s="180"/>
      <c r="L195" s="54"/>
      <c r="M195" s="54"/>
      <c r="N195" s="54"/>
      <c r="O195" s="54"/>
      <c r="P195" s="54"/>
      <c r="Q195" s="54"/>
      <c r="R195" s="54"/>
      <c r="S195" s="54"/>
      <c r="T195" s="54"/>
    </row>
    <row r="196" spans="2:20" ht="15.75" customHeight="1" x14ac:dyDescent="0.2">
      <c r="B196" s="54"/>
      <c r="C196" s="180"/>
      <c r="D196" s="54"/>
      <c r="E196" s="54"/>
      <c r="F196" s="54"/>
      <c r="G196" s="54"/>
      <c r="H196" s="54"/>
      <c r="I196" s="54"/>
      <c r="J196" s="54"/>
      <c r="K196" s="180"/>
      <c r="L196" s="54"/>
      <c r="M196" s="54"/>
      <c r="N196" s="54"/>
      <c r="O196" s="54"/>
      <c r="P196" s="54"/>
      <c r="Q196" s="54"/>
      <c r="R196" s="54"/>
      <c r="S196" s="54"/>
      <c r="T196" s="54"/>
    </row>
    <row r="197" spans="2:20" ht="15.75" customHeight="1" x14ac:dyDescent="0.2">
      <c r="B197" s="54"/>
      <c r="C197" s="180"/>
      <c r="D197" s="54"/>
      <c r="E197" s="54"/>
      <c r="F197" s="54"/>
      <c r="G197" s="54"/>
      <c r="H197" s="54"/>
      <c r="I197" s="54"/>
      <c r="J197" s="54"/>
      <c r="K197" s="180"/>
      <c r="L197" s="54"/>
      <c r="M197" s="54"/>
      <c r="N197" s="54"/>
      <c r="O197" s="54"/>
      <c r="P197" s="54"/>
      <c r="Q197" s="54"/>
      <c r="R197" s="54"/>
      <c r="S197" s="54"/>
      <c r="T197" s="54"/>
    </row>
    <row r="198" spans="2:20" ht="15.75" customHeight="1" x14ac:dyDescent="0.2">
      <c r="B198" s="54"/>
      <c r="C198" s="180"/>
      <c r="D198" s="54"/>
      <c r="E198" s="54"/>
      <c r="F198" s="54"/>
      <c r="G198" s="54"/>
      <c r="H198" s="54"/>
      <c r="I198" s="54"/>
      <c r="J198" s="54"/>
      <c r="K198" s="180"/>
      <c r="L198" s="54"/>
      <c r="M198" s="54"/>
      <c r="N198" s="54"/>
      <c r="O198" s="54"/>
      <c r="P198" s="54"/>
      <c r="Q198" s="54"/>
      <c r="R198" s="54"/>
      <c r="S198" s="54"/>
      <c r="T198" s="54"/>
    </row>
    <row r="199" spans="2:20" ht="15.75" customHeight="1" x14ac:dyDescent="0.2">
      <c r="B199" s="54"/>
      <c r="C199" s="180"/>
      <c r="D199" s="54"/>
      <c r="E199" s="54"/>
      <c r="F199" s="54"/>
      <c r="G199" s="54"/>
      <c r="H199" s="54"/>
      <c r="I199" s="54"/>
      <c r="J199" s="54"/>
      <c r="K199" s="180"/>
      <c r="L199" s="54"/>
      <c r="M199" s="54"/>
      <c r="N199" s="54"/>
      <c r="O199" s="54"/>
      <c r="P199" s="54"/>
      <c r="Q199" s="54"/>
      <c r="R199" s="54"/>
      <c r="S199" s="54"/>
      <c r="T199" s="54"/>
    </row>
    <row r="200" spans="2:20" ht="15.75" customHeight="1" x14ac:dyDescent="0.2">
      <c r="B200" s="54"/>
      <c r="C200" s="180"/>
      <c r="D200" s="54"/>
      <c r="E200" s="54"/>
      <c r="F200" s="54"/>
      <c r="G200" s="54"/>
      <c r="H200" s="54"/>
      <c r="I200" s="54"/>
      <c r="J200" s="54"/>
      <c r="K200" s="180"/>
      <c r="L200" s="54"/>
      <c r="M200" s="54"/>
      <c r="N200" s="54"/>
      <c r="O200" s="54"/>
      <c r="P200" s="54"/>
      <c r="Q200" s="54"/>
      <c r="R200" s="54"/>
      <c r="S200" s="54"/>
      <c r="T200" s="54"/>
    </row>
    <row r="201" spans="2:20" ht="15.75" customHeight="1" x14ac:dyDescent="0.2">
      <c r="B201" s="54"/>
      <c r="C201" s="180"/>
      <c r="D201" s="54"/>
      <c r="E201" s="54"/>
      <c r="F201" s="54"/>
      <c r="G201" s="54"/>
      <c r="H201" s="54"/>
      <c r="I201" s="54"/>
      <c r="J201" s="54"/>
      <c r="K201" s="180"/>
      <c r="L201" s="54"/>
      <c r="M201" s="54"/>
      <c r="N201" s="54"/>
      <c r="O201" s="54"/>
      <c r="P201" s="54"/>
      <c r="Q201" s="54"/>
      <c r="R201" s="54"/>
      <c r="S201" s="54"/>
      <c r="T201" s="54"/>
    </row>
    <row r="202" spans="2:20" ht="15.75" customHeight="1" x14ac:dyDescent="0.2">
      <c r="B202" s="54"/>
      <c r="C202" s="180"/>
      <c r="D202" s="54"/>
      <c r="E202" s="54"/>
      <c r="F202" s="54"/>
      <c r="G202" s="54"/>
      <c r="H202" s="54"/>
      <c r="I202" s="54"/>
      <c r="J202" s="54"/>
      <c r="K202" s="180"/>
      <c r="L202" s="54"/>
      <c r="M202" s="54"/>
      <c r="N202" s="54"/>
      <c r="O202" s="54"/>
      <c r="P202" s="54"/>
      <c r="Q202" s="54"/>
      <c r="R202" s="54"/>
      <c r="S202" s="54"/>
      <c r="T202" s="54"/>
    </row>
    <row r="203" spans="2:20" ht="15.75" customHeight="1" x14ac:dyDescent="0.2">
      <c r="B203" s="54"/>
      <c r="C203" s="180"/>
      <c r="D203" s="54"/>
      <c r="E203" s="54"/>
      <c r="F203" s="54"/>
      <c r="G203" s="54"/>
      <c r="H203" s="54"/>
      <c r="I203" s="54"/>
      <c r="J203" s="54"/>
      <c r="K203" s="180"/>
      <c r="L203" s="54"/>
      <c r="M203" s="54"/>
      <c r="N203" s="54"/>
      <c r="O203" s="54"/>
      <c r="P203" s="54"/>
      <c r="Q203" s="54"/>
      <c r="R203" s="54"/>
      <c r="S203" s="54"/>
      <c r="T203" s="54"/>
    </row>
    <row r="204" spans="2:20" ht="15.75" customHeight="1" x14ac:dyDescent="0.2">
      <c r="B204" s="54"/>
      <c r="C204" s="180"/>
      <c r="D204" s="54"/>
      <c r="E204" s="54"/>
      <c r="F204" s="54"/>
      <c r="G204" s="54"/>
      <c r="H204" s="54"/>
      <c r="I204" s="54"/>
      <c r="J204" s="54"/>
      <c r="K204" s="180"/>
      <c r="L204" s="54"/>
      <c r="M204" s="54"/>
      <c r="N204" s="54"/>
      <c r="O204" s="54"/>
      <c r="P204" s="54"/>
      <c r="Q204" s="54"/>
      <c r="R204" s="54"/>
      <c r="S204" s="54"/>
      <c r="T204" s="54"/>
    </row>
    <row r="205" spans="2:20" ht="15.75" customHeight="1" x14ac:dyDescent="0.2">
      <c r="B205" s="54"/>
      <c r="C205" s="180"/>
      <c r="D205" s="54"/>
      <c r="E205" s="54"/>
      <c r="F205" s="54"/>
      <c r="G205" s="54"/>
      <c r="H205" s="54"/>
      <c r="I205" s="54"/>
      <c r="J205" s="54"/>
      <c r="K205" s="180"/>
      <c r="L205" s="54"/>
      <c r="M205" s="54"/>
      <c r="N205" s="54"/>
      <c r="O205" s="54"/>
      <c r="P205" s="54"/>
      <c r="Q205" s="54"/>
      <c r="R205" s="54"/>
      <c r="S205" s="54"/>
      <c r="T205" s="54"/>
    </row>
    <row r="206" spans="2:20" ht="15.75" customHeight="1" x14ac:dyDescent="0.2">
      <c r="B206" s="54"/>
      <c r="C206" s="180"/>
      <c r="D206" s="54"/>
      <c r="E206" s="54"/>
      <c r="F206" s="54"/>
      <c r="G206" s="54"/>
      <c r="H206" s="54"/>
      <c r="I206" s="54"/>
      <c r="J206" s="54"/>
      <c r="K206" s="180"/>
      <c r="L206" s="54"/>
      <c r="M206" s="54"/>
      <c r="N206" s="54"/>
      <c r="O206" s="54"/>
      <c r="P206" s="54"/>
      <c r="Q206" s="54"/>
      <c r="R206" s="54"/>
      <c r="S206" s="54"/>
      <c r="T206" s="54"/>
    </row>
    <row r="207" spans="2:20" ht="15.75" customHeight="1" x14ac:dyDescent="0.2">
      <c r="B207" s="54"/>
      <c r="C207" s="180"/>
      <c r="D207" s="54"/>
      <c r="E207" s="54"/>
      <c r="F207" s="54"/>
      <c r="G207" s="54"/>
      <c r="H207" s="54"/>
      <c r="I207" s="54"/>
      <c r="J207" s="54"/>
      <c r="K207" s="180"/>
      <c r="L207" s="54"/>
      <c r="M207" s="54"/>
      <c r="N207" s="54"/>
      <c r="O207" s="54"/>
      <c r="P207" s="54"/>
      <c r="Q207" s="54"/>
      <c r="R207" s="54"/>
      <c r="S207" s="54"/>
      <c r="T207" s="54"/>
    </row>
    <row r="208" spans="2:20" ht="15.75" customHeight="1" x14ac:dyDescent="0.2">
      <c r="B208" s="54"/>
      <c r="C208" s="180"/>
      <c r="D208" s="54"/>
      <c r="E208" s="54"/>
      <c r="F208" s="54"/>
      <c r="G208" s="54"/>
      <c r="H208" s="54"/>
      <c r="I208" s="54"/>
      <c r="J208" s="54"/>
      <c r="K208" s="180"/>
      <c r="L208" s="54"/>
      <c r="M208" s="54"/>
      <c r="N208" s="54"/>
      <c r="O208" s="54"/>
      <c r="P208" s="54"/>
      <c r="Q208" s="54"/>
      <c r="R208" s="54"/>
      <c r="S208" s="54"/>
      <c r="T208" s="54"/>
    </row>
    <row r="209" spans="2:20" ht="15.75" customHeight="1" x14ac:dyDescent="0.2">
      <c r="B209" s="54"/>
      <c r="C209" s="180"/>
      <c r="D209" s="54"/>
      <c r="E209" s="54"/>
      <c r="F209" s="54"/>
      <c r="G209" s="54"/>
      <c r="H209" s="54"/>
      <c r="I209" s="54"/>
      <c r="J209" s="54"/>
      <c r="K209" s="180"/>
      <c r="L209" s="54"/>
      <c r="M209" s="54"/>
      <c r="N209" s="54"/>
      <c r="O209" s="54"/>
      <c r="P209" s="54"/>
      <c r="Q209" s="54"/>
      <c r="R209" s="54"/>
      <c r="S209" s="54"/>
      <c r="T209" s="54"/>
    </row>
    <row r="210" spans="2:20" ht="15.75" customHeight="1" x14ac:dyDescent="0.2">
      <c r="B210" s="54"/>
      <c r="C210" s="180"/>
      <c r="D210" s="54"/>
      <c r="E210" s="54"/>
      <c r="F210" s="54"/>
      <c r="G210" s="54"/>
      <c r="H210" s="54"/>
      <c r="I210" s="54"/>
      <c r="J210" s="54"/>
      <c r="K210" s="180"/>
      <c r="L210" s="54"/>
      <c r="M210" s="54"/>
      <c r="N210" s="54"/>
      <c r="O210" s="54"/>
      <c r="P210" s="54"/>
      <c r="Q210" s="54"/>
      <c r="R210" s="54"/>
      <c r="S210" s="54"/>
      <c r="T210" s="54"/>
    </row>
    <row r="211" spans="2:20" ht="15.75" customHeight="1" x14ac:dyDescent="0.2">
      <c r="B211" s="54"/>
      <c r="C211" s="180"/>
      <c r="D211" s="54"/>
      <c r="E211" s="54"/>
      <c r="F211" s="54"/>
      <c r="G211" s="54"/>
      <c r="H211" s="54"/>
      <c r="I211" s="54"/>
      <c r="J211" s="54"/>
      <c r="K211" s="180"/>
      <c r="L211" s="54"/>
      <c r="M211" s="54"/>
      <c r="N211" s="54"/>
      <c r="O211" s="54"/>
      <c r="P211" s="54"/>
      <c r="Q211" s="54"/>
      <c r="R211" s="54"/>
      <c r="S211" s="54"/>
      <c r="T211" s="54"/>
    </row>
    <row r="212" spans="2:20" ht="15.75" customHeight="1" x14ac:dyDescent="0.2">
      <c r="B212" s="54"/>
      <c r="C212" s="180"/>
      <c r="D212" s="54"/>
      <c r="E212" s="54"/>
      <c r="F212" s="54"/>
      <c r="G212" s="54"/>
      <c r="H212" s="54"/>
      <c r="I212" s="54"/>
      <c r="J212" s="54"/>
      <c r="K212" s="180"/>
      <c r="L212" s="54"/>
      <c r="M212" s="54"/>
      <c r="N212" s="54"/>
      <c r="O212" s="54"/>
      <c r="P212" s="54"/>
      <c r="Q212" s="54"/>
      <c r="R212" s="54"/>
      <c r="S212" s="54"/>
      <c r="T212" s="54"/>
    </row>
    <row r="213" spans="2:20" ht="15.75" customHeight="1" x14ac:dyDescent="0.2">
      <c r="B213" s="54"/>
      <c r="C213" s="180"/>
      <c r="D213" s="54"/>
      <c r="E213" s="54"/>
      <c r="F213" s="54"/>
      <c r="G213" s="54"/>
      <c r="H213" s="54"/>
      <c r="I213" s="54"/>
      <c r="J213" s="54"/>
      <c r="K213" s="180"/>
      <c r="L213" s="54"/>
      <c r="M213" s="54"/>
      <c r="N213" s="54"/>
      <c r="O213" s="54"/>
      <c r="P213" s="54"/>
      <c r="Q213" s="54"/>
      <c r="R213" s="54"/>
      <c r="S213" s="54"/>
      <c r="T213" s="54"/>
    </row>
    <row r="214" spans="2:20" ht="15.75" customHeight="1" x14ac:dyDescent="0.2">
      <c r="B214" s="54"/>
      <c r="C214" s="180"/>
      <c r="D214" s="54"/>
      <c r="E214" s="54"/>
      <c r="F214" s="54"/>
      <c r="G214" s="54"/>
      <c r="H214" s="54"/>
      <c r="I214" s="54"/>
      <c r="J214" s="54"/>
      <c r="K214" s="180"/>
      <c r="L214" s="54"/>
      <c r="M214" s="54"/>
      <c r="N214" s="54"/>
      <c r="O214" s="54"/>
      <c r="P214" s="54"/>
      <c r="Q214" s="54"/>
      <c r="R214" s="54"/>
      <c r="S214" s="54"/>
      <c r="T214" s="54"/>
    </row>
    <row r="215" spans="2:20" ht="15.75" customHeight="1" x14ac:dyDescent="0.2">
      <c r="B215" s="54"/>
      <c r="C215" s="180"/>
      <c r="D215" s="54"/>
      <c r="E215" s="54"/>
      <c r="F215" s="54"/>
      <c r="G215" s="54"/>
      <c r="H215" s="54"/>
      <c r="I215" s="54"/>
      <c r="J215" s="54"/>
      <c r="K215" s="180"/>
      <c r="L215" s="54"/>
      <c r="M215" s="54"/>
      <c r="N215" s="54"/>
      <c r="O215" s="54"/>
      <c r="P215" s="54"/>
      <c r="Q215" s="54"/>
      <c r="R215" s="54"/>
      <c r="S215" s="54"/>
      <c r="T215" s="54"/>
    </row>
    <row r="216" spans="2:20" ht="15.75" customHeight="1" x14ac:dyDescent="0.2">
      <c r="B216" s="54"/>
      <c r="C216" s="180"/>
      <c r="D216" s="54"/>
      <c r="E216" s="54"/>
      <c r="F216" s="54"/>
      <c r="G216" s="54"/>
      <c r="H216" s="54"/>
      <c r="I216" s="54"/>
      <c r="J216" s="54"/>
      <c r="K216" s="180"/>
      <c r="L216" s="54"/>
      <c r="M216" s="54"/>
      <c r="N216" s="54"/>
      <c r="O216" s="54"/>
      <c r="P216" s="54"/>
      <c r="Q216" s="54"/>
      <c r="R216" s="54"/>
      <c r="S216" s="54"/>
      <c r="T216" s="54"/>
    </row>
    <row r="217" spans="2:20" ht="15.75" customHeight="1" x14ac:dyDescent="0.2">
      <c r="B217" s="54"/>
      <c r="C217" s="180"/>
      <c r="D217" s="54"/>
      <c r="E217" s="54"/>
      <c r="F217" s="54"/>
      <c r="G217" s="54"/>
      <c r="H217" s="54"/>
      <c r="I217" s="54"/>
      <c r="J217" s="54"/>
      <c r="K217" s="180"/>
      <c r="L217" s="54"/>
      <c r="M217" s="54"/>
      <c r="N217" s="54"/>
      <c r="O217" s="54"/>
      <c r="P217" s="54"/>
      <c r="Q217" s="54"/>
      <c r="R217" s="54"/>
      <c r="S217" s="54"/>
      <c r="T217" s="54"/>
    </row>
    <row r="218" spans="2:20" ht="15.75" customHeight="1" x14ac:dyDescent="0.2">
      <c r="B218" s="54"/>
      <c r="C218" s="180"/>
      <c r="D218" s="54"/>
      <c r="E218" s="54"/>
      <c r="F218" s="54"/>
      <c r="G218" s="54"/>
      <c r="H218" s="54"/>
      <c r="I218" s="54"/>
      <c r="J218" s="54"/>
      <c r="K218" s="180"/>
      <c r="L218" s="54"/>
      <c r="M218" s="54"/>
      <c r="N218" s="54"/>
      <c r="O218" s="54"/>
      <c r="P218" s="54"/>
      <c r="Q218" s="54"/>
      <c r="R218" s="54"/>
      <c r="S218" s="54"/>
      <c r="T218" s="54"/>
    </row>
    <row r="219" spans="2:20" ht="15.75" customHeight="1" x14ac:dyDescent="0.2">
      <c r="B219" s="54"/>
      <c r="C219" s="180"/>
      <c r="D219" s="54"/>
      <c r="E219" s="54"/>
      <c r="F219" s="54"/>
      <c r="G219" s="54"/>
      <c r="H219" s="54"/>
      <c r="I219" s="54"/>
      <c r="J219" s="54"/>
      <c r="K219" s="180"/>
      <c r="L219" s="54"/>
      <c r="M219" s="54"/>
      <c r="N219" s="54"/>
      <c r="O219" s="54"/>
      <c r="P219" s="54"/>
      <c r="Q219" s="54"/>
      <c r="R219" s="54"/>
      <c r="S219" s="54"/>
      <c r="T219" s="54"/>
    </row>
    <row r="220" spans="2:20" ht="15.75" customHeight="1" x14ac:dyDescent="0.2">
      <c r="B220" s="54"/>
      <c r="C220" s="180"/>
      <c r="D220" s="54"/>
      <c r="E220" s="54"/>
      <c r="F220" s="54"/>
      <c r="G220" s="54"/>
      <c r="H220" s="54"/>
      <c r="I220" s="54"/>
      <c r="J220" s="54"/>
      <c r="K220" s="180"/>
      <c r="L220" s="54"/>
      <c r="M220" s="54"/>
      <c r="N220" s="54"/>
      <c r="O220" s="54"/>
      <c r="P220" s="54"/>
      <c r="Q220" s="54"/>
      <c r="R220" s="54"/>
      <c r="S220" s="54"/>
      <c r="T220" s="54"/>
    </row>
    <row r="221" spans="2:20" ht="15.75" customHeight="1" x14ac:dyDescent="0.2">
      <c r="B221" s="54"/>
      <c r="C221" s="180"/>
      <c r="D221" s="54"/>
      <c r="E221" s="54"/>
      <c r="F221" s="54"/>
      <c r="G221" s="54"/>
      <c r="H221" s="54"/>
      <c r="I221" s="54"/>
      <c r="J221" s="54"/>
      <c r="K221" s="180"/>
      <c r="L221" s="54"/>
      <c r="M221" s="54"/>
      <c r="N221" s="54"/>
      <c r="O221" s="54"/>
      <c r="P221" s="54"/>
      <c r="Q221" s="54"/>
      <c r="R221" s="54"/>
      <c r="S221" s="54"/>
      <c r="T221" s="54"/>
    </row>
    <row r="222" spans="2:20" ht="15.75" customHeight="1" x14ac:dyDescent="0.2">
      <c r="B222" s="54"/>
      <c r="C222" s="180"/>
      <c r="D222" s="54"/>
      <c r="E222" s="54"/>
      <c r="F222" s="54"/>
      <c r="G222" s="54"/>
      <c r="H222" s="54"/>
      <c r="I222" s="54"/>
      <c r="J222" s="54"/>
      <c r="K222" s="180"/>
      <c r="L222" s="54"/>
      <c r="M222" s="54"/>
      <c r="N222" s="54"/>
      <c r="O222" s="54"/>
      <c r="P222" s="54"/>
      <c r="Q222" s="54"/>
      <c r="R222" s="54"/>
      <c r="S222" s="54"/>
      <c r="T222" s="54"/>
    </row>
    <row r="223" spans="2:20" ht="15.75" customHeight="1" x14ac:dyDescent="0.2">
      <c r="B223" s="54"/>
      <c r="C223" s="180"/>
      <c r="D223" s="54"/>
      <c r="E223" s="54"/>
      <c r="F223" s="54"/>
      <c r="G223" s="54"/>
      <c r="H223" s="54"/>
      <c r="I223" s="54"/>
      <c r="J223" s="54"/>
      <c r="K223" s="180"/>
      <c r="L223" s="54"/>
      <c r="M223" s="54"/>
      <c r="N223" s="54"/>
      <c r="O223" s="54"/>
      <c r="P223" s="54"/>
      <c r="Q223" s="54"/>
      <c r="R223" s="54"/>
      <c r="S223" s="54"/>
      <c r="T223" s="54"/>
    </row>
    <row r="224" spans="2:20" ht="15.75" customHeight="1" x14ac:dyDescent="0.2">
      <c r="B224" s="54"/>
      <c r="C224" s="180"/>
      <c r="D224" s="54"/>
      <c r="E224" s="54"/>
      <c r="F224" s="54"/>
      <c r="G224" s="54"/>
      <c r="H224" s="54"/>
      <c r="I224" s="54"/>
      <c r="J224" s="54"/>
      <c r="K224" s="180"/>
      <c r="L224" s="54"/>
      <c r="M224" s="54"/>
      <c r="N224" s="54"/>
      <c r="O224" s="54"/>
      <c r="P224" s="54"/>
      <c r="Q224" s="54"/>
      <c r="R224" s="54"/>
      <c r="S224" s="54"/>
      <c r="T224" s="54"/>
    </row>
    <row r="225" spans="2:20" ht="15.75" customHeight="1" x14ac:dyDescent="0.2">
      <c r="B225" s="54"/>
      <c r="C225" s="180"/>
      <c r="D225" s="54"/>
      <c r="E225" s="54"/>
      <c r="F225" s="54"/>
      <c r="G225" s="54"/>
      <c r="H225" s="54"/>
      <c r="I225" s="54"/>
      <c r="J225" s="54"/>
      <c r="K225" s="180"/>
      <c r="L225" s="54"/>
      <c r="M225" s="54"/>
      <c r="N225" s="54"/>
      <c r="O225" s="54"/>
      <c r="P225" s="54"/>
      <c r="Q225" s="54"/>
      <c r="R225" s="54"/>
      <c r="S225" s="54"/>
      <c r="T225" s="54"/>
    </row>
    <row r="226" spans="2:20" ht="15.75" customHeight="1" x14ac:dyDescent="0.2">
      <c r="B226" s="54"/>
      <c r="C226" s="180"/>
      <c r="D226" s="54"/>
      <c r="E226" s="54"/>
      <c r="F226" s="54"/>
      <c r="G226" s="54"/>
      <c r="H226" s="54"/>
      <c r="I226" s="54"/>
      <c r="J226" s="54"/>
      <c r="K226" s="180"/>
      <c r="L226" s="54"/>
      <c r="M226" s="54"/>
      <c r="N226" s="54"/>
      <c r="O226" s="54"/>
      <c r="P226" s="54"/>
      <c r="Q226" s="54"/>
      <c r="R226" s="54"/>
      <c r="S226" s="54"/>
      <c r="T226" s="54"/>
    </row>
    <row r="227" spans="2:20" ht="15.75" customHeight="1" x14ac:dyDescent="0.2">
      <c r="B227" s="54"/>
      <c r="C227" s="180"/>
      <c r="D227" s="54"/>
      <c r="E227" s="54"/>
      <c r="F227" s="54"/>
      <c r="G227" s="54"/>
      <c r="H227" s="54"/>
      <c r="I227" s="54"/>
      <c r="J227" s="54"/>
      <c r="K227" s="180"/>
      <c r="L227" s="54"/>
      <c r="M227" s="54"/>
      <c r="N227" s="54"/>
      <c r="O227" s="54"/>
      <c r="P227" s="54"/>
      <c r="Q227" s="54"/>
      <c r="R227" s="54"/>
      <c r="S227" s="54"/>
      <c r="T227" s="54"/>
    </row>
    <row r="228" spans="2:20" ht="15.75" customHeight="1" x14ac:dyDescent="0.2">
      <c r="B228" s="54"/>
      <c r="C228" s="180"/>
      <c r="D228" s="54"/>
      <c r="E228" s="54"/>
      <c r="F228" s="54"/>
      <c r="G228" s="54"/>
      <c r="H228" s="54"/>
      <c r="I228" s="54"/>
      <c r="J228" s="54"/>
      <c r="K228" s="180"/>
      <c r="L228" s="54"/>
      <c r="M228" s="54"/>
      <c r="N228" s="54"/>
      <c r="O228" s="54"/>
      <c r="P228" s="54"/>
      <c r="Q228" s="54"/>
      <c r="R228" s="54"/>
      <c r="S228" s="54"/>
      <c r="T228" s="54"/>
    </row>
    <row r="229" spans="2:20" ht="15.75" customHeight="1" x14ac:dyDescent="0.2">
      <c r="B229" s="54"/>
      <c r="C229" s="180"/>
      <c r="D229" s="54"/>
      <c r="E229" s="54"/>
      <c r="F229" s="54"/>
      <c r="G229" s="54"/>
      <c r="H229" s="54"/>
      <c r="I229" s="54"/>
      <c r="J229" s="54"/>
      <c r="K229" s="180"/>
      <c r="L229" s="54"/>
      <c r="M229" s="54"/>
      <c r="N229" s="54"/>
      <c r="O229" s="54"/>
      <c r="P229" s="54"/>
      <c r="Q229" s="54"/>
      <c r="R229" s="54"/>
      <c r="S229" s="54"/>
      <c r="T229" s="54"/>
    </row>
    <row r="230" spans="2:20" ht="15.75" customHeight="1" x14ac:dyDescent="0.2">
      <c r="B230" s="54"/>
      <c r="C230" s="180"/>
      <c r="D230" s="54"/>
      <c r="E230" s="54"/>
      <c r="F230" s="54"/>
      <c r="G230" s="54"/>
      <c r="H230" s="54"/>
      <c r="I230" s="54"/>
      <c r="J230" s="54"/>
      <c r="K230" s="180"/>
      <c r="L230" s="54"/>
      <c r="M230" s="54"/>
      <c r="N230" s="54"/>
      <c r="O230" s="54"/>
      <c r="P230" s="54"/>
      <c r="Q230" s="54"/>
      <c r="R230" s="54"/>
      <c r="S230" s="54"/>
      <c r="T230" s="54"/>
    </row>
    <row r="231" spans="2:20" ht="15.75" customHeight="1" x14ac:dyDescent="0.2">
      <c r="B231" s="54"/>
      <c r="C231" s="180"/>
      <c r="D231" s="54"/>
      <c r="E231" s="54"/>
      <c r="F231" s="54"/>
      <c r="G231" s="54"/>
      <c r="H231" s="54"/>
      <c r="I231" s="54"/>
      <c r="J231" s="54"/>
      <c r="K231" s="180"/>
      <c r="L231" s="54"/>
      <c r="M231" s="54"/>
      <c r="N231" s="54"/>
      <c r="O231" s="54"/>
      <c r="P231" s="54"/>
      <c r="Q231" s="54"/>
      <c r="R231" s="54"/>
      <c r="S231" s="54"/>
      <c r="T231" s="54"/>
    </row>
    <row r="232" spans="2:20" ht="15.75" customHeight="1" x14ac:dyDescent="0.2">
      <c r="B232" s="54"/>
      <c r="C232" s="180"/>
      <c r="D232" s="54"/>
      <c r="E232" s="54"/>
      <c r="F232" s="54"/>
      <c r="G232" s="54"/>
      <c r="H232" s="54"/>
      <c r="I232" s="54"/>
      <c r="J232" s="54"/>
      <c r="K232" s="180"/>
      <c r="L232" s="54"/>
      <c r="M232" s="54"/>
      <c r="N232" s="54"/>
      <c r="O232" s="54"/>
      <c r="P232" s="54"/>
      <c r="Q232" s="54"/>
      <c r="R232" s="54"/>
      <c r="S232" s="54"/>
      <c r="T232" s="54"/>
    </row>
    <row r="233" spans="2:20" ht="15.75" customHeight="1" x14ac:dyDescent="0.2">
      <c r="B233" s="54"/>
      <c r="C233" s="180"/>
      <c r="D233" s="54"/>
      <c r="E233" s="54"/>
      <c r="F233" s="54"/>
      <c r="G233" s="54"/>
      <c r="H233" s="54"/>
      <c r="I233" s="54"/>
      <c r="J233" s="54"/>
      <c r="K233" s="180"/>
      <c r="L233" s="54"/>
      <c r="M233" s="54"/>
      <c r="N233" s="54"/>
      <c r="O233" s="54"/>
      <c r="P233" s="54"/>
      <c r="Q233" s="54"/>
      <c r="R233" s="54"/>
      <c r="S233" s="54"/>
      <c r="T233" s="54"/>
    </row>
    <row r="234" spans="2:20" ht="15.75" customHeight="1" x14ac:dyDescent="0.2">
      <c r="B234" s="54"/>
      <c r="C234" s="180"/>
      <c r="D234" s="54"/>
      <c r="E234" s="54"/>
      <c r="F234" s="54"/>
      <c r="G234" s="54"/>
      <c r="H234" s="54"/>
      <c r="I234" s="54"/>
      <c r="J234" s="54"/>
      <c r="K234" s="180"/>
      <c r="L234" s="54"/>
      <c r="M234" s="54"/>
      <c r="N234" s="54"/>
      <c r="O234" s="54"/>
      <c r="P234" s="54"/>
      <c r="Q234" s="54"/>
      <c r="R234" s="54"/>
      <c r="S234" s="54"/>
      <c r="T234" s="54"/>
    </row>
    <row r="235" spans="2:20" ht="15.75" customHeight="1" x14ac:dyDescent="0.2">
      <c r="B235" s="54"/>
      <c r="C235" s="180"/>
      <c r="D235" s="54"/>
      <c r="E235" s="54"/>
      <c r="F235" s="54"/>
      <c r="G235" s="54"/>
      <c r="H235" s="54"/>
      <c r="I235" s="54"/>
      <c r="J235" s="54"/>
      <c r="K235" s="180"/>
      <c r="L235" s="54"/>
      <c r="M235" s="54"/>
      <c r="N235" s="54"/>
      <c r="O235" s="54"/>
      <c r="P235" s="54"/>
      <c r="Q235" s="54"/>
      <c r="R235" s="54"/>
      <c r="S235" s="54"/>
      <c r="T235" s="54"/>
    </row>
    <row r="236" spans="2:20" ht="15.75" customHeight="1" x14ac:dyDescent="0.2">
      <c r="B236" s="54"/>
      <c r="C236" s="180"/>
      <c r="D236" s="54"/>
      <c r="E236" s="54"/>
      <c r="F236" s="54"/>
      <c r="G236" s="54"/>
      <c r="H236" s="54"/>
      <c r="I236" s="54"/>
      <c r="J236" s="54"/>
      <c r="K236" s="180"/>
      <c r="L236" s="54"/>
      <c r="M236" s="54"/>
      <c r="N236" s="54"/>
      <c r="O236" s="54"/>
      <c r="P236" s="54"/>
      <c r="Q236" s="54"/>
      <c r="R236" s="54"/>
      <c r="S236" s="54"/>
      <c r="T236" s="54"/>
    </row>
    <row r="237" spans="2:20" ht="15.75" customHeight="1" x14ac:dyDescent="0.2">
      <c r="B237" s="54"/>
      <c r="C237" s="180"/>
      <c r="D237" s="54"/>
      <c r="E237" s="54"/>
      <c r="F237" s="54"/>
      <c r="G237" s="54"/>
      <c r="H237" s="54"/>
      <c r="I237" s="54"/>
      <c r="J237" s="54"/>
      <c r="K237" s="180"/>
      <c r="L237" s="54"/>
      <c r="M237" s="54"/>
      <c r="N237" s="54"/>
      <c r="O237" s="54"/>
      <c r="P237" s="54"/>
      <c r="Q237" s="54"/>
      <c r="R237" s="54"/>
      <c r="S237" s="54"/>
      <c r="T237" s="54"/>
    </row>
    <row r="238" spans="2:20" ht="15.75" customHeight="1" x14ac:dyDescent="0.2">
      <c r="B238" s="54"/>
      <c r="C238" s="180"/>
      <c r="D238" s="54"/>
      <c r="E238" s="54"/>
      <c r="F238" s="54"/>
      <c r="G238" s="54"/>
      <c r="H238" s="54"/>
      <c r="I238" s="54"/>
      <c r="J238" s="54"/>
      <c r="K238" s="180"/>
      <c r="L238" s="54"/>
      <c r="M238" s="54"/>
      <c r="N238" s="54"/>
      <c r="O238" s="54"/>
      <c r="P238" s="54"/>
      <c r="Q238" s="54"/>
      <c r="R238" s="54"/>
      <c r="S238" s="54"/>
      <c r="T238" s="54"/>
    </row>
    <row r="239" spans="2:20" ht="15.75" customHeight="1" x14ac:dyDescent="0.2">
      <c r="B239" s="54"/>
      <c r="C239" s="180"/>
      <c r="D239" s="54"/>
      <c r="E239" s="54"/>
      <c r="F239" s="54"/>
      <c r="G239" s="54"/>
      <c r="H239" s="54"/>
      <c r="I239" s="54"/>
      <c r="J239" s="54"/>
      <c r="K239" s="180"/>
      <c r="L239" s="54"/>
      <c r="M239" s="54"/>
      <c r="N239" s="54"/>
      <c r="O239" s="54"/>
      <c r="P239" s="54"/>
      <c r="Q239" s="54"/>
      <c r="R239" s="54"/>
      <c r="S239" s="54"/>
      <c r="T239" s="54"/>
    </row>
    <row r="240" spans="2:20" ht="15.75" customHeight="1" x14ac:dyDescent="0.2">
      <c r="B240" s="54"/>
      <c r="C240" s="180"/>
      <c r="D240" s="54"/>
      <c r="E240" s="54"/>
      <c r="F240" s="54"/>
      <c r="G240" s="54"/>
      <c r="H240" s="54"/>
      <c r="I240" s="54"/>
      <c r="J240" s="54"/>
      <c r="K240" s="180"/>
      <c r="L240" s="54"/>
      <c r="M240" s="54"/>
      <c r="N240" s="54"/>
      <c r="O240" s="54"/>
      <c r="P240" s="54"/>
      <c r="Q240" s="54"/>
      <c r="R240" s="54"/>
      <c r="S240" s="54"/>
      <c r="T240" s="54"/>
    </row>
    <row r="241" spans="2:20" ht="15.75" customHeight="1" x14ac:dyDescent="0.2">
      <c r="B241" s="54"/>
      <c r="C241" s="180"/>
      <c r="D241" s="54"/>
      <c r="E241" s="54"/>
      <c r="F241" s="54"/>
      <c r="G241" s="54"/>
      <c r="H241" s="54"/>
      <c r="I241" s="54"/>
      <c r="J241" s="54"/>
      <c r="K241" s="180"/>
      <c r="L241" s="54"/>
      <c r="M241" s="54"/>
      <c r="N241" s="54"/>
      <c r="O241" s="54"/>
      <c r="P241" s="54"/>
      <c r="Q241" s="54"/>
      <c r="R241" s="54"/>
      <c r="S241" s="54"/>
      <c r="T241" s="54"/>
    </row>
    <row r="242" spans="2:20" ht="15.75" customHeight="1" x14ac:dyDescent="0.2">
      <c r="B242" s="54"/>
      <c r="C242" s="180"/>
      <c r="D242" s="54"/>
      <c r="E242" s="54"/>
      <c r="F242" s="54"/>
      <c r="G242" s="54"/>
      <c r="H242" s="54"/>
      <c r="I242" s="54"/>
      <c r="J242" s="54"/>
      <c r="K242" s="180"/>
      <c r="L242" s="54"/>
      <c r="M242" s="54"/>
      <c r="N242" s="54"/>
      <c r="O242" s="54"/>
      <c r="P242" s="54"/>
      <c r="Q242" s="54"/>
      <c r="R242" s="54"/>
      <c r="S242" s="54"/>
      <c r="T242" s="54"/>
    </row>
    <row r="243" spans="2:20" ht="15.75" customHeight="1" x14ac:dyDescent="0.2">
      <c r="B243" s="54"/>
      <c r="C243" s="180"/>
      <c r="D243" s="54"/>
      <c r="E243" s="54"/>
      <c r="F243" s="54"/>
      <c r="G243" s="54"/>
      <c r="H243" s="54"/>
      <c r="I243" s="54"/>
      <c r="J243" s="54"/>
      <c r="K243" s="180"/>
      <c r="L243" s="54"/>
      <c r="M243" s="54"/>
      <c r="N243" s="54"/>
      <c r="O243" s="54"/>
      <c r="P243" s="54"/>
      <c r="Q243" s="54"/>
      <c r="R243" s="54"/>
      <c r="S243" s="54"/>
      <c r="T243" s="54"/>
    </row>
    <row r="244" spans="2:20" ht="15.75" customHeight="1" x14ac:dyDescent="0.2">
      <c r="B244" s="54"/>
      <c r="C244" s="180"/>
      <c r="D244" s="54"/>
      <c r="E244" s="54"/>
      <c r="F244" s="54"/>
      <c r="G244" s="54"/>
      <c r="H244" s="54"/>
      <c r="I244" s="54"/>
      <c r="J244" s="54"/>
      <c r="K244" s="180"/>
      <c r="L244" s="54"/>
      <c r="M244" s="54"/>
      <c r="N244" s="54"/>
      <c r="O244" s="54"/>
      <c r="P244" s="54"/>
      <c r="Q244" s="54"/>
      <c r="R244" s="54"/>
      <c r="S244" s="54"/>
      <c r="T244" s="54"/>
    </row>
    <row r="245" spans="2:20" ht="15.75" customHeight="1" x14ac:dyDescent="0.2">
      <c r="B245" s="54"/>
      <c r="C245" s="180"/>
      <c r="D245" s="54"/>
      <c r="E245" s="54"/>
      <c r="F245" s="54"/>
      <c r="G245" s="54"/>
      <c r="H245" s="54"/>
      <c r="I245" s="54"/>
      <c r="J245" s="54"/>
      <c r="K245" s="180"/>
      <c r="L245" s="54"/>
      <c r="M245" s="54"/>
      <c r="N245" s="54"/>
      <c r="O245" s="54"/>
      <c r="P245" s="54"/>
      <c r="Q245" s="54"/>
      <c r="R245" s="54"/>
      <c r="S245" s="54"/>
      <c r="T245" s="54"/>
    </row>
    <row r="246" spans="2:20" ht="15.75" customHeight="1" x14ac:dyDescent="0.2">
      <c r="B246" s="54"/>
      <c r="C246" s="180"/>
      <c r="D246" s="54"/>
      <c r="E246" s="54"/>
      <c r="F246" s="54"/>
      <c r="G246" s="54"/>
      <c r="H246" s="54"/>
      <c r="I246" s="54"/>
      <c r="J246" s="54"/>
      <c r="K246" s="180"/>
      <c r="L246" s="54"/>
      <c r="M246" s="54"/>
      <c r="N246" s="54"/>
      <c r="O246" s="54"/>
      <c r="P246" s="54"/>
      <c r="Q246" s="54"/>
      <c r="R246" s="54"/>
      <c r="S246" s="54"/>
      <c r="T246" s="54"/>
    </row>
    <row r="247" spans="2:20" ht="15.75" customHeight="1" x14ac:dyDescent="0.2">
      <c r="B247" s="54"/>
      <c r="C247" s="180"/>
      <c r="D247" s="54"/>
      <c r="E247" s="54"/>
      <c r="F247" s="54"/>
      <c r="G247" s="54"/>
      <c r="H247" s="54"/>
      <c r="I247" s="54"/>
      <c r="J247" s="54"/>
      <c r="K247" s="180"/>
      <c r="L247" s="54"/>
      <c r="M247" s="54"/>
      <c r="N247" s="54"/>
      <c r="O247" s="54"/>
      <c r="P247" s="54"/>
      <c r="Q247" s="54"/>
      <c r="R247" s="54"/>
      <c r="S247" s="54"/>
      <c r="T247" s="54"/>
    </row>
    <row r="248" spans="2:20" ht="15.75" customHeight="1" x14ac:dyDescent="0.2">
      <c r="B248" s="54"/>
      <c r="C248" s="180"/>
      <c r="D248" s="54"/>
      <c r="E248" s="54"/>
      <c r="F248" s="54"/>
      <c r="G248" s="54"/>
      <c r="H248" s="54"/>
      <c r="I248" s="54"/>
      <c r="J248" s="54"/>
      <c r="K248" s="180"/>
      <c r="L248" s="54"/>
      <c r="M248" s="54"/>
      <c r="N248" s="54"/>
      <c r="O248" s="54"/>
      <c r="P248" s="54"/>
      <c r="Q248" s="54"/>
      <c r="R248" s="54"/>
      <c r="S248" s="54"/>
      <c r="T248" s="54"/>
    </row>
    <row r="249" spans="2:20" ht="15.75" customHeight="1" x14ac:dyDescent="0.2">
      <c r="B249" s="54"/>
      <c r="C249" s="180"/>
      <c r="D249" s="54"/>
      <c r="E249" s="54"/>
      <c r="F249" s="54"/>
      <c r="G249" s="54"/>
      <c r="H249" s="54"/>
      <c r="I249" s="54"/>
      <c r="J249" s="54"/>
      <c r="K249" s="180"/>
      <c r="L249" s="54"/>
      <c r="M249" s="54"/>
      <c r="N249" s="54"/>
      <c r="O249" s="54"/>
      <c r="P249" s="54"/>
      <c r="Q249" s="54"/>
      <c r="R249" s="54"/>
      <c r="S249" s="54"/>
      <c r="T249" s="54"/>
    </row>
    <row r="250" spans="2:20" ht="15.75" customHeight="1" x14ac:dyDescent="0.2">
      <c r="B250" s="54"/>
      <c r="C250" s="180"/>
      <c r="D250" s="54"/>
      <c r="E250" s="54"/>
      <c r="F250" s="54"/>
      <c r="G250" s="54"/>
      <c r="H250" s="54"/>
      <c r="I250" s="54"/>
      <c r="J250" s="54"/>
      <c r="K250" s="180"/>
      <c r="L250" s="54"/>
      <c r="M250" s="54"/>
      <c r="N250" s="54"/>
      <c r="O250" s="54"/>
      <c r="P250" s="54"/>
      <c r="Q250" s="54"/>
      <c r="R250" s="54"/>
      <c r="S250" s="54"/>
      <c r="T250" s="54"/>
    </row>
    <row r="251" spans="2:20" ht="15.75" customHeight="1" x14ac:dyDescent="0.2">
      <c r="B251" s="54"/>
      <c r="C251" s="180"/>
      <c r="D251" s="54"/>
      <c r="E251" s="54"/>
      <c r="F251" s="54"/>
      <c r="G251" s="54"/>
      <c r="H251" s="54"/>
      <c r="I251" s="54"/>
      <c r="J251" s="54"/>
      <c r="K251" s="180"/>
      <c r="L251" s="54"/>
      <c r="M251" s="54"/>
      <c r="N251" s="54"/>
      <c r="O251" s="54"/>
      <c r="P251" s="54"/>
      <c r="Q251" s="54"/>
      <c r="R251" s="54"/>
      <c r="S251" s="54"/>
      <c r="T251" s="54"/>
    </row>
    <row r="252" spans="2:20" ht="15.75" customHeight="1" x14ac:dyDescent="0.2">
      <c r="B252" s="54"/>
      <c r="C252" s="180"/>
      <c r="D252" s="54"/>
      <c r="E252" s="54"/>
      <c r="F252" s="54"/>
      <c r="G252" s="54"/>
      <c r="H252" s="54"/>
      <c r="I252" s="54"/>
      <c r="J252" s="54"/>
      <c r="K252" s="180"/>
      <c r="L252" s="54"/>
      <c r="M252" s="54"/>
      <c r="N252" s="54"/>
      <c r="O252" s="54"/>
      <c r="P252" s="54"/>
      <c r="Q252" s="54"/>
      <c r="R252" s="54"/>
      <c r="S252" s="54"/>
      <c r="T252" s="54"/>
    </row>
    <row r="253" spans="2:20" ht="15.75" customHeight="1" x14ac:dyDescent="0.2">
      <c r="B253" s="54"/>
      <c r="C253" s="180"/>
      <c r="D253" s="54"/>
      <c r="E253" s="54"/>
      <c r="F253" s="54"/>
      <c r="G253" s="54"/>
      <c r="H253" s="54"/>
      <c r="I253" s="54"/>
      <c r="J253" s="54"/>
      <c r="K253" s="180"/>
      <c r="L253" s="54"/>
      <c r="M253" s="54"/>
      <c r="N253" s="54"/>
      <c r="O253" s="54"/>
      <c r="P253" s="54"/>
      <c r="Q253" s="54"/>
      <c r="R253" s="54"/>
      <c r="S253" s="54"/>
      <c r="T253" s="54"/>
    </row>
    <row r="254" spans="2:20" ht="15.75" customHeight="1" x14ac:dyDescent="0.2">
      <c r="B254" s="54"/>
      <c r="C254" s="180"/>
      <c r="D254" s="54"/>
      <c r="E254" s="54"/>
      <c r="F254" s="54"/>
      <c r="G254" s="54"/>
      <c r="H254" s="54"/>
      <c r="I254" s="54"/>
      <c r="J254" s="54"/>
      <c r="K254" s="180"/>
      <c r="L254" s="54"/>
      <c r="M254" s="54"/>
      <c r="N254" s="54"/>
      <c r="O254" s="54"/>
      <c r="P254" s="54"/>
      <c r="Q254" s="54"/>
      <c r="R254" s="54"/>
      <c r="S254" s="54"/>
      <c r="T254" s="54"/>
    </row>
    <row r="255" spans="2:20" ht="15.75" customHeight="1" x14ac:dyDescent="0.2">
      <c r="B255" s="54"/>
      <c r="C255" s="180"/>
      <c r="D255" s="54"/>
      <c r="E255" s="54"/>
      <c r="F255" s="54"/>
      <c r="G255" s="54"/>
      <c r="H255" s="54"/>
      <c r="I255" s="54"/>
      <c r="J255" s="54"/>
      <c r="K255" s="180"/>
      <c r="L255" s="54"/>
      <c r="M255" s="54"/>
      <c r="N255" s="54"/>
      <c r="O255" s="54"/>
      <c r="P255" s="54"/>
      <c r="Q255" s="54"/>
      <c r="R255" s="54"/>
      <c r="S255" s="54"/>
      <c r="T255" s="54"/>
    </row>
    <row r="256" spans="2:20" ht="15.75" customHeight="1" x14ac:dyDescent="0.2">
      <c r="B256" s="54"/>
      <c r="C256" s="180"/>
      <c r="D256" s="54"/>
      <c r="E256" s="54"/>
      <c r="F256" s="54"/>
      <c r="G256" s="54"/>
      <c r="H256" s="54"/>
      <c r="I256" s="54"/>
      <c r="J256" s="54"/>
      <c r="K256" s="180"/>
      <c r="L256" s="54"/>
      <c r="M256" s="54"/>
      <c r="N256" s="54"/>
      <c r="O256" s="54"/>
      <c r="P256" s="54"/>
      <c r="Q256" s="54"/>
      <c r="R256" s="54"/>
      <c r="S256" s="54"/>
      <c r="T256" s="54"/>
    </row>
    <row r="257" spans="2:20" ht="15.75" customHeight="1" x14ac:dyDescent="0.2">
      <c r="B257" s="54"/>
      <c r="C257" s="180"/>
      <c r="D257" s="54"/>
      <c r="E257" s="54"/>
      <c r="F257" s="54"/>
      <c r="G257" s="54"/>
      <c r="H257" s="54"/>
      <c r="I257" s="54"/>
      <c r="J257" s="54"/>
      <c r="K257" s="180"/>
      <c r="L257" s="54"/>
      <c r="M257" s="54"/>
      <c r="N257" s="54"/>
      <c r="O257" s="54"/>
      <c r="P257" s="54"/>
      <c r="Q257" s="54"/>
      <c r="R257" s="54"/>
      <c r="S257" s="54"/>
      <c r="T257" s="54"/>
    </row>
    <row r="258" spans="2:20" ht="15.75" customHeight="1" x14ac:dyDescent="0.2">
      <c r="B258" s="54"/>
      <c r="C258" s="180"/>
      <c r="D258" s="54"/>
      <c r="E258" s="54"/>
      <c r="F258" s="54"/>
      <c r="G258" s="54"/>
      <c r="H258" s="54"/>
      <c r="I258" s="54"/>
      <c r="J258" s="54"/>
      <c r="K258" s="180"/>
      <c r="L258" s="54"/>
      <c r="M258" s="54"/>
      <c r="N258" s="54"/>
      <c r="O258" s="54"/>
      <c r="P258" s="54"/>
      <c r="Q258" s="54"/>
      <c r="R258" s="54"/>
      <c r="S258" s="54"/>
      <c r="T258" s="54"/>
    </row>
    <row r="259" spans="2:20" ht="15.75" customHeight="1" x14ac:dyDescent="0.2">
      <c r="B259" s="54"/>
      <c r="C259" s="180"/>
      <c r="D259" s="54"/>
      <c r="E259" s="54"/>
      <c r="F259" s="54"/>
      <c r="G259" s="54"/>
      <c r="H259" s="54"/>
      <c r="I259" s="54"/>
      <c r="J259" s="54"/>
      <c r="K259" s="180"/>
      <c r="L259" s="54"/>
      <c r="M259" s="54"/>
      <c r="N259" s="54"/>
      <c r="O259" s="54"/>
      <c r="P259" s="54"/>
      <c r="Q259" s="54"/>
      <c r="R259" s="54"/>
      <c r="S259" s="54"/>
      <c r="T259" s="54"/>
    </row>
    <row r="260" spans="2:20" ht="15.75" customHeight="1" x14ac:dyDescent="0.2">
      <c r="B260" s="54"/>
      <c r="C260" s="180"/>
      <c r="D260" s="54"/>
      <c r="E260" s="54"/>
      <c r="F260" s="54"/>
      <c r="G260" s="54"/>
      <c r="H260" s="54"/>
      <c r="I260" s="54"/>
      <c r="J260" s="54"/>
      <c r="K260" s="180"/>
      <c r="L260" s="54"/>
      <c r="M260" s="54"/>
      <c r="N260" s="54"/>
      <c r="O260" s="54"/>
      <c r="P260" s="54"/>
      <c r="Q260" s="54"/>
      <c r="R260" s="54"/>
      <c r="S260" s="54"/>
      <c r="T260" s="54"/>
    </row>
    <row r="261" spans="2:20" ht="15.75" customHeight="1" x14ac:dyDescent="0.2">
      <c r="B261" s="54"/>
      <c r="C261" s="180"/>
      <c r="D261" s="54"/>
      <c r="E261" s="54"/>
      <c r="F261" s="54"/>
      <c r="G261" s="54"/>
      <c r="H261" s="54"/>
      <c r="I261" s="54"/>
      <c r="J261" s="54"/>
      <c r="K261" s="180"/>
      <c r="L261" s="54"/>
      <c r="M261" s="54"/>
      <c r="N261" s="54"/>
      <c r="O261" s="54"/>
      <c r="P261" s="54"/>
      <c r="Q261" s="54"/>
      <c r="R261" s="54"/>
      <c r="S261" s="54"/>
      <c r="T261" s="54"/>
    </row>
    <row r="262" spans="2:20" ht="15.75" customHeight="1" x14ac:dyDescent="0.2">
      <c r="B262" s="54"/>
      <c r="C262" s="180"/>
      <c r="D262" s="54"/>
      <c r="E262" s="54"/>
      <c r="F262" s="54"/>
      <c r="G262" s="54"/>
      <c r="H262" s="54"/>
      <c r="I262" s="54"/>
      <c r="J262" s="54"/>
      <c r="K262" s="180"/>
      <c r="L262" s="54"/>
      <c r="M262" s="54"/>
      <c r="N262" s="54"/>
      <c r="O262" s="54"/>
      <c r="P262" s="54"/>
      <c r="Q262" s="54"/>
      <c r="R262" s="54"/>
      <c r="S262" s="54"/>
      <c r="T262" s="54"/>
    </row>
    <row r="263" spans="2:20" ht="15.75" customHeight="1" x14ac:dyDescent="0.2">
      <c r="B263" s="54"/>
      <c r="C263" s="180"/>
      <c r="D263" s="54"/>
      <c r="E263" s="54"/>
      <c r="F263" s="54"/>
      <c r="G263" s="54"/>
      <c r="H263" s="54"/>
      <c r="I263" s="54"/>
      <c r="J263" s="54"/>
      <c r="K263" s="180"/>
      <c r="L263" s="54"/>
      <c r="M263" s="54"/>
      <c r="N263" s="54"/>
      <c r="O263" s="54"/>
      <c r="P263" s="54"/>
      <c r="Q263" s="54"/>
      <c r="R263" s="54"/>
      <c r="S263" s="54"/>
      <c r="T263" s="54"/>
    </row>
    <row r="264" spans="2:20" ht="15.75" customHeight="1" x14ac:dyDescent="0.2">
      <c r="B264" s="54"/>
      <c r="C264" s="180"/>
      <c r="D264" s="54"/>
      <c r="E264" s="54"/>
      <c r="F264" s="54"/>
      <c r="G264" s="54"/>
      <c r="H264" s="54"/>
      <c r="I264" s="54"/>
      <c r="J264" s="54"/>
      <c r="K264" s="180"/>
      <c r="L264" s="54"/>
      <c r="M264" s="54"/>
      <c r="N264" s="54"/>
      <c r="O264" s="54"/>
      <c r="P264" s="54"/>
      <c r="Q264" s="54"/>
      <c r="R264" s="54"/>
      <c r="S264" s="54"/>
      <c r="T264" s="54"/>
    </row>
    <row r="265" spans="2:20" ht="15.75" customHeight="1" x14ac:dyDescent="0.2">
      <c r="B265" s="54"/>
      <c r="C265" s="180"/>
      <c r="D265" s="54"/>
      <c r="E265" s="54"/>
      <c r="F265" s="54"/>
      <c r="G265" s="54"/>
      <c r="H265" s="54"/>
      <c r="I265" s="54"/>
      <c r="J265" s="54"/>
      <c r="K265" s="180"/>
      <c r="L265" s="54"/>
      <c r="M265" s="54"/>
      <c r="N265" s="54"/>
      <c r="O265" s="54"/>
      <c r="P265" s="54"/>
      <c r="Q265" s="54"/>
      <c r="R265" s="54"/>
      <c r="S265" s="54"/>
      <c r="T265" s="54"/>
    </row>
    <row r="266" spans="2:20" ht="15.75" customHeight="1" x14ac:dyDescent="0.2">
      <c r="B266" s="54"/>
      <c r="C266" s="180"/>
      <c r="D266" s="54"/>
      <c r="E266" s="54"/>
      <c r="F266" s="54"/>
      <c r="G266" s="54"/>
      <c r="H266" s="54"/>
      <c r="I266" s="54"/>
      <c r="J266" s="54"/>
      <c r="K266" s="180"/>
      <c r="L266" s="54"/>
      <c r="M266" s="54"/>
      <c r="N266" s="54"/>
      <c r="O266" s="54"/>
      <c r="P266" s="54"/>
      <c r="Q266" s="54"/>
      <c r="R266" s="54"/>
      <c r="S266" s="54"/>
      <c r="T266" s="54"/>
    </row>
    <row r="267" spans="2:20" ht="15.75" customHeight="1" x14ac:dyDescent="0.2">
      <c r="B267" s="54"/>
      <c r="C267" s="180"/>
      <c r="D267" s="54"/>
      <c r="E267" s="54"/>
      <c r="F267" s="54"/>
      <c r="G267" s="54"/>
      <c r="H267" s="54"/>
      <c r="I267" s="54"/>
      <c r="J267" s="54"/>
      <c r="K267" s="180"/>
      <c r="L267" s="54"/>
      <c r="M267" s="54"/>
      <c r="N267" s="54"/>
      <c r="O267" s="54"/>
      <c r="P267" s="54"/>
      <c r="Q267" s="54"/>
      <c r="R267" s="54"/>
      <c r="S267" s="54"/>
      <c r="T267" s="54"/>
    </row>
    <row r="268" spans="2:20" ht="15.75" customHeight="1" x14ac:dyDescent="0.2">
      <c r="B268" s="54"/>
      <c r="C268" s="180"/>
      <c r="D268" s="54"/>
      <c r="E268" s="54"/>
      <c r="F268" s="54"/>
      <c r="G268" s="54"/>
      <c r="H268" s="54"/>
      <c r="I268" s="54"/>
      <c r="J268" s="54"/>
      <c r="K268" s="180"/>
      <c r="L268" s="54"/>
      <c r="M268" s="54"/>
      <c r="N268" s="54"/>
      <c r="O268" s="54"/>
      <c r="P268" s="54"/>
      <c r="Q268" s="54"/>
      <c r="R268" s="54"/>
      <c r="S268" s="54"/>
      <c r="T268" s="54"/>
    </row>
    <row r="269" spans="2:20" ht="15.75" customHeight="1" x14ac:dyDescent="0.2">
      <c r="B269" s="54"/>
      <c r="C269" s="180"/>
      <c r="D269" s="54"/>
      <c r="E269" s="54"/>
      <c r="F269" s="54"/>
      <c r="G269" s="54"/>
      <c r="H269" s="54"/>
      <c r="I269" s="54"/>
      <c r="J269" s="54"/>
      <c r="K269" s="180"/>
      <c r="L269" s="54"/>
      <c r="M269" s="54"/>
      <c r="N269" s="54"/>
      <c r="O269" s="54"/>
      <c r="P269" s="54"/>
      <c r="Q269" s="54"/>
      <c r="R269" s="54"/>
      <c r="S269" s="54"/>
      <c r="T269" s="54"/>
    </row>
    <row r="270" spans="2:20" ht="15.75" customHeight="1" x14ac:dyDescent="0.2">
      <c r="B270" s="54"/>
      <c r="C270" s="180"/>
      <c r="D270" s="54"/>
      <c r="E270" s="54"/>
      <c r="F270" s="54"/>
      <c r="G270" s="54"/>
      <c r="H270" s="54"/>
      <c r="I270" s="54"/>
      <c r="J270" s="54"/>
      <c r="K270" s="180"/>
      <c r="L270" s="54"/>
      <c r="M270" s="54"/>
      <c r="N270" s="54"/>
      <c r="O270" s="54"/>
      <c r="P270" s="54"/>
      <c r="Q270" s="54"/>
      <c r="R270" s="54"/>
      <c r="S270" s="54"/>
      <c r="T270" s="54"/>
    </row>
    <row r="271" spans="2:20" ht="15.75" customHeight="1" x14ac:dyDescent="0.2">
      <c r="B271" s="54"/>
      <c r="C271" s="180"/>
      <c r="D271" s="54"/>
      <c r="E271" s="54"/>
      <c r="F271" s="54"/>
      <c r="G271" s="54"/>
      <c r="H271" s="54"/>
      <c r="I271" s="54"/>
      <c r="J271" s="54"/>
      <c r="K271" s="180"/>
      <c r="L271" s="54"/>
      <c r="M271" s="54"/>
      <c r="N271" s="54"/>
      <c r="O271" s="54"/>
      <c r="P271" s="54"/>
      <c r="Q271" s="54"/>
      <c r="R271" s="54"/>
      <c r="S271" s="54"/>
      <c r="T271" s="54"/>
    </row>
    <row r="272" spans="2:20" ht="15.75" customHeight="1" x14ac:dyDescent="0.2">
      <c r="B272" s="54"/>
      <c r="C272" s="180"/>
      <c r="D272" s="54"/>
      <c r="E272" s="54"/>
      <c r="F272" s="54"/>
      <c r="G272" s="54"/>
      <c r="H272" s="54"/>
      <c r="I272" s="54"/>
      <c r="J272" s="54"/>
      <c r="K272" s="180"/>
      <c r="L272" s="54"/>
      <c r="M272" s="54"/>
      <c r="N272" s="54"/>
      <c r="O272" s="54"/>
      <c r="P272" s="54"/>
      <c r="Q272" s="54"/>
      <c r="R272" s="54"/>
      <c r="S272" s="54"/>
      <c r="T272" s="54"/>
    </row>
    <row r="273" spans="2:20" ht="15.75" customHeight="1" x14ac:dyDescent="0.2">
      <c r="B273" s="54"/>
      <c r="C273" s="180"/>
      <c r="D273" s="54"/>
      <c r="E273" s="54"/>
      <c r="F273" s="54"/>
      <c r="G273" s="54"/>
      <c r="H273" s="54"/>
      <c r="I273" s="54"/>
      <c r="J273" s="54"/>
      <c r="K273" s="180"/>
      <c r="L273" s="54"/>
      <c r="M273" s="54"/>
      <c r="N273" s="54"/>
      <c r="O273" s="54"/>
      <c r="P273" s="54"/>
      <c r="Q273" s="54"/>
      <c r="R273" s="54"/>
      <c r="S273" s="54"/>
      <c r="T273" s="54"/>
    </row>
    <row r="274" spans="2:20" ht="15.75" customHeight="1" x14ac:dyDescent="0.2">
      <c r="B274" s="54"/>
      <c r="C274" s="180"/>
      <c r="D274" s="54"/>
      <c r="E274" s="54"/>
      <c r="F274" s="54"/>
      <c r="G274" s="54"/>
      <c r="H274" s="54"/>
      <c r="I274" s="54"/>
      <c r="J274" s="54"/>
      <c r="K274" s="180"/>
      <c r="L274" s="54"/>
      <c r="M274" s="54"/>
      <c r="N274" s="54"/>
      <c r="O274" s="54"/>
      <c r="P274" s="54"/>
      <c r="Q274" s="54"/>
      <c r="R274" s="54"/>
      <c r="S274" s="54"/>
      <c r="T274" s="54"/>
    </row>
    <row r="275" spans="2:20" ht="15.75" customHeight="1" x14ac:dyDescent="0.2">
      <c r="B275" s="54"/>
      <c r="C275" s="180"/>
      <c r="D275" s="54"/>
      <c r="E275" s="54"/>
      <c r="F275" s="54"/>
      <c r="G275" s="54"/>
      <c r="H275" s="54"/>
      <c r="I275" s="54"/>
      <c r="J275" s="54"/>
      <c r="K275" s="180"/>
      <c r="L275" s="54"/>
      <c r="M275" s="54"/>
      <c r="N275" s="54"/>
      <c r="O275" s="54"/>
      <c r="P275" s="54"/>
      <c r="Q275" s="54"/>
      <c r="R275" s="54"/>
      <c r="S275" s="54"/>
      <c r="T275" s="54"/>
    </row>
    <row r="276" spans="2:20" ht="15.75" customHeight="1" x14ac:dyDescent="0.2">
      <c r="B276" s="54"/>
      <c r="C276" s="180"/>
      <c r="D276" s="54"/>
      <c r="E276" s="54"/>
      <c r="F276" s="54"/>
      <c r="G276" s="54"/>
      <c r="H276" s="54"/>
      <c r="I276" s="54"/>
      <c r="J276" s="54"/>
      <c r="K276" s="180"/>
      <c r="L276" s="54"/>
      <c r="M276" s="54"/>
      <c r="N276" s="54"/>
      <c r="O276" s="54"/>
      <c r="P276" s="54"/>
      <c r="Q276" s="54"/>
      <c r="R276" s="54"/>
      <c r="S276" s="54"/>
      <c r="T276" s="54"/>
    </row>
    <row r="277" spans="2:20" ht="15.75" customHeight="1" x14ac:dyDescent="0.2">
      <c r="B277" s="54"/>
      <c r="C277" s="180"/>
      <c r="D277" s="54"/>
      <c r="E277" s="54"/>
      <c r="F277" s="54"/>
      <c r="G277" s="54"/>
      <c r="H277" s="54"/>
      <c r="I277" s="54"/>
      <c r="J277" s="54"/>
      <c r="K277" s="180"/>
      <c r="L277" s="54"/>
      <c r="M277" s="54"/>
      <c r="N277" s="54"/>
      <c r="O277" s="54"/>
      <c r="P277" s="54"/>
      <c r="Q277" s="54"/>
      <c r="R277" s="54"/>
      <c r="S277" s="54"/>
      <c r="T277" s="54"/>
    </row>
    <row r="278" spans="2:20" ht="15.75" customHeight="1" x14ac:dyDescent="0.2">
      <c r="B278" s="54"/>
      <c r="C278" s="180"/>
      <c r="D278" s="54"/>
      <c r="E278" s="54"/>
      <c r="F278" s="54"/>
      <c r="G278" s="54"/>
      <c r="H278" s="54"/>
      <c r="I278" s="54"/>
      <c r="J278" s="54"/>
      <c r="K278" s="180"/>
      <c r="L278" s="54"/>
      <c r="M278" s="54"/>
      <c r="N278" s="54"/>
      <c r="O278" s="54"/>
      <c r="P278" s="54"/>
      <c r="Q278" s="54"/>
      <c r="R278" s="54"/>
      <c r="S278" s="54"/>
      <c r="T278" s="54"/>
    </row>
    <row r="279" spans="2:20" ht="15.75" customHeight="1" x14ac:dyDescent="0.2">
      <c r="B279" s="54"/>
      <c r="C279" s="180"/>
      <c r="D279" s="54"/>
      <c r="E279" s="54"/>
      <c r="F279" s="54"/>
      <c r="G279" s="54"/>
      <c r="H279" s="54"/>
      <c r="I279" s="54"/>
      <c r="J279" s="54"/>
      <c r="K279" s="180"/>
      <c r="L279" s="54"/>
      <c r="M279" s="54"/>
      <c r="N279" s="54"/>
      <c r="O279" s="54"/>
      <c r="P279" s="54"/>
      <c r="Q279" s="54"/>
      <c r="R279" s="54"/>
      <c r="S279" s="54"/>
      <c r="T279" s="54"/>
    </row>
    <row r="280" spans="2:20" ht="15.75" customHeight="1" x14ac:dyDescent="0.2">
      <c r="B280" s="54"/>
      <c r="C280" s="180"/>
      <c r="D280" s="54"/>
      <c r="E280" s="54"/>
      <c r="F280" s="54"/>
      <c r="G280" s="54"/>
      <c r="H280" s="54"/>
      <c r="I280" s="54"/>
      <c r="J280" s="54"/>
      <c r="K280" s="180"/>
      <c r="L280" s="54"/>
      <c r="M280" s="54"/>
      <c r="N280" s="54"/>
      <c r="O280" s="54"/>
      <c r="P280" s="54"/>
      <c r="Q280" s="54"/>
      <c r="R280" s="54"/>
      <c r="S280" s="54"/>
      <c r="T280" s="54"/>
    </row>
    <row r="281" spans="2:20" ht="15.75" customHeight="1" x14ac:dyDescent="0.2">
      <c r="B281" s="54"/>
      <c r="C281" s="180"/>
      <c r="D281" s="54"/>
      <c r="E281" s="54"/>
      <c r="F281" s="54"/>
      <c r="G281" s="54"/>
      <c r="H281" s="54"/>
      <c r="I281" s="54"/>
      <c r="J281" s="54"/>
      <c r="K281" s="180"/>
      <c r="L281" s="54"/>
      <c r="M281" s="54"/>
      <c r="N281" s="54"/>
      <c r="O281" s="54"/>
      <c r="P281" s="54"/>
      <c r="Q281" s="54"/>
      <c r="R281" s="54"/>
      <c r="S281" s="54"/>
      <c r="T281" s="54"/>
    </row>
    <row r="282" spans="2:20" ht="15.75" customHeight="1" x14ac:dyDescent="0.2">
      <c r="B282" s="54"/>
      <c r="C282" s="180"/>
      <c r="D282" s="54"/>
      <c r="E282" s="54"/>
      <c r="F282" s="54"/>
      <c r="G282" s="54"/>
      <c r="H282" s="54"/>
      <c r="I282" s="54"/>
      <c r="J282" s="54"/>
      <c r="K282" s="180"/>
      <c r="L282" s="54"/>
      <c r="M282" s="54"/>
      <c r="N282" s="54"/>
      <c r="O282" s="54"/>
      <c r="P282" s="54"/>
      <c r="Q282" s="54"/>
      <c r="R282" s="54"/>
      <c r="S282" s="54"/>
      <c r="T282" s="54"/>
    </row>
    <row r="283" spans="2:20" ht="15.75" customHeight="1" x14ac:dyDescent="0.2">
      <c r="B283" s="54"/>
      <c r="C283" s="180"/>
      <c r="D283" s="54"/>
      <c r="E283" s="54"/>
      <c r="F283" s="54"/>
      <c r="G283" s="54"/>
      <c r="H283" s="54"/>
      <c r="I283" s="54"/>
      <c r="J283" s="54"/>
      <c r="K283" s="180"/>
      <c r="L283" s="54"/>
      <c r="M283" s="54"/>
      <c r="N283" s="54"/>
      <c r="O283" s="54"/>
      <c r="P283" s="54"/>
      <c r="Q283" s="54"/>
      <c r="R283" s="54"/>
      <c r="S283" s="54"/>
      <c r="T283" s="54"/>
    </row>
    <row r="284" spans="2:20" ht="15.75" customHeight="1" x14ac:dyDescent="0.2">
      <c r="B284" s="54"/>
      <c r="C284" s="180"/>
      <c r="D284" s="54"/>
      <c r="E284" s="54"/>
      <c r="F284" s="54"/>
      <c r="G284" s="54"/>
      <c r="H284" s="54"/>
      <c r="I284" s="54"/>
      <c r="J284" s="54"/>
      <c r="K284" s="180"/>
      <c r="L284" s="54"/>
      <c r="M284" s="54"/>
      <c r="N284" s="54"/>
      <c r="O284" s="54"/>
      <c r="P284" s="54"/>
      <c r="Q284" s="54"/>
      <c r="R284" s="54"/>
      <c r="S284" s="54"/>
      <c r="T284" s="54"/>
    </row>
    <row r="285" spans="2:20" ht="15.75" customHeight="1" x14ac:dyDescent="0.2">
      <c r="B285" s="54"/>
      <c r="C285" s="180"/>
      <c r="D285" s="54"/>
      <c r="E285" s="54"/>
      <c r="F285" s="54"/>
      <c r="G285" s="54"/>
      <c r="H285" s="54"/>
      <c r="I285" s="54"/>
      <c r="J285" s="54"/>
      <c r="K285" s="180"/>
      <c r="L285" s="54"/>
      <c r="M285" s="54"/>
      <c r="N285" s="54"/>
      <c r="O285" s="54"/>
      <c r="P285" s="54"/>
      <c r="Q285" s="54"/>
      <c r="R285" s="54"/>
      <c r="S285" s="54"/>
      <c r="T285" s="54"/>
    </row>
    <row r="286" spans="2:20" ht="15.75" customHeight="1" x14ac:dyDescent="0.2">
      <c r="B286" s="54"/>
      <c r="C286" s="180"/>
      <c r="D286" s="54"/>
      <c r="E286" s="54"/>
      <c r="F286" s="54"/>
      <c r="G286" s="54"/>
      <c r="H286" s="54"/>
      <c r="I286" s="54"/>
      <c r="J286" s="54"/>
      <c r="K286" s="180"/>
      <c r="L286" s="54"/>
      <c r="M286" s="54"/>
      <c r="N286" s="54"/>
      <c r="O286" s="54"/>
      <c r="P286" s="54"/>
      <c r="Q286" s="54"/>
      <c r="R286" s="54"/>
      <c r="S286" s="54"/>
      <c r="T286" s="54"/>
    </row>
    <row r="287" spans="2:20" ht="15.75" customHeight="1" x14ac:dyDescent="0.2">
      <c r="B287" s="54"/>
      <c r="C287" s="180"/>
      <c r="D287" s="54"/>
      <c r="E287" s="54"/>
      <c r="F287" s="54"/>
      <c r="G287" s="54"/>
      <c r="H287" s="54"/>
      <c r="I287" s="54"/>
      <c r="J287" s="54"/>
      <c r="K287" s="180"/>
      <c r="L287" s="54"/>
      <c r="M287" s="54"/>
      <c r="N287" s="54"/>
      <c r="O287" s="54"/>
      <c r="P287" s="54"/>
      <c r="Q287" s="54"/>
      <c r="R287" s="54"/>
      <c r="S287" s="54"/>
      <c r="T287" s="54"/>
    </row>
    <row r="288" spans="2:20" ht="15.75" customHeight="1" x14ac:dyDescent="0.2">
      <c r="B288" s="54"/>
      <c r="C288" s="180"/>
      <c r="D288" s="54"/>
      <c r="E288" s="54"/>
      <c r="F288" s="54"/>
      <c r="G288" s="54"/>
      <c r="H288" s="54"/>
      <c r="I288" s="54"/>
      <c r="J288" s="54"/>
      <c r="K288" s="180"/>
      <c r="L288" s="54"/>
      <c r="M288" s="54"/>
      <c r="N288" s="54"/>
      <c r="O288" s="54"/>
      <c r="P288" s="54"/>
      <c r="Q288" s="54"/>
      <c r="R288" s="54"/>
      <c r="S288" s="54"/>
      <c r="T288" s="54"/>
    </row>
    <row r="289" spans="2:20" ht="15.75" customHeight="1" x14ac:dyDescent="0.2">
      <c r="B289" s="54"/>
      <c r="C289" s="180"/>
      <c r="D289" s="54"/>
      <c r="E289" s="54"/>
      <c r="F289" s="54"/>
      <c r="G289" s="54"/>
      <c r="H289" s="54"/>
      <c r="I289" s="54"/>
      <c r="J289" s="54"/>
      <c r="K289" s="180"/>
      <c r="L289" s="54"/>
      <c r="M289" s="54"/>
      <c r="N289" s="54"/>
      <c r="O289" s="54"/>
      <c r="P289" s="54"/>
      <c r="Q289" s="54"/>
      <c r="R289" s="54"/>
      <c r="S289" s="54"/>
      <c r="T289" s="54"/>
    </row>
    <row r="290" spans="2:20" ht="15.75" customHeight="1" x14ac:dyDescent="0.2">
      <c r="B290" s="54"/>
      <c r="C290" s="180"/>
      <c r="D290" s="54"/>
      <c r="E290" s="54"/>
      <c r="F290" s="54"/>
      <c r="G290" s="54"/>
      <c r="H290" s="54"/>
      <c r="I290" s="54"/>
      <c r="J290" s="54"/>
      <c r="K290" s="180"/>
      <c r="L290" s="54"/>
      <c r="M290" s="54"/>
      <c r="N290" s="54"/>
      <c r="O290" s="54"/>
      <c r="P290" s="54"/>
      <c r="Q290" s="54"/>
      <c r="R290" s="54"/>
      <c r="S290" s="54"/>
      <c r="T290" s="54"/>
    </row>
    <row r="291" spans="2:20" ht="15.75" customHeight="1" x14ac:dyDescent="0.2">
      <c r="B291" s="54"/>
      <c r="C291" s="180"/>
      <c r="D291" s="54"/>
      <c r="E291" s="54"/>
      <c r="F291" s="54"/>
      <c r="G291" s="54"/>
      <c r="H291" s="54"/>
      <c r="I291" s="54"/>
      <c r="J291" s="54"/>
      <c r="K291" s="180"/>
      <c r="L291" s="54"/>
      <c r="M291" s="54"/>
      <c r="N291" s="54"/>
      <c r="O291" s="54"/>
      <c r="P291" s="54"/>
      <c r="Q291" s="54"/>
      <c r="R291" s="54"/>
      <c r="S291" s="54"/>
      <c r="T291" s="54"/>
    </row>
    <row r="292" spans="2:20" ht="15.75" customHeight="1" x14ac:dyDescent="0.2">
      <c r="B292" s="54"/>
      <c r="C292" s="180"/>
      <c r="D292" s="54"/>
      <c r="E292" s="54"/>
      <c r="F292" s="54"/>
      <c r="G292" s="54"/>
      <c r="H292" s="54"/>
      <c r="I292" s="54"/>
      <c r="J292" s="54"/>
      <c r="K292" s="180"/>
      <c r="L292" s="54"/>
      <c r="M292" s="54"/>
      <c r="N292" s="54"/>
      <c r="O292" s="54"/>
      <c r="P292" s="54"/>
      <c r="Q292" s="54"/>
      <c r="R292" s="54"/>
      <c r="S292" s="54"/>
      <c r="T292" s="54"/>
    </row>
    <row r="293" spans="2:20" ht="15.75" customHeight="1" x14ac:dyDescent="0.2">
      <c r="B293" s="54"/>
      <c r="C293" s="180"/>
      <c r="D293" s="54"/>
      <c r="E293" s="54"/>
      <c r="F293" s="54"/>
      <c r="G293" s="54"/>
      <c r="H293" s="54"/>
      <c r="I293" s="54"/>
      <c r="J293" s="54"/>
      <c r="K293" s="180"/>
      <c r="L293" s="54"/>
      <c r="M293" s="54"/>
      <c r="N293" s="54"/>
      <c r="O293" s="54"/>
      <c r="P293" s="54"/>
      <c r="Q293" s="54"/>
      <c r="R293" s="54"/>
      <c r="S293" s="54"/>
      <c r="T293" s="54"/>
    </row>
    <row r="294" spans="2:20" ht="15.75" customHeight="1" x14ac:dyDescent="0.2">
      <c r="B294" s="54"/>
      <c r="C294" s="180"/>
      <c r="D294" s="54"/>
      <c r="E294" s="54"/>
      <c r="F294" s="54"/>
      <c r="G294" s="54"/>
      <c r="H294" s="54"/>
      <c r="I294" s="54"/>
      <c r="J294" s="54"/>
      <c r="K294" s="180"/>
      <c r="L294" s="54"/>
      <c r="M294" s="54"/>
      <c r="N294" s="54"/>
      <c r="O294" s="54"/>
      <c r="P294" s="54"/>
      <c r="Q294" s="54"/>
      <c r="R294" s="54"/>
      <c r="S294" s="54"/>
      <c r="T294" s="54"/>
    </row>
    <row r="295" spans="2:20" ht="15.75" customHeight="1" x14ac:dyDescent="0.2">
      <c r="B295" s="54"/>
      <c r="C295" s="180"/>
      <c r="D295" s="54"/>
      <c r="E295" s="54"/>
      <c r="F295" s="54"/>
      <c r="G295" s="54"/>
      <c r="H295" s="54"/>
      <c r="I295" s="54"/>
      <c r="J295" s="54"/>
      <c r="K295" s="180"/>
      <c r="L295" s="54"/>
      <c r="M295" s="54"/>
      <c r="N295" s="54"/>
      <c r="O295" s="54"/>
      <c r="P295" s="54"/>
      <c r="Q295" s="54"/>
      <c r="R295" s="54"/>
      <c r="S295" s="54"/>
      <c r="T295" s="54"/>
    </row>
    <row r="296" spans="2:20" ht="15.75" customHeight="1" x14ac:dyDescent="0.2">
      <c r="B296" s="54"/>
      <c r="C296" s="180"/>
      <c r="D296" s="54"/>
      <c r="E296" s="54"/>
      <c r="F296" s="54"/>
      <c r="G296" s="54"/>
      <c r="H296" s="54"/>
      <c r="I296" s="54"/>
      <c r="J296" s="54"/>
      <c r="K296" s="180"/>
      <c r="L296" s="54"/>
      <c r="M296" s="54"/>
      <c r="N296" s="54"/>
      <c r="O296" s="54"/>
      <c r="P296" s="54"/>
      <c r="Q296" s="54"/>
      <c r="R296" s="54"/>
      <c r="S296" s="54"/>
      <c r="T296" s="54"/>
    </row>
    <row r="297" spans="2:20" ht="15.75" customHeight="1" x14ac:dyDescent="0.2">
      <c r="B297" s="54"/>
      <c r="C297" s="180"/>
      <c r="D297" s="54"/>
      <c r="E297" s="54"/>
      <c r="F297" s="54"/>
      <c r="G297" s="54"/>
      <c r="H297" s="54"/>
      <c r="I297" s="54"/>
      <c r="J297" s="54"/>
      <c r="K297" s="180"/>
      <c r="L297" s="54"/>
      <c r="M297" s="54"/>
      <c r="N297" s="54"/>
      <c r="O297" s="54"/>
      <c r="P297" s="54"/>
      <c r="Q297" s="54"/>
      <c r="R297" s="54"/>
      <c r="S297" s="54"/>
      <c r="T297" s="54"/>
    </row>
    <row r="298" spans="2:20" ht="15.75" customHeight="1" x14ac:dyDescent="0.2">
      <c r="B298" s="54"/>
      <c r="C298" s="180"/>
      <c r="D298" s="54"/>
      <c r="E298" s="54"/>
      <c r="F298" s="54"/>
      <c r="G298" s="54"/>
      <c r="H298" s="54"/>
      <c r="I298" s="54"/>
      <c r="J298" s="54"/>
      <c r="K298" s="180"/>
      <c r="L298" s="54"/>
      <c r="M298" s="54"/>
      <c r="N298" s="54"/>
      <c r="O298" s="54"/>
      <c r="P298" s="54"/>
      <c r="Q298" s="54"/>
      <c r="R298" s="54"/>
      <c r="S298" s="54"/>
      <c r="T298" s="54"/>
    </row>
    <row r="299" spans="2:20" ht="15.75" customHeight="1" x14ac:dyDescent="0.2">
      <c r="B299" s="54"/>
      <c r="C299" s="180"/>
      <c r="D299" s="54"/>
      <c r="E299" s="54"/>
      <c r="F299" s="54"/>
      <c r="G299" s="54"/>
      <c r="H299" s="54"/>
      <c r="I299" s="54"/>
      <c r="J299" s="54"/>
      <c r="K299" s="180"/>
      <c r="L299" s="54"/>
      <c r="M299" s="54"/>
      <c r="N299" s="54"/>
      <c r="O299" s="54"/>
      <c r="P299" s="54"/>
      <c r="Q299" s="54"/>
      <c r="R299" s="54"/>
      <c r="S299" s="54"/>
      <c r="T299" s="54"/>
    </row>
    <row r="300" spans="2:20" ht="15.75" customHeight="1" x14ac:dyDescent="0.2">
      <c r="B300" s="54"/>
      <c r="C300" s="180"/>
      <c r="D300" s="54"/>
      <c r="E300" s="54"/>
      <c r="F300" s="54"/>
      <c r="G300" s="54"/>
      <c r="H300" s="54"/>
      <c r="I300" s="54"/>
      <c r="J300" s="54"/>
      <c r="K300" s="180"/>
      <c r="L300" s="54"/>
      <c r="M300" s="54"/>
      <c r="N300" s="54"/>
      <c r="O300" s="54"/>
      <c r="P300" s="54"/>
      <c r="Q300" s="54"/>
      <c r="R300" s="54"/>
      <c r="S300" s="54"/>
      <c r="T300" s="54"/>
    </row>
    <row r="301" spans="2:20" ht="15.75" customHeight="1" x14ac:dyDescent="0.2">
      <c r="B301" s="54"/>
      <c r="C301" s="180"/>
      <c r="D301" s="54"/>
      <c r="E301" s="54"/>
      <c r="F301" s="54"/>
      <c r="G301" s="54"/>
      <c r="H301" s="54"/>
      <c r="I301" s="54"/>
      <c r="J301" s="54"/>
      <c r="K301" s="180"/>
      <c r="L301" s="54"/>
      <c r="M301" s="54"/>
      <c r="N301" s="54"/>
      <c r="O301" s="54"/>
      <c r="P301" s="54"/>
      <c r="Q301" s="54"/>
      <c r="R301" s="54"/>
      <c r="S301" s="54"/>
      <c r="T301" s="54"/>
    </row>
    <row r="302" spans="2:20" ht="15.75" customHeight="1" x14ac:dyDescent="0.2"/>
    <row r="303" spans="2:20" ht="15.75" customHeight="1" x14ac:dyDescent="0.2"/>
    <row r="304" spans="2:20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</sheetData>
  <conditionalFormatting sqref="H6:H33 H35 H87:H95 H97:H98 H100">
    <cfRule type="cellIs" dxfId="8" priority="1" operator="lessThan">
      <formula>0</formula>
    </cfRule>
  </conditionalFormatting>
  <printOptions horizontalCentered="1" verticalCentered="1"/>
  <pageMargins left="0.25" right="0.25" top="0.75" bottom="0.75" header="0.3" footer="0.3"/>
  <pageSetup fitToHeight="0" orientation="landscape" r:id="rId1"/>
  <headerFooter>
    <oddHeader>&amp;A</oddHeader>
    <oddFooter>Page &amp;P of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E1000"/>
  <sheetViews>
    <sheetView topLeftCell="A4" workbookViewId="0"/>
  </sheetViews>
  <sheetFormatPr defaultColWidth="12.5703125" defaultRowHeight="15" customHeight="1" outlineLevelRow="1" outlineLevelCol="1" x14ac:dyDescent="0.2"/>
  <cols>
    <col min="2" max="2" width="28.42578125" customWidth="1" collapsed="1"/>
    <col min="3" max="3" width="3.5703125" hidden="1" customWidth="1" outlineLevel="1"/>
    <col min="4" max="4" width="10" hidden="1" customWidth="1" outlineLevel="1"/>
    <col min="5" max="5" width="12.42578125" hidden="1" customWidth="1" outlineLevel="1"/>
    <col min="6" max="6" width="12.7109375" hidden="1" customWidth="1" outlineLevel="1"/>
    <col min="7" max="7" width="11.42578125" hidden="1" customWidth="1" outlineLevel="1"/>
    <col min="8" max="10" width="11.28515625" hidden="1" customWidth="1" outlineLevel="1"/>
    <col min="11" max="11" width="3.5703125" hidden="1" customWidth="1" outlineLevel="1"/>
    <col min="12" max="12" width="11.28515625" customWidth="1"/>
    <col min="13" max="13" width="12.140625" customWidth="1"/>
    <col min="14" max="14" width="12" customWidth="1"/>
    <col min="15" max="15" width="11.42578125" customWidth="1"/>
    <col min="16" max="17" width="10.28515625" customWidth="1"/>
    <col min="18" max="18" width="13.5703125" customWidth="1"/>
    <col min="19" max="19" width="14" customWidth="1"/>
    <col min="20" max="20" width="11.85546875" customWidth="1"/>
    <col min="21" max="21" width="10.5703125" customWidth="1"/>
    <col min="22" max="22" width="2.85546875" customWidth="1"/>
    <col min="23" max="23" width="13.42578125" customWidth="1"/>
    <col min="24" max="24" width="10.85546875" customWidth="1"/>
  </cols>
  <sheetData>
    <row r="1" spans="1:31" ht="15.75" hidden="1" customHeight="1" x14ac:dyDescent="0.25">
      <c r="A1" s="138"/>
      <c r="B1" s="138"/>
      <c r="C1" s="340"/>
      <c r="D1" s="158"/>
      <c r="E1" s="167" t="s">
        <v>48</v>
      </c>
      <c r="F1" s="167" t="s">
        <v>31</v>
      </c>
      <c r="G1" s="158"/>
      <c r="H1" s="341"/>
      <c r="I1" s="158"/>
      <c r="J1" s="158"/>
      <c r="K1" s="342"/>
      <c r="L1" s="162"/>
      <c r="M1" s="162"/>
      <c r="N1" s="162"/>
      <c r="O1" s="162"/>
      <c r="P1" s="162"/>
      <c r="Q1" s="162"/>
    </row>
    <row r="2" spans="1:31" ht="15.75" hidden="1" customHeight="1" x14ac:dyDescent="0.25">
      <c r="A2" s="138"/>
      <c r="B2" s="138"/>
      <c r="C2" s="340"/>
      <c r="D2" s="158"/>
      <c r="E2" s="158" t="s">
        <v>157</v>
      </c>
      <c r="F2" s="158"/>
      <c r="G2" s="158"/>
      <c r="H2" s="341"/>
      <c r="I2" s="158"/>
      <c r="J2" s="158"/>
      <c r="K2" s="342"/>
      <c r="L2" s="162"/>
      <c r="M2" s="162"/>
      <c r="N2" s="162"/>
      <c r="O2" s="162"/>
      <c r="P2" s="162"/>
      <c r="Q2" s="162"/>
    </row>
    <row r="3" spans="1:31" ht="15.75" hidden="1" customHeight="1" x14ac:dyDescent="0.25">
      <c r="A3" s="138"/>
      <c r="B3" s="138"/>
      <c r="C3" s="340"/>
      <c r="D3" s="158"/>
      <c r="E3" s="158"/>
      <c r="F3" s="158"/>
      <c r="G3" s="158"/>
      <c r="H3" s="341"/>
      <c r="I3" s="158"/>
      <c r="J3" s="158"/>
      <c r="K3" s="342"/>
      <c r="L3" s="162"/>
      <c r="M3" s="162"/>
      <c r="N3" s="162"/>
      <c r="O3" s="162"/>
      <c r="P3" s="162"/>
      <c r="Q3" s="162"/>
      <c r="W3" s="19"/>
      <c r="X3" s="20"/>
    </row>
    <row r="4" spans="1:31" ht="28.5" customHeight="1" x14ac:dyDescent="0.25">
      <c r="A4" s="1" t="s">
        <v>523</v>
      </c>
      <c r="B4" s="5"/>
      <c r="C4" s="15"/>
      <c r="D4" s="16"/>
      <c r="E4" s="16"/>
      <c r="F4" s="16"/>
      <c r="G4" s="16"/>
      <c r="H4" s="18"/>
      <c r="I4" s="16"/>
      <c r="J4" s="16"/>
      <c r="K4" s="15"/>
      <c r="L4" s="7"/>
      <c r="M4" s="7"/>
      <c r="N4" s="7"/>
      <c r="O4" s="7"/>
      <c r="P4" s="7"/>
      <c r="Q4" s="7"/>
      <c r="R4" s="7"/>
      <c r="S4" s="7"/>
      <c r="T4" s="206"/>
      <c r="W4" s="19"/>
      <c r="X4" s="20"/>
    </row>
    <row r="5" spans="1:31" ht="50.25" customHeight="1" x14ac:dyDescent="0.2">
      <c r="A5" s="3" t="s">
        <v>50</v>
      </c>
      <c r="B5" s="3" t="s">
        <v>51</v>
      </c>
      <c r="C5" s="21"/>
      <c r="D5" s="22" t="s">
        <v>52</v>
      </c>
      <c r="E5" s="23" t="s">
        <v>53</v>
      </c>
      <c r="F5" s="23" t="s">
        <v>54</v>
      </c>
      <c r="G5" s="23" t="s">
        <v>55</v>
      </c>
      <c r="H5" s="100" t="s">
        <v>56</v>
      </c>
      <c r="I5" s="23" t="s">
        <v>57</v>
      </c>
      <c r="J5" s="129" t="s">
        <v>58</v>
      </c>
      <c r="K5" s="130"/>
      <c r="L5" s="27" t="s">
        <v>59</v>
      </c>
      <c r="M5" s="27" t="s">
        <v>60</v>
      </c>
      <c r="N5" s="27" t="s">
        <v>61</v>
      </c>
      <c r="O5" s="27" t="s">
        <v>62</v>
      </c>
      <c r="P5" s="27" t="s">
        <v>63</v>
      </c>
      <c r="Q5" s="27" t="s">
        <v>64</v>
      </c>
      <c r="R5" s="27" t="s">
        <v>65</v>
      </c>
      <c r="S5" s="27" t="s">
        <v>66</v>
      </c>
      <c r="T5" s="207"/>
      <c r="U5" s="28"/>
      <c r="V5" s="19"/>
      <c r="X5" s="28"/>
      <c r="Y5" s="28"/>
      <c r="Z5" s="28"/>
      <c r="AA5" s="28"/>
      <c r="AB5" s="28"/>
      <c r="AC5" s="28"/>
      <c r="AD5" s="28"/>
      <c r="AE5" s="28"/>
    </row>
    <row r="6" spans="1:31" ht="15.75" customHeight="1" x14ac:dyDescent="0.25">
      <c r="A6" s="30" t="s">
        <v>1539</v>
      </c>
      <c r="B6" s="30" t="s">
        <v>68</v>
      </c>
      <c r="C6" s="31"/>
      <c r="D6" s="32">
        <v>63675</v>
      </c>
      <c r="E6" s="32" t="e">
        <f>D6*#REF!</f>
        <v>#REF!</v>
      </c>
      <c r="F6" s="32" t="e">
        <f>D6*#REF!</f>
        <v>#REF!</v>
      </c>
      <c r="G6" s="32" t="e">
        <f>(D6*#REF!)*#REF!</f>
        <v>#REF!</v>
      </c>
      <c r="H6" s="131">
        <f t="shared" ref="H6:H21" si="0">IFERROR(((Q6-G6)/G6),0)</f>
        <v>0</v>
      </c>
      <c r="I6" s="32" t="e">
        <f t="shared" ref="I6:I20" si="1">Q6-G6</f>
        <v>#REF!</v>
      </c>
      <c r="J6" s="16"/>
      <c r="K6" s="31"/>
      <c r="L6" s="35">
        <v>120341</v>
      </c>
      <c r="M6" s="35">
        <v>169623.52</v>
      </c>
      <c r="N6" s="35">
        <v>177262</v>
      </c>
      <c r="O6" s="35">
        <v>134375.29</v>
      </c>
      <c r="P6" s="32">
        <f t="shared" ref="P6:P10" si="2">O6/20*26</f>
        <v>174687.87700000001</v>
      </c>
      <c r="Q6" s="32">
        <v>191000</v>
      </c>
      <c r="R6" s="35">
        <v>191000</v>
      </c>
      <c r="S6" s="35">
        <f t="shared" ref="S6:S20" si="3">R6-Q6</f>
        <v>0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5.75" customHeight="1" x14ac:dyDescent="0.25">
      <c r="A7" s="30" t="s">
        <v>1540</v>
      </c>
      <c r="B7" s="30" t="s">
        <v>70</v>
      </c>
      <c r="C7" s="31"/>
      <c r="D7" s="32">
        <v>0</v>
      </c>
      <c r="E7" s="32" t="e">
        <f>D7*#REF!</f>
        <v>#REF!</v>
      </c>
      <c r="F7" s="32" t="e">
        <f>D7*#REF!</f>
        <v>#REF!</v>
      </c>
      <c r="G7" s="32" t="e">
        <f>(D7*#REF!)*#REF!</f>
        <v>#REF!</v>
      </c>
      <c r="H7" s="131">
        <f t="shared" si="0"/>
        <v>0</v>
      </c>
      <c r="I7" s="32" t="e">
        <f t="shared" si="1"/>
        <v>#REF!</v>
      </c>
      <c r="J7" s="16"/>
      <c r="K7" s="31"/>
      <c r="L7" s="35">
        <v>998</v>
      </c>
      <c r="M7" s="35">
        <v>1579.65</v>
      </c>
      <c r="N7" s="35">
        <v>5000</v>
      </c>
      <c r="O7" s="35">
        <v>1152.83</v>
      </c>
      <c r="P7" s="32">
        <f t="shared" si="2"/>
        <v>1498.6789999999999</v>
      </c>
      <c r="Q7" s="32">
        <v>5000</v>
      </c>
      <c r="R7" s="35">
        <v>5000</v>
      </c>
      <c r="S7" s="35">
        <f t="shared" si="3"/>
        <v>0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5.75" customHeight="1" x14ac:dyDescent="0.25">
      <c r="A8" s="30" t="s">
        <v>1541</v>
      </c>
      <c r="B8" s="30" t="s">
        <v>132</v>
      </c>
      <c r="C8" s="31"/>
      <c r="D8" s="32">
        <v>56059</v>
      </c>
      <c r="E8" s="32" t="e">
        <f>D8*#REF!</f>
        <v>#REF!</v>
      </c>
      <c r="F8" s="32" t="e">
        <f>D8*#REF!</f>
        <v>#REF!</v>
      </c>
      <c r="G8" s="32" t="e">
        <f>(D8*#REF!)*#REF!</f>
        <v>#REF!</v>
      </c>
      <c r="H8" s="131">
        <f t="shared" si="0"/>
        <v>0</v>
      </c>
      <c r="I8" s="32" t="e">
        <f t="shared" si="1"/>
        <v>#REF!</v>
      </c>
      <c r="J8" s="16"/>
      <c r="K8" s="31"/>
      <c r="L8" s="35">
        <v>109439</v>
      </c>
      <c r="M8" s="35">
        <v>89305.52</v>
      </c>
      <c r="N8" s="35">
        <v>97788</v>
      </c>
      <c r="O8" s="35">
        <v>77380.23</v>
      </c>
      <c r="P8" s="38">
        <f t="shared" si="2"/>
        <v>100594.29899999998</v>
      </c>
      <c r="Q8" s="32">
        <v>131100</v>
      </c>
      <c r="R8" s="35">
        <v>131100</v>
      </c>
      <c r="S8" s="35">
        <f t="shared" si="3"/>
        <v>0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5.75" customHeight="1" x14ac:dyDescent="0.25">
      <c r="A9" s="30" t="s">
        <v>1542</v>
      </c>
      <c r="B9" s="30" t="s">
        <v>108</v>
      </c>
      <c r="C9" s="31"/>
      <c r="D9" s="32">
        <v>0</v>
      </c>
      <c r="E9" s="32" t="e">
        <f>D9*#REF!</f>
        <v>#REF!</v>
      </c>
      <c r="F9" s="32" t="e">
        <f>D9*#REF!</f>
        <v>#REF!</v>
      </c>
      <c r="G9" s="32" t="e">
        <f>(D9*#REF!)*#REF!</f>
        <v>#REF!</v>
      </c>
      <c r="H9" s="131">
        <f t="shared" si="0"/>
        <v>0</v>
      </c>
      <c r="I9" s="32" t="e">
        <f t="shared" si="1"/>
        <v>#REF!</v>
      </c>
      <c r="J9" s="32">
        <v>-2000</v>
      </c>
      <c r="K9" s="31"/>
      <c r="L9" s="35">
        <v>0</v>
      </c>
      <c r="M9" s="35">
        <v>0</v>
      </c>
      <c r="N9" s="35">
        <v>2000</v>
      </c>
      <c r="O9" s="35">
        <v>0</v>
      </c>
      <c r="P9" s="32">
        <f t="shared" si="2"/>
        <v>0</v>
      </c>
      <c r="Q9" s="32">
        <v>2000</v>
      </c>
      <c r="R9" s="35">
        <v>0</v>
      </c>
      <c r="S9" s="35">
        <f t="shared" si="3"/>
        <v>-2000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5.75" customHeight="1" x14ac:dyDescent="0.25">
      <c r="A10" s="30" t="s">
        <v>1543</v>
      </c>
      <c r="B10" s="30" t="s">
        <v>72</v>
      </c>
      <c r="C10" s="31"/>
      <c r="D10" s="32">
        <v>28011</v>
      </c>
      <c r="E10" s="32" t="e">
        <f>D10*#REF!</f>
        <v>#REF!</v>
      </c>
      <c r="F10" s="32" t="e">
        <f>D10*#REF!</f>
        <v>#REF!</v>
      </c>
      <c r="G10" s="32" t="e">
        <f>(D10*#REF!)*#REF!</f>
        <v>#REF!</v>
      </c>
      <c r="H10" s="131">
        <f t="shared" si="0"/>
        <v>0</v>
      </c>
      <c r="I10" s="32" t="e">
        <f t="shared" si="1"/>
        <v>#REF!</v>
      </c>
      <c r="J10" s="16"/>
      <c r="K10" s="31"/>
      <c r="L10" s="35">
        <v>63125</v>
      </c>
      <c r="M10" s="35">
        <v>86941.6</v>
      </c>
      <c r="N10" s="35">
        <v>104093</v>
      </c>
      <c r="O10" s="35">
        <v>68565.25</v>
      </c>
      <c r="P10" s="32">
        <f t="shared" si="2"/>
        <v>89134.824999999997</v>
      </c>
      <c r="Q10" s="32">
        <v>111400</v>
      </c>
      <c r="R10" s="35">
        <v>111400</v>
      </c>
      <c r="S10" s="35">
        <f t="shared" si="3"/>
        <v>0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5.75" customHeight="1" x14ac:dyDescent="0.25">
      <c r="A11" s="30" t="s">
        <v>1544</v>
      </c>
      <c r="B11" s="30" t="s">
        <v>80</v>
      </c>
      <c r="C11" s="31"/>
      <c r="D11" s="32">
        <v>0</v>
      </c>
      <c r="E11" s="32" t="e">
        <f>D11*#REF!</f>
        <v>#REF!</v>
      </c>
      <c r="F11" s="32" t="e">
        <f>D11*#REF!</f>
        <v>#REF!</v>
      </c>
      <c r="G11" s="32" t="e">
        <f>(D11*#REF!)*#REF!</f>
        <v>#REF!</v>
      </c>
      <c r="H11" s="131">
        <f t="shared" si="0"/>
        <v>0</v>
      </c>
      <c r="I11" s="32" t="e">
        <f t="shared" si="1"/>
        <v>#REF!</v>
      </c>
      <c r="J11" s="16"/>
      <c r="K11" s="31"/>
      <c r="L11" s="35">
        <v>3696</v>
      </c>
      <c r="M11" s="35">
        <v>5075.4799999999996</v>
      </c>
      <c r="N11" s="35">
        <v>6000</v>
      </c>
      <c r="O11" s="35">
        <v>4043.35</v>
      </c>
      <c r="P11" s="38">
        <f>N11</f>
        <v>6000</v>
      </c>
      <c r="Q11" s="32">
        <v>6180</v>
      </c>
      <c r="R11" s="35">
        <v>6180</v>
      </c>
      <c r="S11" s="35">
        <f t="shared" si="3"/>
        <v>0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5.75" customHeight="1" x14ac:dyDescent="0.25">
      <c r="A12" s="30" t="s">
        <v>1545</v>
      </c>
      <c r="B12" s="30" t="s">
        <v>115</v>
      </c>
      <c r="C12" s="31"/>
      <c r="D12" s="32">
        <v>6543</v>
      </c>
      <c r="E12" s="32" t="e">
        <f>D12*#REF!</f>
        <v>#REF!</v>
      </c>
      <c r="F12" s="32" t="e">
        <f>D12*#REF!</f>
        <v>#REF!</v>
      </c>
      <c r="G12" s="32" t="e">
        <f>(D12*#REF!)*#REF!</f>
        <v>#REF!</v>
      </c>
      <c r="H12" s="131">
        <f t="shared" si="0"/>
        <v>0</v>
      </c>
      <c r="I12" s="32" t="e">
        <f t="shared" si="1"/>
        <v>#REF!</v>
      </c>
      <c r="J12" s="32">
        <v>-8000</v>
      </c>
      <c r="K12" s="31"/>
      <c r="L12" s="35">
        <v>418</v>
      </c>
      <c r="M12" s="35">
        <v>9761.77</v>
      </c>
      <c r="N12" s="35">
        <v>8000</v>
      </c>
      <c r="O12" s="35">
        <v>2741.47</v>
      </c>
      <c r="P12" s="32">
        <f>O12/9*12</f>
        <v>3655.2933333333331</v>
      </c>
      <c r="Q12" s="32">
        <v>10300</v>
      </c>
      <c r="R12" s="35">
        <v>2300</v>
      </c>
      <c r="S12" s="35">
        <f t="shared" si="3"/>
        <v>-8000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5.75" customHeight="1" x14ac:dyDescent="0.25">
      <c r="A13" s="30" t="s">
        <v>1546</v>
      </c>
      <c r="B13" s="30" t="s">
        <v>523</v>
      </c>
      <c r="C13" s="31"/>
      <c r="D13" s="32">
        <v>37984</v>
      </c>
      <c r="E13" s="32" t="e">
        <f>D13*#REF!</f>
        <v>#REF!</v>
      </c>
      <c r="F13" s="32" t="e">
        <f>D13*#REF!</f>
        <v>#REF!</v>
      </c>
      <c r="G13" s="32" t="e">
        <f>(D13*#REF!)*#REF!</f>
        <v>#REF!</v>
      </c>
      <c r="H13" s="131">
        <f t="shared" si="0"/>
        <v>0</v>
      </c>
      <c r="I13" s="32" t="e">
        <f t="shared" si="1"/>
        <v>#REF!</v>
      </c>
      <c r="J13" s="32">
        <v>-4800</v>
      </c>
      <c r="K13" s="31"/>
      <c r="L13" s="35">
        <v>52770</v>
      </c>
      <c r="M13" s="35">
        <v>65599.070000000007</v>
      </c>
      <c r="N13" s="35">
        <v>61740</v>
      </c>
      <c r="O13" s="35">
        <v>37720.54</v>
      </c>
      <c r="P13" s="38">
        <f t="shared" ref="P13:P15" si="4">N13</f>
        <v>61740</v>
      </c>
      <c r="Q13" s="32">
        <v>69065</v>
      </c>
      <c r="R13" s="35">
        <v>64265</v>
      </c>
      <c r="S13" s="35">
        <f t="shared" si="3"/>
        <v>-4800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5.75" customHeight="1" x14ac:dyDescent="0.25">
      <c r="A14" s="30" t="s">
        <v>1547</v>
      </c>
      <c r="B14" s="30" t="s">
        <v>277</v>
      </c>
      <c r="C14" s="31"/>
      <c r="D14" s="32">
        <v>72150</v>
      </c>
      <c r="E14" s="32" t="e">
        <f>D14*#REF!</f>
        <v>#REF!</v>
      </c>
      <c r="F14" s="32" t="e">
        <f>D14*#REF!</f>
        <v>#REF!</v>
      </c>
      <c r="G14" s="32" t="e">
        <f>(D14*#REF!)*#REF!</f>
        <v>#REF!</v>
      </c>
      <c r="H14" s="131">
        <f t="shared" si="0"/>
        <v>0</v>
      </c>
      <c r="I14" s="32" t="e">
        <f t="shared" si="1"/>
        <v>#REF!</v>
      </c>
      <c r="J14" s="16"/>
      <c r="K14" s="31"/>
      <c r="L14" s="35">
        <v>92887</v>
      </c>
      <c r="M14" s="35">
        <v>91843.68</v>
      </c>
      <c r="N14" s="35">
        <v>97850</v>
      </c>
      <c r="O14" s="35">
        <v>76381.94</v>
      </c>
      <c r="P14" s="38">
        <f t="shared" si="4"/>
        <v>97850</v>
      </c>
      <c r="Q14" s="32">
        <v>97823</v>
      </c>
      <c r="R14" s="35">
        <v>97823</v>
      </c>
      <c r="S14" s="35">
        <f t="shared" si="3"/>
        <v>0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5.75" customHeight="1" x14ac:dyDescent="0.25">
      <c r="A15" s="30" t="s">
        <v>1548</v>
      </c>
      <c r="B15" s="30" t="s">
        <v>84</v>
      </c>
      <c r="C15" s="31"/>
      <c r="D15" s="32">
        <v>2944</v>
      </c>
      <c r="E15" s="32" t="e">
        <f>D15*#REF!</f>
        <v>#REF!</v>
      </c>
      <c r="F15" s="32" t="e">
        <f>D15*#REF!</f>
        <v>#REF!</v>
      </c>
      <c r="G15" s="32" t="e">
        <f>(D15*#REF!)*#REF!</f>
        <v>#REF!</v>
      </c>
      <c r="H15" s="131">
        <f t="shared" si="0"/>
        <v>0</v>
      </c>
      <c r="I15" s="32" t="e">
        <f t="shared" si="1"/>
        <v>#REF!</v>
      </c>
      <c r="J15" s="16"/>
      <c r="K15" s="31"/>
      <c r="L15" s="35">
        <v>7556</v>
      </c>
      <c r="M15" s="35">
        <v>8446.02</v>
      </c>
      <c r="N15" s="35">
        <v>4280</v>
      </c>
      <c r="O15" s="35">
        <v>-1150.23</v>
      </c>
      <c r="P15" s="38">
        <f t="shared" si="4"/>
        <v>4280</v>
      </c>
      <c r="Q15" s="32">
        <v>4720</v>
      </c>
      <c r="R15" s="35">
        <v>4720</v>
      </c>
      <c r="S15" s="35">
        <f t="shared" si="3"/>
        <v>0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5.75" customHeight="1" x14ac:dyDescent="0.25">
      <c r="A16" s="30" t="s">
        <v>1549</v>
      </c>
      <c r="B16" s="30" t="s">
        <v>86</v>
      </c>
      <c r="C16" s="31"/>
      <c r="D16" s="32">
        <v>0</v>
      </c>
      <c r="E16" s="32" t="e">
        <f>D16*#REF!</f>
        <v>#REF!</v>
      </c>
      <c r="F16" s="32" t="e">
        <f>D16*#REF!</f>
        <v>#REF!</v>
      </c>
      <c r="G16" s="32" t="e">
        <f>(D16*#REF!)*#REF!</f>
        <v>#REF!</v>
      </c>
      <c r="H16" s="131">
        <f t="shared" si="0"/>
        <v>0</v>
      </c>
      <c r="I16" s="32" t="e">
        <f t="shared" si="1"/>
        <v>#REF!</v>
      </c>
      <c r="J16" s="32">
        <v>-5000</v>
      </c>
      <c r="K16" s="31"/>
      <c r="L16" s="35">
        <v>0</v>
      </c>
      <c r="M16" s="35">
        <v>0</v>
      </c>
      <c r="N16" s="35">
        <v>5000</v>
      </c>
      <c r="O16" s="35">
        <v>0</v>
      </c>
      <c r="P16" s="32">
        <f t="shared" ref="P16:P17" si="5">O16/9*12</f>
        <v>0</v>
      </c>
      <c r="Q16" s="32">
        <v>5000</v>
      </c>
      <c r="R16" s="35">
        <v>0</v>
      </c>
      <c r="S16" s="35">
        <f t="shared" si="3"/>
        <v>-5000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5.75" customHeight="1" x14ac:dyDescent="0.25">
      <c r="A17" s="30" t="s">
        <v>1550</v>
      </c>
      <c r="B17" s="30" t="s">
        <v>90</v>
      </c>
      <c r="C17" s="31"/>
      <c r="D17" s="32">
        <v>165</v>
      </c>
      <c r="E17" s="32" t="e">
        <f>D17*#REF!</f>
        <v>#REF!</v>
      </c>
      <c r="F17" s="32" t="e">
        <f>D17*#REF!</f>
        <v>#REF!</v>
      </c>
      <c r="G17" s="32" t="e">
        <f>(D17*#REF!)*#REF!</f>
        <v>#REF!</v>
      </c>
      <c r="H17" s="131">
        <f t="shared" si="0"/>
        <v>0</v>
      </c>
      <c r="I17" s="32" t="e">
        <f t="shared" si="1"/>
        <v>#REF!</v>
      </c>
      <c r="J17" s="32">
        <v>-1000</v>
      </c>
      <c r="K17" s="31"/>
      <c r="L17" s="35">
        <v>90</v>
      </c>
      <c r="M17" s="35">
        <v>0</v>
      </c>
      <c r="N17" s="35">
        <v>1500</v>
      </c>
      <c r="O17" s="35">
        <v>0</v>
      </c>
      <c r="P17" s="32">
        <f t="shared" si="5"/>
        <v>0</v>
      </c>
      <c r="Q17" s="32">
        <v>1500</v>
      </c>
      <c r="R17" s="35">
        <v>500</v>
      </c>
      <c r="S17" s="35">
        <f t="shared" si="3"/>
        <v>-1000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5.75" customHeight="1" x14ac:dyDescent="0.25">
      <c r="A18" s="30" t="s">
        <v>1551</v>
      </c>
      <c r="B18" s="30" t="s">
        <v>92</v>
      </c>
      <c r="C18" s="31"/>
      <c r="D18" s="32">
        <v>0</v>
      </c>
      <c r="E18" s="32" t="e">
        <f>D18*#REF!</f>
        <v>#REF!</v>
      </c>
      <c r="F18" s="32" t="e">
        <f>D18*#REF!</f>
        <v>#REF!</v>
      </c>
      <c r="G18" s="32" t="e">
        <f>(D18*#REF!)*#REF!</f>
        <v>#REF!</v>
      </c>
      <c r="H18" s="131">
        <f t="shared" si="0"/>
        <v>0</v>
      </c>
      <c r="I18" s="32" t="e">
        <f t="shared" si="1"/>
        <v>#REF!</v>
      </c>
      <c r="J18" s="16"/>
      <c r="K18" s="31"/>
      <c r="L18" s="35">
        <v>2741</v>
      </c>
      <c r="M18" s="35">
        <v>3107.58</v>
      </c>
      <c r="N18" s="35">
        <v>2800</v>
      </c>
      <c r="O18" s="35">
        <v>3443.49</v>
      </c>
      <c r="P18" s="38">
        <f>O18</f>
        <v>3443.49</v>
      </c>
      <c r="Q18" s="32">
        <v>2800</v>
      </c>
      <c r="R18" s="35">
        <v>2800</v>
      </c>
      <c r="S18" s="35">
        <f t="shared" si="3"/>
        <v>0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5.75" customHeight="1" x14ac:dyDescent="0.25">
      <c r="A19" s="30" t="s">
        <v>1552</v>
      </c>
      <c r="B19" s="30" t="s">
        <v>94</v>
      </c>
      <c r="C19" s="31"/>
      <c r="D19" s="32">
        <v>0</v>
      </c>
      <c r="E19" s="32" t="e">
        <f>D19*#REF!</f>
        <v>#REF!</v>
      </c>
      <c r="F19" s="32" t="e">
        <f>D19*#REF!</f>
        <v>#REF!</v>
      </c>
      <c r="G19" s="32" t="e">
        <f>(D19*#REF!)*#REF!</f>
        <v>#REF!</v>
      </c>
      <c r="H19" s="131">
        <f t="shared" si="0"/>
        <v>0</v>
      </c>
      <c r="I19" s="32" t="e">
        <f t="shared" si="1"/>
        <v>#REF!</v>
      </c>
      <c r="J19" s="16"/>
      <c r="K19" s="31"/>
      <c r="L19" s="35">
        <v>0</v>
      </c>
      <c r="M19" s="35">
        <v>107</v>
      </c>
      <c r="N19" s="35">
        <v>0</v>
      </c>
      <c r="O19" s="35">
        <v>0</v>
      </c>
      <c r="P19" s="32">
        <f>O19/9*12</f>
        <v>0</v>
      </c>
      <c r="Q19" s="32">
        <v>0</v>
      </c>
      <c r="R19" s="7"/>
      <c r="S19" s="35">
        <f t="shared" si="3"/>
        <v>0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5.75" customHeight="1" x14ac:dyDescent="0.25">
      <c r="A20" s="30" t="s">
        <v>1553</v>
      </c>
      <c r="B20" s="30" t="s">
        <v>1554</v>
      </c>
      <c r="C20" s="31"/>
      <c r="D20" s="32">
        <v>-102304</v>
      </c>
      <c r="E20" s="32" t="e">
        <f>D20*#REF!</f>
        <v>#REF!</v>
      </c>
      <c r="F20" s="32" t="e">
        <f>D20*#REF!</f>
        <v>#REF!</v>
      </c>
      <c r="G20" s="32" t="e">
        <f>(D20*#REF!)*#REF!</f>
        <v>#REF!</v>
      </c>
      <c r="H20" s="131">
        <f t="shared" si="0"/>
        <v>0</v>
      </c>
      <c r="I20" s="32" t="e">
        <f t="shared" si="1"/>
        <v>#REF!</v>
      </c>
      <c r="J20" s="32">
        <v>6449</v>
      </c>
      <c r="K20" s="31"/>
      <c r="L20" s="35">
        <v>-178344</v>
      </c>
      <c r="M20" s="35">
        <v>-263587.95</v>
      </c>
      <c r="N20" s="35">
        <v>-177800</v>
      </c>
      <c r="O20" s="35">
        <v>-133904.39000000001</v>
      </c>
      <c r="P20" s="32">
        <f>SUM(P6:P19)*-0.31</f>
        <v>-168294.18363333333</v>
      </c>
      <c r="Q20" s="32">
        <v>-197746</v>
      </c>
      <c r="R20" s="35">
        <v>-191297</v>
      </c>
      <c r="S20" s="35">
        <f t="shared" si="3"/>
        <v>6449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5.75" customHeight="1" x14ac:dyDescent="0.25">
      <c r="A21" s="47" t="s">
        <v>1555</v>
      </c>
      <c r="B21" s="135"/>
      <c r="C21" s="136"/>
      <c r="D21" s="111">
        <f t="shared" ref="D21:G21" si="6">SUM(D5:D20)</f>
        <v>165227</v>
      </c>
      <c r="E21" s="111" t="e">
        <f t="shared" si="6"/>
        <v>#REF!</v>
      </c>
      <c r="F21" s="111" t="e">
        <f t="shared" si="6"/>
        <v>#REF!</v>
      </c>
      <c r="G21" s="111" t="e">
        <f t="shared" si="6"/>
        <v>#REF!</v>
      </c>
      <c r="H21" s="137">
        <f t="shared" si="0"/>
        <v>0</v>
      </c>
      <c r="I21" s="111" t="e">
        <f t="shared" ref="I21:J21" si="7">SUM(I6:I20)</f>
        <v>#REF!</v>
      </c>
      <c r="J21" s="111">
        <f t="shared" si="7"/>
        <v>-14351</v>
      </c>
      <c r="K21" s="136"/>
      <c r="L21" s="110">
        <f t="shared" ref="L21:S21" si="8">SUM(L5:L20)</f>
        <v>275717</v>
      </c>
      <c r="M21" s="110">
        <f t="shared" si="8"/>
        <v>267802.94</v>
      </c>
      <c r="N21" s="110">
        <f t="shared" si="8"/>
        <v>395513</v>
      </c>
      <c r="O21" s="110">
        <f t="shared" si="8"/>
        <v>270749.7699999999</v>
      </c>
      <c r="P21" s="111">
        <f t="shared" si="8"/>
        <v>374590.27970000007</v>
      </c>
      <c r="Q21" s="111">
        <f t="shared" si="8"/>
        <v>440142</v>
      </c>
      <c r="R21" s="110">
        <f t="shared" si="8"/>
        <v>425791</v>
      </c>
      <c r="S21" s="202">
        <f t="shared" si="8"/>
        <v>-14351</v>
      </c>
      <c r="V21" s="44"/>
      <c r="W21" s="44"/>
      <c r="X21" s="44"/>
      <c r="Y21" s="44"/>
      <c r="Z21" s="44"/>
      <c r="AA21" s="44"/>
      <c r="AB21" s="44"/>
      <c r="AC21" s="44"/>
      <c r="AD21" s="44"/>
      <c r="AE21" s="44"/>
    </row>
    <row r="22" spans="1:31" ht="15.75" customHeight="1" x14ac:dyDescent="0.25">
      <c r="A22" s="30"/>
      <c r="B22" s="30"/>
      <c r="C22" s="139"/>
      <c r="D22" s="140"/>
      <c r="E22" s="140"/>
      <c r="F22" s="140"/>
      <c r="G22" s="140"/>
      <c r="H22" s="141"/>
      <c r="I22" s="140"/>
      <c r="J22" s="140"/>
      <c r="K22" s="337"/>
      <c r="L22" s="176"/>
      <c r="M22" s="176"/>
      <c r="N22" s="176"/>
      <c r="O22" s="176"/>
      <c r="P22" s="176"/>
      <c r="Q22" s="176"/>
      <c r="R22" s="5"/>
      <c r="S22" s="5"/>
    </row>
    <row r="23" spans="1:31" ht="15.75" customHeight="1" x14ac:dyDescent="0.25">
      <c r="A23" s="144" t="s">
        <v>340</v>
      </c>
      <c r="B23" s="30"/>
      <c r="C23" s="139"/>
      <c r="D23" s="140"/>
      <c r="E23" s="140"/>
      <c r="F23" s="140"/>
      <c r="G23" s="140"/>
      <c r="H23" s="141"/>
      <c r="I23" s="140"/>
      <c r="J23" s="140"/>
      <c r="K23" s="337"/>
      <c r="L23" s="176"/>
      <c r="M23" s="176"/>
      <c r="N23" s="176"/>
      <c r="O23" s="176"/>
      <c r="P23" s="176"/>
      <c r="Q23" s="176"/>
      <c r="R23" s="5"/>
      <c r="S23" s="5"/>
    </row>
    <row r="24" spans="1:31" ht="15.75" customHeight="1" x14ac:dyDescent="0.25">
      <c r="A24" s="30" t="s">
        <v>1556</v>
      </c>
      <c r="B24" s="30" t="s">
        <v>180</v>
      </c>
      <c r="C24" s="31"/>
      <c r="D24" s="32">
        <v>17428</v>
      </c>
      <c r="E24" s="32" t="e">
        <f>D24*#REF!</f>
        <v>#REF!</v>
      </c>
      <c r="F24" s="32" t="e">
        <f>D24*#REF!</f>
        <v>#REF!</v>
      </c>
      <c r="G24" s="32" t="e">
        <f>(D24*#REF!)*#REF!</f>
        <v>#REF!</v>
      </c>
      <c r="H24" s="131">
        <f t="shared" ref="H24:H27" si="9">IFERROR(((Q24-G24)/G24),0)</f>
        <v>0</v>
      </c>
      <c r="I24" s="32" t="e">
        <f t="shared" ref="I24:I26" si="10">Q24-G24</f>
        <v>#REF!</v>
      </c>
      <c r="J24" s="16"/>
      <c r="K24" s="31"/>
      <c r="L24" s="35">
        <v>23997</v>
      </c>
      <c r="M24" s="35">
        <v>12041.24</v>
      </c>
      <c r="N24" s="35">
        <v>0</v>
      </c>
      <c r="O24" s="35">
        <v>0</v>
      </c>
      <c r="P24" s="32">
        <f>O24/9*12</f>
        <v>0</v>
      </c>
      <c r="Q24" s="32">
        <v>0</v>
      </c>
      <c r="R24" s="35">
        <v>0</v>
      </c>
      <c r="S24" s="35">
        <f t="shared" ref="S24:S26" si="11">R24-Q24</f>
        <v>0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5.75" customHeight="1" x14ac:dyDescent="0.25">
      <c r="A25" s="30" t="s">
        <v>1557</v>
      </c>
      <c r="B25" s="30" t="s">
        <v>532</v>
      </c>
      <c r="C25" s="31"/>
      <c r="D25" s="32">
        <v>0</v>
      </c>
      <c r="E25" s="32" t="e">
        <f>D25*#REF!</f>
        <v>#REF!</v>
      </c>
      <c r="F25" s="32" t="e">
        <f>D25*#REF!</f>
        <v>#REF!</v>
      </c>
      <c r="G25" s="32" t="e">
        <f>(D25*#REF!)*#REF!</f>
        <v>#REF!</v>
      </c>
      <c r="H25" s="131">
        <f t="shared" si="9"/>
        <v>0</v>
      </c>
      <c r="I25" s="32" t="e">
        <f t="shared" si="10"/>
        <v>#REF!</v>
      </c>
      <c r="J25" s="16"/>
      <c r="K25" s="31"/>
      <c r="L25" s="35">
        <v>39544</v>
      </c>
      <c r="M25" s="35">
        <v>245246.9</v>
      </c>
      <c r="N25" s="35">
        <v>78800</v>
      </c>
      <c r="O25" s="35">
        <f>5784.2+54374</f>
        <v>60158.2</v>
      </c>
      <c r="P25" s="38">
        <f>N25</f>
        <v>78800</v>
      </c>
      <c r="Q25" s="32">
        <v>16600</v>
      </c>
      <c r="R25" s="35">
        <v>16600</v>
      </c>
      <c r="S25" s="35">
        <f t="shared" si="11"/>
        <v>0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5.75" customHeight="1" x14ac:dyDescent="0.25">
      <c r="A26" s="30" t="s">
        <v>1558</v>
      </c>
      <c r="B26" s="30" t="s">
        <v>99</v>
      </c>
      <c r="C26" s="31"/>
      <c r="D26" s="32">
        <v>43354</v>
      </c>
      <c r="E26" s="32" t="e">
        <f>D26*#REF!</f>
        <v>#REF!</v>
      </c>
      <c r="F26" s="32" t="e">
        <f>D26*#REF!</f>
        <v>#REF!</v>
      </c>
      <c r="G26" s="32" t="e">
        <f>(D26*#REF!)*#REF!</f>
        <v>#REF!</v>
      </c>
      <c r="H26" s="131">
        <f t="shared" si="9"/>
        <v>0</v>
      </c>
      <c r="I26" s="32" t="e">
        <f t="shared" si="10"/>
        <v>#REF!</v>
      </c>
      <c r="J26" s="32">
        <v>-60000</v>
      </c>
      <c r="K26" s="31"/>
      <c r="L26" s="35">
        <v>56855</v>
      </c>
      <c r="M26" s="35">
        <v>61604.68</v>
      </c>
      <c r="N26" s="35">
        <v>16000</v>
      </c>
      <c r="O26" s="35">
        <f>18390</f>
        <v>18390</v>
      </c>
      <c r="P26" s="38">
        <f>O26</f>
        <v>18390</v>
      </c>
      <c r="Q26" s="32">
        <v>84600</v>
      </c>
      <c r="R26" s="35">
        <v>24600</v>
      </c>
      <c r="S26" s="35">
        <f t="shared" si="11"/>
        <v>-60000</v>
      </c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</row>
    <row r="27" spans="1:31" ht="15.75" customHeight="1" x14ac:dyDescent="0.25">
      <c r="A27" s="47" t="s">
        <v>1559</v>
      </c>
      <c r="B27" s="135"/>
      <c r="C27" s="136"/>
      <c r="D27" s="111">
        <f t="shared" ref="D27:G27" si="12">SUM(D24:D26)</f>
        <v>60782</v>
      </c>
      <c r="E27" s="111" t="e">
        <f t="shared" si="12"/>
        <v>#REF!</v>
      </c>
      <c r="F27" s="111" t="e">
        <f t="shared" si="12"/>
        <v>#REF!</v>
      </c>
      <c r="G27" s="111" t="e">
        <f t="shared" si="12"/>
        <v>#REF!</v>
      </c>
      <c r="H27" s="137">
        <f t="shared" si="9"/>
        <v>0</v>
      </c>
      <c r="I27" s="111" t="e">
        <f t="shared" ref="I27:J27" si="13">SUM(I24:I26)</f>
        <v>#REF!</v>
      </c>
      <c r="J27" s="111">
        <f t="shared" si="13"/>
        <v>-60000</v>
      </c>
      <c r="K27" s="136"/>
      <c r="L27" s="110">
        <f t="shared" ref="L27:S27" si="14">SUM(L24:L26)</f>
        <v>120396</v>
      </c>
      <c r="M27" s="110">
        <f t="shared" si="14"/>
        <v>318892.82</v>
      </c>
      <c r="N27" s="110">
        <f t="shared" si="14"/>
        <v>94800</v>
      </c>
      <c r="O27" s="110">
        <f t="shared" si="14"/>
        <v>78548.2</v>
      </c>
      <c r="P27" s="111">
        <f t="shared" si="14"/>
        <v>97190</v>
      </c>
      <c r="Q27" s="111">
        <f t="shared" si="14"/>
        <v>101200</v>
      </c>
      <c r="R27" s="110">
        <f t="shared" si="14"/>
        <v>41200</v>
      </c>
      <c r="S27" s="110">
        <f t="shared" si="14"/>
        <v>-60000</v>
      </c>
    </row>
    <row r="28" spans="1:31" ht="15.75" customHeight="1" x14ac:dyDescent="0.25">
      <c r="A28" s="30"/>
      <c r="B28" s="30"/>
      <c r="C28" s="139"/>
      <c r="D28" s="140"/>
      <c r="E28" s="140"/>
      <c r="F28" s="140"/>
      <c r="G28" s="140"/>
      <c r="H28" s="141"/>
      <c r="I28" s="23"/>
      <c r="J28" s="142"/>
      <c r="K28" s="337"/>
      <c r="L28" s="176"/>
      <c r="M28" s="176"/>
      <c r="N28" s="176"/>
      <c r="O28" s="176"/>
      <c r="P28" s="176"/>
      <c r="Q28" s="176"/>
      <c r="R28" s="5"/>
      <c r="S28" s="5"/>
    </row>
    <row r="29" spans="1:31" ht="15.75" customHeight="1" x14ac:dyDescent="0.25">
      <c r="A29" s="47" t="s">
        <v>101</v>
      </c>
      <c r="B29" s="135"/>
      <c r="C29" s="136"/>
      <c r="D29" s="111">
        <f t="shared" ref="D29:G29" si="15">SUM(D27)+D21</f>
        <v>226009</v>
      </c>
      <c r="E29" s="111" t="e">
        <f t="shared" si="15"/>
        <v>#REF!</v>
      </c>
      <c r="F29" s="111" t="e">
        <f t="shared" si="15"/>
        <v>#REF!</v>
      </c>
      <c r="G29" s="111" t="e">
        <f t="shared" si="15"/>
        <v>#REF!</v>
      </c>
      <c r="H29" s="137">
        <f>IFERROR(((Q29-G29)/G29),0)</f>
        <v>0</v>
      </c>
      <c r="I29" s="111" t="e">
        <f>Q29-G29</f>
        <v>#REF!</v>
      </c>
      <c r="J29" s="111">
        <f>SUM(J27)+J21</f>
        <v>-74351</v>
      </c>
      <c r="K29" s="136"/>
      <c r="L29" s="110">
        <f t="shared" ref="L29:S29" si="16">SUM(L27)+L21</f>
        <v>396113</v>
      </c>
      <c r="M29" s="110">
        <f t="shared" si="16"/>
        <v>586695.76</v>
      </c>
      <c r="N29" s="110">
        <f t="shared" si="16"/>
        <v>490313</v>
      </c>
      <c r="O29" s="110">
        <f t="shared" si="16"/>
        <v>349297.96999999991</v>
      </c>
      <c r="P29" s="111">
        <f t="shared" si="16"/>
        <v>471780.27970000007</v>
      </c>
      <c r="Q29" s="111">
        <f t="shared" si="16"/>
        <v>541342</v>
      </c>
      <c r="R29" s="110">
        <f t="shared" si="16"/>
        <v>466991</v>
      </c>
      <c r="S29" s="110">
        <f t="shared" si="16"/>
        <v>-74351</v>
      </c>
    </row>
    <row r="30" spans="1:31" ht="15.75" customHeight="1" x14ac:dyDescent="0.25">
      <c r="A30" s="138"/>
      <c r="B30" s="138"/>
      <c r="C30" s="340"/>
      <c r="D30" s="162"/>
      <c r="E30" s="162"/>
      <c r="F30" s="162"/>
      <c r="G30" s="162"/>
      <c r="H30" s="138"/>
      <c r="I30" s="162"/>
      <c r="J30" s="162"/>
      <c r="K30" s="342"/>
      <c r="L30" s="162"/>
      <c r="M30" s="162"/>
      <c r="N30" s="162"/>
      <c r="O30" s="162"/>
      <c r="P30" s="162"/>
      <c r="Q30" s="162"/>
    </row>
    <row r="31" spans="1:31" ht="15.75" customHeight="1" x14ac:dyDescent="0.25">
      <c r="C31" s="424"/>
      <c r="D31" s="162"/>
      <c r="E31" s="162"/>
      <c r="F31" s="162"/>
      <c r="G31" s="162"/>
      <c r="I31" s="162"/>
      <c r="J31" s="162"/>
      <c r="K31" s="342"/>
      <c r="L31" s="373" t="s">
        <v>102</v>
      </c>
      <c r="M31" s="61" t="s">
        <v>59</v>
      </c>
      <c r="N31" s="173" t="s">
        <v>60</v>
      </c>
      <c r="O31" s="173" t="s">
        <v>61</v>
      </c>
      <c r="P31" s="173" t="s">
        <v>62</v>
      </c>
      <c r="Q31" s="173" t="s">
        <v>63</v>
      </c>
      <c r="R31" s="173" t="s">
        <v>64</v>
      </c>
      <c r="S31" s="173" t="s">
        <v>65</v>
      </c>
    </row>
    <row r="32" spans="1:31" ht="15.75" customHeight="1" x14ac:dyDescent="0.25">
      <c r="C32" s="424"/>
      <c r="D32" s="162"/>
      <c r="E32" s="162"/>
      <c r="F32" s="162"/>
      <c r="G32" s="162"/>
      <c r="I32" s="162"/>
      <c r="J32" s="162"/>
      <c r="K32" s="342"/>
      <c r="L32" s="372" t="s">
        <v>103</v>
      </c>
      <c r="M32" s="7">
        <f t="shared" ref="M32:S32" si="17">L29</f>
        <v>396113</v>
      </c>
      <c r="N32" s="7">
        <f t="shared" si="17"/>
        <v>586695.76</v>
      </c>
      <c r="O32" s="7">
        <f t="shared" si="17"/>
        <v>490313</v>
      </c>
      <c r="P32" s="7">
        <f t="shared" si="17"/>
        <v>349297.96999999991</v>
      </c>
      <c r="Q32" s="7">
        <f t="shared" si="17"/>
        <v>471780.27970000007</v>
      </c>
      <c r="R32" s="7">
        <f t="shared" si="17"/>
        <v>541342</v>
      </c>
      <c r="S32" s="7">
        <f t="shared" si="17"/>
        <v>466991</v>
      </c>
    </row>
    <row r="33" spans="2:17" ht="15.75" customHeight="1" x14ac:dyDescent="0.25">
      <c r="C33" s="424"/>
      <c r="D33" s="162"/>
      <c r="E33" s="162"/>
      <c r="F33" s="162"/>
      <c r="G33" s="162"/>
      <c r="I33" s="162"/>
      <c r="J33" s="162"/>
      <c r="K33" s="342"/>
      <c r="L33" s="162"/>
      <c r="M33" s="162"/>
      <c r="N33" s="162"/>
      <c r="O33" s="162"/>
      <c r="P33" s="425"/>
    </row>
    <row r="34" spans="2:17" ht="15.75" customHeight="1" x14ac:dyDescent="0.25">
      <c r="C34" s="424"/>
      <c r="D34" s="162"/>
      <c r="E34" s="162"/>
      <c r="F34" s="162"/>
      <c r="G34" s="162"/>
      <c r="I34" s="162"/>
      <c r="J34" s="162"/>
      <c r="K34" s="342"/>
      <c r="L34" s="162"/>
      <c r="M34" s="162"/>
      <c r="N34" s="162"/>
      <c r="O34" s="162"/>
      <c r="P34" s="162"/>
      <c r="Q34" s="162"/>
    </row>
    <row r="35" spans="2:17" ht="15.75" customHeight="1" x14ac:dyDescent="0.25">
      <c r="B35" s="94"/>
      <c r="C35" s="58"/>
      <c r="D35" s="426"/>
      <c r="E35" s="426"/>
      <c r="F35" s="162"/>
      <c r="G35" s="162"/>
      <c r="I35" s="162"/>
      <c r="J35" s="162"/>
      <c r="K35" s="342"/>
      <c r="L35" s="162"/>
      <c r="M35" s="162"/>
      <c r="N35" s="162"/>
      <c r="O35" s="162"/>
      <c r="P35" s="162"/>
      <c r="Q35" s="162"/>
    </row>
    <row r="36" spans="2:17" ht="15.75" customHeight="1" x14ac:dyDescent="0.25">
      <c r="B36" s="62"/>
      <c r="C36" s="180"/>
      <c r="D36" s="162"/>
      <c r="E36" s="162"/>
      <c r="F36" s="162"/>
      <c r="G36" s="162"/>
      <c r="I36" s="162"/>
      <c r="J36" s="162"/>
      <c r="K36" s="342"/>
      <c r="L36" s="162"/>
      <c r="M36" s="162"/>
      <c r="N36" s="162"/>
      <c r="O36" s="162"/>
      <c r="P36" s="162"/>
      <c r="Q36" s="162"/>
    </row>
    <row r="37" spans="2:17" ht="15.75" customHeight="1" x14ac:dyDescent="0.25">
      <c r="C37" s="424"/>
      <c r="D37" s="162"/>
      <c r="E37" s="162"/>
      <c r="F37" s="162"/>
      <c r="G37" s="162"/>
      <c r="I37" s="162"/>
      <c r="J37" s="162"/>
      <c r="K37" s="342"/>
      <c r="L37" s="162"/>
      <c r="M37" s="162"/>
      <c r="N37" s="162"/>
      <c r="O37" s="162"/>
      <c r="P37" s="162"/>
      <c r="Q37" s="162"/>
    </row>
    <row r="38" spans="2:17" ht="15.75" customHeight="1" x14ac:dyDescent="0.25">
      <c r="C38" s="424"/>
      <c r="D38" s="162"/>
      <c r="E38" s="162"/>
      <c r="F38" s="162"/>
      <c r="G38" s="162"/>
      <c r="I38" s="162"/>
      <c r="J38" s="162"/>
      <c r="K38" s="342"/>
      <c r="L38" s="162"/>
      <c r="M38" s="162"/>
      <c r="N38" s="162"/>
      <c r="O38" s="162"/>
      <c r="P38" s="162"/>
      <c r="Q38" s="162"/>
    </row>
    <row r="39" spans="2:17" ht="15.75" customHeight="1" x14ac:dyDescent="0.25">
      <c r="C39" s="424"/>
      <c r="D39" s="162"/>
      <c r="E39" s="162"/>
      <c r="F39" s="162"/>
      <c r="G39" s="162"/>
      <c r="I39" s="162"/>
      <c r="J39" s="162"/>
      <c r="K39" s="342"/>
      <c r="L39" s="162"/>
      <c r="M39" s="162"/>
      <c r="N39" s="162"/>
      <c r="O39" s="162"/>
      <c r="P39" s="162"/>
      <c r="Q39" s="162"/>
    </row>
    <row r="40" spans="2:17" ht="15.75" customHeight="1" x14ac:dyDescent="0.25">
      <c r="C40" s="424"/>
      <c r="D40" s="162"/>
      <c r="E40" s="162"/>
      <c r="F40" s="162"/>
      <c r="G40" s="162"/>
      <c r="I40" s="162"/>
      <c r="J40" s="162"/>
      <c r="K40" s="342"/>
      <c r="L40" s="162"/>
      <c r="M40" s="162"/>
      <c r="N40" s="162"/>
      <c r="O40" s="162"/>
      <c r="P40" s="162"/>
      <c r="Q40" s="162"/>
    </row>
    <row r="41" spans="2:17" ht="15.75" customHeight="1" x14ac:dyDescent="0.25">
      <c r="C41" s="424"/>
      <c r="D41" s="162"/>
      <c r="E41" s="162"/>
      <c r="F41" s="162"/>
      <c r="G41" s="162"/>
      <c r="I41" s="162"/>
      <c r="J41" s="162"/>
      <c r="K41" s="342"/>
      <c r="L41" s="162"/>
      <c r="M41" s="162"/>
      <c r="N41" s="162"/>
      <c r="O41" s="162"/>
      <c r="P41" s="162"/>
      <c r="Q41" s="162"/>
    </row>
    <row r="42" spans="2:17" ht="15.75" customHeight="1" x14ac:dyDescent="0.25">
      <c r="C42" s="424"/>
      <c r="D42" s="162"/>
      <c r="E42" s="162"/>
      <c r="F42" s="162"/>
      <c r="G42" s="162"/>
      <c r="I42" s="162"/>
      <c r="J42" s="162"/>
      <c r="K42" s="342"/>
      <c r="L42" s="162"/>
      <c r="M42" s="162"/>
      <c r="N42" s="162"/>
      <c r="O42" s="162"/>
      <c r="P42" s="162"/>
      <c r="Q42" s="162"/>
    </row>
    <row r="43" spans="2:17" ht="15.75" customHeight="1" x14ac:dyDescent="0.25">
      <c r="C43" s="424"/>
      <c r="D43" s="162"/>
      <c r="E43" s="162"/>
      <c r="F43" s="162"/>
      <c r="G43" s="162"/>
      <c r="I43" s="162"/>
      <c r="J43" s="162"/>
      <c r="K43" s="342"/>
      <c r="L43" s="162"/>
      <c r="M43" s="162"/>
      <c r="N43" s="162"/>
      <c r="O43" s="162"/>
      <c r="P43" s="162"/>
      <c r="Q43" s="162"/>
    </row>
    <row r="44" spans="2:17" ht="15.75" customHeight="1" x14ac:dyDescent="0.25">
      <c r="C44" s="424"/>
      <c r="D44" s="162"/>
      <c r="E44" s="162"/>
      <c r="F44" s="162"/>
      <c r="G44" s="162"/>
      <c r="I44" s="162"/>
      <c r="J44" s="162"/>
      <c r="K44" s="342"/>
      <c r="L44" s="162"/>
      <c r="M44" s="162"/>
      <c r="N44" s="162"/>
      <c r="O44" s="162"/>
      <c r="P44" s="162"/>
      <c r="Q44" s="162"/>
    </row>
    <row r="45" spans="2:17" ht="15.75" customHeight="1" x14ac:dyDescent="0.25">
      <c r="C45" s="424"/>
      <c r="D45" s="162"/>
      <c r="E45" s="162"/>
      <c r="F45" s="162"/>
      <c r="G45" s="162"/>
      <c r="I45" s="162"/>
      <c r="J45" s="162"/>
      <c r="K45" s="342"/>
      <c r="L45" s="162"/>
      <c r="M45" s="162"/>
      <c r="N45" s="162"/>
      <c r="O45" s="162"/>
      <c r="P45" s="162"/>
      <c r="Q45" s="162"/>
    </row>
    <row r="46" spans="2:17" ht="15.75" customHeight="1" x14ac:dyDescent="0.25">
      <c r="C46" s="424"/>
      <c r="D46" s="162"/>
      <c r="E46" s="162"/>
      <c r="F46" s="162"/>
      <c r="G46" s="162"/>
      <c r="I46" s="162"/>
      <c r="J46" s="162"/>
      <c r="K46" s="342"/>
      <c r="L46" s="162"/>
      <c r="M46" s="162"/>
      <c r="N46" s="162"/>
      <c r="O46" s="162"/>
      <c r="P46" s="162"/>
      <c r="Q46" s="162"/>
    </row>
    <row r="47" spans="2:17" ht="15.75" customHeight="1" x14ac:dyDescent="0.25">
      <c r="C47" s="424"/>
      <c r="D47" s="162"/>
      <c r="E47" s="162"/>
      <c r="F47" s="162"/>
      <c r="G47" s="162"/>
      <c r="I47" s="162"/>
      <c r="J47" s="162"/>
      <c r="K47" s="342"/>
      <c r="L47" s="162"/>
      <c r="M47" s="162"/>
      <c r="N47" s="162"/>
      <c r="O47" s="162"/>
      <c r="P47" s="162"/>
      <c r="Q47" s="162"/>
    </row>
    <row r="48" spans="2:17" ht="15.75" customHeight="1" x14ac:dyDescent="0.25">
      <c r="C48" s="424"/>
      <c r="D48" s="162"/>
      <c r="E48" s="162"/>
      <c r="F48" s="162"/>
      <c r="G48" s="162"/>
      <c r="I48" s="162"/>
      <c r="J48" s="162"/>
      <c r="K48" s="342"/>
      <c r="L48" s="162"/>
      <c r="M48" s="162"/>
      <c r="N48" s="162"/>
      <c r="O48" s="162"/>
      <c r="P48" s="162"/>
      <c r="Q48" s="162"/>
    </row>
    <row r="49" spans="3:17" ht="15.75" customHeight="1" x14ac:dyDescent="0.25">
      <c r="C49" s="424"/>
      <c r="D49" s="162"/>
      <c r="E49" s="162"/>
      <c r="F49" s="162"/>
      <c r="G49" s="162"/>
      <c r="I49" s="162"/>
      <c r="J49" s="162"/>
      <c r="K49" s="342"/>
      <c r="L49" s="162"/>
      <c r="M49" s="162"/>
      <c r="N49" s="162"/>
      <c r="O49" s="162"/>
      <c r="P49" s="162"/>
      <c r="Q49" s="162"/>
    </row>
    <row r="50" spans="3:17" ht="15.75" customHeight="1" x14ac:dyDescent="0.25">
      <c r="C50" s="424"/>
      <c r="D50" s="162"/>
      <c r="E50" s="162"/>
      <c r="F50" s="162"/>
      <c r="G50" s="162"/>
      <c r="I50" s="162"/>
      <c r="J50" s="162"/>
      <c r="K50" s="342"/>
      <c r="L50" s="162"/>
      <c r="M50" s="162"/>
      <c r="N50" s="162"/>
      <c r="O50" s="162"/>
      <c r="P50" s="162"/>
      <c r="Q50" s="162"/>
    </row>
    <row r="51" spans="3:17" ht="15.75" customHeight="1" x14ac:dyDescent="0.25">
      <c r="C51" s="424"/>
      <c r="D51" s="162"/>
      <c r="E51" s="162"/>
      <c r="F51" s="162"/>
      <c r="G51" s="162"/>
      <c r="I51" s="162"/>
      <c r="J51" s="162"/>
      <c r="K51" s="342"/>
      <c r="L51" s="162"/>
      <c r="M51" s="162"/>
      <c r="N51" s="162"/>
      <c r="O51" s="162"/>
      <c r="P51" s="162"/>
      <c r="Q51" s="162"/>
    </row>
    <row r="52" spans="3:17" ht="15.75" customHeight="1" x14ac:dyDescent="0.25">
      <c r="C52" s="424"/>
      <c r="D52" s="162"/>
      <c r="E52" s="162"/>
      <c r="F52" s="162"/>
      <c r="G52" s="162"/>
      <c r="I52" s="162"/>
      <c r="J52" s="162"/>
      <c r="K52" s="342"/>
      <c r="L52" s="162"/>
      <c r="M52" s="162"/>
      <c r="N52" s="162"/>
      <c r="O52" s="162"/>
      <c r="P52" s="162"/>
      <c r="Q52" s="162"/>
    </row>
    <row r="53" spans="3:17" ht="15.75" customHeight="1" x14ac:dyDescent="0.25">
      <c r="C53" s="424"/>
      <c r="D53" s="162"/>
      <c r="E53" s="162"/>
      <c r="F53" s="162"/>
      <c r="G53" s="162"/>
      <c r="I53" s="162"/>
      <c r="J53" s="162"/>
      <c r="K53" s="342"/>
      <c r="L53" s="162"/>
      <c r="M53" s="162"/>
      <c r="N53" s="162"/>
      <c r="O53" s="162"/>
      <c r="P53" s="162"/>
      <c r="Q53" s="162"/>
    </row>
    <row r="54" spans="3:17" ht="15.75" customHeight="1" x14ac:dyDescent="0.25">
      <c r="C54" s="424"/>
      <c r="D54" s="162"/>
      <c r="E54" s="162"/>
      <c r="F54" s="162"/>
      <c r="G54" s="162"/>
      <c r="I54" s="162"/>
      <c r="J54" s="162"/>
      <c r="K54" s="342"/>
      <c r="L54" s="162"/>
      <c r="M54" s="162"/>
      <c r="N54" s="162"/>
      <c r="O54" s="162"/>
      <c r="P54" s="162"/>
      <c r="Q54" s="162"/>
    </row>
    <row r="55" spans="3:17" ht="15.75" customHeight="1" x14ac:dyDescent="0.25">
      <c r="C55" s="424"/>
      <c r="D55" s="162"/>
      <c r="E55" s="162"/>
      <c r="F55" s="162"/>
      <c r="G55" s="162"/>
      <c r="I55" s="162"/>
      <c r="J55" s="162"/>
      <c r="K55" s="342"/>
      <c r="L55" s="162"/>
      <c r="M55" s="162"/>
      <c r="N55" s="162"/>
      <c r="O55" s="162"/>
      <c r="P55" s="162"/>
      <c r="Q55" s="162"/>
    </row>
    <row r="56" spans="3:17" ht="15.75" customHeight="1" x14ac:dyDescent="0.25">
      <c r="C56" s="424"/>
      <c r="D56" s="162"/>
      <c r="E56" s="162"/>
      <c r="F56" s="162"/>
      <c r="G56" s="162"/>
      <c r="I56" s="162"/>
      <c r="J56" s="162"/>
      <c r="K56" s="342"/>
      <c r="L56" s="162"/>
      <c r="M56" s="162"/>
      <c r="N56" s="162"/>
      <c r="O56" s="162"/>
      <c r="P56" s="162"/>
      <c r="Q56" s="162"/>
    </row>
    <row r="57" spans="3:17" ht="15.75" customHeight="1" x14ac:dyDescent="0.25">
      <c r="C57" s="424"/>
      <c r="D57" s="162"/>
      <c r="E57" s="162"/>
      <c r="F57" s="162"/>
      <c r="G57" s="162"/>
      <c r="I57" s="162"/>
      <c r="J57" s="162"/>
      <c r="K57" s="342"/>
      <c r="L57" s="162"/>
      <c r="M57" s="162"/>
      <c r="N57" s="162"/>
      <c r="O57" s="162"/>
      <c r="P57" s="162"/>
      <c r="Q57" s="162"/>
    </row>
    <row r="58" spans="3:17" ht="15.75" customHeight="1" x14ac:dyDescent="0.25">
      <c r="C58" s="424"/>
      <c r="D58" s="162"/>
      <c r="E58" s="162"/>
      <c r="F58" s="162"/>
      <c r="G58" s="162"/>
      <c r="I58" s="162"/>
      <c r="J58" s="162"/>
      <c r="K58" s="342"/>
      <c r="L58" s="162"/>
      <c r="M58" s="162"/>
      <c r="N58" s="162"/>
      <c r="O58" s="162"/>
      <c r="P58" s="162"/>
      <c r="Q58" s="162"/>
    </row>
    <row r="59" spans="3:17" ht="15.75" customHeight="1" x14ac:dyDescent="0.25">
      <c r="C59" s="424"/>
      <c r="D59" s="162"/>
      <c r="E59" s="162"/>
      <c r="F59" s="162"/>
      <c r="G59" s="162"/>
      <c r="I59" s="162"/>
      <c r="J59" s="162"/>
      <c r="K59" s="342"/>
      <c r="L59" s="162"/>
      <c r="M59" s="162"/>
      <c r="N59" s="162"/>
      <c r="O59" s="162"/>
      <c r="P59" s="162"/>
      <c r="Q59" s="162"/>
    </row>
    <row r="60" spans="3:17" ht="15.75" customHeight="1" x14ac:dyDescent="0.25">
      <c r="C60" s="424"/>
      <c r="D60" s="162"/>
      <c r="E60" s="162"/>
      <c r="F60" s="162"/>
      <c r="G60" s="162"/>
      <c r="I60" s="162"/>
      <c r="J60" s="162"/>
      <c r="K60" s="342"/>
      <c r="L60" s="162"/>
      <c r="M60" s="162"/>
      <c r="N60" s="162"/>
      <c r="O60" s="162"/>
      <c r="P60" s="162"/>
      <c r="Q60" s="162"/>
    </row>
    <row r="61" spans="3:17" ht="15.75" customHeight="1" x14ac:dyDescent="0.25">
      <c r="C61" s="424"/>
      <c r="D61" s="162"/>
      <c r="E61" s="162"/>
      <c r="F61" s="162"/>
      <c r="G61" s="162"/>
      <c r="I61" s="162"/>
      <c r="J61" s="162"/>
      <c r="K61" s="342"/>
      <c r="L61" s="162"/>
      <c r="M61" s="162"/>
      <c r="N61" s="162"/>
      <c r="O61" s="162"/>
      <c r="P61" s="162"/>
      <c r="Q61" s="162"/>
    </row>
    <row r="62" spans="3:17" ht="15.75" customHeight="1" x14ac:dyDescent="0.25">
      <c r="C62" s="424"/>
      <c r="D62" s="162"/>
      <c r="E62" s="162"/>
      <c r="F62" s="162"/>
      <c r="G62" s="162"/>
      <c r="I62" s="162"/>
      <c r="J62" s="162"/>
      <c r="K62" s="342"/>
      <c r="L62" s="162"/>
      <c r="M62" s="162"/>
      <c r="N62" s="162"/>
      <c r="O62" s="162"/>
      <c r="P62" s="162"/>
      <c r="Q62" s="162"/>
    </row>
    <row r="63" spans="3:17" ht="15.75" customHeight="1" x14ac:dyDescent="0.25">
      <c r="C63" s="424"/>
      <c r="D63" s="162"/>
      <c r="E63" s="162"/>
      <c r="F63" s="162"/>
      <c r="G63" s="162"/>
      <c r="I63" s="162"/>
      <c r="J63" s="162"/>
      <c r="K63" s="342"/>
      <c r="L63" s="162"/>
      <c r="M63" s="162"/>
      <c r="N63" s="162"/>
      <c r="O63" s="162"/>
      <c r="P63" s="162"/>
      <c r="Q63" s="162"/>
    </row>
    <row r="64" spans="3:17" ht="15.75" customHeight="1" x14ac:dyDescent="0.25">
      <c r="C64" s="424"/>
      <c r="D64" s="162"/>
      <c r="E64" s="162"/>
      <c r="F64" s="162"/>
      <c r="G64" s="162"/>
      <c r="I64" s="162"/>
      <c r="J64" s="162"/>
      <c r="K64" s="342"/>
      <c r="L64" s="162"/>
      <c r="M64" s="162"/>
      <c r="N64" s="162"/>
      <c r="O64" s="162"/>
      <c r="P64" s="162"/>
      <c r="Q64" s="162"/>
    </row>
    <row r="65" spans="1:17" ht="15.75" customHeight="1" x14ac:dyDescent="0.25">
      <c r="C65" s="424"/>
      <c r="D65" s="162"/>
      <c r="E65" s="162"/>
      <c r="F65" s="162"/>
      <c r="G65" s="162"/>
      <c r="I65" s="162"/>
      <c r="J65" s="162"/>
      <c r="K65" s="342"/>
      <c r="L65" s="162"/>
      <c r="M65" s="162"/>
      <c r="N65" s="162"/>
      <c r="O65" s="162"/>
      <c r="P65" s="162"/>
      <c r="Q65" s="162"/>
    </row>
    <row r="66" spans="1:17" ht="15.75" customHeight="1" x14ac:dyDescent="0.25">
      <c r="C66" s="424"/>
      <c r="D66" s="162"/>
      <c r="E66" s="162"/>
      <c r="F66" s="162"/>
      <c r="G66" s="162"/>
      <c r="I66" s="162"/>
      <c r="J66" s="162"/>
      <c r="K66" s="342"/>
      <c r="L66" s="162"/>
      <c r="M66" s="162"/>
      <c r="N66" s="162"/>
      <c r="O66" s="162"/>
      <c r="P66" s="162"/>
      <c r="Q66" s="162"/>
    </row>
    <row r="67" spans="1:17" ht="15.75" customHeight="1" collapsed="1" x14ac:dyDescent="0.25">
      <c r="C67" s="424"/>
      <c r="D67" s="162"/>
      <c r="E67" s="162"/>
      <c r="F67" s="162"/>
      <c r="G67" s="162"/>
      <c r="I67" s="162"/>
      <c r="J67" s="162"/>
      <c r="K67" s="342"/>
      <c r="L67" s="162"/>
      <c r="M67" s="162"/>
      <c r="N67" s="162"/>
      <c r="O67" s="162"/>
      <c r="P67" s="162"/>
      <c r="Q67" s="162"/>
    </row>
    <row r="68" spans="1:17" ht="15.75" hidden="1" customHeight="1" outlineLevel="1" x14ac:dyDescent="0.25">
      <c r="C68" s="424"/>
      <c r="D68" s="162"/>
      <c r="E68" s="162"/>
      <c r="F68" s="162"/>
      <c r="G68" s="162"/>
      <c r="I68" s="162"/>
      <c r="J68" s="162"/>
      <c r="K68" s="342"/>
      <c r="L68" s="162"/>
      <c r="M68" s="162"/>
      <c r="N68" s="162"/>
      <c r="O68" s="162"/>
      <c r="P68" s="162"/>
      <c r="Q68" s="162"/>
    </row>
    <row r="69" spans="1:17" ht="15.75" hidden="1" customHeight="1" outlineLevel="1" x14ac:dyDescent="0.25">
      <c r="A69" s="3" t="s">
        <v>50</v>
      </c>
      <c r="B69" s="3" t="s">
        <v>51</v>
      </c>
      <c r="C69" s="427"/>
      <c r="D69" s="4" t="s">
        <v>52</v>
      </c>
      <c r="E69" s="4" t="s">
        <v>1560</v>
      </c>
      <c r="F69" s="4" t="s">
        <v>1561</v>
      </c>
      <c r="G69" s="4" t="s">
        <v>438</v>
      </c>
      <c r="I69" s="162"/>
      <c r="J69" s="162"/>
      <c r="K69" s="342"/>
      <c r="L69" s="162"/>
      <c r="M69" s="371" t="s">
        <v>56</v>
      </c>
      <c r="N69" s="162"/>
      <c r="O69" s="162"/>
      <c r="P69" s="162"/>
      <c r="Q69" s="162"/>
    </row>
    <row r="70" spans="1:17" ht="15.75" hidden="1" customHeight="1" outlineLevel="1" x14ac:dyDescent="0.3">
      <c r="A70" s="66" t="s">
        <v>523</v>
      </c>
      <c r="B70" s="66"/>
      <c r="C70" s="428"/>
      <c r="D70" s="65"/>
      <c r="E70" s="65"/>
      <c r="F70" s="65"/>
      <c r="G70" s="65"/>
      <c r="I70" s="162"/>
      <c r="J70" s="162"/>
      <c r="K70" s="342"/>
      <c r="L70" s="162"/>
      <c r="M70" s="425"/>
      <c r="N70" s="162"/>
      <c r="O70" s="162"/>
      <c r="P70" s="162"/>
      <c r="Q70" s="162"/>
    </row>
    <row r="71" spans="1:17" ht="15.75" hidden="1" customHeight="1" outlineLevel="1" x14ac:dyDescent="0.3">
      <c r="A71" s="66" t="s">
        <v>1539</v>
      </c>
      <c r="B71" s="66" t="s">
        <v>68</v>
      </c>
      <c r="C71" s="429"/>
      <c r="D71" s="20">
        <v>63675</v>
      </c>
      <c r="E71" s="20">
        <f t="shared" ref="E71:E89" si="18">SUM(D71*19%)</f>
        <v>12098.25</v>
      </c>
      <c r="F71" s="20">
        <f t="shared" ref="F71:F89" si="19">SUM(D71+E71)</f>
        <v>75773.25</v>
      </c>
      <c r="G71" s="20">
        <v>191000</v>
      </c>
      <c r="I71" s="162"/>
      <c r="J71" s="162"/>
      <c r="K71" s="342"/>
      <c r="L71" s="162"/>
      <c r="M71" s="425">
        <f t="shared" ref="M71:M89" si="20">IFERROR(G71/F71,0)</f>
        <v>2.5206784716242208</v>
      </c>
      <c r="N71" s="162"/>
      <c r="O71" s="162"/>
      <c r="P71" s="162"/>
      <c r="Q71" s="162" t="s">
        <v>1562</v>
      </c>
    </row>
    <row r="72" spans="1:17" ht="15.75" hidden="1" customHeight="1" outlineLevel="1" x14ac:dyDescent="0.3">
      <c r="A72" s="66" t="s">
        <v>1540</v>
      </c>
      <c r="B72" s="66" t="s">
        <v>70</v>
      </c>
      <c r="C72" s="429"/>
      <c r="D72" s="20">
        <v>0</v>
      </c>
      <c r="E72" s="20">
        <f t="shared" si="18"/>
        <v>0</v>
      </c>
      <c r="F72" s="20">
        <f t="shared" si="19"/>
        <v>0</v>
      </c>
      <c r="G72" s="20">
        <v>5000</v>
      </c>
      <c r="I72" s="162"/>
      <c r="J72" s="162"/>
      <c r="K72" s="342"/>
      <c r="L72" s="162"/>
      <c r="M72" s="425">
        <f t="shared" si="20"/>
        <v>0</v>
      </c>
      <c r="N72" s="162"/>
      <c r="O72" s="162"/>
      <c r="P72" s="162"/>
      <c r="Q72" s="162" t="s">
        <v>1563</v>
      </c>
    </row>
    <row r="73" spans="1:17" ht="15.75" hidden="1" customHeight="1" outlineLevel="1" x14ac:dyDescent="0.3">
      <c r="A73" s="66" t="s">
        <v>1541</v>
      </c>
      <c r="B73" s="66" t="s">
        <v>132</v>
      </c>
      <c r="C73" s="429"/>
      <c r="D73" s="20">
        <v>56059</v>
      </c>
      <c r="E73" s="20">
        <f t="shared" si="18"/>
        <v>10651.210000000001</v>
      </c>
      <c r="F73" s="20">
        <f t="shared" si="19"/>
        <v>66710.210000000006</v>
      </c>
      <c r="G73" s="20">
        <v>131100</v>
      </c>
      <c r="I73" s="162"/>
      <c r="J73" s="162"/>
      <c r="K73" s="342"/>
      <c r="L73" s="162"/>
      <c r="M73" s="425">
        <f t="shared" si="20"/>
        <v>1.965216418895998</v>
      </c>
      <c r="N73" s="162"/>
      <c r="O73" s="162"/>
      <c r="P73" s="162"/>
      <c r="Q73" s="162" t="s">
        <v>1564</v>
      </c>
    </row>
    <row r="74" spans="1:17" ht="15.75" hidden="1" customHeight="1" outlineLevel="1" x14ac:dyDescent="0.3">
      <c r="A74" s="66" t="s">
        <v>1542</v>
      </c>
      <c r="B74" s="66" t="s">
        <v>108</v>
      </c>
      <c r="C74" s="429"/>
      <c r="D74" s="20">
        <v>0</v>
      </c>
      <c r="E74" s="20">
        <f t="shared" si="18"/>
        <v>0</v>
      </c>
      <c r="F74" s="20">
        <f t="shared" si="19"/>
        <v>0</v>
      </c>
      <c r="G74" s="20">
        <v>2000</v>
      </c>
      <c r="I74" s="162"/>
      <c r="J74" s="162"/>
      <c r="K74" s="342"/>
      <c r="L74" s="162"/>
      <c r="M74" s="425">
        <f t="shared" si="20"/>
        <v>0</v>
      </c>
      <c r="N74" s="162"/>
      <c r="O74" s="162"/>
      <c r="P74" s="162"/>
      <c r="Q74" s="162" t="s">
        <v>1565</v>
      </c>
    </row>
    <row r="75" spans="1:17" ht="15.75" hidden="1" customHeight="1" outlineLevel="1" x14ac:dyDescent="0.3">
      <c r="A75" s="66" t="s">
        <v>1543</v>
      </c>
      <c r="B75" s="66" t="s">
        <v>72</v>
      </c>
      <c r="C75" s="429"/>
      <c r="D75" s="20">
        <v>28011</v>
      </c>
      <c r="E75" s="20">
        <f t="shared" si="18"/>
        <v>5322.09</v>
      </c>
      <c r="F75" s="20">
        <f t="shared" si="19"/>
        <v>33333.089999999997</v>
      </c>
      <c r="G75" s="20">
        <v>111400</v>
      </c>
      <c r="I75" s="162"/>
      <c r="J75" s="162"/>
      <c r="K75" s="342"/>
      <c r="L75" s="162"/>
      <c r="M75" s="425">
        <f t="shared" si="20"/>
        <v>3.3420243967780969</v>
      </c>
      <c r="N75" s="162"/>
      <c r="O75" s="162"/>
      <c r="P75" s="162"/>
      <c r="Q75" s="162" t="s">
        <v>1566</v>
      </c>
    </row>
    <row r="76" spans="1:17" ht="15.75" hidden="1" customHeight="1" outlineLevel="1" x14ac:dyDescent="0.3">
      <c r="A76" s="66" t="s">
        <v>1544</v>
      </c>
      <c r="B76" s="66" t="s">
        <v>80</v>
      </c>
      <c r="C76" s="429"/>
      <c r="D76" s="20">
        <v>0</v>
      </c>
      <c r="E76" s="20">
        <f t="shared" si="18"/>
        <v>0</v>
      </c>
      <c r="F76" s="20">
        <f t="shared" si="19"/>
        <v>0</v>
      </c>
      <c r="G76" s="20">
        <v>6180</v>
      </c>
      <c r="I76" s="162"/>
      <c r="J76" s="162"/>
      <c r="K76" s="342"/>
      <c r="L76" s="162"/>
      <c r="M76" s="425">
        <f t="shared" si="20"/>
        <v>0</v>
      </c>
      <c r="N76" s="162"/>
      <c r="O76" s="162"/>
      <c r="P76" s="162"/>
      <c r="Q76" s="162"/>
    </row>
    <row r="77" spans="1:17" ht="15.75" hidden="1" customHeight="1" outlineLevel="1" x14ac:dyDescent="0.3">
      <c r="A77" s="66" t="s">
        <v>1545</v>
      </c>
      <c r="B77" s="66" t="s">
        <v>115</v>
      </c>
      <c r="C77" s="429"/>
      <c r="D77" s="20">
        <v>6543</v>
      </c>
      <c r="E77" s="20">
        <f t="shared" si="18"/>
        <v>1243.17</v>
      </c>
      <c r="F77" s="20">
        <f t="shared" si="19"/>
        <v>7786.17</v>
      </c>
      <c r="G77" s="20">
        <v>10300</v>
      </c>
      <c r="I77" s="162"/>
      <c r="J77" s="162"/>
      <c r="K77" s="342"/>
      <c r="L77" s="162"/>
      <c r="M77" s="425">
        <f t="shared" si="20"/>
        <v>1.3228583501259283</v>
      </c>
      <c r="N77" s="162"/>
      <c r="O77" s="162"/>
      <c r="P77" s="162"/>
      <c r="Q77" s="162"/>
    </row>
    <row r="78" spans="1:17" ht="15.75" hidden="1" customHeight="1" outlineLevel="1" x14ac:dyDescent="0.3">
      <c r="A78" s="66" t="s">
        <v>1546</v>
      </c>
      <c r="B78" s="66" t="s">
        <v>523</v>
      </c>
      <c r="C78" s="429"/>
      <c r="D78" s="20">
        <v>37984</v>
      </c>
      <c r="E78" s="20">
        <f t="shared" si="18"/>
        <v>7216.96</v>
      </c>
      <c r="F78" s="20">
        <f t="shared" si="19"/>
        <v>45200.959999999999</v>
      </c>
      <c r="G78" s="20">
        <v>69065</v>
      </c>
      <c r="I78" s="162"/>
      <c r="J78" s="162"/>
      <c r="K78" s="342"/>
      <c r="L78" s="162"/>
      <c r="M78" s="425">
        <f t="shared" si="20"/>
        <v>1.5279542735375533</v>
      </c>
      <c r="N78" s="162"/>
      <c r="O78" s="162"/>
      <c r="P78" s="162"/>
      <c r="Q78" s="162"/>
    </row>
    <row r="79" spans="1:17" ht="15.75" hidden="1" customHeight="1" outlineLevel="1" x14ac:dyDescent="0.3">
      <c r="A79" s="66" t="s">
        <v>1547</v>
      </c>
      <c r="B79" s="66" t="s">
        <v>277</v>
      </c>
      <c r="C79" s="429"/>
      <c r="D79" s="20">
        <v>72150</v>
      </c>
      <c r="E79" s="20">
        <f t="shared" si="18"/>
        <v>13708.5</v>
      </c>
      <c r="F79" s="20">
        <f t="shared" si="19"/>
        <v>85858.5</v>
      </c>
      <c r="G79" s="20">
        <v>97823</v>
      </c>
      <c r="I79" s="162"/>
      <c r="J79" s="162"/>
      <c r="K79" s="342"/>
      <c r="L79" s="162"/>
      <c r="M79" s="425">
        <f t="shared" si="20"/>
        <v>1.1393513746454922</v>
      </c>
      <c r="N79" s="162"/>
      <c r="O79" s="162"/>
      <c r="P79" s="162"/>
      <c r="Q79" s="162"/>
    </row>
    <row r="80" spans="1:17" ht="15.75" hidden="1" customHeight="1" outlineLevel="1" x14ac:dyDescent="0.3">
      <c r="A80" s="66" t="s">
        <v>1548</v>
      </c>
      <c r="B80" s="66" t="s">
        <v>84</v>
      </c>
      <c r="C80" s="429"/>
      <c r="D80" s="20">
        <v>2944</v>
      </c>
      <c r="E80" s="20">
        <f t="shared" si="18"/>
        <v>559.36</v>
      </c>
      <c r="F80" s="20">
        <f t="shared" si="19"/>
        <v>3503.36</v>
      </c>
      <c r="G80" s="20">
        <v>4720</v>
      </c>
      <c r="I80" s="162"/>
      <c r="J80" s="162"/>
      <c r="K80" s="342"/>
      <c r="L80" s="162"/>
      <c r="M80" s="425">
        <f t="shared" si="20"/>
        <v>1.3472780416514432</v>
      </c>
      <c r="N80" s="162"/>
      <c r="O80" s="162"/>
      <c r="P80" s="162"/>
      <c r="Q80" s="162"/>
    </row>
    <row r="81" spans="1:17" ht="15.75" hidden="1" customHeight="1" outlineLevel="1" x14ac:dyDescent="0.3">
      <c r="A81" s="66" t="s">
        <v>1549</v>
      </c>
      <c r="B81" s="66" t="s">
        <v>86</v>
      </c>
      <c r="C81" s="429"/>
      <c r="D81" s="20">
        <v>0</v>
      </c>
      <c r="E81" s="20">
        <f t="shared" si="18"/>
        <v>0</v>
      </c>
      <c r="F81" s="20">
        <f t="shared" si="19"/>
        <v>0</v>
      </c>
      <c r="G81" s="20">
        <v>5000</v>
      </c>
      <c r="I81" s="162"/>
      <c r="J81" s="162"/>
      <c r="K81" s="342"/>
      <c r="L81" s="162"/>
      <c r="M81" s="425">
        <f t="shared" si="20"/>
        <v>0</v>
      </c>
      <c r="N81" s="162"/>
      <c r="O81" s="162"/>
      <c r="P81" s="162"/>
      <c r="Q81" s="162"/>
    </row>
    <row r="82" spans="1:17" ht="15.75" hidden="1" customHeight="1" outlineLevel="1" x14ac:dyDescent="0.3">
      <c r="A82" s="66" t="s">
        <v>1550</v>
      </c>
      <c r="B82" s="66" t="s">
        <v>90</v>
      </c>
      <c r="C82" s="429"/>
      <c r="D82" s="20">
        <v>165</v>
      </c>
      <c r="E82" s="20">
        <f t="shared" si="18"/>
        <v>31.35</v>
      </c>
      <c r="F82" s="20">
        <f t="shared" si="19"/>
        <v>196.35</v>
      </c>
      <c r="G82" s="20">
        <v>1500</v>
      </c>
      <c r="I82" s="162"/>
      <c r="J82" s="162"/>
      <c r="K82" s="342"/>
      <c r="L82" s="162"/>
      <c r="M82" s="425">
        <f t="shared" si="20"/>
        <v>7.6394194041252863</v>
      </c>
      <c r="N82" s="162"/>
      <c r="O82" s="162"/>
      <c r="P82" s="162"/>
      <c r="Q82" s="162"/>
    </row>
    <row r="83" spans="1:17" ht="15.75" hidden="1" customHeight="1" outlineLevel="1" x14ac:dyDescent="0.3">
      <c r="A83" s="66" t="s">
        <v>1551</v>
      </c>
      <c r="B83" s="66" t="s">
        <v>92</v>
      </c>
      <c r="C83" s="429"/>
      <c r="D83" s="20">
        <v>0</v>
      </c>
      <c r="E83" s="20">
        <f t="shared" si="18"/>
        <v>0</v>
      </c>
      <c r="F83" s="20">
        <f t="shared" si="19"/>
        <v>0</v>
      </c>
      <c r="G83" s="20">
        <v>2800</v>
      </c>
      <c r="I83" s="162"/>
      <c r="J83" s="162"/>
      <c r="K83" s="342"/>
      <c r="L83" s="162"/>
      <c r="M83" s="425">
        <f t="shared" si="20"/>
        <v>0</v>
      </c>
      <c r="N83" s="162"/>
      <c r="O83" s="162"/>
      <c r="P83" s="162"/>
      <c r="Q83" s="162"/>
    </row>
    <row r="84" spans="1:17" ht="15.75" hidden="1" customHeight="1" outlineLevel="1" x14ac:dyDescent="0.3">
      <c r="A84" s="66" t="s">
        <v>1552</v>
      </c>
      <c r="B84" s="66" t="s">
        <v>94</v>
      </c>
      <c r="C84" s="429"/>
      <c r="D84" s="20">
        <v>0</v>
      </c>
      <c r="E84" s="20">
        <f t="shared" si="18"/>
        <v>0</v>
      </c>
      <c r="F84" s="20">
        <f t="shared" si="19"/>
        <v>0</v>
      </c>
      <c r="G84" s="20">
        <v>0</v>
      </c>
      <c r="I84" s="162"/>
      <c r="J84" s="162"/>
      <c r="K84" s="342"/>
      <c r="L84" s="162"/>
      <c r="M84" s="425">
        <f t="shared" si="20"/>
        <v>0</v>
      </c>
      <c r="N84" s="162"/>
      <c r="O84" s="162"/>
      <c r="P84" s="162"/>
      <c r="Q84" s="162"/>
    </row>
    <row r="85" spans="1:17" ht="15.75" hidden="1" customHeight="1" outlineLevel="1" x14ac:dyDescent="0.3">
      <c r="A85" s="66" t="s">
        <v>1556</v>
      </c>
      <c r="B85" s="66" t="s">
        <v>180</v>
      </c>
      <c r="C85" s="429"/>
      <c r="D85" s="20">
        <v>17428</v>
      </c>
      <c r="E85" s="20">
        <f t="shared" si="18"/>
        <v>3311.32</v>
      </c>
      <c r="F85" s="20">
        <f t="shared" si="19"/>
        <v>20739.32</v>
      </c>
      <c r="G85" s="20">
        <v>0</v>
      </c>
      <c r="I85" s="162"/>
      <c r="J85" s="162"/>
      <c r="K85" s="342"/>
      <c r="L85" s="162"/>
      <c r="M85" s="425">
        <f t="shared" si="20"/>
        <v>0</v>
      </c>
      <c r="N85" s="162"/>
      <c r="O85" s="162"/>
      <c r="P85" s="162"/>
      <c r="Q85" s="162"/>
    </row>
    <row r="86" spans="1:17" ht="15.75" hidden="1" customHeight="1" outlineLevel="1" x14ac:dyDescent="0.3">
      <c r="A86" s="66" t="s">
        <v>1557</v>
      </c>
      <c r="B86" s="66" t="s">
        <v>532</v>
      </c>
      <c r="C86" s="429"/>
      <c r="D86" s="20">
        <v>0</v>
      </c>
      <c r="E86" s="20">
        <f t="shared" si="18"/>
        <v>0</v>
      </c>
      <c r="F86" s="20">
        <f t="shared" si="19"/>
        <v>0</v>
      </c>
      <c r="G86" s="20">
        <v>0</v>
      </c>
      <c r="I86" s="162"/>
      <c r="J86" s="162"/>
      <c r="K86" s="342"/>
      <c r="L86" s="162"/>
      <c r="M86" s="425">
        <f t="shared" si="20"/>
        <v>0</v>
      </c>
      <c r="N86" s="162"/>
      <c r="O86" s="162"/>
      <c r="P86" s="162"/>
      <c r="Q86" s="162"/>
    </row>
    <row r="87" spans="1:17" ht="15.75" hidden="1" customHeight="1" outlineLevel="1" x14ac:dyDescent="0.3">
      <c r="A87" s="66" t="s">
        <v>1558</v>
      </c>
      <c r="B87" s="66" t="s">
        <v>99</v>
      </c>
      <c r="C87" s="429"/>
      <c r="D87" s="20">
        <v>43354</v>
      </c>
      <c r="E87" s="20">
        <f t="shared" si="18"/>
        <v>8237.26</v>
      </c>
      <c r="F87" s="20">
        <f t="shared" si="19"/>
        <v>51591.26</v>
      </c>
      <c r="G87" s="20">
        <v>0</v>
      </c>
      <c r="I87" s="162"/>
      <c r="J87" s="162"/>
      <c r="K87" s="342"/>
      <c r="L87" s="162"/>
      <c r="M87" s="425">
        <f t="shared" si="20"/>
        <v>0</v>
      </c>
      <c r="N87" s="162"/>
      <c r="O87" s="162"/>
      <c r="P87" s="162"/>
      <c r="Q87" s="162"/>
    </row>
    <row r="88" spans="1:17" ht="15.75" hidden="1" customHeight="1" outlineLevel="1" x14ac:dyDescent="0.3">
      <c r="A88" s="66" t="s">
        <v>1553</v>
      </c>
      <c r="B88" s="66" t="s">
        <v>1554</v>
      </c>
      <c r="C88" s="429"/>
      <c r="D88" s="20">
        <v>-102304</v>
      </c>
      <c r="E88" s="20">
        <f t="shared" si="18"/>
        <v>-19437.760000000002</v>
      </c>
      <c r="F88" s="20">
        <f t="shared" si="19"/>
        <v>-121741.76000000001</v>
      </c>
      <c r="G88" s="20">
        <v>-197746</v>
      </c>
      <c r="I88" s="162"/>
      <c r="J88" s="162"/>
      <c r="K88" s="342"/>
      <c r="L88" s="162"/>
      <c r="M88" s="425">
        <f t="shared" si="20"/>
        <v>1.6243070578246936</v>
      </c>
      <c r="N88" s="162"/>
      <c r="O88" s="162"/>
      <c r="P88" s="162"/>
      <c r="Q88" s="162"/>
    </row>
    <row r="89" spans="1:17" ht="15.75" hidden="1" customHeight="1" outlineLevel="1" x14ac:dyDescent="0.3">
      <c r="A89" s="74" t="s">
        <v>1555</v>
      </c>
      <c r="B89" s="75"/>
      <c r="C89" s="430"/>
      <c r="D89" s="172">
        <f>SUM(D70:D88)</f>
        <v>226009</v>
      </c>
      <c r="E89" s="431">
        <f t="shared" si="18"/>
        <v>42941.71</v>
      </c>
      <c r="F89" s="431">
        <f t="shared" si="19"/>
        <v>268950.71000000002</v>
      </c>
      <c r="G89" s="172">
        <f>SUM(G70:G88)</f>
        <v>440142</v>
      </c>
      <c r="I89" s="162"/>
      <c r="J89" s="162"/>
      <c r="K89" s="342"/>
      <c r="L89" s="162"/>
      <c r="M89" s="425">
        <f t="shared" si="20"/>
        <v>1.6365154789886964</v>
      </c>
      <c r="N89" s="162"/>
      <c r="O89" s="162"/>
      <c r="P89" s="162"/>
      <c r="Q89" s="162"/>
    </row>
    <row r="90" spans="1:17" ht="15.75" hidden="1" customHeight="1" outlineLevel="1" x14ac:dyDescent="0.25">
      <c r="C90" s="424"/>
      <c r="D90" s="162"/>
      <c r="E90" s="162"/>
      <c r="F90" s="162"/>
      <c r="G90" s="162"/>
      <c r="I90" s="162"/>
      <c r="J90" s="162"/>
      <c r="K90" s="342"/>
      <c r="L90" s="162"/>
      <c r="M90" s="162"/>
      <c r="N90" s="162"/>
      <c r="O90" s="162"/>
      <c r="P90" s="162"/>
      <c r="Q90" s="162"/>
    </row>
    <row r="91" spans="1:17" ht="15.75" customHeight="1" x14ac:dyDescent="0.25">
      <c r="C91" s="424"/>
      <c r="D91" s="162"/>
      <c r="E91" s="162"/>
      <c r="F91" s="162"/>
      <c r="G91" s="162"/>
      <c r="I91" s="162"/>
      <c r="J91" s="162"/>
      <c r="K91" s="342"/>
      <c r="L91" s="162"/>
      <c r="M91" s="162"/>
      <c r="N91" s="162"/>
      <c r="O91" s="162"/>
      <c r="P91" s="162"/>
      <c r="Q91" s="162"/>
    </row>
    <row r="92" spans="1:17" ht="15.75" customHeight="1" x14ac:dyDescent="0.25">
      <c r="C92" s="424"/>
      <c r="D92" s="162"/>
      <c r="E92" s="162"/>
      <c r="F92" s="162"/>
      <c r="G92" s="162"/>
      <c r="I92" s="162"/>
      <c r="J92" s="162"/>
      <c r="K92" s="342"/>
      <c r="L92" s="162"/>
      <c r="M92" s="162"/>
      <c r="N92" s="162"/>
      <c r="O92" s="162"/>
      <c r="P92" s="162"/>
      <c r="Q92" s="162"/>
    </row>
    <row r="93" spans="1:17" ht="15.75" customHeight="1" x14ac:dyDescent="0.25">
      <c r="C93" s="424"/>
      <c r="D93" s="162"/>
      <c r="E93" s="162"/>
      <c r="F93" s="162"/>
      <c r="G93" s="162"/>
      <c r="I93" s="162"/>
      <c r="J93" s="162"/>
      <c r="K93" s="342"/>
      <c r="L93" s="162"/>
      <c r="M93" s="162"/>
      <c r="N93" s="162"/>
      <c r="O93" s="162"/>
      <c r="P93" s="162"/>
      <c r="Q93" s="162"/>
    </row>
    <row r="94" spans="1:17" ht="15.75" customHeight="1" x14ac:dyDescent="0.25">
      <c r="C94" s="424"/>
      <c r="D94" s="162"/>
      <c r="E94" s="162"/>
      <c r="F94" s="162"/>
      <c r="G94" s="162"/>
      <c r="I94" s="162"/>
      <c r="J94" s="162"/>
      <c r="K94" s="342"/>
      <c r="L94" s="162"/>
      <c r="M94" s="162"/>
      <c r="N94" s="162"/>
      <c r="O94" s="162"/>
      <c r="P94" s="162"/>
      <c r="Q94" s="162"/>
    </row>
    <row r="95" spans="1:17" ht="15.75" customHeight="1" x14ac:dyDescent="0.25">
      <c r="C95" s="424"/>
      <c r="D95" s="162"/>
      <c r="E95" s="162"/>
      <c r="F95" s="162"/>
      <c r="G95" s="162"/>
      <c r="I95" s="162"/>
      <c r="J95" s="162"/>
      <c r="K95" s="342"/>
      <c r="L95" s="162"/>
      <c r="M95" s="162"/>
      <c r="N95" s="162"/>
      <c r="O95" s="162"/>
      <c r="P95" s="162"/>
      <c r="Q95" s="162"/>
    </row>
    <row r="96" spans="1:17" ht="15.75" customHeight="1" x14ac:dyDescent="0.25">
      <c r="C96" s="424"/>
      <c r="D96" s="162"/>
      <c r="E96" s="162"/>
      <c r="F96" s="162"/>
      <c r="G96" s="162"/>
      <c r="I96" s="162"/>
      <c r="J96" s="162"/>
      <c r="K96" s="342"/>
      <c r="L96" s="162"/>
      <c r="M96" s="162"/>
      <c r="N96" s="162"/>
      <c r="O96" s="162"/>
      <c r="P96" s="162"/>
      <c r="Q96" s="162"/>
    </row>
    <row r="97" spans="3:17" ht="15.75" customHeight="1" x14ac:dyDescent="0.25">
      <c r="C97" s="424"/>
      <c r="D97" s="162"/>
      <c r="E97" s="162"/>
      <c r="F97" s="162"/>
      <c r="G97" s="162"/>
      <c r="I97" s="162"/>
      <c r="J97" s="162"/>
      <c r="K97" s="342"/>
      <c r="L97" s="162"/>
      <c r="M97" s="162"/>
      <c r="N97" s="162"/>
      <c r="O97" s="162"/>
      <c r="P97" s="162"/>
      <c r="Q97" s="162"/>
    </row>
    <row r="98" spans="3:17" ht="15.75" customHeight="1" x14ac:dyDescent="0.25">
      <c r="C98" s="432"/>
      <c r="D98" s="4" t="s">
        <v>1567</v>
      </c>
      <c r="E98" s="4" t="s">
        <v>1568</v>
      </c>
      <c r="F98" s="162"/>
      <c r="G98" s="162"/>
      <c r="I98" s="162"/>
      <c r="J98" s="162"/>
      <c r="K98" s="342"/>
      <c r="L98" s="162"/>
      <c r="M98" s="162"/>
      <c r="N98" s="162"/>
      <c r="O98" s="162"/>
      <c r="P98" s="162"/>
      <c r="Q98" s="162"/>
    </row>
    <row r="99" spans="3:17" ht="15.75" customHeight="1" x14ac:dyDescent="0.3">
      <c r="C99" s="428"/>
      <c r="D99" s="65"/>
      <c r="E99" s="65"/>
      <c r="F99" s="162"/>
      <c r="G99" s="162"/>
      <c r="I99" s="162"/>
      <c r="J99" s="162"/>
      <c r="K99" s="342"/>
      <c r="L99" s="162"/>
      <c r="M99" s="162"/>
      <c r="N99" s="162"/>
      <c r="O99" s="162"/>
      <c r="P99" s="162"/>
      <c r="Q99" s="162"/>
    </row>
    <row r="100" spans="3:17" ht="15.75" customHeight="1" x14ac:dyDescent="0.3">
      <c r="C100" s="429"/>
      <c r="D100" s="20">
        <f t="shared" ref="D100:D118" si="21">SUM(D71*26.7%)</f>
        <v>17001.225000000002</v>
      </c>
      <c r="E100" s="20">
        <f t="shared" ref="E100:E118" si="22">SUM(D100+D71)</f>
        <v>80676.225000000006</v>
      </c>
      <c r="F100" s="162"/>
      <c r="G100" s="162"/>
      <c r="I100" s="162"/>
      <c r="J100" s="162"/>
      <c r="K100" s="342"/>
      <c r="L100" s="162"/>
      <c r="M100" s="162"/>
      <c r="N100" s="162"/>
      <c r="O100" s="162"/>
      <c r="P100" s="162"/>
      <c r="Q100" s="162"/>
    </row>
    <row r="101" spans="3:17" ht="15.75" customHeight="1" x14ac:dyDescent="0.3">
      <c r="C101" s="429"/>
      <c r="D101" s="20">
        <f t="shared" si="21"/>
        <v>0</v>
      </c>
      <c r="E101" s="20">
        <f t="shared" si="22"/>
        <v>0</v>
      </c>
      <c r="F101" s="162"/>
      <c r="G101" s="162"/>
      <c r="I101" s="162"/>
      <c r="J101" s="162"/>
      <c r="K101" s="342"/>
      <c r="L101" s="162"/>
      <c r="M101" s="162"/>
      <c r="N101" s="162"/>
      <c r="O101" s="162"/>
      <c r="P101" s="162"/>
      <c r="Q101" s="162"/>
    </row>
    <row r="102" spans="3:17" ht="15.75" customHeight="1" x14ac:dyDescent="0.3">
      <c r="C102" s="429"/>
      <c r="D102" s="20">
        <f t="shared" si="21"/>
        <v>14967.753000000001</v>
      </c>
      <c r="E102" s="20">
        <f t="shared" si="22"/>
        <v>71026.752999999997</v>
      </c>
      <c r="F102" s="162"/>
      <c r="G102" s="162"/>
      <c r="I102" s="162"/>
      <c r="J102" s="162"/>
      <c r="K102" s="342"/>
      <c r="L102" s="162"/>
      <c r="M102" s="162"/>
      <c r="N102" s="162"/>
      <c r="O102" s="162"/>
      <c r="P102" s="162"/>
      <c r="Q102" s="162"/>
    </row>
    <row r="103" spans="3:17" ht="15.75" customHeight="1" x14ac:dyDescent="0.3">
      <c r="C103" s="429"/>
      <c r="D103" s="20">
        <f t="shared" si="21"/>
        <v>0</v>
      </c>
      <c r="E103" s="20">
        <f t="shared" si="22"/>
        <v>0</v>
      </c>
      <c r="F103" s="162"/>
      <c r="G103" s="162"/>
      <c r="I103" s="162"/>
      <c r="J103" s="162"/>
      <c r="K103" s="342"/>
      <c r="L103" s="162"/>
      <c r="M103" s="162"/>
      <c r="N103" s="162"/>
      <c r="O103" s="162"/>
      <c r="P103" s="162"/>
      <c r="Q103" s="162"/>
    </row>
    <row r="104" spans="3:17" ht="15.75" customHeight="1" x14ac:dyDescent="0.3">
      <c r="C104" s="429"/>
      <c r="D104" s="20">
        <f t="shared" si="21"/>
        <v>7478.9370000000008</v>
      </c>
      <c r="E104" s="20">
        <f t="shared" si="22"/>
        <v>35489.936999999998</v>
      </c>
      <c r="F104" s="162"/>
      <c r="G104" s="162"/>
      <c r="I104" s="162"/>
      <c r="J104" s="162"/>
      <c r="K104" s="342"/>
      <c r="L104" s="162"/>
      <c r="M104" s="162"/>
      <c r="N104" s="162"/>
      <c r="O104" s="162"/>
      <c r="P104" s="162"/>
      <c r="Q104" s="162"/>
    </row>
    <row r="105" spans="3:17" ht="15.75" customHeight="1" x14ac:dyDescent="0.3">
      <c r="C105" s="429"/>
      <c r="D105" s="20">
        <f t="shared" si="21"/>
        <v>0</v>
      </c>
      <c r="E105" s="20">
        <f t="shared" si="22"/>
        <v>0</v>
      </c>
      <c r="F105" s="162"/>
      <c r="G105" s="162"/>
      <c r="I105" s="162"/>
      <c r="J105" s="162"/>
      <c r="K105" s="342"/>
      <c r="L105" s="162"/>
      <c r="M105" s="162"/>
      <c r="N105" s="162"/>
      <c r="O105" s="162"/>
      <c r="P105" s="162"/>
      <c r="Q105" s="162"/>
    </row>
    <row r="106" spans="3:17" ht="15.75" customHeight="1" x14ac:dyDescent="0.3">
      <c r="C106" s="429"/>
      <c r="D106" s="20">
        <f t="shared" si="21"/>
        <v>1746.981</v>
      </c>
      <c r="E106" s="20">
        <f t="shared" si="22"/>
        <v>8289.9809999999998</v>
      </c>
      <c r="F106" s="162"/>
      <c r="G106" s="162"/>
      <c r="I106" s="162"/>
      <c r="J106" s="162"/>
      <c r="K106" s="342"/>
      <c r="L106" s="162"/>
      <c r="M106" s="162"/>
      <c r="N106" s="162"/>
      <c r="O106" s="162"/>
      <c r="P106" s="162"/>
      <c r="Q106" s="162"/>
    </row>
    <row r="107" spans="3:17" ht="15.75" customHeight="1" x14ac:dyDescent="0.3">
      <c r="C107" s="429"/>
      <c r="D107" s="20">
        <f t="shared" si="21"/>
        <v>10141.728000000001</v>
      </c>
      <c r="E107" s="20">
        <f t="shared" si="22"/>
        <v>48125.728000000003</v>
      </c>
      <c r="F107" s="162"/>
      <c r="G107" s="162"/>
      <c r="I107" s="162"/>
      <c r="J107" s="162"/>
      <c r="K107" s="342"/>
      <c r="L107" s="162"/>
      <c r="M107" s="162"/>
      <c r="N107" s="162"/>
      <c r="O107" s="162"/>
      <c r="P107" s="162"/>
      <c r="Q107" s="162"/>
    </row>
    <row r="108" spans="3:17" ht="15.75" customHeight="1" x14ac:dyDescent="0.3">
      <c r="C108" s="429"/>
      <c r="D108" s="20">
        <f t="shared" si="21"/>
        <v>19264.05</v>
      </c>
      <c r="E108" s="20">
        <f t="shared" si="22"/>
        <v>91414.05</v>
      </c>
      <c r="F108" s="162"/>
      <c r="G108" s="162"/>
      <c r="I108" s="162"/>
      <c r="J108" s="162"/>
      <c r="K108" s="342"/>
      <c r="L108" s="162"/>
      <c r="M108" s="162"/>
      <c r="N108" s="162"/>
      <c r="O108" s="162"/>
      <c r="P108" s="162"/>
      <c r="Q108" s="162"/>
    </row>
    <row r="109" spans="3:17" ht="15.75" customHeight="1" x14ac:dyDescent="0.3">
      <c r="C109" s="429"/>
      <c r="D109" s="20">
        <f t="shared" si="21"/>
        <v>786.048</v>
      </c>
      <c r="E109" s="20">
        <f t="shared" si="22"/>
        <v>3730.0479999999998</v>
      </c>
      <c r="F109" s="162"/>
      <c r="G109" s="162"/>
      <c r="I109" s="162"/>
      <c r="J109" s="162"/>
      <c r="K109" s="342"/>
      <c r="L109" s="162"/>
      <c r="M109" s="162"/>
      <c r="N109" s="162"/>
      <c r="O109" s="162"/>
      <c r="P109" s="162"/>
      <c r="Q109" s="162"/>
    </row>
    <row r="110" spans="3:17" ht="15.75" customHeight="1" x14ac:dyDescent="0.3">
      <c r="C110" s="429"/>
      <c r="D110" s="20">
        <f t="shared" si="21"/>
        <v>0</v>
      </c>
      <c r="E110" s="20">
        <f t="shared" si="22"/>
        <v>0</v>
      </c>
      <c r="F110" s="162"/>
      <c r="G110" s="162"/>
      <c r="I110" s="162"/>
      <c r="J110" s="162"/>
      <c r="K110" s="342"/>
      <c r="L110" s="162"/>
      <c r="M110" s="162"/>
      <c r="N110" s="162"/>
      <c r="O110" s="162"/>
      <c r="P110" s="162"/>
      <c r="Q110" s="162"/>
    </row>
    <row r="111" spans="3:17" ht="15.75" customHeight="1" x14ac:dyDescent="0.3">
      <c r="C111" s="429"/>
      <c r="D111" s="20">
        <f t="shared" si="21"/>
        <v>44.055</v>
      </c>
      <c r="E111" s="20">
        <f t="shared" si="22"/>
        <v>209.05500000000001</v>
      </c>
      <c r="F111" s="162"/>
      <c r="G111" s="162"/>
      <c r="I111" s="162"/>
      <c r="J111" s="162"/>
      <c r="K111" s="342"/>
      <c r="L111" s="162"/>
      <c r="M111" s="162"/>
      <c r="N111" s="162"/>
      <c r="O111" s="162"/>
      <c r="P111" s="162"/>
      <c r="Q111" s="162"/>
    </row>
    <row r="112" spans="3:17" ht="15.75" customHeight="1" x14ac:dyDescent="0.3">
      <c r="C112" s="429"/>
      <c r="D112" s="20">
        <f t="shared" si="21"/>
        <v>0</v>
      </c>
      <c r="E112" s="20">
        <f t="shared" si="22"/>
        <v>0</v>
      </c>
      <c r="F112" s="162"/>
      <c r="G112" s="162"/>
      <c r="I112" s="162"/>
      <c r="J112" s="162"/>
      <c r="K112" s="342"/>
      <c r="L112" s="162"/>
      <c r="M112" s="162"/>
      <c r="N112" s="162"/>
      <c r="O112" s="162"/>
      <c r="P112" s="162"/>
      <c r="Q112" s="162"/>
    </row>
    <row r="113" spans="3:17" ht="15.75" customHeight="1" x14ac:dyDescent="0.3">
      <c r="C113" s="429"/>
      <c r="D113" s="20">
        <f t="shared" si="21"/>
        <v>0</v>
      </c>
      <c r="E113" s="20">
        <f t="shared" si="22"/>
        <v>0</v>
      </c>
      <c r="F113" s="162"/>
      <c r="G113" s="162"/>
      <c r="I113" s="162"/>
      <c r="J113" s="162"/>
      <c r="K113" s="342"/>
      <c r="L113" s="162"/>
      <c r="M113" s="162"/>
      <c r="N113" s="162"/>
      <c r="O113" s="162"/>
      <c r="P113" s="162"/>
      <c r="Q113" s="162"/>
    </row>
    <row r="114" spans="3:17" ht="15.75" customHeight="1" x14ac:dyDescent="0.3">
      <c r="C114" s="429"/>
      <c r="D114" s="20">
        <f t="shared" si="21"/>
        <v>4653.2759999999998</v>
      </c>
      <c r="E114" s="20">
        <f t="shared" si="22"/>
        <v>22081.275999999998</v>
      </c>
      <c r="F114" s="162"/>
      <c r="G114" s="162"/>
      <c r="I114" s="162"/>
      <c r="J114" s="162"/>
      <c r="K114" s="342"/>
      <c r="L114" s="162"/>
      <c r="M114" s="162"/>
      <c r="N114" s="162"/>
      <c r="O114" s="162"/>
      <c r="P114" s="162"/>
      <c r="Q114" s="162"/>
    </row>
    <row r="115" spans="3:17" ht="15.75" customHeight="1" x14ac:dyDescent="0.3">
      <c r="C115" s="429"/>
      <c r="D115" s="20">
        <f t="shared" si="21"/>
        <v>0</v>
      </c>
      <c r="E115" s="20">
        <f t="shared" si="22"/>
        <v>0</v>
      </c>
      <c r="F115" s="162"/>
      <c r="G115" s="162"/>
      <c r="I115" s="162"/>
      <c r="J115" s="162"/>
      <c r="K115" s="342"/>
      <c r="L115" s="162"/>
      <c r="M115" s="162"/>
      <c r="N115" s="162"/>
      <c r="O115" s="162"/>
      <c r="P115" s="162"/>
      <c r="Q115" s="162"/>
    </row>
    <row r="116" spans="3:17" ht="15.75" customHeight="1" x14ac:dyDescent="0.3">
      <c r="C116" s="429"/>
      <c r="D116" s="20">
        <f t="shared" si="21"/>
        <v>11575.518</v>
      </c>
      <c r="E116" s="20">
        <f t="shared" si="22"/>
        <v>54929.517999999996</v>
      </c>
      <c r="F116" s="162"/>
      <c r="G116" s="162"/>
      <c r="I116" s="162"/>
      <c r="J116" s="162"/>
      <c r="K116" s="342"/>
      <c r="L116" s="162"/>
      <c r="M116" s="162"/>
      <c r="N116" s="162"/>
      <c r="O116" s="162"/>
      <c r="P116" s="162"/>
      <c r="Q116" s="162"/>
    </row>
    <row r="117" spans="3:17" ht="15.75" customHeight="1" x14ac:dyDescent="0.3">
      <c r="C117" s="429"/>
      <c r="D117" s="20">
        <f t="shared" si="21"/>
        <v>-27315.168000000001</v>
      </c>
      <c r="E117" s="20">
        <f t="shared" si="22"/>
        <v>-129619.16800000001</v>
      </c>
      <c r="F117" s="162"/>
      <c r="G117" s="162"/>
      <c r="I117" s="162"/>
      <c r="J117" s="162"/>
      <c r="K117" s="342"/>
      <c r="L117" s="162"/>
      <c r="M117" s="162"/>
      <c r="N117" s="162"/>
      <c r="O117" s="162"/>
      <c r="P117" s="162"/>
      <c r="Q117" s="162"/>
    </row>
    <row r="118" spans="3:17" ht="15.75" customHeight="1" x14ac:dyDescent="0.3">
      <c r="C118" s="433"/>
      <c r="D118" s="431">
        <f t="shared" si="21"/>
        <v>60344.403000000006</v>
      </c>
      <c r="E118" s="20">
        <f t="shared" si="22"/>
        <v>286353.40299999999</v>
      </c>
      <c r="F118" s="162"/>
      <c r="G118" s="162"/>
      <c r="I118" s="162"/>
      <c r="J118" s="162"/>
      <c r="K118" s="342"/>
      <c r="L118" s="162"/>
      <c r="M118" s="162"/>
      <c r="N118" s="162"/>
      <c r="O118" s="162"/>
      <c r="P118" s="162"/>
      <c r="Q118" s="162"/>
    </row>
    <row r="119" spans="3:17" ht="15.75" customHeight="1" x14ac:dyDescent="0.25">
      <c r="C119" s="424"/>
      <c r="D119" s="162"/>
      <c r="E119" s="162"/>
      <c r="F119" s="162"/>
      <c r="G119" s="162"/>
      <c r="I119" s="162"/>
      <c r="J119" s="162"/>
      <c r="K119" s="342"/>
      <c r="L119" s="162"/>
      <c r="M119" s="162"/>
      <c r="N119" s="162"/>
      <c r="O119" s="162"/>
      <c r="P119" s="162"/>
      <c r="Q119" s="162"/>
    </row>
    <row r="120" spans="3:17" ht="15.75" customHeight="1" x14ac:dyDescent="0.25">
      <c r="C120" s="424"/>
      <c r="D120" s="162"/>
      <c r="E120" s="162"/>
      <c r="F120" s="162"/>
      <c r="G120" s="162"/>
      <c r="I120" s="162"/>
      <c r="J120" s="162"/>
      <c r="K120" s="342"/>
      <c r="L120" s="162"/>
      <c r="M120" s="162"/>
      <c r="N120" s="162"/>
      <c r="O120" s="162"/>
      <c r="P120" s="162"/>
      <c r="Q120" s="162"/>
    </row>
    <row r="121" spans="3:17" ht="15.75" customHeight="1" x14ac:dyDescent="0.25">
      <c r="C121" s="424"/>
      <c r="D121" s="162"/>
      <c r="E121" s="162"/>
      <c r="F121" s="162"/>
      <c r="G121" s="162"/>
      <c r="I121" s="162"/>
      <c r="J121" s="162"/>
      <c r="K121" s="342"/>
      <c r="L121" s="162"/>
      <c r="M121" s="162"/>
      <c r="N121" s="162"/>
      <c r="O121" s="162"/>
      <c r="P121" s="162"/>
      <c r="Q121" s="162"/>
    </row>
    <row r="122" spans="3:17" ht="15.75" customHeight="1" x14ac:dyDescent="0.25">
      <c r="C122" s="424"/>
      <c r="D122" s="162"/>
      <c r="E122" s="162"/>
      <c r="F122" s="162"/>
      <c r="G122" s="162"/>
      <c r="I122" s="162"/>
      <c r="J122" s="162"/>
      <c r="K122" s="342"/>
      <c r="L122" s="162"/>
      <c r="M122" s="162"/>
      <c r="N122" s="162"/>
      <c r="O122" s="162"/>
      <c r="P122" s="162"/>
      <c r="Q122" s="162"/>
    </row>
    <row r="123" spans="3:17" ht="15.75" customHeight="1" x14ac:dyDescent="0.25">
      <c r="C123" s="424"/>
      <c r="D123" s="162"/>
      <c r="E123" s="162"/>
      <c r="F123" s="162"/>
      <c r="G123" s="162"/>
      <c r="I123" s="162"/>
      <c r="J123" s="162"/>
      <c r="K123" s="342"/>
      <c r="L123" s="162"/>
      <c r="M123" s="162"/>
      <c r="N123" s="162"/>
      <c r="O123" s="162"/>
      <c r="P123" s="162"/>
      <c r="Q123" s="162"/>
    </row>
    <row r="124" spans="3:17" ht="15.75" customHeight="1" x14ac:dyDescent="0.25">
      <c r="C124" s="424"/>
      <c r="D124" s="162"/>
      <c r="E124" s="162"/>
      <c r="F124" s="162"/>
      <c r="G124" s="162"/>
      <c r="I124" s="162"/>
      <c r="J124" s="162"/>
      <c r="K124" s="342"/>
      <c r="L124" s="162"/>
      <c r="M124" s="162"/>
      <c r="N124" s="162"/>
      <c r="O124" s="162"/>
      <c r="P124" s="162"/>
      <c r="Q124" s="162"/>
    </row>
    <row r="125" spans="3:17" ht="15.75" customHeight="1" x14ac:dyDescent="0.25">
      <c r="C125" s="424"/>
      <c r="D125" s="162"/>
      <c r="E125" s="162"/>
      <c r="F125" s="162"/>
      <c r="G125" s="162"/>
      <c r="I125" s="162"/>
      <c r="J125" s="162"/>
      <c r="K125" s="342"/>
      <c r="L125" s="162"/>
      <c r="M125" s="162"/>
      <c r="N125" s="162"/>
      <c r="O125" s="162"/>
      <c r="P125" s="162"/>
      <c r="Q125" s="162"/>
    </row>
    <row r="126" spans="3:17" ht="15.75" customHeight="1" x14ac:dyDescent="0.25">
      <c r="C126" s="424"/>
      <c r="D126" s="162"/>
      <c r="E126" s="162"/>
      <c r="F126" s="162"/>
      <c r="G126" s="162"/>
      <c r="I126" s="162"/>
      <c r="J126" s="162"/>
      <c r="K126" s="342"/>
      <c r="L126" s="162"/>
      <c r="M126" s="162"/>
      <c r="N126" s="162"/>
      <c r="O126" s="162"/>
      <c r="P126" s="162"/>
      <c r="Q126" s="162"/>
    </row>
    <row r="127" spans="3:17" ht="15.75" customHeight="1" x14ac:dyDescent="0.25">
      <c r="C127" s="424"/>
      <c r="D127" s="162"/>
      <c r="E127" s="162"/>
      <c r="F127" s="162"/>
      <c r="G127" s="162"/>
      <c r="I127" s="162"/>
      <c r="J127" s="162"/>
      <c r="K127" s="342"/>
      <c r="L127" s="162"/>
      <c r="M127" s="162"/>
      <c r="N127" s="162"/>
      <c r="O127" s="162"/>
      <c r="P127" s="162"/>
      <c r="Q127" s="162"/>
    </row>
    <row r="128" spans="3:17" ht="15.75" customHeight="1" x14ac:dyDescent="0.25">
      <c r="C128" s="424"/>
      <c r="D128" s="162"/>
      <c r="E128" s="162"/>
      <c r="F128" s="162"/>
      <c r="G128" s="162"/>
      <c r="I128" s="162"/>
      <c r="J128" s="162"/>
      <c r="K128" s="342"/>
      <c r="L128" s="162"/>
      <c r="M128" s="162"/>
      <c r="N128" s="162"/>
      <c r="O128" s="162"/>
      <c r="P128" s="162"/>
      <c r="Q128" s="162"/>
    </row>
    <row r="129" spans="3:17" ht="15.75" customHeight="1" x14ac:dyDescent="0.25">
      <c r="C129" s="424"/>
      <c r="D129" s="162"/>
      <c r="E129" s="162"/>
      <c r="F129" s="162"/>
      <c r="G129" s="162"/>
      <c r="I129" s="162"/>
      <c r="J129" s="162"/>
      <c r="K129" s="342"/>
      <c r="L129" s="162"/>
      <c r="M129" s="162"/>
      <c r="N129" s="162"/>
      <c r="O129" s="162"/>
      <c r="P129" s="162"/>
      <c r="Q129" s="162"/>
    </row>
    <row r="130" spans="3:17" ht="15.75" customHeight="1" x14ac:dyDescent="0.25">
      <c r="C130" s="424"/>
      <c r="D130" s="162"/>
      <c r="E130" s="162"/>
      <c r="F130" s="162"/>
      <c r="G130" s="162"/>
      <c r="I130" s="162"/>
      <c r="J130" s="162"/>
      <c r="K130" s="342"/>
      <c r="L130" s="162"/>
      <c r="M130" s="162"/>
      <c r="N130" s="162"/>
      <c r="O130" s="162"/>
      <c r="P130" s="162"/>
      <c r="Q130" s="162"/>
    </row>
    <row r="131" spans="3:17" ht="15.75" customHeight="1" x14ac:dyDescent="0.25">
      <c r="C131" s="424"/>
      <c r="D131" s="162"/>
      <c r="E131" s="162"/>
      <c r="F131" s="162"/>
      <c r="G131" s="162"/>
      <c r="I131" s="162"/>
      <c r="J131" s="162"/>
      <c r="K131" s="342"/>
      <c r="L131" s="162"/>
      <c r="M131" s="162"/>
      <c r="N131" s="162"/>
      <c r="O131" s="162"/>
      <c r="P131" s="162"/>
      <c r="Q131" s="162"/>
    </row>
    <row r="132" spans="3:17" ht="15.75" customHeight="1" x14ac:dyDescent="0.25">
      <c r="C132" s="424"/>
      <c r="D132" s="162"/>
      <c r="E132" s="162"/>
      <c r="F132" s="162"/>
      <c r="G132" s="162"/>
      <c r="I132" s="162"/>
      <c r="J132" s="162"/>
      <c r="K132" s="342"/>
      <c r="L132" s="162"/>
      <c r="M132" s="162"/>
      <c r="N132" s="162"/>
      <c r="O132" s="162"/>
      <c r="P132" s="162"/>
      <c r="Q132" s="162"/>
    </row>
    <row r="133" spans="3:17" ht="15.75" customHeight="1" x14ac:dyDescent="0.25">
      <c r="C133" s="424"/>
      <c r="D133" s="162"/>
      <c r="E133" s="162"/>
      <c r="F133" s="162"/>
      <c r="G133" s="162"/>
      <c r="I133" s="162"/>
      <c r="J133" s="162"/>
      <c r="K133" s="342"/>
      <c r="L133" s="162"/>
      <c r="M133" s="162"/>
      <c r="N133" s="162"/>
      <c r="O133" s="162"/>
      <c r="P133" s="162"/>
      <c r="Q133" s="162"/>
    </row>
    <row r="134" spans="3:17" ht="15.75" customHeight="1" x14ac:dyDescent="0.25">
      <c r="C134" s="424"/>
      <c r="D134" s="162"/>
      <c r="E134" s="162"/>
      <c r="F134" s="162"/>
      <c r="G134" s="162"/>
      <c r="I134" s="162"/>
      <c r="J134" s="162"/>
      <c r="K134" s="342"/>
      <c r="L134" s="162"/>
      <c r="M134" s="162"/>
      <c r="N134" s="162"/>
      <c r="O134" s="162"/>
      <c r="P134" s="162"/>
      <c r="Q134" s="162"/>
    </row>
    <row r="135" spans="3:17" ht="15.75" customHeight="1" x14ac:dyDescent="0.25">
      <c r="C135" s="424"/>
      <c r="D135" s="162"/>
      <c r="E135" s="162"/>
      <c r="F135" s="162"/>
      <c r="G135" s="162"/>
      <c r="I135" s="162"/>
      <c r="J135" s="162"/>
      <c r="K135" s="342"/>
      <c r="L135" s="162"/>
      <c r="M135" s="162"/>
      <c r="N135" s="162"/>
      <c r="O135" s="162"/>
      <c r="P135" s="162"/>
      <c r="Q135" s="162"/>
    </row>
    <row r="136" spans="3:17" ht="15.75" customHeight="1" x14ac:dyDescent="0.25">
      <c r="C136" s="424"/>
      <c r="D136" s="162"/>
      <c r="E136" s="162"/>
      <c r="F136" s="162"/>
      <c r="G136" s="162"/>
      <c r="I136" s="162"/>
      <c r="J136" s="162"/>
      <c r="K136" s="342"/>
      <c r="L136" s="162"/>
      <c r="M136" s="162"/>
      <c r="N136" s="162"/>
      <c r="O136" s="162"/>
      <c r="P136" s="162"/>
      <c r="Q136" s="162"/>
    </row>
    <row r="137" spans="3:17" ht="15.75" customHeight="1" x14ac:dyDescent="0.25">
      <c r="C137" s="424"/>
      <c r="D137" s="162"/>
      <c r="E137" s="162"/>
      <c r="F137" s="162"/>
      <c r="G137" s="162"/>
      <c r="I137" s="162"/>
      <c r="J137" s="162"/>
      <c r="K137" s="342"/>
      <c r="L137" s="162"/>
      <c r="M137" s="162"/>
      <c r="N137" s="162"/>
      <c r="O137" s="162"/>
      <c r="P137" s="162"/>
      <c r="Q137" s="162"/>
    </row>
    <row r="138" spans="3:17" ht="15.75" customHeight="1" x14ac:dyDescent="0.25">
      <c r="C138" s="424"/>
      <c r="D138" s="162"/>
      <c r="E138" s="162"/>
      <c r="F138" s="162"/>
      <c r="G138" s="162"/>
      <c r="I138" s="162"/>
      <c r="J138" s="162"/>
      <c r="K138" s="342"/>
      <c r="L138" s="162"/>
      <c r="M138" s="162"/>
      <c r="N138" s="162"/>
      <c r="O138" s="162"/>
      <c r="P138" s="162"/>
      <c r="Q138" s="162"/>
    </row>
    <row r="139" spans="3:17" ht="15.75" customHeight="1" x14ac:dyDescent="0.25">
      <c r="C139" s="424"/>
      <c r="D139" s="162"/>
      <c r="E139" s="162"/>
      <c r="F139" s="162"/>
      <c r="G139" s="162"/>
      <c r="I139" s="162"/>
      <c r="J139" s="162"/>
      <c r="K139" s="342"/>
      <c r="L139" s="162"/>
      <c r="M139" s="162"/>
      <c r="N139" s="162"/>
      <c r="O139" s="162"/>
      <c r="P139" s="162"/>
      <c r="Q139" s="162"/>
    </row>
    <row r="140" spans="3:17" ht="15.75" customHeight="1" x14ac:dyDescent="0.25">
      <c r="C140" s="424"/>
      <c r="D140" s="162"/>
      <c r="E140" s="162"/>
      <c r="F140" s="162"/>
      <c r="G140" s="162"/>
      <c r="I140" s="162"/>
      <c r="J140" s="162"/>
      <c r="K140" s="342"/>
      <c r="L140" s="162"/>
      <c r="M140" s="162"/>
      <c r="N140" s="162"/>
      <c r="O140" s="162"/>
      <c r="P140" s="162"/>
      <c r="Q140" s="162"/>
    </row>
    <row r="141" spans="3:17" ht="15.75" customHeight="1" x14ac:dyDescent="0.25">
      <c r="C141" s="424"/>
      <c r="D141" s="162"/>
      <c r="E141" s="162"/>
      <c r="F141" s="162"/>
      <c r="G141" s="162"/>
      <c r="I141" s="162"/>
      <c r="J141" s="162"/>
      <c r="K141" s="342"/>
      <c r="L141" s="162"/>
      <c r="M141" s="162"/>
      <c r="N141" s="162"/>
      <c r="O141" s="162"/>
      <c r="P141" s="162"/>
      <c r="Q141" s="162"/>
    </row>
    <row r="142" spans="3:17" ht="15.75" customHeight="1" x14ac:dyDescent="0.25">
      <c r="C142" s="424"/>
      <c r="D142" s="162"/>
      <c r="E142" s="162"/>
      <c r="F142" s="162"/>
      <c r="G142" s="162"/>
      <c r="I142" s="162"/>
      <c r="J142" s="162"/>
      <c r="K142" s="342"/>
      <c r="L142" s="162"/>
      <c r="M142" s="162"/>
      <c r="N142" s="162"/>
      <c r="O142" s="162"/>
      <c r="P142" s="162"/>
      <c r="Q142" s="162"/>
    </row>
    <row r="143" spans="3:17" ht="15.75" customHeight="1" x14ac:dyDescent="0.25">
      <c r="C143" s="424"/>
      <c r="D143" s="162"/>
      <c r="E143" s="162"/>
      <c r="F143" s="162"/>
      <c r="G143" s="162"/>
      <c r="I143" s="162"/>
      <c r="J143" s="162"/>
      <c r="K143" s="342"/>
      <c r="L143" s="162"/>
      <c r="M143" s="162"/>
      <c r="N143" s="162"/>
      <c r="O143" s="162"/>
      <c r="P143" s="162"/>
      <c r="Q143" s="162"/>
    </row>
    <row r="144" spans="3:17" ht="15.75" customHeight="1" x14ac:dyDescent="0.25">
      <c r="C144" s="424"/>
      <c r="D144" s="162"/>
      <c r="E144" s="162"/>
      <c r="F144" s="162"/>
      <c r="G144" s="162"/>
      <c r="I144" s="162"/>
      <c r="J144" s="162"/>
      <c r="K144" s="342"/>
      <c r="L144" s="162"/>
      <c r="M144" s="162"/>
      <c r="N144" s="162"/>
      <c r="O144" s="162"/>
      <c r="P144" s="162"/>
      <c r="Q144" s="162"/>
    </row>
    <row r="145" spans="3:17" ht="15.75" customHeight="1" x14ac:dyDescent="0.25">
      <c r="C145" s="424"/>
      <c r="D145" s="162"/>
      <c r="E145" s="162"/>
      <c r="F145" s="162"/>
      <c r="G145" s="162"/>
      <c r="I145" s="162"/>
      <c r="J145" s="162"/>
      <c r="K145" s="342"/>
      <c r="L145" s="162"/>
      <c r="M145" s="162"/>
      <c r="N145" s="162"/>
      <c r="O145" s="162"/>
      <c r="P145" s="162"/>
      <c r="Q145" s="162"/>
    </row>
    <row r="146" spans="3:17" ht="15.75" customHeight="1" x14ac:dyDescent="0.25">
      <c r="C146" s="424"/>
      <c r="D146" s="162"/>
      <c r="E146" s="162"/>
      <c r="F146" s="162"/>
      <c r="G146" s="162"/>
      <c r="I146" s="162"/>
      <c r="J146" s="162"/>
      <c r="K146" s="342"/>
      <c r="L146" s="162"/>
      <c r="M146" s="162"/>
      <c r="N146" s="162"/>
      <c r="O146" s="162"/>
      <c r="P146" s="162"/>
      <c r="Q146" s="162"/>
    </row>
    <row r="147" spans="3:17" ht="15.75" customHeight="1" x14ac:dyDescent="0.25">
      <c r="C147" s="424"/>
      <c r="D147" s="162"/>
      <c r="E147" s="162"/>
      <c r="F147" s="162"/>
      <c r="G147" s="162"/>
      <c r="I147" s="162"/>
      <c r="J147" s="162"/>
      <c r="K147" s="342"/>
      <c r="L147" s="162"/>
      <c r="M147" s="162"/>
      <c r="N147" s="162"/>
      <c r="O147" s="162"/>
      <c r="P147" s="162"/>
      <c r="Q147" s="162"/>
    </row>
    <row r="148" spans="3:17" ht="15.75" customHeight="1" x14ac:dyDescent="0.25">
      <c r="C148" s="424"/>
      <c r="D148" s="162"/>
      <c r="E148" s="162"/>
      <c r="F148" s="162"/>
      <c r="G148" s="162"/>
      <c r="I148" s="162"/>
      <c r="J148" s="162"/>
      <c r="K148" s="342"/>
      <c r="L148" s="162"/>
      <c r="M148" s="162"/>
      <c r="N148" s="162"/>
      <c r="O148" s="162"/>
      <c r="P148" s="162"/>
      <c r="Q148" s="162"/>
    </row>
    <row r="149" spans="3:17" ht="15.75" customHeight="1" x14ac:dyDescent="0.25">
      <c r="C149" s="424"/>
      <c r="D149" s="162"/>
      <c r="E149" s="162"/>
      <c r="F149" s="162"/>
      <c r="G149" s="162"/>
      <c r="I149" s="162"/>
      <c r="J149" s="162"/>
      <c r="K149" s="342"/>
      <c r="L149" s="162"/>
      <c r="M149" s="162"/>
      <c r="N149" s="162"/>
      <c r="O149" s="162"/>
      <c r="P149" s="162"/>
      <c r="Q149" s="162"/>
    </row>
    <row r="150" spans="3:17" ht="15.75" customHeight="1" x14ac:dyDescent="0.25">
      <c r="C150" s="424"/>
      <c r="D150" s="162"/>
      <c r="E150" s="162"/>
      <c r="F150" s="162"/>
      <c r="G150" s="162"/>
      <c r="I150" s="162"/>
      <c r="J150" s="162"/>
      <c r="K150" s="342"/>
      <c r="L150" s="162"/>
      <c r="M150" s="162"/>
      <c r="N150" s="162"/>
      <c r="O150" s="162"/>
      <c r="P150" s="162"/>
      <c r="Q150" s="162"/>
    </row>
    <row r="151" spans="3:17" ht="15.75" customHeight="1" x14ac:dyDescent="0.25">
      <c r="C151" s="424"/>
      <c r="D151" s="162"/>
      <c r="E151" s="162"/>
      <c r="F151" s="162"/>
      <c r="G151" s="162"/>
      <c r="I151" s="162"/>
      <c r="J151" s="162"/>
      <c r="K151" s="342"/>
      <c r="L151" s="162"/>
      <c r="M151" s="162"/>
      <c r="N151" s="162"/>
      <c r="O151" s="162"/>
      <c r="P151" s="162"/>
      <c r="Q151" s="162"/>
    </row>
    <row r="152" spans="3:17" ht="15.75" customHeight="1" x14ac:dyDescent="0.25">
      <c r="C152" s="424"/>
      <c r="D152" s="162"/>
      <c r="E152" s="162"/>
      <c r="F152" s="162"/>
      <c r="G152" s="162"/>
      <c r="I152" s="162"/>
      <c r="J152" s="162"/>
      <c r="K152" s="342"/>
      <c r="L152" s="162"/>
      <c r="M152" s="162"/>
      <c r="N152" s="162"/>
      <c r="O152" s="162"/>
      <c r="P152" s="162"/>
      <c r="Q152" s="162"/>
    </row>
    <row r="153" spans="3:17" ht="15.75" customHeight="1" x14ac:dyDescent="0.25">
      <c r="C153" s="424"/>
      <c r="D153" s="162"/>
      <c r="E153" s="162"/>
      <c r="F153" s="162"/>
      <c r="G153" s="162"/>
      <c r="I153" s="162"/>
      <c r="J153" s="162"/>
      <c r="K153" s="342"/>
      <c r="L153" s="162"/>
      <c r="M153" s="162"/>
      <c r="N153" s="162"/>
      <c r="O153" s="162"/>
      <c r="P153" s="162"/>
      <c r="Q153" s="162"/>
    </row>
    <row r="154" spans="3:17" ht="15.75" customHeight="1" x14ac:dyDescent="0.25">
      <c r="C154" s="424"/>
      <c r="D154" s="162"/>
      <c r="E154" s="162"/>
      <c r="F154" s="162"/>
      <c r="G154" s="162"/>
      <c r="I154" s="162"/>
      <c r="J154" s="162"/>
      <c r="K154" s="342"/>
      <c r="L154" s="162"/>
      <c r="M154" s="162"/>
      <c r="N154" s="162"/>
      <c r="O154" s="162"/>
      <c r="P154" s="162"/>
      <c r="Q154" s="162"/>
    </row>
    <row r="155" spans="3:17" ht="15.75" customHeight="1" x14ac:dyDescent="0.25">
      <c r="C155" s="424"/>
      <c r="D155" s="162"/>
      <c r="E155" s="162"/>
      <c r="F155" s="162"/>
      <c r="G155" s="162"/>
      <c r="I155" s="162"/>
      <c r="J155" s="162"/>
      <c r="K155" s="342"/>
      <c r="L155" s="162"/>
      <c r="M155" s="162"/>
      <c r="N155" s="162"/>
      <c r="O155" s="162"/>
      <c r="P155" s="162"/>
      <c r="Q155" s="162"/>
    </row>
    <row r="156" spans="3:17" ht="15.75" customHeight="1" x14ac:dyDescent="0.25">
      <c r="C156" s="424"/>
      <c r="D156" s="162"/>
      <c r="E156" s="162"/>
      <c r="F156" s="162"/>
      <c r="G156" s="162"/>
      <c r="I156" s="162"/>
      <c r="J156" s="162"/>
      <c r="K156" s="342"/>
      <c r="L156" s="162"/>
      <c r="M156" s="162"/>
      <c r="N156" s="162"/>
      <c r="O156" s="162"/>
      <c r="P156" s="162"/>
      <c r="Q156" s="162"/>
    </row>
    <row r="157" spans="3:17" ht="15.75" customHeight="1" x14ac:dyDescent="0.25">
      <c r="C157" s="424"/>
      <c r="D157" s="162"/>
      <c r="E157" s="162"/>
      <c r="F157" s="162"/>
      <c r="G157" s="162"/>
      <c r="I157" s="162"/>
      <c r="J157" s="162"/>
      <c r="K157" s="342"/>
      <c r="L157" s="162"/>
      <c r="M157" s="162"/>
      <c r="N157" s="162"/>
      <c r="O157" s="162"/>
      <c r="P157" s="162"/>
      <c r="Q157" s="162"/>
    </row>
    <row r="158" spans="3:17" ht="15.75" customHeight="1" x14ac:dyDescent="0.25">
      <c r="C158" s="424"/>
      <c r="D158" s="162"/>
      <c r="E158" s="162"/>
      <c r="F158" s="162"/>
      <c r="G158" s="162"/>
      <c r="I158" s="162"/>
      <c r="J158" s="162"/>
      <c r="K158" s="342"/>
      <c r="L158" s="162"/>
      <c r="M158" s="162"/>
      <c r="N158" s="162"/>
      <c r="O158" s="162"/>
      <c r="P158" s="162"/>
      <c r="Q158" s="162"/>
    </row>
    <row r="159" spans="3:17" ht="15.75" customHeight="1" x14ac:dyDescent="0.25">
      <c r="C159" s="424"/>
      <c r="D159" s="162"/>
      <c r="E159" s="162"/>
      <c r="F159" s="162"/>
      <c r="G159" s="162"/>
      <c r="I159" s="162"/>
      <c r="J159" s="162"/>
      <c r="K159" s="342"/>
      <c r="L159" s="162"/>
      <c r="M159" s="162"/>
      <c r="N159" s="162"/>
      <c r="O159" s="162"/>
      <c r="P159" s="162"/>
      <c r="Q159" s="162"/>
    </row>
    <row r="160" spans="3:17" ht="15.75" customHeight="1" x14ac:dyDescent="0.25">
      <c r="C160" s="424"/>
      <c r="D160" s="162"/>
      <c r="E160" s="162"/>
      <c r="F160" s="162"/>
      <c r="G160" s="162"/>
      <c r="I160" s="162"/>
      <c r="J160" s="162"/>
      <c r="K160" s="342"/>
      <c r="L160" s="162"/>
      <c r="M160" s="162"/>
      <c r="N160" s="162"/>
      <c r="O160" s="162"/>
      <c r="P160" s="162"/>
      <c r="Q160" s="162"/>
    </row>
    <row r="161" spans="3:17" ht="15.75" customHeight="1" x14ac:dyDescent="0.25">
      <c r="C161" s="424"/>
      <c r="D161" s="162"/>
      <c r="E161" s="162"/>
      <c r="F161" s="162"/>
      <c r="G161" s="162"/>
      <c r="I161" s="162"/>
      <c r="J161" s="162"/>
      <c r="K161" s="342"/>
      <c r="L161" s="162"/>
      <c r="M161" s="162"/>
      <c r="N161" s="162"/>
      <c r="O161" s="162"/>
      <c r="P161" s="162"/>
      <c r="Q161" s="162"/>
    </row>
    <row r="162" spans="3:17" ht="15.75" customHeight="1" x14ac:dyDescent="0.25">
      <c r="C162" s="424"/>
      <c r="D162" s="162"/>
      <c r="E162" s="162"/>
      <c r="F162" s="162"/>
      <c r="G162" s="162"/>
      <c r="I162" s="162"/>
      <c r="J162" s="162"/>
      <c r="K162" s="342"/>
      <c r="L162" s="162"/>
      <c r="M162" s="162"/>
      <c r="N162" s="162"/>
      <c r="O162" s="162"/>
      <c r="P162" s="162"/>
      <c r="Q162" s="162"/>
    </row>
    <row r="163" spans="3:17" ht="15.75" customHeight="1" x14ac:dyDescent="0.25">
      <c r="C163" s="424"/>
      <c r="D163" s="162"/>
      <c r="E163" s="162"/>
      <c r="F163" s="162"/>
      <c r="G163" s="162"/>
      <c r="I163" s="162"/>
      <c r="J163" s="162"/>
      <c r="K163" s="342"/>
      <c r="L163" s="162"/>
      <c r="M163" s="162"/>
      <c r="N163" s="162"/>
      <c r="O163" s="162"/>
      <c r="P163" s="162"/>
      <c r="Q163" s="162"/>
    </row>
    <row r="164" spans="3:17" ht="15.75" customHeight="1" x14ac:dyDescent="0.25">
      <c r="C164" s="424"/>
      <c r="D164" s="162"/>
      <c r="E164" s="162"/>
      <c r="F164" s="162"/>
      <c r="G164" s="162"/>
      <c r="I164" s="162"/>
      <c r="J164" s="162"/>
      <c r="K164" s="342"/>
      <c r="L164" s="162"/>
      <c r="M164" s="162"/>
      <c r="N164" s="162"/>
      <c r="O164" s="162"/>
      <c r="P164" s="162"/>
      <c r="Q164" s="162"/>
    </row>
    <row r="165" spans="3:17" ht="15.75" customHeight="1" x14ac:dyDescent="0.25">
      <c r="C165" s="424"/>
      <c r="D165" s="162"/>
      <c r="E165" s="162"/>
      <c r="F165" s="162"/>
      <c r="G165" s="162"/>
      <c r="I165" s="162"/>
      <c r="J165" s="162"/>
      <c r="K165" s="342"/>
      <c r="L165" s="162"/>
      <c r="M165" s="162"/>
      <c r="N165" s="162"/>
      <c r="O165" s="162"/>
      <c r="P165" s="162"/>
      <c r="Q165" s="162"/>
    </row>
    <row r="166" spans="3:17" ht="15.75" customHeight="1" x14ac:dyDescent="0.25">
      <c r="C166" s="424"/>
      <c r="D166" s="162"/>
      <c r="E166" s="162"/>
      <c r="F166" s="162"/>
      <c r="G166" s="162"/>
      <c r="I166" s="162"/>
      <c r="J166" s="162"/>
      <c r="K166" s="342"/>
      <c r="L166" s="162"/>
      <c r="M166" s="162"/>
      <c r="N166" s="162"/>
      <c r="O166" s="162"/>
      <c r="P166" s="162"/>
      <c r="Q166" s="162"/>
    </row>
    <row r="167" spans="3:17" ht="15.75" customHeight="1" x14ac:dyDescent="0.25">
      <c r="C167" s="424"/>
      <c r="D167" s="162"/>
      <c r="E167" s="162"/>
      <c r="F167" s="162"/>
      <c r="G167" s="162"/>
      <c r="I167" s="162"/>
      <c r="J167" s="162"/>
      <c r="K167" s="342"/>
      <c r="L167" s="162"/>
      <c r="M167" s="162"/>
      <c r="N167" s="162"/>
      <c r="O167" s="162"/>
      <c r="P167" s="162"/>
      <c r="Q167" s="162"/>
    </row>
    <row r="168" spans="3:17" ht="15.75" customHeight="1" x14ac:dyDescent="0.25">
      <c r="C168" s="424"/>
      <c r="D168" s="162"/>
      <c r="E168" s="162"/>
      <c r="F168" s="162"/>
      <c r="G168" s="162"/>
      <c r="I168" s="162"/>
      <c r="J168" s="162"/>
      <c r="K168" s="342"/>
      <c r="L168" s="162"/>
      <c r="M168" s="162"/>
      <c r="N168" s="162"/>
      <c r="O168" s="162"/>
      <c r="P168" s="162"/>
      <c r="Q168" s="162"/>
    </row>
    <row r="169" spans="3:17" ht="15.75" customHeight="1" x14ac:dyDescent="0.25">
      <c r="C169" s="424"/>
      <c r="D169" s="162"/>
      <c r="E169" s="162"/>
      <c r="F169" s="162"/>
      <c r="G169" s="162"/>
      <c r="I169" s="162"/>
      <c r="J169" s="162"/>
      <c r="K169" s="342"/>
      <c r="L169" s="162"/>
      <c r="M169" s="162"/>
      <c r="N169" s="162"/>
      <c r="O169" s="162"/>
      <c r="P169" s="162"/>
      <c r="Q169" s="162"/>
    </row>
    <row r="170" spans="3:17" ht="15.75" customHeight="1" x14ac:dyDescent="0.25">
      <c r="C170" s="424"/>
      <c r="D170" s="162"/>
      <c r="E170" s="162"/>
      <c r="F170" s="162"/>
      <c r="G170" s="162"/>
      <c r="I170" s="162"/>
      <c r="J170" s="162"/>
      <c r="K170" s="342"/>
      <c r="L170" s="162"/>
      <c r="M170" s="162"/>
      <c r="N170" s="162"/>
      <c r="O170" s="162"/>
      <c r="P170" s="162"/>
      <c r="Q170" s="162"/>
    </row>
    <row r="171" spans="3:17" ht="15.75" customHeight="1" x14ac:dyDescent="0.25">
      <c r="C171" s="424"/>
      <c r="D171" s="162"/>
      <c r="E171" s="162"/>
      <c r="F171" s="162"/>
      <c r="G171" s="162"/>
      <c r="I171" s="162"/>
      <c r="J171" s="162"/>
      <c r="K171" s="342"/>
      <c r="L171" s="162"/>
      <c r="M171" s="162"/>
      <c r="N171" s="162"/>
      <c r="O171" s="162"/>
      <c r="P171" s="162"/>
      <c r="Q171" s="162"/>
    </row>
    <row r="172" spans="3:17" ht="15.75" customHeight="1" x14ac:dyDescent="0.25">
      <c r="C172" s="424"/>
      <c r="D172" s="162"/>
      <c r="E172" s="162"/>
      <c r="F172" s="162"/>
      <c r="G172" s="162"/>
      <c r="I172" s="162"/>
      <c r="J172" s="162"/>
      <c r="K172" s="342"/>
      <c r="L172" s="162"/>
      <c r="M172" s="162"/>
      <c r="N172" s="162"/>
      <c r="O172" s="162"/>
      <c r="P172" s="162"/>
      <c r="Q172" s="162"/>
    </row>
    <row r="173" spans="3:17" ht="15.75" customHeight="1" x14ac:dyDescent="0.25">
      <c r="C173" s="424"/>
      <c r="D173" s="162"/>
      <c r="E173" s="162"/>
      <c r="F173" s="162"/>
      <c r="G173" s="162"/>
      <c r="I173" s="162"/>
      <c r="J173" s="162"/>
      <c r="K173" s="342"/>
      <c r="L173" s="162"/>
      <c r="M173" s="162"/>
      <c r="N173" s="162"/>
      <c r="O173" s="162"/>
      <c r="P173" s="162"/>
      <c r="Q173" s="162"/>
    </row>
    <row r="174" spans="3:17" ht="15.75" customHeight="1" x14ac:dyDescent="0.25">
      <c r="C174" s="424"/>
      <c r="D174" s="162"/>
      <c r="E174" s="162"/>
      <c r="F174" s="162"/>
      <c r="G174" s="162"/>
      <c r="I174" s="162"/>
      <c r="J174" s="162"/>
      <c r="K174" s="342"/>
      <c r="L174" s="162"/>
      <c r="M174" s="162"/>
      <c r="N174" s="162"/>
      <c r="O174" s="162"/>
      <c r="P174" s="162"/>
      <c r="Q174" s="162"/>
    </row>
    <row r="175" spans="3:17" ht="15.75" customHeight="1" x14ac:dyDescent="0.25">
      <c r="C175" s="424"/>
      <c r="D175" s="162"/>
      <c r="E175" s="162"/>
      <c r="F175" s="162"/>
      <c r="G175" s="162"/>
      <c r="I175" s="162"/>
      <c r="J175" s="162"/>
      <c r="K175" s="342"/>
      <c r="L175" s="162"/>
      <c r="M175" s="162"/>
      <c r="N175" s="162"/>
      <c r="O175" s="162"/>
      <c r="P175" s="162"/>
      <c r="Q175" s="162"/>
    </row>
    <row r="176" spans="3:17" ht="15.75" customHeight="1" x14ac:dyDescent="0.25">
      <c r="C176" s="424"/>
      <c r="D176" s="162"/>
      <c r="E176" s="162"/>
      <c r="F176" s="162"/>
      <c r="G176" s="162"/>
      <c r="I176" s="162"/>
      <c r="J176" s="162"/>
      <c r="K176" s="342"/>
      <c r="L176" s="162"/>
      <c r="M176" s="162"/>
      <c r="N176" s="162"/>
      <c r="O176" s="162"/>
      <c r="P176" s="162"/>
      <c r="Q176" s="162"/>
    </row>
    <row r="177" spans="3:17" ht="15.75" customHeight="1" x14ac:dyDescent="0.25">
      <c r="C177" s="424"/>
      <c r="D177" s="162"/>
      <c r="E177" s="162"/>
      <c r="F177" s="162"/>
      <c r="G177" s="162"/>
      <c r="I177" s="162"/>
      <c r="J177" s="162"/>
      <c r="K177" s="342"/>
      <c r="L177" s="162"/>
      <c r="M177" s="162"/>
      <c r="N177" s="162"/>
      <c r="O177" s="162"/>
      <c r="P177" s="162"/>
      <c r="Q177" s="162"/>
    </row>
    <row r="178" spans="3:17" ht="15.75" customHeight="1" x14ac:dyDescent="0.25">
      <c r="C178" s="424"/>
      <c r="D178" s="162"/>
      <c r="E178" s="162"/>
      <c r="F178" s="162"/>
      <c r="G178" s="162"/>
      <c r="I178" s="162"/>
      <c r="J178" s="162"/>
      <c r="K178" s="342"/>
      <c r="L178" s="162"/>
      <c r="M178" s="162"/>
      <c r="N178" s="162"/>
      <c r="O178" s="162"/>
      <c r="P178" s="162"/>
      <c r="Q178" s="162"/>
    </row>
    <row r="179" spans="3:17" ht="15.75" customHeight="1" x14ac:dyDescent="0.25">
      <c r="C179" s="424"/>
      <c r="D179" s="162"/>
      <c r="E179" s="162"/>
      <c r="F179" s="162"/>
      <c r="G179" s="162"/>
      <c r="I179" s="162"/>
      <c r="J179" s="162"/>
      <c r="K179" s="342"/>
      <c r="L179" s="162"/>
      <c r="M179" s="162"/>
      <c r="N179" s="162"/>
      <c r="O179" s="162"/>
      <c r="P179" s="162"/>
      <c r="Q179" s="162"/>
    </row>
    <row r="180" spans="3:17" ht="15.75" customHeight="1" x14ac:dyDescent="0.25">
      <c r="C180" s="424"/>
      <c r="D180" s="162"/>
      <c r="E180" s="162"/>
      <c r="F180" s="162"/>
      <c r="G180" s="162"/>
      <c r="I180" s="162"/>
      <c r="J180" s="162"/>
      <c r="K180" s="342"/>
      <c r="L180" s="162"/>
      <c r="M180" s="162"/>
      <c r="N180" s="162"/>
      <c r="O180" s="162"/>
      <c r="P180" s="162"/>
      <c r="Q180" s="162"/>
    </row>
    <row r="181" spans="3:17" ht="15.75" customHeight="1" x14ac:dyDescent="0.25">
      <c r="C181" s="424"/>
      <c r="D181" s="162"/>
      <c r="E181" s="162"/>
      <c r="F181" s="162"/>
      <c r="G181" s="162"/>
      <c r="I181" s="162"/>
      <c r="J181" s="162"/>
      <c r="K181" s="342"/>
      <c r="L181" s="162"/>
      <c r="M181" s="162"/>
      <c r="N181" s="162"/>
      <c r="O181" s="162"/>
      <c r="P181" s="162"/>
      <c r="Q181" s="162"/>
    </row>
    <row r="182" spans="3:17" ht="15.75" customHeight="1" x14ac:dyDescent="0.25">
      <c r="C182" s="424"/>
      <c r="D182" s="162"/>
      <c r="E182" s="162"/>
      <c r="F182" s="162"/>
      <c r="G182" s="162"/>
      <c r="I182" s="162"/>
      <c r="J182" s="162"/>
      <c r="K182" s="342"/>
      <c r="L182" s="162"/>
      <c r="M182" s="162"/>
      <c r="N182" s="162"/>
      <c r="O182" s="162"/>
      <c r="P182" s="162"/>
      <c r="Q182" s="162"/>
    </row>
    <row r="183" spans="3:17" ht="15.75" customHeight="1" x14ac:dyDescent="0.25">
      <c r="C183" s="424"/>
      <c r="D183" s="162"/>
      <c r="E183" s="162"/>
      <c r="F183" s="162"/>
      <c r="G183" s="162"/>
      <c r="I183" s="162"/>
      <c r="J183" s="162"/>
      <c r="K183" s="342"/>
      <c r="L183" s="162"/>
      <c r="M183" s="162"/>
      <c r="N183" s="162"/>
      <c r="O183" s="162"/>
      <c r="P183" s="162"/>
      <c r="Q183" s="162"/>
    </row>
    <row r="184" spans="3:17" ht="15.75" customHeight="1" x14ac:dyDescent="0.25">
      <c r="C184" s="424"/>
      <c r="D184" s="162"/>
      <c r="E184" s="162"/>
      <c r="F184" s="162"/>
      <c r="G184" s="162"/>
      <c r="I184" s="162"/>
      <c r="J184" s="162"/>
      <c r="K184" s="342"/>
      <c r="L184" s="162"/>
      <c r="M184" s="162"/>
      <c r="N184" s="162"/>
      <c r="O184" s="162"/>
      <c r="P184" s="162"/>
      <c r="Q184" s="162"/>
    </row>
    <row r="185" spans="3:17" ht="15.75" customHeight="1" x14ac:dyDescent="0.25">
      <c r="C185" s="424"/>
      <c r="D185" s="162"/>
      <c r="E185" s="162"/>
      <c r="F185" s="162"/>
      <c r="G185" s="162"/>
      <c r="I185" s="162"/>
      <c r="J185" s="162"/>
      <c r="K185" s="342"/>
      <c r="L185" s="162"/>
      <c r="M185" s="162"/>
      <c r="N185" s="162"/>
      <c r="O185" s="162"/>
      <c r="P185" s="162"/>
      <c r="Q185" s="162"/>
    </row>
    <row r="186" spans="3:17" ht="15.75" customHeight="1" x14ac:dyDescent="0.25">
      <c r="C186" s="424"/>
      <c r="D186" s="162"/>
      <c r="E186" s="162"/>
      <c r="F186" s="162"/>
      <c r="G186" s="162"/>
      <c r="I186" s="162"/>
      <c r="J186" s="162"/>
      <c r="K186" s="342"/>
      <c r="L186" s="162"/>
      <c r="M186" s="162"/>
      <c r="N186" s="162"/>
      <c r="O186" s="162"/>
      <c r="P186" s="162"/>
      <c r="Q186" s="162"/>
    </row>
    <row r="187" spans="3:17" ht="15.75" customHeight="1" x14ac:dyDescent="0.25">
      <c r="C187" s="424"/>
      <c r="D187" s="162"/>
      <c r="E187" s="162"/>
      <c r="F187" s="162"/>
      <c r="G187" s="162"/>
      <c r="I187" s="162"/>
      <c r="J187" s="162"/>
      <c r="K187" s="342"/>
      <c r="L187" s="162"/>
      <c r="M187" s="162"/>
      <c r="N187" s="162"/>
      <c r="O187" s="162"/>
      <c r="P187" s="162"/>
      <c r="Q187" s="162"/>
    </row>
    <row r="188" spans="3:17" ht="15.75" customHeight="1" x14ac:dyDescent="0.25">
      <c r="C188" s="424"/>
      <c r="D188" s="162"/>
      <c r="E188" s="162"/>
      <c r="F188" s="162"/>
      <c r="G188" s="162"/>
      <c r="I188" s="162"/>
      <c r="J188" s="162"/>
      <c r="K188" s="342"/>
      <c r="L188" s="162"/>
      <c r="M188" s="162"/>
      <c r="N188" s="162"/>
      <c r="O188" s="162"/>
      <c r="P188" s="162"/>
      <c r="Q188" s="162"/>
    </row>
    <row r="189" spans="3:17" ht="15.75" customHeight="1" x14ac:dyDescent="0.25">
      <c r="C189" s="424"/>
      <c r="D189" s="162"/>
      <c r="E189" s="162"/>
      <c r="F189" s="162"/>
      <c r="G189" s="162"/>
      <c r="I189" s="162"/>
      <c r="J189" s="162"/>
      <c r="K189" s="342"/>
      <c r="L189" s="162"/>
      <c r="M189" s="162"/>
      <c r="N189" s="162"/>
      <c r="O189" s="162"/>
      <c r="P189" s="162"/>
      <c r="Q189" s="162"/>
    </row>
    <row r="190" spans="3:17" ht="15.75" customHeight="1" x14ac:dyDescent="0.25">
      <c r="C190" s="424"/>
      <c r="D190" s="162"/>
      <c r="E190" s="162"/>
      <c r="F190" s="162"/>
      <c r="G190" s="162"/>
      <c r="I190" s="162"/>
      <c r="J190" s="162"/>
      <c r="K190" s="342"/>
      <c r="L190" s="162"/>
      <c r="M190" s="162"/>
      <c r="N190" s="162"/>
      <c r="O190" s="162"/>
      <c r="P190" s="162"/>
      <c r="Q190" s="162"/>
    </row>
    <row r="191" spans="3:17" ht="15.75" customHeight="1" x14ac:dyDescent="0.25">
      <c r="C191" s="424"/>
      <c r="D191" s="162"/>
      <c r="E191" s="162"/>
      <c r="F191" s="162"/>
      <c r="G191" s="162"/>
      <c r="I191" s="162"/>
      <c r="J191" s="162"/>
      <c r="K191" s="342"/>
      <c r="L191" s="162"/>
      <c r="M191" s="162"/>
      <c r="N191" s="162"/>
      <c r="O191" s="162"/>
      <c r="P191" s="162"/>
      <c r="Q191" s="162"/>
    </row>
    <row r="192" spans="3:17" ht="15.75" customHeight="1" x14ac:dyDescent="0.25">
      <c r="C192" s="424"/>
      <c r="D192" s="162"/>
      <c r="E192" s="162"/>
      <c r="F192" s="162"/>
      <c r="G192" s="162"/>
      <c r="I192" s="162"/>
      <c r="J192" s="162"/>
      <c r="K192" s="342"/>
      <c r="L192" s="162"/>
      <c r="M192" s="162"/>
      <c r="N192" s="162"/>
      <c r="O192" s="162"/>
      <c r="P192" s="162"/>
      <c r="Q192" s="162"/>
    </row>
    <row r="193" spans="3:17" ht="15.75" customHeight="1" x14ac:dyDescent="0.25">
      <c r="C193" s="424"/>
      <c r="D193" s="162"/>
      <c r="E193" s="162"/>
      <c r="F193" s="162"/>
      <c r="G193" s="162"/>
      <c r="I193" s="162"/>
      <c r="J193" s="162"/>
      <c r="K193" s="342"/>
      <c r="L193" s="162"/>
      <c r="M193" s="162"/>
      <c r="N193" s="162"/>
      <c r="O193" s="162"/>
      <c r="P193" s="162"/>
      <c r="Q193" s="162"/>
    </row>
    <row r="194" spans="3:17" ht="15.75" customHeight="1" x14ac:dyDescent="0.25">
      <c r="C194" s="424"/>
      <c r="D194" s="162"/>
      <c r="E194" s="162"/>
      <c r="F194" s="162"/>
      <c r="G194" s="162"/>
      <c r="I194" s="162"/>
      <c r="J194" s="162"/>
      <c r="K194" s="342"/>
      <c r="L194" s="162"/>
      <c r="M194" s="162"/>
      <c r="N194" s="162"/>
      <c r="O194" s="162"/>
      <c r="P194" s="162"/>
      <c r="Q194" s="162"/>
    </row>
    <row r="195" spans="3:17" ht="15.75" customHeight="1" x14ac:dyDescent="0.25">
      <c r="C195" s="424"/>
      <c r="D195" s="162"/>
      <c r="E195" s="162"/>
      <c r="F195" s="162"/>
      <c r="G195" s="162"/>
      <c r="I195" s="162"/>
      <c r="J195" s="162"/>
      <c r="K195" s="342"/>
      <c r="L195" s="162"/>
      <c r="M195" s="162"/>
      <c r="N195" s="162"/>
      <c r="O195" s="162"/>
      <c r="P195" s="162"/>
      <c r="Q195" s="162"/>
    </row>
    <row r="196" spans="3:17" ht="15.75" customHeight="1" x14ac:dyDescent="0.25">
      <c r="C196" s="424"/>
      <c r="D196" s="162"/>
      <c r="E196" s="162"/>
      <c r="F196" s="162"/>
      <c r="G196" s="162"/>
      <c r="I196" s="162"/>
      <c r="J196" s="162"/>
      <c r="K196" s="342"/>
      <c r="L196" s="162"/>
      <c r="M196" s="162"/>
      <c r="N196" s="162"/>
      <c r="O196" s="162"/>
      <c r="P196" s="162"/>
      <c r="Q196" s="162"/>
    </row>
    <row r="197" spans="3:17" ht="15.75" customHeight="1" x14ac:dyDescent="0.25">
      <c r="C197" s="424"/>
      <c r="D197" s="162"/>
      <c r="E197" s="162"/>
      <c r="F197" s="162"/>
      <c r="G197" s="162"/>
      <c r="I197" s="162"/>
      <c r="J197" s="162"/>
      <c r="K197" s="342"/>
      <c r="L197" s="162"/>
      <c r="M197" s="162"/>
      <c r="N197" s="162"/>
      <c r="O197" s="162"/>
      <c r="P197" s="162"/>
      <c r="Q197" s="162"/>
    </row>
    <row r="198" spans="3:17" ht="15.75" customHeight="1" x14ac:dyDescent="0.25">
      <c r="C198" s="424"/>
      <c r="D198" s="162"/>
      <c r="E198" s="162"/>
      <c r="F198" s="162"/>
      <c r="G198" s="162"/>
      <c r="I198" s="162"/>
      <c r="J198" s="162"/>
      <c r="K198" s="342"/>
      <c r="L198" s="162"/>
      <c r="M198" s="162"/>
      <c r="N198" s="162"/>
      <c r="O198" s="162"/>
      <c r="P198" s="162"/>
      <c r="Q198" s="162"/>
    </row>
    <row r="199" spans="3:17" ht="15.75" customHeight="1" x14ac:dyDescent="0.25">
      <c r="C199" s="424"/>
      <c r="D199" s="162"/>
      <c r="E199" s="162"/>
      <c r="F199" s="162"/>
      <c r="G199" s="162"/>
      <c r="I199" s="162"/>
      <c r="J199" s="162"/>
      <c r="K199" s="342"/>
      <c r="L199" s="162"/>
      <c r="M199" s="162"/>
      <c r="N199" s="162"/>
      <c r="O199" s="162"/>
      <c r="P199" s="162"/>
      <c r="Q199" s="162"/>
    </row>
    <row r="200" spans="3:17" ht="15.75" customHeight="1" x14ac:dyDescent="0.25">
      <c r="C200" s="424"/>
      <c r="D200" s="162"/>
      <c r="E200" s="162"/>
      <c r="F200" s="162"/>
      <c r="G200" s="162"/>
      <c r="I200" s="162"/>
      <c r="J200" s="162"/>
      <c r="K200" s="342"/>
      <c r="L200" s="162"/>
      <c r="M200" s="162"/>
      <c r="N200" s="162"/>
      <c r="O200" s="162"/>
      <c r="P200" s="162"/>
      <c r="Q200" s="162"/>
    </row>
    <row r="201" spans="3:17" ht="15.75" customHeight="1" x14ac:dyDescent="0.25">
      <c r="C201" s="424"/>
      <c r="D201" s="162"/>
      <c r="E201" s="162"/>
      <c r="F201" s="162"/>
      <c r="G201" s="162"/>
      <c r="I201" s="162"/>
      <c r="J201" s="162"/>
      <c r="K201" s="342"/>
      <c r="L201" s="162"/>
      <c r="M201" s="162"/>
      <c r="N201" s="162"/>
      <c r="O201" s="162"/>
      <c r="P201" s="162"/>
      <c r="Q201" s="162"/>
    </row>
    <row r="202" spans="3:17" ht="15.75" customHeight="1" x14ac:dyDescent="0.25">
      <c r="C202" s="424"/>
      <c r="D202" s="162"/>
      <c r="E202" s="162"/>
      <c r="F202" s="162"/>
      <c r="G202" s="162"/>
      <c r="I202" s="162"/>
      <c r="J202" s="162"/>
      <c r="K202" s="342"/>
      <c r="L202" s="162"/>
      <c r="M202" s="162"/>
      <c r="N202" s="162"/>
      <c r="O202" s="162"/>
      <c r="P202" s="162"/>
      <c r="Q202" s="162"/>
    </row>
    <row r="203" spans="3:17" ht="15.75" customHeight="1" x14ac:dyDescent="0.25">
      <c r="C203" s="424"/>
      <c r="D203" s="162"/>
      <c r="E203" s="162"/>
      <c r="F203" s="162"/>
      <c r="G203" s="162"/>
      <c r="I203" s="162"/>
      <c r="J203" s="162"/>
      <c r="K203" s="342"/>
      <c r="L203" s="162"/>
      <c r="M203" s="162"/>
      <c r="N203" s="162"/>
      <c r="O203" s="162"/>
      <c r="P203" s="162"/>
      <c r="Q203" s="162"/>
    </row>
    <row r="204" spans="3:17" ht="15.75" customHeight="1" x14ac:dyDescent="0.25">
      <c r="C204" s="424"/>
      <c r="D204" s="162"/>
      <c r="E204" s="162"/>
      <c r="F204" s="162"/>
      <c r="G204" s="162"/>
      <c r="I204" s="162"/>
      <c r="J204" s="162"/>
      <c r="K204" s="342"/>
      <c r="L204" s="162"/>
      <c r="M204" s="162"/>
      <c r="N204" s="162"/>
      <c r="O204" s="162"/>
      <c r="P204" s="162"/>
      <c r="Q204" s="162"/>
    </row>
    <row r="205" spans="3:17" ht="15.75" customHeight="1" x14ac:dyDescent="0.25">
      <c r="C205" s="424"/>
      <c r="D205" s="162"/>
      <c r="E205" s="162"/>
      <c r="F205" s="162"/>
      <c r="G205" s="162"/>
      <c r="I205" s="162"/>
      <c r="J205" s="162"/>
      <c r="K205" s="342"/>
      <c r="L205" s="162"/>
      <c r="M205" s="162"/>
      <c r="N205" s="162"/>
      <c r="O205" s="162"/>
      <c r="P205" s="162"/>
      <c r="Q205" s="162"/>
    </row>
    <row r="206" spans="3:17" ht="15.75" customHeight="1" x14ac:dyDescent="0.25">
      <c r="C206" s="424"/>
      <c r="D206" s="162"/>
      <c r="E206" s="162"/>
      <c r="F206" s="162"/>
      <c r="G206" s="162"/>
      <c r="I206" s="162"/>
      <c r="J206" s="162"/>
      <c r="K206" s="342"/>
      <c r="L206" s="162"/>
      <c r="M206" s="162"/>
      <c r="N206" s="162"/>
      <c r="O206" s="162"/>
      <c r="P206" s="162"/>
      <c r="Q206" s="162"/>
    </row>
    <row r="207" spans="3:17" ht="15.75" customHeight="1" x14ac:dyDescent="0.25">
      <c r="C207" s="424"/>
      <c r="D207" s="162"/>
      <c r="E207" s="162"/>
      <c r="F207" s="162"/>
      <c r="G207" s="162"/>
      <c r="I207" s="162"/>
      <c r="J207" s="162"/>
      <c r="K207" s="342"/>
      <c r="L207" s="162"/>
      <c r="M207" s="162"/>
      <c r="N207" s="162"/>
      <c r="O207" s="162"/>
      <c r="P207" s="162"/>
      <c r="Q207" s="162"/>
    </row>
    <row r="208" spans="3:17" ht="15.75" customHeight="1" x14ac:dyDescent="0.25">
      <c r="C208" s="424"/>
      <c r="D208" s="162"/>
      <c r="E208" s="162"/>
      <c r="F208" s="162"/>
      <c r="G208" s="162"/>
      <c r="I208" s="162"/>
      <c r="J208" s="162"/>
      <c r="K208" s="342"/>
      <c r="L208" s="162"/>
      <c r="M208" s="162"/>
      <c r="N208" s="162"/>
      <c r="O208" s="162"/>
      <c r="P208" s="162"/>
      <c r="Q208" s="162"/>
    </row>
    <row r="209" spans="3:17" ht="15.75" customHeight="1" x14ac:dyDescent="0.25">
      <c r="C209" s="424"/>
      <c r="D209" s="162"/>
      <c r="E209" s="162"/>
      <c r="F209" s="162"/>
      <c r="G209" s="162"/>
      <c r="I209" s="162"/>
      <c r="J209" s="162"/>
      <c r="K209" s="342"/>
      <c r="L209" s="162"/>
      <c r="M209" s="162"/>
      <c r="N209" s="162"/>
      <c r="O209" s="162"/>
      <c r="P209" s="162"/>
      <c r="Q209" s="162"/>
    </row>
    <row r="210" spans="3:17" ht="15.75" customHeight="1" x14ac:dyDescent="0.25">
      <c r="C210" s="424"/>
      <c r="D210" s="162"/>
      <c r="E210" s="162"/>
      <c r="F210" s="162"/>
      <c r="G210" s="162"/>
      <c r="I210" s="162"/>
      <c r="J210" s="162"/>
      <c r="K210" s="342"/>
      <c r="L210" s="162"/>
      <c r="M210" s="162"/>
      <c r="N210" s="162"/>
      <c r="O210" s="162"/>
      <c r="P210" s="162"/>
      <c r="Q210" s="162"/>
    </row>
    <row r="211" spans="3:17" ht="15.75" customHeight="1" x14ac:dyDescent="0.25">
      <c r="C211" s="424"/>
      <c r="D211" s="162"/>
      <c r="E211" s="162"/>
      <c r="F211" s="162"/>
      <c r="G211" s="162"/>
      <c r="I211" s="162"/>
      <c r="J211" s="162"/>
      <c r="K211" s="342"/>
      <c r="L211" s="162"/>
      <c r="M211" s="162"/>
      <c r="N211" s="162"/>
      <c r="O211" s="162"/>
      <c r="P211" s="162"/>
      <c r="Q211" s="162"/>
    </row>
    <row r="212" spans="3:17" ht="15.75" customHeight="1" x14ac:dyDescent="0.25">
      <c r="C212" s="424"/>
      <c r="D212" s="162"/>
      <c r="E212" s="162"/>
      <c r="F212" s="162"/>
      <c r="G212" s="162"/>
      <c r="I212" s="162"/>
      <c r="J212" s="162"/>
      <c r="K212" s="342"/>
      <c r="L212" s="162"/>
      <c r="M212" s="162"/>
      <c r="N212" s="162"/>
      <c r="O212" s="162"/>
      <c r="P212" s="162"/>
      <c r="Q212" s="162"/>
    </row>
    <row r="213" spans="3:17" ht="15.75" customHeight="1" x14ac:dyDescent="0.25">
      <c r="C213" s="424"/>
      <c r="D213" s="162"/>
      <c r="E213" s="162"/>
      <c r="F213" s="162"/>
      <c r="G213" s="162"/>
      <c r="I213" s="162"/>
      <c r="J213" s="162"/>
      <c r="K213" s="342"/>
      <c r="L213" s="162"/>
      <c r="M213" s="162"/>
      <c r="N213" s="162"/>
      <c r="O213" s="162"/>
      <c r="P213" s="162"/>
      <c r="Q213" s="162"/>
    </row>
    <row r="214" spans="3:17" ht="15.75" customHeight="1" x14ac:dyDescent="0.25">
      <c r="C214" s="424"/>
      <c r="D214" s="162"/>
      <c r="E214" s="162"/>
      <c r="F214" s="162"/>
      <c r="G214" s="162"/>
      <c r="I214" s="162"/>
      <c r="J214" s="162"/>
      <c r="K214" s="342"/>
      <c r="L214" s="162"/>
      <c r="M214" s="162"/>
      <c r="N214" s="162"/>
      <c r="O214" s="162"/>
      <c r="P214" s="162"/>
      <c r="Q214" s="162"/>
    </row>
    <row r="215" spans="3:17" ht="15.75" customHeight="1" x14ac:dyDescent="0.25">
      <c r="C215" s="424"/>
      <c r="D215" s="162"/>
      <c r="E215" s="162"/>
      <c r="F215" s="162"/>
      <c r="G215" s="162"/>
      <c r="I215" s="162"/>
      <c r="J215" s="162"/>
      <c r="K215" s="342"/>
      <c r="L215" s="162"/>
      <c r="M215" s="162"/>
      <c r="N215" s="162"/>
      <c r="O215" s="162"/>
      <c r="P215" s="162"/>
      <c r="Q215" s="162"/>
    </row>
    <row r="216" spans="3:17" ht="15.75" customHeight="1" x14ac:dyDescent="0.25">
      <c r="C216" s="424"/>
      <c r="D216" s="162"/>
      <c r="E216" s="162"/>
      <c r="F216" s="162"/>
      <c r="G216" s="162"/>
      <c r="I216" s="162"/>
      <c r="J216" s="162"/>
      <c r="K216" s="342"/>
      <c r="L216" s="162"/>
      <c r="M216" s="162"/>
      <c r="N216" s="162"/>
      <c r="O216" s="162"/>
      <c r="P216" s="162"/>
      <c r="Q216" s="162"/>
    </row>
    <row r="217" spans="3:17" ht="15.75" customHeight="1" x14ac:dyDescent="0.25">
      <c r="C217" s="424"/>
      <c r="D217" s="162"/>
      <c r="E217" s="162"/>
      <c r="F217" s="162"/>
      <c r="G217" s="162"/>
      <c r="I217" s="162"/>
      <c r="J217" s="162"/>
      <c r="K217" s="342"/>
      <c r="L217" s="162"/>
      <c r="M217" s="162"/>
      <c r="N217" s="162"/>
      <c r="O217" s="162"/>
      <c r="P217" s="162"/>
      <c r="Q217" s="162"/>
    </row>
    <row r="218" spans="3:17" ht="15.75" customHeight="1" x14ac:dyDescent="0.25">
      <c r="C218" s="424"/>
      <c r="D218" s="162"/>
      <c r="E218" s="162"/>
      <c r="F218" s="162"/>
      <c r="G218" s="162"/>
      <c r="I218" s="162"/>
      <c r="J218" s="162"/>
      <c r="K218" s="342"/>
      <c r="L218" s="162"/>
      <c r="M218" s="162"/>
      <c r="N218" s="162"/>
      <c r="O218" s="162"/>
      <c r="P218" s="162"/>
      <c r="Q218" s="162"/>
    </row>
    <row r="219" spans="3:17" ht="15.75" customHeight="1" x14ac:dyDescent="0.25">
      <c r="C219" s="424"/>
      <c r="D219" s="162"/>
      <c r="E219" s="162"/>
      <c r="F219" s="162"/>
      <c r="G219" s="162"/>
      <c r="I219" s="162"/>
      <c r="J219" s="162"/>
      <c r="K219" s="342"/>
      <c r="L219" s="162"/>
      <c r="M219" s="162"/>
      <c r="N219" s="162"/>
      <c r="O219" s="162"/>
      <c r="P219" s="162"/>
      <c r="Q219" s="162"/>
    </row>
    <row r="220" spans="3:17" ht="15.75" customHeight="1" x14ac:dyDescent="0.25">
      <c r="C220" s="424"/>
      <c r="D220" s="162"/>
      <c r="E220" s="162"/>
      <c r="F220" s="162"/>
      <c r="G220" s="162"/>
      <c r="I220" s="162"/>
      <c r="J220" s="162"/>
      <c r="K220" s="342"/>
      <c r="L220" s="162"/>
      <c r="M220" s="162"/>
      <c r="N220" s="162"/>
      <c r="O220" s="162"/>
      <c r="P220" s="162"/>
      <c r="Q220" s="162"/>
    </row>
    <row r="221" spans="3:17" ht="15.75" customHeight="1" x14ac:dyDescent="0.25">
      <c r="C221" s="424"/>
      <c r="D221" s="162"/>
      <c r="E221" s="162"/>
      <c r="F221" s="162"/>
      <c r="G221" s="162"/>
      <c r="I221" s="162"/>
      <c r="J221" s="162"/>
      <c r="K221" s="342"/>
      <c r="L221" s="162"/>
      <c r="M221" s="162"/>
      <c r="N221" s="162"/>
      <c r="O221" s="162"/>
      <c r="P221" s="162"/>
      <c r="Q221" s="162"/>
    </row>
    <row r="222" spans="3:17" ht="15.75" customHeight="1" x14ac:dyDescent="0.25">
      <c r="C222" s="424"/>
      <c r="D222" s="162"/>
      <c r="E222" s="162"/>
      <c r="F222" s="162"/>
      <c r="G222" s="162"/>
      <c r="I222" s="162"/>
      <c r="J222" s="162"/>
      <c r="K222" s="342"/>
      <c r="L222" s="162"/>
      <c r="M222" s="162"/>
      <c r="N222" s="162"/>
      <c r="O222" s="162"/>
      <c r="P222" s="162"/>
      <c r="Q222" s="162"/>
    </row>
    <row r="223" spans="3:17" ht="15.75" customHeight="1" x14ac:dyDescent="0.25">
      <c r="C223" s="424"/>
      <c r="D223" s="162"/>
      <c r="E223" s="162"/>
      <c r="F223" s="162"/>
      <c r="G223" s="162"/>
      <c r="I223" s="162"/>
      <c r="J223" s="162"/>
      <c r="K223" s="342"/>
      <c r="L223" s="162"/>
      <c r="M223" s="162"/>
      <c r="N223" s="162"/>
      <c r="O223" s="162"/>
      <c r="P223" s="162"/>
      <c r="Q223" s="162"/>
    </row>
    <row r="224" spans="3:17" ht="15.75" customHeight="1" x14ac:dyDescent="0.25">
      <c r="C224" s="424"/>
      <c r="D224" s="162"/>
      <c r="E224" s="162"/>
      <c r="F224" s="162"/>
      <c r="G224" s="162"/>
      <c r="I224" s="162"/>
      <c r="J224" s="162"/>
      <c r="K224" s="342"/>
      <c r="L224" s="162"/>
      <c r="M224" s="162"/>
      <c r="N224" s="162"/>
      <c r="O224" s="162"/>
      <c r="P224" s="162"/>
      <c r="Q224" s="162"/>
    </row>
    <row r="225" spans="3:17" ht="15.75" customHeight="1" x14ac:dyDescent="0.25">
      <c r="C225" s="424"/>
      <c r="D225" s="162"/>
      <c r="E225" s="162"/>
      <c r="F225" s="162"/>
      <c r="G225" s="162"/>
      <c r="I225" s="162"/>
      <c r="J225" s="162"/>
      <c r="K225" s="342"/>
      <c r="L225" s="162"/>
      <c r="M225" s="162"/>
      <c r="N225" s="162"/>
      <c r="O225" s="162"/>
      <c r="P225" s="162"/>
      <c r="Q225" s="162"/>
    </row>
    <row r="226" spans="3:17" ht="15.75" customHeight="1" x14ac:dyDescent="0.25">
      <c r="C226" s="424"/>
      <c r="D226" s="162"/>
      <c r="E226" s="162"/>
      <c r="F226" s="162"/>
      <c r="G226" s="162"/>
      <c r="I226" s="162"/>
      <c r="J226" s="162"/>
      <c r="K226" s="342"/>
      <c r="L226" s="162"/>
      <c r="M226" s="162"/>
      <c r="N226" s="162"/>
      <c r="O226" s="162"/>
      <c r="P226" s="162"/>
      <c r="Q226" s="162"/>
    </row>
    <row r="227" spans="3:17" ht="15.75" customHeight="1" x14ac:dyDescent="0.25">
      <c r="C227" s="424"/>
      <c r="D227" s="162"/>
      <c r="E227" s="162"/>
      <c r="F227" s="162"/>
      <c r="G227" s="162"/>
      <c r="I227" s="162"/>
      <c r="J227" s="162"/>
      <c r="K227" s="342"/>
      <c r="L227" s="162"/>
      <c r="M227" s="162"/>
      <c r="N227" s="162"/>
      <c r="O227" s="162"/>
      <c r="P227" s="162"/>
      <c r="Q227" s="162"/>
    </row>
    <row r="228" spans="3:17" ht="15.75" customHeight="1" x14ac:dyDescent="0.25">
      <c r="C228" s="424"/>
      <c r="D228" s="162"/>
      <c r="E228" s="162"/>
      <c r="F228" s="162"/>
      <c r="G228" s="162"/>
      <c r="I228" s="162"/>
      <c r="J228" s="162"/>
      <c r="K228" s="342"/>
      <c r="L228" s="162"/>
      <c r="M228" s="162"/>
      <c r="N228" s="162"/>
      <c r="O228" s="162"/>
      <c r="P228" s="162"/>
      <c r="Q228" s="162"/>
    </row>
    <row r="229" spans="3:17" ht="15.75" customHeight="1" x14ac:dyDescent="0.25">
      <c r="C229" s="424"/>
      <c r="D229" s="162"/>
      <c r="E229" s="162"/>
      <c r="F229" s="162"/>
      <c r="G229" s="162"/>
      <c r="I229" s="162"/>
      <c r="J229" s="162"/>
      <c r="K229" s="342"/>
      <c r="L229" s="162"/>
      <c r="M229" s="162"/>
      <c r="N229" s="162"/>
      <c r="O229" s="162"/>
      <c r="P229" s="162"/>
      <c r="Q229" s="162"/>
    </row>
    <row r="230" spans="3:17" ht="15.75" customHeight="1" x14ac:dyDescent="0.25">
      <c r="C230" s="424"/>
      <c r="D230" s="162"/>
      <c r="E230" s="162"/>
      <c r="F230" s="162"/>
      <c r="G230" s="162"/>
      <c r="I230" s="162"/>
      <c r="J230" s="162"/>
      <c r="K230" s="342"/>
      <c r="L230" s="162"/>
      <c r="M230" s="162"/>
      <c r="N230" s="162"/>
      <c r="O230" s="162"/>
      <c r="P230" s="162"/>
      <c r="Q230" s="162"/>
    </row>
    <row r="231" spans="3:17" ht="15.75" customHeight="1" x14ac:dyDescent="0.25">
      <c r="C231" s="424"/>
      <c r="D231" s="162"/>
      <c r="E231" s="162"/>
      <c r="F231" s="162"/>
      <c r="G231" s="162"/>
      <c r="I231" s="162"/>
      <c r="J231" s="162"/>
      <c r="K231" s="342"/>
      <c r="L231" s="162"/>
      <c r="M231" s="162"/>
      <c r="N231" s="162"/>
      <c r="O231" s="162"/>
      <c r="P231" s="162"/>
      <c r="Q231" s="162"/>
    </row>
    <row r="232" spans="3:17" ht="15.75" customHeight="1" x14ac:dyDescent="0.25">
      <c r="C232" s="424"/>
      <c r="D232" s="162"/>
      <c r="E232" s="162"/>
      <c r="F232" s="162"/>
      <c r="G232" s="162"/>
      <c r="I232" s="162"/>
      <c r="J232" s="162"/>
      <c r="K232" s="342"/>
      <c r="L232" s="162"/>
      <c r="M232" s="162"/>
      <c r="N232" s="162"/>
      <c r="O232" s="162"/>
      <c r="P232" s="162"/>
      <c r="Q232" s="162"/>
    </row>
    <row r="233" spans="3:17" ht="15.75" customHeight="1" x14ac:dyDescent="0.25">
      <c r="C233" s="424"/>
      <c r="D233" s="162"/>
      <c r="E233" s="162"/>
      <c r="F233" s="162"/>
      <c r="G233" s="162"/>
      <c r="I233" s="162"/>
      <c r="J233" s="162"/>
      <c r="K233" s="342"/>
      <c r="L233" s="162"/>
      <c r="M233" s="162"/>
      <c r="N233" s="162"/>
      <c r="O233" s="162"/>
      <c r="P233" s="162"/>
      <c r="Q233" s="162"/>
    </row>
    <row r="234" spans="3:17" ht="15.75" customHeight="1" x14ac:dyDescent="0.25">
      <c r="C234" s="424"/>
      <c r="D234" s="162"/>
      <c r="E234" s="162"/>
      <c r="F234" s="162"/>
      <c r="G234" s="162"/>
      <c r="I234" s="162"/>
      <c r="J234" s="162"/>
      <c r="K234" s="342"/>
      <c r="L234" s="162"/>
      <c r="M234" s="162"/>
      <c r="N234" s="162"/>
      <c r="O234" s="162"/>
      <c r="P234" s="162"/>
      <c r="Q234" s="162"/>
    </row>
    <row r="235" spans="3:17" ht="15.75" customHeight="1" x14ac:dyDescent="0.25">
      <c r="C235" s="424"/>
      <c r="D235" s="162"/>
      <c r="E235" s="162"/>
      <c r="F235" s="162"/>
      <c r="G235" s="162"/>
      <c r="I235" s="162"/>
      <c r="J235" s="162"/>
      <c r="K235" s="342"/>
      <c r="L235" s="162"/>
      <c r="M235" s="162"/>
      <c r="N235" s="162"/>
      <c r="O235" s="162"/>
      <c r="P235" s="162"/>
      <c r="Q235" s="162"/>
    </row>
    <row r="236" spans="3:17" ht="15.75" customHeight="1" x14ac:dyDescent="0.25">
      <c r="C236" s="424"/>
      <c r="D236" s="162"/>
      <c r="E236" s="162"/>
      <c r="F236" s="162"/>
      <c r="G236" s="162"/>
      <c r="I236" s="162"/>
      <c r="J236" s="162"/>
      <c r="K236" s="342"/>
      <c r="L236" s="162"/>
      <c r="M236" s="162"/>
      <c r="N236" s="162"/>
      <c r="O236" s="162"/>
      <c r="P236" s="162"/>
      <c r="Q236" s="162"/>
    </row>
    <row r="237" spans="3:17" ht="15.75" customHeight="1" x14ac:dyDescent="0.25">
      <c r="C237" s="424"/>
      <c r="D237" s="162"/>
      <c r="E237" s="162"/>
      <c r="F237" s="162"/>
      <c r="G237" s="162"/>
      <c r="I237" s="162"/>
      <c r="J237" s="162"/>
      <c r="K237" s="342"/>
      <c r="L237" s="162"/>
      <c r="M237" s="162"/>
      <c r="N237" s="162"/>
      <c r="O237" s="162"/>
      <c r="P237" s="162"/>
      <c r="Q237" s="162"/>
    </row>
    <row r="238" spans="3:17" ht="15.75" customHeight="1" x14ac:dyDescent="0.25">
      <c r="C238" s="424"/>
      <c r="D238" s="162"/>
      <c r="E238" s="162"/>
      <c r="F238" s="162"/>
      <c r="G238" s="162"/>
      <c r="I238" s="162"/>
      <c r="J238" s="162"/>
      <c r="K238" s="342"/>
      <c r="L238" s="162"/>
      <c r="M238" s="162"/>
      <c r="N238" s="162"/>
      <c r="O238" s="162"/>
      <c r="P238" s="162"/>
      <c r="Q238" s="162"/>
    </row>
    <row r="239" spans="3:17" ht="15.75" customHeight="1" x14ac:dyDescent="0.25">
      <c r="C239" s="424"/>
      <c r="D239" s="162"/>
      <c r="E239" s="162"/>
      <c r="F239" s="162"/>
      <c r="G239" s="162"/>
      <c r="I239" s="162"/>
      <c r="J239" s="162"/>
      <c r="K239" s="342"/>
      <c r="L239" s="162"/>
      <c r="M239" s="162"/>
      <c r="N239" s="162"/>
      <c r="O239" s="162"/>
      <c r="P239" s="162"/>
      <c r="Q239" s="162"/>
    </row>
    <row r="240" spans="3:17" ht="15.75" customHeight="1" x14ac:dyDescent="0.25">
      <c r="C240" s="424"/>
      <c r="D240" s="162"/>
      <c r="E240" s="162"/>
      <c r="F240" s="162"/>
      <c r="G240" s="162"/>
      <c r="I240" s="162"/>
      <c r="J240" s="162"/>
      <c r="K240" s="342"/>
      <c r="L240" s="162"/>
      <c r="M240" s="162"/>
      <c r="N240" s="162"/>
      <c r="O240" s="162"/>
      <c r="P240" s="162"/>
      <c r="Q240" s="162"/>
    </row>
    <row r="241" spans="3:17" ht="15.75" customHeight="1" x14ac:dyDescent="0.25">
      <c r="C241" s="424"/>
      <c r="D241" s="162"/>
      <c r="E241" s="162"/>
      <c r="F241" s="162"/>
      <c r="G241" s="162"/>
      <c r="I241" s="162"/>
      <c r="J241" s="162"/>
      <c r="K241" s="342"/>
      <c r="L241" s="162"/>
      <c r="M241" s="162"/>
      <c r="N241" s="162"/>
      <c r="O241" s="162"/>
      <c r="P241" s="162"/>
      <c r="Q241" s="162"/>
    </row>
    <row r="242" spans="3:17" ht="15.75" customHeight="1" x14ac:dyDescent="0.25">
      <c r="C242" s="424"/>
      <c r="D242" s="162"/>
      <c r="E242" s="162"/>
      <c r="F242" s="162"/>
      <c r="G242" s="162"/>
      <c r="I242" s="162"/>
      <c r="J242" s="162"/>
      <c r="K242" s="342"/>
      <c r="L242" s="162"/>
      <c r="M242" s="162"/>
      <c r="N242" s="162"/>
      <c r="O242" s="162"/>
      <c r="P242" s="162"/>
      <c r="Q242" s="162"/>
    </row>
    <row r="243" spans="3:17" ht="15.75" customHeight="1" x14ac:dyDescent="0.25">
      <c r="C243" s="424"/>
      <c r="D243" s="162"/>
      <c r="E243" s="162"/>
      <c r="F243" s="162"/>
      <c r="G243" s="162"/>
      <c r="I243" s="162"/>
      <c r="J243" s="162"/>
      <c r="K243" s="342"/>
      <c r="L243" s="162"/>
      <c r="M243" s="162"/>
      <c r="N243" s="162"/>
      <c r="O243" s="162"/>
      <c r="P243" s="162"/>
      <c r="Q243" s="162"/>
    </row>
    <row r="244" spans="3:17" ht="15.75" customHeight="1" x14ac:dyDescent="0.25">
      <c r="C244" s="424"/>
      <c r="D244" s="162"/>
      <c r="E244" s="162"/>
      <c r="F244" s="162"/>
      <c r="G244" s="162"/>
      <c r="I244" s="162"/>
      <c r="J244" s="162"/>
      <c r="K244" s="342"/>
      <c r="L244" s="162"/>
      <c r="M244" s="162"/>
      <c r="N244" s="162"/>
      <c r="O244" s="162"/>
      <c r="P244" s="162"/>
      <c r="Q244" s="162"/>
    </row>
    <row r="245" spans="3:17" ht="15.75" customHeight="1" x14ac:dyDescent="0.25">
      <c r="C245" s="424"/>
      <c r="D245" s="162"/>
      <c r="E245" s="162"/>
      <c r="F245" s="162"/>
      <c r="G245" s="162"/>
      <c r="I245" s="162"/>
      <c r="J245" s="162"/>
      <c r="K245" s="342"/>
      <c r="L245" s="162"/>
      <c r="M245" s="162"/>
      <c r="N245" s="162"/>
      <c r="O245" s="162"/>
      <c r="P245" s="162"/>
      <c r="Q245" s="162"/>
    </row>
    <row r="246" spans="3:17" ht="15.75" customHeight="1" x14ac:dyDescent="0.25">
      <c r="C246" s="424"/>
      <c r="D246" s="162"/>
      <c r="E246" s="162"/>
      <c r="F246" s="162"/>
      <c r="G246" s="162"/>
      <c r="I246" s="162"/>
      <c r="J246" s="162"/>
      <c r="K246" s="342"/>
      <c r="L246" s="162"/>
      <c r="M246" s="162"/>
      <c r="N246" s="162"/>
      <c r="O246" s="162"/>
      <c r="P246" s="162"/>
      <c r="Q246" s="162"/>
    </row>
    <row r="247" spans="3:17" ht="15.75" customHeight="1" x14ac:dyDescent="0.25">
      <c r="C247" s="424"/>
      <c r="D247" s="162"/>
      <c r="E247" s="162"/>
      <c r="F247" s="162"/>
      <c r="G247" s="162"/>
      <c r="I247" s="162"/>
      <c r="J247" s="162"/>
      <c r="K247" s="342"/>
      <c r="L247" s="162"/>
      <c r="M247" s="162"/>
      <c r="N247" s="162"/>
      <c r="O247" s="162"/>
      <c r="P247" s="162"/>
      <c r="Q247" s="162"/>
    </row>
    <row r="248" spans="3:17" ht="15.75" customHeight="1" x14ac:dyDescent="0.25">
      <c r="C248" s="424"/>
      <c r="D248" s="162"/>
      <c r="E248" s="162"/>
      <c r="F248" s="162"/>
      <c r="G248" s="162"/>
      <c r="I248" s="162"/>
      <c r="J248" s="162"/>
      <c r="K248" s="342"/>
      <c r="L248" s="162"/>
      <c r="M248" s="162"/>
      <c r="N248" s="162"/>
      <c r="O248" s="162"/>
      <c r="P248" s="162"/>
      <c r="Q248" s="162"/>
    </row>
    <row r="249" spans="3:17" ht="15.75" customHeight="1" x14ac:dyDescent="0.25">
      <c r="C249" s="424"/>
      <c r="D249" s="162"/>
      <c r="E249" s="162"/>
      <c r="F249" s="162"/>
      <c r="G249" s="162"/>
      <c r="I249" s="162"/>
      <c r="J249" s="162"/>
      <c r="K249" s="342"/>
      <c r="L249" s="162"/>
      <c r="M249" s="162"/>
      <c r="N249" s="162"/>
      <c r="O249" s="162"/>
      <c r="P249" s="162"/>
      <c r="Q249" s="162"/>
    </row>
    <row r="250" spans="3:17" ht="15.75" customHeight="1" x14ac:dyDescent="0.25">
      <c r="C250" s="424"/>
      <c r="D250" s="162"/>
      <c r="E250" s="162"/>
      <c r="F250" s="162"/>
      <c r="G250" s="162"/>
      <c r="I250" s="162"/>
      <c r="J250" s="162"/>
      <c r="K250" s="342"/>
      <c r="L250" s="162"/>
      <c r="M250" s="162"/>
      <c r="N250" s="162"/>
      <c r="O250" s="162"/>
      <c r="P250" s="162"/>
      <c r="Q250" s="162"/>
    </row>
    <row r="251" spans="3:17" ht="15.75" customHeight="1" x14ac:dyDescent="0.25">
      <c r="C251" s="424"/>
      <c r="D251" s="162"/>
      <c r="E251" s="162"/>
      <c r="F251" s="162"/>
      <c r="G251" s="162"/>
      <c r="I251" s="162"/>
      <c r="J251" s="162"/>
      <c r="K251" s="342"/>
      <c r="L251" s="162"/>
      <c r="M251" s="162"/>
      <c r="N251" s="162"/>
      <c r="O251" s="162"/>
      <c r="P251" s="162"/>
      <c r="Q251" s="162"/>
    </row>
    <row r="252" spans="3:17" ht="15.75" customHeight="1" x14ac:dyDescent="0.25">
      <c r="C252" s="424"/>
      <c r="D252" s="162"/>
      <c r="E252" s="162"/>
      <c r="F252" s="162"/>
      <c r="G252" s="162"/>
      <c r="I252" s="162"/>
      <c r="J252" s="162"/>
      <c r="K252" s="342"/>
      <c r="L252" s="162"/>
      <c r="M252" s="162"/>
      <c r="N252" s="162"/>
      <c r="O252" s="162"/>
      <c r="P252" s="162"/>
      <c r="Q252" s="162"/>
    </row>
    <row r="253" spans="3:17" ht="15.75" customHeight="1" x14ac:dyDescent="0.25">
      <c r="C253" s="424"/>
      <c r="D253" s="162"/>
      <c r="E253" s="162"/>
      <c r="F253" s="162"/>
      <c r="G253" s="162"/>
      <c r="I253" s="162"/>
      <c r="J253" s="162"/>
      <c r="K253" s="342"/>
      <c r="L253" s="162"/>
      <c r="M253" s="162"/>
      <c r="N253" s="162"/>
      <c r="O253" s="162"/>
      <c r="P253" s="162"/>
      <c r="Q253" s="162"/>
    </row>
    <row r="254" spans="3:17" ht="15.75" customHeight="1" x14ac:dyDescent="0.25">
      <c r="C254" s="424"/>
      <c r="D254" s="162"/>
      <c r="E254" s="162"/>
      <c r="F254" s="162"/>
      <c r="G254" s="162"/>
      <c r="I254" s="162"/>
      <c r="J254" s="162"/>
      <c r="K254" s="342"/>
      <c r="L254" s="162"/>
      <c r="M254" s="162"/>
      <c r="N254" s="162"/>
      <c r="O254" s="162"/>
      <c r="P254" s="162"/>
      <c r="Q254" s="162"/>
    </row>
    <row r="255" spans="3:17" ht="15.75" customHeight="1" x14ac:dyDescent="0.25">
      <c r="C255" s="424"/>
      <c r="D255" s="162"/>
      <c r="E255" s="162"/>
      <c r="F255" s="162"/>
      <c r="G255" s="162"/>
      <c r="I255" s="162"/>
      <c r="J255" s="162"/>
      <c r="K255" s="342"/>
      <c r="L255" s="162"/>
      <c r="M255" s="162"/>
      <c r="N255" s="162"/>
      <c r="O255" s="162"/>
      <c r="P255" s="162"/>
      <c r="Q255" s="162"/>
    </row>
    <row r="256" spans="3:17" ht="15.75" customHeight="1" x14ac:dyDescent="0.25">
      <c r="C256" s="424"/>
      <c r="D256" s="162"/>
      <c r="E256" s="162"/>
      <c r="F256" s="162"/>
      <c r="G256" s="162"/>
      <c r="I256" s="162"/>
      <c r="J256" s="162"/>
      <c r="K256" s="342"/>
      <c r="L256" s="162"/>
      <c r="M256" s="162"/>
      <c r="N256" s="162"/>
      <c r="O256" s="162"/>
      <c r="P256" s="162"/>
      <c r="Q256" s="162"/>
    </row>
    <row r="257" spans="3:17" ht="15.75" customHeight="1" x14ac:dyDescent="0.25">
      <c r="C257" s="424"/>
      <c r="D257" s="162"/>
      <c r="E257" s="162"/>
      <c r="F257" s="162"/>
      <c r="G257" s="162"/>
      <c r="I257" s="162"/>
      <c r="J257" s="162"/>
      <c r="K257" s="342"/>
      <c r="L257" s="162"/>
      <c r="M257" s="162"/>
      <c r="N257" s="162"/>
      <c r="O257" s="162"/>
      <c r="P257" s="162"/>
      <c r="Q257" s="162"/>
    </row>
    <row r="258" spans="3:17" ht="15.75" customHeight="1" x14ac:dyDescent="0.25">
      <c r="C258" s="424"/>
      <c r="D258" s="162"/>
      <c r="E258" s="162"/>
      <c r="F258" s="162"/>
      <c r="G258" s="162"/>
      <c r="I258" s="162"/>
      <c r="J258" s="162"/>
      <c r="K258" s="342"/>
      <c r="L258" s="162"/>
      <c r="M258" s="162"/>
      <c r="N258" s="162"/>
      <c r="O258" s="162"/>
      <c r="P258" s="162"/>
      <c r="Q258" s="162"/>
    </row>
    <row r="259" spans="3:17" ht="15.75" customHeight="1" x14ac:dyDescent="0.25">
      <c r="C259" s="424"/>
      <c r="D259" s="162"/>
      <c r="E259" s="162"/>
      <c r="F259" s="162"/>
      <c r="G259" s="162"/>
      <c r="I259" s="162"/>
      <c r="J259" s="162"/>
      <c r="K259" s="342"/>
      <c r="L259" s="162"/>
      <c r="M259" s="162"/>
      <c r="N259" s="162"/>
      <c r="O259" s="162"/>
      <c r="P259" s="162"/>
      <c r="Q259" s="162"/>
    </row>
    <row r="260" spans="3:17" ht="15.75" customHeight="1" x14ac:dyDescent="0.25">
      <c r="C260" s="424"/>
      <c r="D260" s="162"/>
      <c r="E260" s="162"/>
      <c r="F260" s="162"/>
      <c r="G260" s="162"/>
      <c r="I260" s="162"/>
      <c r="J260" s="162"/>
      <c r="K260" s="342"/>
      <c r="L260" s="162"/>
      <c r="M260" s="162"/>
      <c r="N260" s="162"/>
      <c r="O260" s="162"/>
      <c r="P260" s="162"/>
      <c r="Q260" s="162"/>
    </row>
    <row r="261" spans="3:17" ht="15.75" customHeight="1" x14ac:dyDescent="0.25">
      <c r="C261" s="424"/>
      <c r="D261" s="162"/>
      <c r="E261" s="162"/>
      <c r="F261" s="162"/>
      <c r="G261" s="162"/>
      <c r="I261" s="162"/>
      <c r="J261" s="162"/>
      <c r="K261" s="342"/>
      <c r="L261" s="162"/>
      <c r="M261" s="162"/>
      <c r="N261" s="162"/>
      <c r="O261" s="162"/>
      <c r="P261" s="162"/>
      <c r="Q261" s="162"/>
    </row>
    <row r="262" spans="3:17" ht="15.75" customHeight="1" x14ac:dyDescent="0.25">
      <c r="C262" s="424"/>
      <c r="D262" s="162"/>
      <c r="E262" s="162"/>
      <c r="F262" s="162"/>
      <c r="G262" s="162"/>
      <c r="I262" s="162"/>
      <c r="J262" s="162"/>
      <c r="K262" s="342"/>
      <c r="L262" s="162"/>
      <c r="M262" s="162"/>
      <c r="N262" s="162"/>
      <c r="O262" s="162"/>
      <c r="P262" s="162"/>
      <c r="Q262" s="162"/>
    </row>
    <row r="263" spans="3:17" ht="15.75" customHeight="1" x14ac:dyDescent="0.25">
      <c r="C263" s="424"/>
      <c r="D263" s="162"/>
      <c r="E263" s="162"/>
      <c r="F263" s="162"/>
      <c r="G263" s="162"/>
      <c r="I263" s="162"/>
      <c r="J263" s="162"/>
      <c r="K263" s="342"/>
      <c r="L263" s="162"/>
      <c r="M263" s="162"/>
      <c r="N263" s="162"/>
      <c r="O263" s="162"/>
      <c r="P263" s="162"/>
      <c r="Q263" s="162"/>
    </row>
    <row r="264" spans="3:17" ht="15.75" customHeight="1" x14ac:dyDescent="0.25">
      <c r="C264" s="424"/>
      <c r="D264" s="162"/>
      <c r="E264" s="162"/>
      <c r="F264" s="162"/>
      <c r="G264" s="162"/>
      <c r="I264" s="162"/>
      <c r="J264" s="162"/>
      <c r="K264" s="342"/>
      <c r="L264" s="162"/>
      <c r="M264" s="162"/>
      <c r="N264" s="162"/>
      <c r="O264" s="162"/>
      <c r="P264" s="162"/>
      <c r="Q264" s="162"/>
    </row>
    <row r="265" spans="3:17" ht="15.75" customHeight="1" x14ac:dyDescent="0.25">
      <c r="C265" s="424"/>
      <c r="D265" s="162"/>
      <c r="E265" s="162"/>
      <c r="F265" s="162"/>
      <c r="G265" s="162"/>
      <c r="I265" s="162"/>
      <c r="J265" s="162"/>
      <c r="K265" s="342"/>
      <c r="L265" s="162"/>
      <c r="M265" s="162"/>
      <c r="N265" s="162"/>
      <c r="O265" s="162"/>
      <c r="P265" s="162"/>
      <c r="Q265" s="162"/>
    </row>
    <row r="266" spans="3:17" ht="15.75" customHeight="1" x14ac:dyDescent="0.25">
      <c r="C266" s="424"/>
      <c r="D266" s="162"/>
      <c r="E266" s="162"/>
      <c r="F266" s="162"/>
      <c r="G266" s="162"/>
      <c r="I266" s="162"/>
      <c r="J266" s="162"/>
      <c r="K266" s="342"/>
      <c r="L266" s="162"/>
      <c r="M266" s="162"/>
      <c r="N266" s="162"/>
      <c r="O266" s="162"/>
      <c r="P266" s="162"/>
      <c r="Q266" s="162"/>
    </row>
    <row r="267" spans="3:17" ht="15.75" customHeight="1" x14ac:dyDescent="0.25">
      <c r="C267" s="424"/>
      <c r="D267" s="162"/>
      <c r="E267" s="162"/>
      <c r="F267" s="162"/>
      <c r="G267" s="162"/>
      <c r="I267" s="162"/>
      <c r="J267" s="162"/>
      <c r="K267" s="342"/>
      <c r="L267" s="162"/>
      <c r="M267" s="162"/>
      <c r="N267" s="162"/>
      <c r="O267" s="162"/>
      <c r="P267" s="162"/>
      <c r="Q267" s="162"/>
    </row>
    <row r="268" spans="3:17" ht="15.75" customHeight="1" x14ac:dyDescent="0.25">
      <c r="C268" s="424"/>
      <c r="D268" s="162"/>
      <c r="E268" s="162"/>
      <c r="F268" s="162"/>
      <c r="G268" s="162"/>
      <c r="I268" s="162"/>
      <c r="J268" s="162"/>
      <c r="K268" s="342"/>
      <c r="L268" s="162"/>
      <c r="M268" s="162"/>
      <c r="N268" s="162"/>
      <c r="O268" s="162"/>
      <c r="P268" s="162"/>
      <c r="Q268" s="162"/>
    </row>
    <row r="269" spans="3:17" ht="15.75" customHeight="1" x14ac:dyDescent="0.25">
      <c r="C269" s="424"/>
      <c r="D269" s="162"/>
      <c r="E269" s="162"/>
      <c r="F269" s="162"/>
      <c r="G269" s="162"/>
      <c r="I269" s="162"/>
      <c r="J269" s="162"/>
      <c r="K269" s="342"/>
      <c r="L269" s="162"/>
      <c r="M269" s="162"/>
      <c r="N269" s="162"/>
      <c r="O269" s="162"/>
      <c r="P269" s="162"/>
      <c r="Q269" s="162"/>
    </row>
    <row r="270" spans="3:17" ht="15.75" customHeight="1" x14ac:dyDescent="0.25">
      <c r="C270" s="424"/>
      <c r="D270" s="162"/>
      <c r="E270" s="162"/>
      <c r="F270" s="162"/>
      <c r="G270" s="162"/>
      <c r="I270" s="162"/>
      <c r="J270" s="162"/>
      <c r="K270" s="342"/>
      <c r="L270" s="162"/>
      <c r="M270" s="162"/>
      <c r="N270" s="162"/>
      <c r="O270" s="162"/>
      <c r="P270" s="162"/>
      <c r="Q270" s="162"/>
    </row>
    <row r="271" spans="3:17" ht="15.75" customHeight="1" x14ac:dyDescent="0.25">
      <c r="C271" s="424"/>
      <c r="D271" s="162"/>
      <c r="E271" s="162"/>
      <c r="F271" s="162"/>
      <c r="G271" s="162"/>
      <c r="I271" s="162"/>
      <c r="J271" s="162"/>
      <c r="K271" s="342"/>
      <c r="L271" s="162"/>
      <c r="M271" s="162"/>
      <c r="N271" s="162"/>
      <c r="O271" s="162"/>
      <c r="P271" s="162"/>
      <c r="Q271" s="162"/>
    </row>
    <row r="272" spans="3:17" ht="15.75" customHeight="1" x14ac:dyDescent="0.25">
      <c r="C272" s="424"/>
      <c r="D272" s="162"/>
      <c r="E272" s="162"/>
      <c r="F272" s="162"/>
      <c r="G272" s="162"/>
      <c r="I272" s="162"/>
      <c r="J272" s="162"/>
      <c r="K272" s="342"/>
      <c r="L272" s="162"/>
      <c r="M272" s="162"/>
      <c r="N272" s="162"/>
      <c r="O272" s="162"/>
      <c r="P272" s="162"/>
      <c r="Q272" s="162"/>
    </row>
    <row r="273" spans="3:17" ht="15.75" customHeight="1" x14ac:dyDescent="0.25">
      <c r="C273" s="424"/>
      <c r="D273" s="162"/>
      <c r="E273" s="162"/>
      <c r="F273" s="162"/>
      <c r="G273" s="162"/>
      <c r="I273" s="162"/>
      <c r="J273" s="162"/>
      <c r="K273" s="342"/>
      <c r="L273" s="162"/>
      <c r="M273" s="162"/>
      <c r="N273" s="162"/>
      <c r="O273" s="162"/>
      <c r="P273" s="162"/>
      <c r="Q273" s="162"/>
    </row>
    <row r="274" spans="3:17" ht="15.75" customHeight="1" x14ac:dyDescent="0.25">
      <c r="C274" s="424"/>
      <c r="D274" s="162"/>
      <c r="E274" s="162"/>
      <c r="F274" s="162"/>
      <c r="G274" s="162"/>
      <c r="I274" s="162"/>
      <c r="J274" s="162"/>
      <c r="K274" s="342"/>
      <c r="L274" s="162"/>
      <c r="M274" s="162"/>
      <c r="N274" s="162"/>
      <c r="O274" s="162"/>
      <c r="P274" s="162"/>
      <c r="Q274" s="162"/>
    </row>
    <row r="275" spans="3:17" ht="15.75" customHeight="1" x14ac:dyDescent="0.25">
      <c r="C275" s="424"/>
      <c r="D275" s="162"/>
      <c r="E275" s="162"/>
      <c r="F275" s="162"/>
      <c r="G275" s="162"/>
      <c r="I275" s="162"/>
      <c r="J275" s="162"/>
      <c r="K275" s="342"/>
      <c r="L275" s="162"/>
      <c r="M275" s="162"/>
      <c r="N275" s="162"/>
      <c r="O275" s="162"/>
      <c r="P275" s="162"/>
      <c r="Q275" s="162"/>
    </row>
    <row r="276" spans="3:17" ht="15.75" customHeight="1" x14ac:dyDescent="0.25">
      <c r="C276" s="424"/>
      <c r="D276" s="162"/>
      <c r="E276" s="162"/>
      <c r="F276" s="162"/>
      <c r="G276" s="162"/>
      <c r="I276" s="162"/>
      <c r="J276" s="162"/>
      <c r="K276" s="342"/>
      <c r="L276" s="162"/>
      <c r="M276" s="162"/>
      <c r="N276" s="162"/>
      <c r="O276" s="162"/>
      <c r="P276" s="162"/>
      <c r="Q276" s="162"/>
    </row>
    <row r="277" spans="3:17" ht="15.75" customHeight="1" x14ac:dyDescent="0.25">
      <c r="C277" s="424"/>
      <c r="D277" s="162"/>
      <c r="E277" s="162"/>
      <c r="F277" s="162"/>
      <c r="G277" s="162"/>
      <c r="I277" s="162"/>
      <c r="J277" s="162"/>
      <c r="K277" s="342"/>
      <c r="L277" s="162"/>
      <c r="M277" s="162"/>
      <c r="N277" s="162"/>
      <c r="O277" s="162"/>
      <c r="P277" s="162"/>
      <c r="Q277" s="162"/>
    </row>
    <row r="278" spans="3:17" ht="15.75" customHeight="1" x14ac:dyDescent="0.25">
      <c r="C278" s="424"/>
      <c r="D278" s="162"/>
      <c r="E278" s="162"/>
      <c r="F278" s="162"/>
      <c r="G278" s="162"/>
      <c r="I278" s="162"/>
      <c r="J278" s="162"/>
      <c r="K278" s="342"/>
      <c r="L278" s="162"/>
      <c r="M278" s="162"/>
      <c r="N278" s="162"/>
      <c r="O278" s="162"/>
      <c r="P278" s="162"/>
      <c r="Q278" s="162"/>
    </row>
    <row r="279" spans="3:17" ht="15.75" customHeight="1" x14ac:dyDescent="0.25">
      <c r="C279" s="424"/>
      <c r="D279" s="162"/>
      <c r="E279" s="162"/>
      <c r="F279" s="162"/>
      <c r="G279" s="162"/>
      <c r="I279" s="162"/>
      <c r="J279" s="162"/>
      <c r="K279" s="342"/>
      <c r="L279" s="162"/>
      <c r="M279" s="162"/>
      <c r="N279" s="162"/>
      <c r="O279" s="162"/>
      <c r="P279" s="162"/>
      <c r="Q279" s="162"/>
    </row>
    <row r="280" spans="3:17" ht="15.75" customHeight="1" x14ac:dyDescent="0.25">
      <c r="C280" s="424"/>
      <c r="D280" s="162"/>
      <c r="E280" s="162"/>
      <c r="F280" s="162"/>
      <c r="G280" s="162"/>
      <c r="I280" s="162"/>
      <c r="J280" s="162"/>
      <c r="K280" s="342"/>
      <c r="L280" s="162"/>
      <c r="M280" s="162"/>
      <c r="N280" s="162"/>
      <c r="O280" s="162"/>
      <c r="P280" s="162"/>
      <c r="Q280" s="162"/>
    </row>
    <row r="281" spans="3:17" ht="15.75" customHeight="1" x14ac:dyDescent="0.25">
      <c r="C281" s="424"/>
      <c r="D281" s="162"/>
      <c r="E281" s="162"/>
      <c r="F281" s="162"/>
      <c r="G281" s="162"/>
      <c r="I281" s="162"/>
      <c r="J281" s="162"/>
      <c r="K281" s="342"/>
      <c r="L281" s="162"/>
      <c r="M281" s="162"/>
      <c r="N281" s="162"/>
      <c r="O281" s="162"/>
      <c r="P281" s="162"/>
      <c r="Q281" s="162"/>
    </row>
    <row r="282" spans="3:17" ht="15.75" customHeight="1" x14ac:dyDescent="0.25">
      <c r="C282" s="424"/>
      <c r="D282" s="162"/>
      <c r="E282" s="162"/>
      <c r="F282" s="162"/>
      <c r="G282" s="162"/>
      <c r="I282" s="162"/>
      <c r="J282" s="162"/>
      <c r="K282" s="342"/>
      <c r="L282" s="162"/>
      <c r="M282" s="162"/>
      <c r="N282" s="162"/>
      <c r="O282" s="162"/>
      <c r="P282" s="162"/>
      <c r="Q282" s="162"/>
    </row>
    <row r="283" spans="3:17" ht="15.75" customHeight="1" x14ac:dyDescent="0.25">
      <c r="C283" s="424"/>
      <c r="D283" s="162"/>
      <c r="E283" s="162"/>
      <c r="F283" s="162"/>
      <c r="G283" s="162"/>
      <c r="I283" s="162"/>
      <c r="J283" s="162"/>
      <c r="K283" s="342"/>
      <c r="L283" s="162"/>
      <c r="M283" s="162"/>
      <c r="N283" s="162"/>
      <c r="O283" s="162"/>
      <c r="P283" s="162"/>
      <c r="Q283" s="162"/>
    </row>
    <row r="284" spans="3:17" ht="15.75" customHeight="1" x14ac:dyDescent="0.25">
      <c r="C284" s="424"/>
      <c r="D284" s="162"/>
      <c r="E284" s="162"/>
      <c r="F284" s="162"/>
      <c r="G284" s="162"/>
      <c r="I284" s="162"/>
      <c r="J284" s="162"/>
      <c r="K284" s="342"/>
      <c r="L284" s="162"/>
      <c r="M284" s="162"/>
      <c r="N284" s="162"/>
      <c r="O284" s="162"/>
      <c r="P284" s="162"/>
      <c r="Q284" s="162"/>
    </row>
    <row r="285" spans="3:17" ht="15.75" customHeight="1" x14ac:dyDescent="0.25">
      <c r="C285" s="424"/>
      <c r="D285" s="162"/>
      <c r="E285" s="162"/>
      <c r="F285" s="162"/>
      <c r="G285" s="162"/>
      <c r="I285" s="162"/>
      <c r="J285" s="162"/>
      <c r="K285" s="342"/>
      <c r="L285" s="162"/>
      <c r="M285" s="162"/>
      <c r="N285" s="162"/>
      <c r="O285" s="162"/>
      <c r="P285" s="162"/>
      <c r="Q285" s="162"/>
    </row>
    <row r="286" spans="3:17" ht="15.75" customHeight="1" x14ac:dyDescent="0.25">
      <c r="C286" s="424"/>
      <c r="D286" s="162"/>
      <c r="E286" s="162"/>
      <c r="F286" s="162"/>
      <c r="G286" s="162"/>
      <c r="I286" s="162"/>
      <c r="J286" s="162"/>
      <c r="K286" s="342"/>
      <c r="L286" s="162"/>
      <c r="M286" s="162"/>
      <c r="N286" s="162"/>
      <c r="O286" s="162"/>
      <c r="P286" s="162"/>
      <c r="Q286" s="162"/>
    </row>
    <row r="287" spans="3:17" ht="15.75" customHeight="1" x14ac:dyDescent="0.25">
      <c r="C287" s="424"/>
      <c r="D287" s="162"/>
      <c r="E287" s="162"/>
      <c r="F287" s="162"/>
      <c r="G287" s="162"/>
      <c r="I287" s="162"/>
      <c r="J287" s="162"/>
      <c r="K287" s="342"/>
      <c r="L287" s="162"/>
      <c r="M287" s="162"/>
      <c r="N287" s="162"/>
      <c r="O287" s="162"/>
      <c r="P287" s="162"/>
      <c r="Q287" s="162"/>
    </row>
    <row r="288" spans="3:17" ht="15.75" customHeight="1" x14ac:dyDescent="0.25">
      <c r="C288" s="424"/>
      <c r="D288" s="162"/>
      <c r="E288" s="162"/>
      <c r="F288" s="162"/>
      <c r="G288" s="162"/>
      <c r="I288" s="162"/>
      <c r="J288" s="162"/>
      <c r="K288" s="342"/>
      <c r="L288" s="162"/>
      <c r="M288" s="162"/>
      <c r="N288" s="162"/>
      <c r="O288" s="162"/>
      <c r="P288" s="162"/>
      <c r="Q288" s="162"/>
    </row>
    <row r="289" spans="3:17" ht="15.75" customHeight="1" x14ac:dyDescent="0.25">
      <c r="C289" s="424"/>
      <c r="D289" s="162"/>
      <c r="E289" s="162"/>
      <c r="F289" s="162"/>
      <c r="G289" s="162"/>
      <c r="I289" s="162"/>
      <c r="J289" s="162"/>
      <c r="K289" s="342"/>
      <c r="L289" s="162"/>
      <c r="M289" s="162"/>
      <c r="N289" s="162"/>
      <c r="O289" s="162"/>
      <c r="P289" s="162"/>
      <c r="Q289" s="162"/>
    </row>
    <row r="290" spans="3:17" ht="15.75" customHeight="1" x14ac:dyDescent="0.25">
      <c r="C290" s="424"/>
      <c r="D290" s="162"/>
      <c r="E290" s="162"/>
      <c r="F290" s="162"/>
      <c r="G290" s="162"/>
      <c r="I290" s="162"/>
      <c r="J290" s="162"/>
      <c r="K290" s="342"/>
      <c r="L290" s="162"/>
      <c r="M290" s="162"/>
      <c r="N290" s="162"/>
      <c r="O290" s="162"/>
      <c r="P290" s="162"/>
      <c r="Q290" s="162"/>
    </row>
    <row r="291" spans="3:17" ht="15.75" customHeight="1" x14ac:dyDescent="0.25">
      <c r="C291" s="424"/>
      <c r="D291" s="162"/>
      <c r="E291" s="162"/>
      <c r="F291" s="162"/>
      <c r="G291" s="162"/>
      <c r="I291" s="162"/>
      <c r="J291" s="162"/>
      <c r="K291" s="342"/>
      <c r="L291" s="162"/>
      <c r="M291" s="162"/>
      <c r="N291" s="162"/>
      <c r="O291" s="162"/>
      <c r="P291" s="162"/>
      <c r="Q291" s="162"/>
    </row>
    <row r="292" spans="3:17" ht="15.75" customHeight="1" x14ac:dyDescent="0.25">
      <c r="C292" s="424"/>
      <c r="D292" s="162"/>
      <c r="E292" s="162"/>
      <c r="F292" s="162"/>
      <c r="G292" s="162"/>
      <c r="I292" s="162"/>
      <c r="J292" s="162"/>
      <c r="K292" s="342"/>
      <c r="L292" s="162"/>
      <c r="M292" s="162"/>
      <c r="N292" s="162"/>
      <c r="O292" s="162"/>
      <c r="P292" s="162"/>
      <c r="Q292" s="162"/>
    </row>
    <row r="293" spans="3:17" ht="15.75" customHeight="1" x14ac:dyDescent="0.25">
      <c r="C293" s="424"/>
      <c r="D293" s="162"/>
      <c r="E293" s="162"/>
      <c r="F293" s="162"/>
      <c r="G293" s="162"/>
      <c r="I293" s="162"/>
      <c r="J293" s="162"/>
      <c r="K293" s="342"/>
      <c r="L293" s="162"/>
      <c r="M293" s="162"/>
      <c r="N293" s="162"/>
      <c r="O293" s="162"/>
      <c r="P293" s="162"/>
      <c r="Q293" s="162"/>
    </row>
    <row r="294" spans="3:17" ht="15.75" customHeight="1" x14ac:dyDescent="0.25">
      <c r="C294" s="424"/>
      <c r="D294" s="162"/>
      <c r="E294" s="162"/>
      <c r="F294" s="162"/>
      <c r="G294" s="162"/>
      <c r="I294" s="162"/>
      <c r="J294" s="162"/>
      <c r="K294" s="342"/>
      <c r="L294" s="162"/>
      <c r="M294" s="162"/>
      <c r="N294" s="162"/>
      <c r="O294" s="162"/>
      <c r="P294" s="162"/>
      <c r="Q294" s="162"/>
    </row>
    <row r="295" spans="3:17" ht="15.75" customHeight="1" x14ac:dyDescent="0.25">
      <c r="C295" s="424"/>
      <c r="D295" s="162"/>
      <c r="E295" s="162"/>
      <c r="F295" s="162"/>
      <c r="G295" s="162"/>
      <c r="I295" s="162"/>
      <c r="J295" s="162"/>
      <c r="K295" s="342"/>
      <c r="L295" s="162"/>
      <c r="M295" s="162"/>
      <c r="N295" s="162"/>
      <c r="O295" s="162"/>
      <c r="P295" s="162"/>
      <c r="Q295" s="162"/>
    </row>
    <row r="296" spans="3:17" ht="15.75" customHeight="1" x14ac:dyDescent="0.25">
      <c r="C296" s="424"/>
      <c r="D296" s="162"/>
      <c r="E296" s="162"/>
      <c r="F296" s="162"/>
      <c r="G296" s="162"/>
      <c r="I296" s="162"/>
      <c r="J296" s="162"/>
      <c r="K296" s="342"/>
      <c r="L296" s="162"/>
      <c r="M296" s="162"/>
      <c r="N296" s="162"/>
      <c r="O296" s="162"/>
      <c r="P296" s="162"/>
      <c r="Q296" s="162"/>
    </row>
    <row r="297" spans="3:17" ht="15.75" customHeight="1" x14ac:dyDescent="0.25">
      <c r="C297" s="424"/>
      <c r="D297" s="162"/>
      <c r="E297" s="162"/>
      <c r="F297" s="162"/>
      <c r="G297" s="162"/>
      <c r="I297" s="162"/>
      <c r="J297" s="162"/>
      <c r="K297" s="342"/>
      <c r="L297" s="162"/>
      <c r="M297" s="162"/>
      <c r="N297" s="162"/>
      <c r="O297" s="162"/>
      <c r="P297" s="162"/>
      <c r="Q297" s="162"/>
    </row>
    <row r="298" spans="3:17" ht="15.75" customHeight="1" x14ac:dyDescent="0.25">
      <c r="C298" s="424"/>
      <c r="D298" s="162"/>
      <c r="E298" s="162"/>
      <c r="F298" s="162"/>
      <c r="G298" s="162"/>
      <c r="I298" s="162"/>
      <c r="J298" s="162"/>
      <c r="K298" s="342"/>
      <c r="L298" s="162"/>
      <c r="M298" s="162"/>
      <c r="N298" s="162"/>
      <c r="O298" s="162"/>
      <c r="P298" s="162"/>
      <c r="Q298" s="162"/>
    </row>
    <row r="299" spans="3:17" ht="15.75" customHeight="1" x14ac:dyDescent="0.25">
      <c r="C299" s="424"/>
      <c r="D299" s="162"/>
      <c r="E299" s="162"/>
      <c r="F299" s="162"/>
      <c r="G299" s="162"/>
      <c r="I299" s="162"/>
      <c r="J299" s="162"/>
      <c r="K299" s="342"/>
      <c r="L299" s="162"/>
      <c r="M299" s="162"/>
      <c r="N299" s="162"/>
      <c r="O299" s="162"/>
      <c r="P299" s="162"/>
      <c r="Q299" s="162"/>
    </row>
    <row r="300" spans="3:17" ht="15.75" customHeight="1" x14ac:dyDescent="0.25">
      <c r="C300" s="424"/>
      <c r="D300" s="162"/>
      <c r="E300" s="162"/>
      <c r="F300" s="162"/>
      <c r="G300" s="162"/>
      <c r="I300" s="162"/>
      <c r="J300" s="162"/>
      <c r="K300" s="342"/>
      <c r="L300" s="162"/>
      <c r="M300" s="162"/>
      <c r="N300" s="162"/>
      <c r="O300" s="162"/>
      <c r="P300" s="162"/>
      <c r="Q300" s="162"/>
    </row>
    <row r="301" spans="3:17" ht="15.75" customHeight="1" x14ac:dyDescent="0.25">
      <c r="C301" s="424"/>
      <c r="D301" s="162"/>
      <c r="E301" s="162"/>
      <c r="F301" s="162"/>
      <c r="G301" s="162"/>
      <c r="I301" s="162"/>
      <c r="J301" s="162"/>
      <c r="K301" s="342"/>
      <c r="L301" s="162"/>
      <c r="M301" s="162"/>
      <c r="N301" s="162"/>
      <c r="O301" s="162"/>
      <c r="P301" s="162"/>
      <c r="Q301" s="162"/>
    </row>
    <row r="302" spans="3:17" ht="15.75" customHeight="1" x14ac:dyDescent="0.25">
      <c r="C302" s="424"/>
      <c r="D302" s="162"/>
      <c r="E302" s="162"/>
      <c r="F302" s="162"/>
      <c r="G302" s="162"/>
      <c r="I302" s="162"/>
      <c r="J302" s="162"/>
      <c r="K302" s="342"/>
      <c r="L302" s="162"/>
      <c r="M302" s="162"/>
      <c r="N302" s="162"/>
      <c r="O302" s="162"/>
      <c r="P302" s="162"/>
      <c r="Q302" s="162"/>
    </row>
    <row r="303" spans="3:17" ht="15.75" customHeight="1" x14ac:dyDescent="0.25">
      <c r="C303" s="424"/>
      <c r="D303" s="162"/>
      <c r="E303" s="162"/>
      <c r="F303" s="162"/>
      <c r="G303" s="162"/>
      <c r="I303" s="162"/>
      <c r="J303" s="162"/>
      <c r="K303" s="342"/>
      <c r="L303" s="162"/>
      <c r="M303" s="162"/>
      <c r="N303" s="162"/>
      <c r="O303" s="162"/>
      <c r="P303" s="162"/>
      <c r="Q303" s="162"/>
    </row>
    <row r="304" spans="3:17" ht="15.75" customHeight="1" x14ac:dyDescent="0.25">
      <c r="C304" s="424"/>
      <c r="D304" s="162"/>
      <c r="E304" s="162"/>
      <c r="F304" s="162"/>
      <c r="G304" s="162"/>
      <c r="I304" s="162"/>
      <c r="J304" s="162"/>
      <c r="K304" s="342"/>
      <c r="L304" s="162"/>
      <c r="M304" s="162"/>
      <c r="N304" s="162"/>
      <c r="O304" s="162"/>
      <c r="P304" s="162"/>
      <c r="Q304" s="162"/>
    </row>
    <row r="305" spans="3:17" ht="15.75" customHeight="1" x14ac:dyDescent="0.25">
      <c r="C305" s="424"/>
      <c r="D305" s="162"/>
      <c r="E305" s="162"/>
      <c r="F305" s="162"/>
      <c r="G305" s="162"/>
      <c r="I305" s="162"/>
      <c r="J305" s="162"/>
      <c r="K305" s="342"/>
      <c r="L305" s="162"/>
      <c r="M305" s="162"/>
      <c r="N305" s="162"/>
      <c r="O305" s="162"/>
      <c r="P305" s="162"/>
      <c r="Q305" s="162"/>
    </row>
    <row r="306" spans="3:17" ht="15.75" customHeight="1" x14ac:dyDescent="0.25">
      <c r="C306" s="424"/>
      <c r="D306" s="162"/>
      <c r="E306" s="162"/>
      <c r="F306" s="162"/>
      <c r="G306" s="162"/>
      <c r="I306" s="162"/>
      <c r="J306" s="162"/>
      <c r="K306" s="342"/>
      <c r="L306" s="162"/>
      <c r="M306" s="162"/>
      <c r="N306" s="162"/>
      <c r="O306" s="162"/>
      <c r="P306" s="162"/>
      <c r="Q306" s="162"/>
    </row>
    <row r="307" spans="3:17" ht="15.75" customHeight="1" x14ac:dyDescent="0.25">
      <c r="C307" s="424"/>
      <c r="D307" s="162"/>
      <c r="E307" s="162"/>
      <c r="F307" s="162"/>
      <c r="G307" s="162"/>
      <c r="I307" s="162"/>
      <c r="J307" s="162"/>
      <c r="K307" s="342"/>
      <c r="L307" s="162"/>
      <c r="M307" s="162"/>
      <c r="N307" s="162"/>
      <c r="O307" s="162"/>
      <c r="P307" s="162"/>
      <c r="Q307" s="162"/>
    </row>
    <row r="308" spans="3:17" ht="15.75" customHeight="1" x14ac:dyDescent="0.25">
      <c r="C308" s="424"/>
      <c r="D308" s="162"/>
      <c r="E308" s="162"/>
      <c r="F308" s="162"/>
      <c r="G308" s="162"/>
      <c r="I308" s="162"/>
      <c r="J308" s="162"/>
      <c r="K308" s="342"/>
      <c r="L308" s="162"/>
      <c r="M308" s="162"/>
      <c r="N308" s="162"/>
      <c r="O308" s="162"/>
      <c r="P308" s="162"/>
      <c r="Q308" s="162"/>
    </row>
    <row r="309" spans="3:17" ht="15.75" customHeight="1" x14ac:dyDescent="0.25">
      <c r="C309" s="424"/>
      <c r="D309" s="162"/>
      <c r="E309" s="162"/>
      <c r="F309" s="162"/>
      <c r="G309" s="162"/>
      <c r="I309" s="162"/>
      <c r="J309" s="162"/>
      <c r="K309" s="342"/>
      <c r="L309" s="162"/>
      <c r="M309" s="162"/>
      <c r="N309" s="162"/>
      <c r="O309" s="162"/>
      <c r="P309" s="162"/>
      <c r="Q309" s="162"/>
    </row>
    <row r="310" spans="3:17" ht="15.75" customHeight="1" x14ac:dyDescent="0.25">
      <c r="C310" s="424"/>
      <c r="D310" s="162"/>
      <c r="E310" s="162"/>
      <c r="F310" s="162"/>
      <c r="G310" s="162"/>
      <c r="I310" s="162"/>
      <c r="J310" s="162"/>
      <c r="K310" s="342"/>
      <c r="L310" s="162"/>
      <c r="M310" s="162"/>
      <c r="N310" s="162"/>
      <c r="O310" s="162"/>
      <c r="P310" s="162"/>
      <c r="Q310" s="162"/>
    </row>
    <row r="311" spans="3:17" ht="15.75" customHeight="1" x14ac:dyDescent="0.25">
      <c r="C311" s="424"/>
      <c r="D311" s="162"/>
      <c r="E311" s="162"/>
      <c r="F311" s="162"/>
      <c r="G311" s="162"/>
      <c r="I311" s="162"/>
      <c r="J311" s="162"/>
      <c r="K311" s="342"/>
      <c r="L311" s="162"/>
      <c r="M311" s="162"/>
      <c r="N311" s="162"/>
      <c r="O311" s="162"/>
      <c r="P311" s="162"/>
      <c r="Q311" s="162"/>
    </row>
    <row r="312" spans="3:17" ht="15.75" customHeight="1" x14ac:dyDescent="0.25">
      <c r="C312" s="424"/>
      <c r="D312" s="162"/>
      <c r="E312" s="162"/>
      <c r="F312" s="162"/>
      <c r="G312" s="162"/>
      <c r="I312" s="162"/>
      <c r="J312" s="162"/>
      <c r="K312" s="342"/>
      <c r="L312" s="162"/>
      <c r="M312" s="162"/>
      <c r="N312" s="162"/>
      <c r="O312" s="162"/>
      <c r="P312" s="162"/>
      <c r="Q312" s="162"/>
    </row>
    <row r="313" spans="3:17" ht="15.75" customHeight="1" x14ac:dyDescent="0.25">
      <c r="C313" s="424"/>
      <c r="D313" s="162"/>
      <c r="E313" s="162"/>
      <c r="F313" s="162"/>
      <c r="G313" s="162"/>
      <c r="I313" s="162"/>
      <c r="J313" s="162"/>
      <c r="K313" s="342"/>
      <c r="L313" s="162"/>
      <c r="M313" s="162"/>
      <c r="N313" s="162"/>
      <c r="O313" s="162"/>
      <c r="P313" s="162"/>
      <c r="Q313" s="162"/>
    </row>
    <row r="314" spans="3:17" ht="15.75" customHeight="1" x14ac:dyDescent="0.25">
      <c r="C314" s="424"/>
      <c r="D314" s="162"/>
      <c r="E314" s="162"/>
      <c r="F314" s="162"/>
      <c r="G314" s="162"/>
      <c r="I314" s="162"/>
      <c r="J314" s="162"/>
      <c r="K314" s="342"/>
      <c r="L314" s="162"/>
      <c r="M314" s="162"/>
      <c r="N314" s="162"/>
      <c r="O314" s="162"/>
      <c r="P314" s="162"/>
      <c r="Q314" s="162"/>
    </row>
    <row r="315" spans="3:17" ht="15.75" customHeight="1" x14ac:dyDescent="0.25">
      <c r="C315" s="424"/>
      <c r="D315" s="162"/>
      <c r="E315" s="162"/>
      <c r="F315" s="162"/>
      <c r="G315" s="162"/>
      <c r="I315" s="162"/>
      <c r="J315" s="162"/>
      <c r="K315" s="342"/>
      <c r="L315" s="162"/>
      <c r="M315" s="162"/>
      <c r="N315" s="162"/>
      <c r="O315" s="162"/>
      <c r="P315" s="162"/>
      <c r="Q315" s="162"/>
    </row>
    <row r="316" spans="3:17" ht="15.75" customHeight="1" x14ac:dyDescent="0.25">
      <c r="C316" s="424"/>
      <c r="D316" s="162"/>
      <c r="E316" s="162"/>
      <c r="F316" s="162"/>
      <c r="G316" s="162"/>
      <c r="I316" s="162"/>
      <c r="J316" s="162"/>
      <c r="K316" s="342"/>
      <c r="L316" s="162"/>
      <c r="M316" s="162"/>
      <c r="N316" s="162"/>
      <c r="O316" s="162"/>
      <c r="P316" s="162"/>
      <c r="Q316" s="162"/>
    </row>
    <row r="317" spans="3:17" ht="15.75" customHeight="1" x14ac:dyDescent="0.25">
      <c r="C317" s="424"/>
      <c r="D317" s="162"/>
      <c r="E317" s="162"/>
      <c r="F317" s="162"/>
      <c r="G317" s="162"/>
      <c r="I317" s="162"/>
      <c r="J317" s="162"/>
      <c r="K317" s="342"/>
      <c r="L317" s="162"/>
      <c r="M317" s="162"/>
      <c r="N317" s="162"/>
      <c r="O317" s="162"/>
      <c r="P317" s="162"/>
      <c r="Q317" s="162"/>
    </row>
    <row r="318" spans="3:17" ht="15.75" customHeight="1" x14ac:dyDescent="0.25">
      <c r="C318" s="424"/>
      <c r="D318" s="162"/>
      <c r="E318" s="162"/>
      <c r="F318" s="162"/>
      <c r="G318" s="162"/>
      <c r="I318" s="162"/>
      <c r="J318" s="162"/>
      <c r="K318" s="342"/>
      <c r="L318" s="162"/>
      <c r="M318" s="162"/>
      <c r="N318" s="162"/>
      <c r="O318" s="162"/>
      <c r="P318" s="162"/>
      <c r="Q318" s="162"/>
    </row>
    <row r="319" spans="3:17" ht="15.75" customHeight="1" x14ac:dyDescent="0.2"/>
    <row r="320" spans="3:17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rintOptions horizontalCentered="1" verticalCentered="1"/>
  <pageMargins left="0.25" right="0.25" top="0.75" bottom="0.75" header="0.3" footer="0.3"/>
  <pageSetup fitToHeight="0" orientation="landscape" r:id="rId1"/>
  <headerFooter>
    <oddHeader>&amp;A</oddHeader>
    <oddFooter>Page &amp;P of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E1001"/>
  <sheetViews>
    <sheetView topLeftCell="A4" workbookViewId="0"/>
  </sheetViews>
  <sheetFormatPr defaultColWidth="12.5703125" defaultRowHeight="15" customHeight="1" outlineLevelCol="1" x14ac:dyDescent="0.2"/>
  <cols>
    <col min="2" max="2" width="28.42578125" customWidth="1" collapsed="1"/>
    <col min="3" max="3" width="3.5703125" hidden="1" customWidth="1" outlineLevel="1"/>
    <col min="4" max="4" width="11.5703125" hidden="1" customWidth="1" outlineLevel="1"/>
    <col min="5" max="6" width="11.7109375" hidden="1" customWidth="1" outlineLevel="1"/>
    <col min="7" max="7" width="11" hidden="1" customWidth="1" outlineLevel="1"/>
    <col min="8" max="10" width="11.140625" hidden="1" customWidth="1" outlineLevel="1"/>
    <col min="11" max="11" width="3.5703125" hidden="1" customWidth="1" outlineLevel="1"/>
    <col min="12" max="12" width="11.140625" customWidth="1"/>
    <col min="13" max="13" width="12.28515625" customWidth="1"/>
    <col min="14" max="14" width="11.42578125" customWidth="1"/>
    <col min="15" max="15" width="10.7109375" customWidth="1"/>
    <col min="16" max="17" width="11.7109375" customWidth="1"/>
    <col min="18" max="18" width="12.140625" customWidth="1"/>
    <col min="19" max="19" width="12.7109375" customWidth="1"/>
    <col min="20" max="20" width="12.42578125" customWidth="1"/>
    <col min="21" max="21" width="10.5703125" customWidth="1"/>
    <col min="22" max="22" width="3" customWidth="1"/>
    <col min="23" max="23" width="16.140625" customWidth="1"/>
    <col min="24" max="24" width="10.42578125" customWidth="1"/>
  </cols>
  <sheetData>
    <row r="1" spans="1:31" ht="15.75" hidden="1" customHeight="1" x14ac:dyDescent="0.25">
      <c r="A1" s="5"/>
      <c r="B1" s="5"/>
      <c r="C1" s="284"/>
      <c r="D1" s="18"/>
      <c r="E1" s="209" t="s">
        <v>48</v>
      </c>
      <c r="F1" s="209" t="s">
        <v>32</v>
      </c>
      <c r="G1" s="18"/>
      <c r="H1" s="18"/>
      <c r="I1" s="18"/>
      <c r="J1" s="18"/>
      <c r="K1" s="284"/>
      <c r="L1" s="176"/>
      <c r="M1" s="176"/>
      <c r="N1" s="176"/>
      <c r="O1" s="176"/>
      <c r="P1" s="176"/>
      <c r="Q1" s="176"/>
      <c r="R1" s="176"/>
      <c r="S1" s="176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</row>
    <row r="2" spans="1:31" ht="15.75" hidden="1" customHeight="1" x14ac:dyDescent="0.25">
      <c r="A2" s="5"/>
      <c r="B2" s="5"/>
      <c r="C2" s="284"/>
      <c r="D2" s="18"/>
      <c r="E2" s="18" t="s">
        <v>157</v>
      </c>
      <c r="F2" s="18"/>
      <c r="G2" s="18"/>
      <c r="H2" s="18"/>
      <c r="I2" s="18"/>
      <c r="J2" s="18"/>
      <c r="K2" s="284"/>
      <c r="L2" s="176"/>
      <c r="M2" s="176"/>
      <c r="N2" s="176"/>
      <c r="O2" s="176"/>
      <c r="P2" s="176"/>
      <c r="Q2" s="176"/>
      <c r="R2" s="176"/>
      <c r="S2" s="176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 hidden="1" customHeight="1" x14ac:dyDescent="0.25">
      <c r="A3" s="5"/>
      <c r="B3" s="5"/>
      <c r="C3" s="284"/>
      <c r="D3" s="18"/>
      <c r="E3" s="18"/>
      <c r="F3" s="18"/>
      <c r="G3" s="18"/>
      <c r="H3" s="18"/>
      <c r="I3" s="18"/>
      <c r="J3" s="18"/>
      <c r="K3" s="284"/>
      <c r="L3" s="176"/>
      <c r="M3" s="176"/>
      <c r="N3" s="176"/>
      <c r="O3" s="176"/>
      <c r="P3" s="176"/>
      <c r="Q3" s="176"/>
      <c r="R3" s="176"/>
      <c r="S3" s="176"/>
      <c r="T3" s="5"/>
      <c r="U3" s="5"/>
      <c r="V3" s="5"/>
      <c r="W3" s="230"/>
      <c r="X3" s="216"/>
      <c r="Y3" s="5"/>
      <c r="Z3" s="5"/>
      <c r="AA3" s="5"/>
      <c r="AB3" s="5"/>
      <c r="AC3" s="5"/>
      <c r="AD3" s="5"/>
      <c r="AE3" s="5"/>
    </row>
    <row r="4" spans="1:31" ht="28.5" customHeight="1" x14ac:dyDescent="0.25">
      <c r="A4" s="205" t="s">
        <v>1569</v>
      </c>
      <c r="B4" s="5"/>
      <c r="C4" s="15"/>
      <c r="D4" s="16"/>
      <c r="E4" s="16"/>
      <c r="F4" s="16"/>
      <c r="G4" s="16"/>
      <c r="H4" s="18"/>
      <c r="I4" s="16"/>
      <c r="J4" s="16"/>
      <c r="K4" s="15"/>
      <c r="L4" s="7"/>
      <c r="M4" s="7"/>
      <c r="N4" s="7"/>
      <c r="O4" s="7"/>
      <c r="P4" s="7"/>
      <c r="Q4" s="7"/>
      <c r="R4" s="7"/>
      <c r="S4" s="7"/>
      <c r="T4" s="5"/>
      <c r="U4" s="5"/>
      <c r="V4" s="5"/>
      <c r="W4" s="230"/>
      <c r="X4" s="216"/>
      <c r="Y4" s="5"/>
      <c r="Z4" s="5"/>
      <c r="AA4" s="5"/>
      <c r="AB4" s="5"/>
      <c r="AC4" s="5"/>
      <c r="AD4" s="5"/>
      <c r="AE4" s="5"/>
    </row>
    <row r="5" spans="1:31" ht="50.25" customHeight="1" x14ac:dyDescent="0.2">
      <c r="A5" s="3" t="s">
        <v>50</v>
      </c>
      <c r="B5" s="3" t="s">
        <v>51</v>
      </c>
      <c r="C5" s="21"/>
      <c r="D5" s="22" t="s">
        <v>52</v>
      </c>
      <c r="E5" s="23" t="s">
        <v>53</v>
      </c>
      <c r="F5" s="23" t="s">
        <v>54</v>
      </c>
      <c r="G5" s="23" t="s">
        <v>55</v>
      </c>
      <c r="H5" s="100" t="s">
        <v>56</v>
      </c>
      <c r="I5" s="23" t="s">
        <v>57</v>
      </c>
      <c r="J5" s="129" t="s">
        <v>58</v>
      </c>
      <c r="K5" s="130"/>
      <c r="L5" s="27" t="s">
        <v>59</v>
      </c>
      <c r="M5" s="27" t="s">
        <v>60</v>
      </c>
      <c r="N5" s="27" t="s">
        <v>61</v>
      </c>
      <c r="O5" s="27" t="s">
        <v>62</v>
      </c>
      <c r="P5" s="27" t="s">
        <v>63</v>
      </c>
      <c r="Q5" s="27" t="s">
        <v>64</v>
      </c>
      <c r="R5" s="27" t="s">
        <v>65</v>
      </c>
      <c r="S5" s="27" t="s">
        <v>66</v>
      </c>
      <c r="T5" s="5"/>
      <c r="U5" s="370"/>
      <c r="V5" s="230"/>
      <c r="W5" s="5"/>
      <c r="X5" s="370"/>
      <c r="Y5" s="370"/>
      <c r="Z5" s="370"/>
      <c r="AA5" s="370"/>
      <c r="AB5" s="370"/>
      <c r="AC5" s="370"/>
      <c r="AD5" s="370"/>
      <c r="AE5" s="370"/>
    </row>
    <row r="6" spans="1:31" ht="15.75" customHeight="1" x14ac:dyDescent="0.25">
      <c r="A6" s="30" t="s">
        <v>1570</v>
      </c>
      <c r="B6" s="30" t="s">
        <v>68</v>
      </c>
      <c r="C6" s="31"/>
      <c r="D6" s="32">
        <v>190874</v>
      </c>
      <c r="E6" s="32" t="e">
        <f>D6*#REF!</f>
        <v>#REF!</v>
      </c>
      <c r="F6" s="32" t="e">
        <f>D6*#REF!</f>
        <v>#REF!</v>
      </c>
      <c r="G6" s="32" t="e">
        <f>(D6*#REF!)*#REF!</f>
        <v>#REF!</v>
      </c>
      <c r="H6" s="33">
        <f t="shared" ref="H6:H37" si="0">IFERROR(((Q6-G6)/G6),0)</f>
        <v>0</v>
      </c>
      <c r="I6" s="34" t="e">
        <f t="shared" ref="I6:I36" si="1">Q6-G6</f>
        <v>#REF!</v>
      </c>
      <c r="J6" s="16"/>
      <c r="K6" s="31"/>
      <c r="L6" s="35">
        <v>336595</v>
      </c>
      <c r="M6" s="35">
        <v>338738.24</v>
      </c>
      <c r="N6" s="35">
        <v>364502</v>
      </c>
      <c r="O6" s="35">
        <v>271552.90999999997</v>
      </c>
      <c r="P6" s="32">
        <f t="shared" ref="P6:P11" si="2">O6/20*26</f>
        <v>353018.78299999994</v>
      </c>
      <c r="Q6" s="32">
        <v>380200</v>
      </c>
      <c r="R6" s="35">
        <v>380200</v>
      </c>
      <c r="S6" s="35">
        <f t="shared" ref="S6:S36" si="3">R6-Q6</f>
        <v>0</v>
      </c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</row>
    <row r="7" spans="1:31" ht="15.75" customHeight="1" x14ac:dyDescent="0.25">
      <c r="A7" s="30" t="s">
        <v>1571</v>
      </c>
      <c r="B7" s="30" t="s">
        <v>70</v>
      </c>
      <c r="C7" s="31"/>
      <c r="D7" s="32">
        <v>3428</v>
      </c>
      <c r="E7" s="32" t="e">
        <f>D7*#REF!</f>
        <v>#REF!</v>
      </c>
      <c r="F7" s="32" t="e">
        <f>D7*#REF!</f>
        <v>#REF!</v>
      </c>
      <c r="G7" s="32" t="e">
        <f>(D7*#REF!)*#REF!</f>
        <v>#REF!</v>
      </c>
      <c r="H7" s="33">
        <f t="shared" si="0"/>
        <v>0</v>
      </c>
      <c r="I7" s="34" t="e">
        <f t="shared" si="1"/>
        <v>#REF!</v>
      </c>
      <c r="J7" s="16"/>
      <c r="K7" s="31"/>
      <c r="L7" s="35">
        <v>10284</v>
      </c>
      <c r="M7" s="35">
        <v>12235.9</v>
      </c>
      <c r="N7" s="35">
        <v>15000</v>
      </c>
      <c r="O7" s="35">
        <v>18097.150000000001</v>
      </c>
      <c r="P7" s="32">
        <f t="shared" si="2"/>
        <v>23526.295000000002</v>
      </c>
      <c r="Q7" s="32">
        <v>15000</v>
      </c>
      <c r="R7" s="35">
        <v>15000</v>
      </c>
      <c r="S7" s="35">
        <f t="shared" si="3"/>
        <v>0</v>
      </c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</row>
    <row r="8" spans="1:31" ht="15.75" customHeight="1" x14ac:dyDescent="0.25">
      <c r="A8" s="30" t="s">
        <v>1572</v>
      </c>
      <c r="B8" s="30" t="s">
        <v>132</v>
      </c>
      <c r="C8" s="31"/>
      <c r="D8" s="32">
        <v>39809</v>
      </c>
      <c r="E8" s="32" t="e">
        <f>D8*#REF!</f>
        <v>#REF!</v>
      </c>
      <c r="F8" s="32" t="e">
        <f>D8*#REF!</f>
        <v>#REF!</v>
      </c>
      <c r="G8" s="32" t="e">
        <f>(D8*#REF!)*#REF!</f>
        <v>#REF!</v>
      </c>
      <c r="H8" s="33">
        <f t="shared" si="0"/>
        <v>0</v>
      </c>
      <c r="I8" s="34" t="e">
        <f t="shared" si="1"/>
        <v>#REF!</v>
      </c>
      <c r="J8" s="16"/>
      <c r="K8" s="31"/>
      <c r="L8" s="35">
        <v>69535</v>
      </c>
      <c r="M8" s="35">
        <v>73098.78</v>
      </c>
      <c r="N8" s="35">
        <v>101056</v>
      </c>
      <c r="O8" s="35">
        <v>58310.73</v>
      </c>
      <c r="P8" s="32">
        <f t="shared" si="2"/>
        <v>75803.949000000008</v>
      </c>
      <c r="Q8" s="32">
        <v>106600</v>
      </c>
      <c r="R8" s="35">
        <v>106600</v>
      </c>
      <c r="S8" s="35">
        <f t="shared" si="3"/>
        <v>0</v>
      </c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</row>
    <row r="9" spans="1:31" ht="15.75" customHeight="1" x14ac:dyDescent="0.25">
      <c r="A9" s="30" t="s">
        <v>1573</v>
      </c>
      <c r="B9" s="30" t="s">
        <v>108</v>
      </c>
      <c r="C9" s="31"/>
      <c r="D9" s="32">
        <v>4140</v>
      </c>
      <c r="E9" s="32" t="e">
        <f>D9*#REF!</f>
        <v>#REF!</v>
      </c>
      <c r="F9" s="32" t="e">
        <f>D9*#REF!</f>
        <v>#REF!</v>
      </c>
      <c r="G9" s="32" t="e">
        <f>(D9*#REF!)*#REF!</f>
        <v>#REF!</v>
      </c>
      <c r="H9" s="33">
        <f t="shared" si="0"/>
        <v>0</v>
      </c>
      <c r="I9" s="34" t="e">
        <f t="shared" si="1"/>
        <v>#REF!</v>
      </c>
      <c r="J9" s="16"/>
      <c r="K9" s="31"/>
      <c r="L9" s="35">
        <v>26617</v>
      </c>
      <c r="M9" s="35">
        <v>54380.53</v>
      </c>
      <c r="N9" s="35">
        <v>87500</v>
      </c>
      <c r="O9" s="35">
        <v>45193.52</v>
      </c>
      <c r="P9" s="32">
        <f t="shared" si="2"/>
        <v>58751.576000000001</v>
      </c>
      <c r="Q9" s="32">
        <v>88500</v>
      </c>
      <c r="R9" s="35">
        <v>88500</v>
      </c>
      <c r="S9" s="35">
        <f t="shared" si="3"/>
        <v>0</v>
      </c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</row>
    <row r="10" spans="1:31" ht="15.75" customHeight="1" x14ac:dyDescent="0.25">
      <c r="A10" s="30" t="s">
        <v>1574</v>
      </c>
      <c r="B10" s="30" t="s">
        <v>72</v>
      </c>
      <c r="C10" s="31"/>
      <c r="D10" s="32">
        <v>103288</v>
      </c>
      <c r="E10" s="32" t="e">
        <f>D10*#REF!</f>
        <v>#REF!</v>
      </c>
      <c r="F10" s="32" t="e">
        <f>D10*#REF!</f>
        <v>#REF!</v>
      </c>
      <c r="G10" s="32" t="e">
        <f>(D10*#REF!)*#REF!</f>
        <v>#REF!</v>
      </c>
      <c r="H10" s="33">
        <f t="shared" si="0"/>
        <v>0</v>
      </c>
      <c r="I10" s="34" t="e">
        <f t="shared" si="1"/>
        <v>#REF!</v>
      </c>
      <c r="J10" s="16"/>
      <c r="K10" s="31"/>
      <c r="L10" s="35">
        <v>154418</v>
      </c>
      <c r="M10" s="35">
        <v>177203.66</v>
      </c>
      <c r="N10" s="35">
        <v>216416</v>
      </c>
      <c r="O10" s="35">
        <v>138313.23000000001</v>
      </c>
      <c r="P10" s="32">
        <f t="shared" si="2"/>
        <v>179807.19899999999</v>
      </c>
      <c r="Q10" s="32">
        <v>229400</v>
      </c>
      <c r="R10" s="35">
        <v>229400</v>
      </c>
      <c r="S10" s="35">
        <f t="shared" si="3"/>
        <v>0</v>
      </c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</row>
    <row r="11" spans="1:31" ht="15.75" customHeight="1" x14ac:dyDescent="0.25">
      <c r="A11" s="30" t="s">
        <v>1575</v>
      </c>
      <c r="B11" s="30" t="s">
        <v>451</v>
      </c>
      <c r="C11" s="31"/>
      <c r="D11" s="32">
        <v>3942</v>
      </c>
      <c r="E11" s="32" t="e">
        <f>D11*#REF!</f>
        <v>#REF!</v>
      </c>
      <c r="F11" s="32" t="e">
        <f>D11*#REF!</f>
        <v>#REF!</v>
      </c>
      <c r="G11" s="32" t="e">
        <f>(D11*#REF!)*#REF!</f>
        <v>#REF!</v>
      </c>
      <c r="H11" s="33">
        <f t="shared" si="0"/>
        <v>0</v>
      </c>
      <c r="I11" s="34" t="e">
        <f t="shared" si="1"/>
        <v>#REF!</v>
      </c>
      <c r="J11" s="16"/>
      <c r="K11" s="31"/>
      <c r="L11" s="35">
        <v>3801</v>
      </c>
      <c r="M11" s="35">
        <v>7718.7</v>
      </c>
      <c r="N11" s="35">
        <v>11000</v>
      </c>
      <c r="O11" s="35">
        <v>6318.63</v>
      </c>
      <c r="P11" s="32">
        <f t="shared" si="2"/>
        <v>8214.219000000001</v>
      </c>
      <c r="Q11" s="32">
        <v>11000</v>
      </c>
      <c r="R11" s="35">
        <v>11000</v>
      </c>
      <c r="S11" s="35">
        <f t="shared" si="3"/>
        <v>0</v>
      </c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</row>
    <row r="12" spans="1:31" ht="15.75" customHeight="1" x14ac:dyDescent="0.25">
      <c r="A12" s="30" t="s">
        <v>1576</v>
      </c>
      <c r="B12" s="30" t="s">
        <v>74</v>
      </c>
      <c r="C12" s="31"/>
      <c r="D12" s="32">
        <v>350</v>
      </c>
      <c r="E12" s="32" t="e">
        <f>D12*#REF!</f>
        <v>#REF!</v>
      </c>
      <c r="F12" s="32" t="e">
        <f>D12*#REF!</f>
        <v>#REF!</v>
      </c>
      <c r="G12" s="32" t="e">
        <f>(D12*#REF!)*#REF!</f>
        <v>#REF!</v>
      </c>
      <c r="H12" s="33">
        <f t="shared" si="0"/>
        <v>0</v>
      </c>
      <c r="I12" s="34" t="e">
        <f t="shared" si="1"/>
        <v>#REF!</v>
      </c>
      <c r="J12" s="16"/>
      <c r="K12" s="31"/>
      <c r="L12" s="35">
        <v>517</v>
      </c>
      <c r="M12" s="35">
        <v>495</v>
      </c>
      <c r="N12" s="35">
        <v>500</v>
      </c>
      <c r="O12" s="35">
        <v>735</v>
      </c>
      <c r="P12" s="38">
        <f>O12</f>
        <v>735</v>
      </c>
      <c r="Q12" s="32">
        <v>800</v>
      </c>
      <c r="R12" s="35">
        <v>800</v>
      </c>
      <c r="S12" s="35">
        <f t="shared" si="3"/>
        <v>0</v>
      </c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1:31" ht="15.75" customHeight="1" x14ac:dyDescent="0.25">
      <c r="A13" s="30" t="s">
        <v>1577</v>
      </c>
      <c r="B13" s="30" t="s">
        <v>1578</v>
      </c>
      <c r="C13" s="31"/>
      <c r="D13" s="32">
        <v>0</v>
      </c>
      <c r="E13" s="32" t="e">
        <f>D13*#REF!</f>
        <v>#REF!</v>
      </c>
      <c r="F13" s="32" t="e">
        <f>D13*#REF!</f>
        <v>#REF!</v>
      </c>
      <c r="G13" s="32" t="e">
        <f>(D13*#REF!)*#REF!</f>
        <v>#REF!</v>
      </c>
      <c r="H13" s="33">
        <f t="shared" si="0"/>
        <v>0</v>
      </c>
      <c r="I13" s="34" t="e">
        <f t="shared" si="1"/>
        <v>#REF!</v>
      </c>
      <c r="J13" s="16"/>
      <c r="K13" s="31"/>
      <c r="L13" s="35">
        <v>0</v>
      </c>
      <c r="M13" s="35">
        <v>342</v>
      </c>
      <c r="N13" s="35">
        <v>1000</v>
      </c>
      <c r="O13" s="35">
        <v>400.48</v>
      </c>
      <c r="P13" s="32">
        <f t="shared" ref="P13:P14" si="4">O13/9*12</f>
        <v>533.97333333333336</v>
      </c>
      <c r="Q13" s="32">
        <v>1000</v>
      </c>
      <c r="R13" s="35">
        <v>1000</v>
      </c>
      <c r="S13" s="35">
        <f t="shared" si="3"/>
        <v>0</v>
      </c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</row>
    <row r="14" spans="1:31" ht="15.75" customHeight="1" x14ac:dyDescent="0.25">
      <c r="A14" s="30" t="s">
        <v>1579</v>
      </c>
      <c r="B14" s="30" t="s">
        <v>76</v>
      </c>
      <c r="C14" s="31"/>
      <c r="D14" s="32">
        <v>348</v>
      </c>
      <c r="E14" s="32" t="e">
        <f>D14*#REF!</f>
        <v>#REF!</v>
      </c>
      <c r="F14" s="32" t="e">
        <f>D14*#REF!</f>
        <v>#REF!</v>
      </c>
      <c r="G14" s="32" t="e">
        <f>(D14*#REF!)*#REF!</f>
        <v>#REF!</v>
      </c>
      <c r="H14" s="33">
        <f t="shared" si="0"/>
        <v>0</v>
      </c>
      <c r="I14" s="34" t="e">
        <f t="shared" si="1"/>
        <v>#REF!</v>
      </c>
      <c r="J14" s="16"/>
      <c r="K14" s="31"/>
      <c r="L14" s="35">
        <v>809</v>
      </c>
      <c r="M14" s="35">
        <v>3809.04</v>
      </c>
      <c r="N14" s="35">
        <v>3500</v>
      </c>
      <c r="O14" s="35">
        <v>0</v>
      </c>
      <c r="P14" s="32">
        <f t="shared" si="4"/>
        <v>0</v>
      </c>
      <c r="Q14" s="32">
        <v>3500</v>
      </c>
      <c r="R14" s="35">
        <v>3500</v>
      </c>
      <c r="S14" s="35">
        <f t="shared" si="3"/>
        <v>0</v>
      </c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</row>
    <row r="15" spans="1:31" ht="15.75" customHeight="1" x14ac:dyDescent="0.25">
      <c r="A15" s="30" t="s">
        <v>1580</v>
      </c>
      <c r="B15" s="30" t="s">
        <v>80</v>
      </c>
      <c r="C15" s="31"/>
      <c r="D15" s="32">
        <v>6934</v>
      </c>
      <c r="E15" s="32" t="e">
        <f>D15*#REF!</f>
        <v>#REF!</v>
      </c>
      <c r="F15" s="32" t="e">
        <f>D15*#REF!</f>
        <v>#REF!</v>
      </c>
      <c r="G15" s="32" t="e">
        <f>(D15*#REF!)*#REF!</f>
        <v>#REF!</v>
      </c>
      <c r="H15" s="39">
        <f t="shared" si="0"/>
        <v>0</v>
      </c>
      <c r="I15" s="34" t="e">
        <f t="shared" si="1"/>
        <v>#REF!</v>
      </c>
      <c r="J15" s="16"/>
      <c r="K15" s="31"/>
      <c r="L15" s="35">
        <v>7210</v>
      </c>
      <c r="M15" s="35">
        <v>6117.22</v>
      </c>
      <c r="N15" s="35">
        <v>7500</v>
      </c>
      <c r="O15" s="35">
        <v>3624.22</v>
      </c>
      <c r="P15" s="38">
        <f t="shared" ref="P15:P16" si="5">N15</f>
        <v>7500</v>
      </c>
      <c r="Q15" s="32">
        <v>6900</v>
      </c>
      <c r="R15" s="35">
        <v>6900</v>
      </c>
      <c r="S15" s="35">
        <f t="shared" si="3"/>
        <v>0</v>
      </c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</row>
    <row r="16" spans="1:31" ht="15.75" customHeight="1" x14ac:dyDescent="0.25">
      <c r="A16" s="30" t="s">
        <v>1581</v>
      </c>
      <c r="B16" s="30" t="s">
        <v>82</v>
      </c>
      <c r="C16" s="31"/>
      <c r="D16" s="32">
        <v>41359</v>
      </c>
      <c r="E16" s="32" t="e">
        <f>D16*#REF!</f>
        <v>#REF!</v>
      </c>
      <c r="F16" s="32" t="e">
        <f>D16*#REF!</f>
        <v>#REF!</v>
      </c>
      <c r="G16" s="32" t="e">
        <f>(D16*#REF!)*#REF!</f>
        <v>#REF!</v>
      </c>
      <c r="H16" s="39">
        <f t="shared" si="0"/>
        <v>0</v>
      </c>
      <c r="I16" s="34" t="e">
        <f t="shared" si="1"/>
        <v>#REF!</v>
      </c>
      <c r="J16" s="16"/>
      <c r="K16" s="31"/>
      <c r="L16" s="35">
        <v>36648</v>
      </c>
      <c r="M16" s="35">
        <v>45594.1</v>
      </c>
      <c r="N16" s="35">
        <v>27200</v>
      </c>
      <c r="O16" s="35">
        <v>18882.810000000001</v>
      </c>
      <c r="P16" s="38">
        <f t="shared" si="5"/>
        <v>27200</v>
      </c>
      <c r="Q16" s="32">
        <v>34300</v>
      </c>
      <c r="R16" s="35">
        <v>34300</v>
      </c>
      <c r="S16" s="35">
        <f t="shared" si="3"/>
        <v>0</v>
      </c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</row>
    <row r="17" spans="1:31" ht="15.75" customHeight="1" x14ac:dyDescent="0.25">
      <c r="A17" s="30" t="s">
        <v>1582</v>
      </c>
      <c r="B17" s="30" t="s">
        <v>1583</v>
      </c>
      <c r="C17" s="31"/>
      <c r="D17" s="32">
        <v>0</v>
      </c>
      <c r="E17" s="32" t="e">
        <f>D17*#REF!</f>
        <v>#REF!</v>
      </c>
      <c r="F17" s="32" t="e">
        <f>D17*#REF!</f>
        <v>#REF!</v>
      </c>
      <c r="G17" s="32" t="e">
        <f>(D17*#REF!)*#REF!</f>
        <v>#REF!</v>
      </c>
      <c r="H17" s="33">
        <f t="shared" si="0"/>
        <v>0</v>
      </c>
      <c r="I17" s="34" t="e">
        <f t="shared" si="1"/>
        <v>#REF!</v>
      </c>
      <c r="J17" s="16"/>
      <c r="K17" s="31"/>
      <c r="L17" s="35">
        <v>0</v>
      </c>
      <c r="M17" s="35">
        <v>0</v>
      </c>
      <c r="N17" s="35">
        <v>0</v>
      </c>
      <c r="O17" s="35">
        <v>0</v>
      </c>
      <c r="P17" s="32">
        <f t="shared" ref="P17:P19" si="6">O17/9*12</f>
        <v>0</v>
      </c>
      <c r="Q17" s="32">
        <v>0</v>
      </c>
      <c r="R17" s="35">
        <v>0</v>
      </c>
      <c r="S17" s="35">
        <f t="shared" si="3"/>
        <v>0</v>
      </c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</row>
    <row r="18" spans="1:31" ht="15.75" customHeight="1" x14ac:dyDescent="0.25">
      <c r="A18" s="30" t="s">
        <v>1584</v>
      </c>
      <c r="B18" s="30" t="s">
        <v>1585</v>
      </c>
      <c r="C18" s="31"/>
      <c r="D18" s="32">
        <v>0</v>
      </c>
      <c r="E18" s="32" t="e">
        <f>D18*#REF!</f>
        <v>#REF!</v>
      </c>
      <c r="F18" s="32" t="e">
        <f>D18*#REF!</f>
        <v>#REF!</v>
      </c>
      <c r="G18" s="32" t="e">
        <f>(D18*#REF!)*#REF!</f>
        <v>#REF!</v>
      </c>
      <c r="H18" s="33">
        <f t="shared" si="0"/>
        <v>0</v>
      </c>
      <c r="I18" s="34" t="e">
        <f t="shared" si="1"/>
        <v>#REF!</v>
      </c>
      <c r="J18" s="16"/>
      <c r="K18" s="31"/>
      <c r="L18" s="35">
        <v>0</v>
      </c>
      <c r="M18" s="35">
        <v>0</v>
      </c>
      <c r="N18" s="35">
        <v>0</v>
      </c>
      <c r="O18" s="35">
        <v>0</v>
      </c>
      <c r="P18" s="32">
        <f t="shared" si="6"/>
        <v>0</v>
      </c>
      <c r="Q18" s="32">
        <v>0</v>
      </c>
      <c r="R18" s="35">
        <v>0</v>
      </c>
      <c r="S18" s="35">
        <f t="shared" si="3"/>
        <v>0</v>
      </c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</row>
    <row r="19" spans="1:31" ht="15.75" customHeight="1" x14ac:dyDescent="0.25">
      <c r="A19" s="30" t="s">
        <v>1586</v>
      </c>
      <c r="B19" s="30" t="s">
        <v>1587</v>
      </c>
      <c r="C19" s="31"/>
      <c r="D19" s="32">
        <v>0</v>
      </c>
      <c r="E19" s="32" t="e">
        <f>D19*#REF!</f>
        <v>#REF!</v>
      </c>
      <c r="F19" s="32" t="e">
        <f>D19*#REF!</f>
        <v>#REF!</v>
      </c>
      <c r="G19" s="32" t="e">
        <f>(D19*#REF!)*#REF!</f>
        <v>#REF!</v>
      </c>
      <c r="H19" s="33">
        <f t="shared" si="0"/>
        <v>0</v>
      </c>
      <c r="I19" s="34" t="e">
        <f t="shared" si="1"/>
        <v>#REF!</v>
      </c>
      <c r="J19" s="16"/>
      <c r="K19" s="31"/>
      <c r="L19" s="35">
        <v>0</v>
      </c>
      <c r="M19" s="35">
        <v>0</v>
      </c>
      <c r="N19" s="35">
        <v>0</v>
      </c>
      <c r="O19" s="35">
        <v>0</v>
      </c>
      <c r="P19" s="32">
        <f t="shared" si="6"/>
        <v>0</v>
      </c>
      <c r="Q19" s="32">
        <v>10000</v>
      </c>
      <c r="R19" s="35">
        <v>10000</v>
      </c>
      <c r="S19" s="35">
        <f t="shared" si="3"/>
        <v>0</v>
      </c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</row>
    <row r="20" spans="1:31" ht="15.75" customHeight="1" x14ac:dyDescent="0.25">
      <c r="A20" s="30" t="s">
        <v>1588</v>
      </c>
      <c r="B20" s="30" t="s">
        <v>523</v>
      </c>
      <c r="C20" s="31"/>
      <c r="D20" s="32">
        <v>53058</v>
      </c>
      <c r="E20" s="32" t="e">
        <f>D20*#REF!</f>
        <v>#REF!</v>
      </c>
      <c r="F20" s="32" t="e">
        <f>D20*#REF!</f>
        <v>#REF!</v>
      </c>
      <c r="G20" s="32" t="e">
        <f>(D20*#REF!)*#REF!</f>
        <v>#REF!</v>
      </c>
      <c r="H20" s="33">
        <f t="shared" si="0"/>
        <v>0</v>
      </c>
      <c r="I20" s="34" t="e">
        <f t="shared" si="1"/>
        <v>#REF!</v>
      </c>
      <c r="J20" s="16"/>
      <c r="K20" s="31"/>
      <c r="L20" s="35">
        <v>90203</v>
      </c>
      <c r="M20" s="35">
        <v>115086.77</v>
      </c>
      <c r="N20" s="35">
        <v>172900</v>
      </c>
      <c r="O20" s="35">
        <v>84417.99</v>
      </c>
      <c r="P20" s="38">
        <f>N20</f>
        <v>172900</v>
      </c>
      <c r="Q20" s="32">
        <v>151100</v>
      </c>
      <c r="R20" s="35">
        <v>151100</v>
      </c>
      <c r="S20" s="35">
        <f t="shared" si="3"/>
        <v>0</v>
      </c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</row>
    <row r="21" spans="1:31" ht="15.75" customHeight="1" x14ac:dyDescent="0.25">
      <c r="A21" s="30" t="s">
        <v>1589</v>
      </c>
      <c r="B21" s="30" t="s">
        <v>1590</v>
      </c>
      <c r="C21" s="31"/>
      <c r="D21" s="32">
        <v>0</v>
      </c>
      <c r="E21" s="32" t="e">
        <f>D21*#REF!</f>
        <v>#REF!</v>
      </c>
      <c r="F21" s="32" t="e">
        <f>D21*#REF!</f>
        <v>#REF!</v>
      </c>
      <c r="G21" s="32" t="e">
        <f>(D21*#REF!)*#REF!</f>
        <v>#REF!</v>
      </c>
      <c r="H21" s="33">
        <f t="shared" si="0"/>
        <v>0</v>
      </c>
      <c r="I21" s="34" t="e">
        <f t="shared" si="1"/>
        <v>#REF!</v>
      </c>
      <c r="J21" s="16"/>
      <c r="K21" s="31"/>
      <c r="L21" s="35">
        <v>0</v>
      </c>
      <c r="M21" s="35">
        <v>0</v>
      </c>
      <c r="N21" s="35">
        <v>0</v>
      </c>
      <c r="O21" s="35">
        <v>0</v>
      </c>
      <c r="P21" s="32">
        <f t="shared" ref="P21:P22" si="7">O21/9*12</f>
        <v>0</v>
      </c>
      <c r="Q21" s="32">
        <v>2000</v>
      </c>
      <c r="R21" s="35">
        <v>2000</v>
      </c>
      <c r="S21" s="35">
        <f t="shared" si="3"/>
        <v>0</v>
      </c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</row>
    <row r="22" spans="1:31" ht="15.75" customHeight="1" x14ac:dyDescent="0.25">
      <c r="A22" s="30" t="s">
        <v>1591</v>
      </c>
      <c r="B22" s="30" t="s">
        <v>1592</v>
      </c>
      <c r="C22" s="31"/>
      <c r="D22" s="32">
        <v>0</v>
      </c>
      <c r="E22" s="32" t="e">
        <f>D22*#REF!</f>
        <v>#REF!</v>
      </c>
      <c r="F22" s="32" t="e">
        <f>D22*#REF!</f>
        <v>#REF!</v>
      </c>
      <c r="G22" s="32" t="e">
        <f>(D22*#REF!)*#REF!</f>
        <v>#REF!</v>
      </c>
      <c r="H22" s="33">
        <f t="shared" si="0"/>
        <v>0</v>
      </c>
      <c r="I22" s="34" t="e">
        <f t="shared" si="1"/>
        <v>#REF!</v>
      </c>
      <c r="J22" s="16"/>
      <c r="K22" s="31"/>
      <c r="L22" s="35">
        <v>0</v>
      </c>
      <c r="M22" s="35">
        <v>0</v>
      </c>
      <c r="N22" s="35">
        <v>0</v>
      </c>
      <c r="O22" s="35">
        <v>0</v>
      </c>
      <c r="P22" s="32">
        <f t="shared" si="7"/>
        <v>0</v>
      </c>
      <c r="Q22" s="32">
        <v>11000</v>
      </c>
      <c r="R22" s="35">
        <v>11000</v>
      </c>
      <c r="S22" s="35">
        <f t="shared" si="3"/>
        <v>0</v>
      </c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</row>
    <row r="23" spans="1:31" ht="15.75" customHeight="1" x14ac:dyDescent="0.25">
      <c r="A23" s="30" t="s">
        <v>1593</v>
      </c>
      <c r="B23" s="30" t="s">
        <v>277</v>
      </c>
      <c r="C23" s="31"/>
      <c r="D23" s="32">
        <v>78409</v>
      </c>
      <c r="E23" s="32" t="e">
        <f>D23*#REF!</f>
        <v>#REF!</v>
      </c>
      <c r="F23" s="32" t="e">
        <f>D23*#REF!</f>
        <v>#REF!</v>
      </c>
      <c r="G23" s="32" t="e">
        <f>(D23*#REF!)*#REF!</f>
        <v>#REF!</v>
      </c>
      <c r="H23" s="33">
        <f t="shared" si="0"/>
        <v>0</v>
      </c>
      <c r="I23" s="34" t="e">
        <f t="shared" si="1"/>
        <v>#REF!</v>
      </c>
      <c r="J23" s="16"/>
      <c r="K23" s="31"/>
      <c r="L23" s="35">
        <v>120259</v>
      </c>
      <c r="M23" s="35">
        <v>124867.1</v>
      </c>
      <c r="N23" s="35">
        <v>157000</v>
      </c>
      <c r="O23" s="35">
        <v>83128.899999999994</v>
      </c>
      <c r="P23" s="38">
        <f>N23</f>
        <v>157000</v>
      </c>
      <c r="Q23" s="32">
        <v>125000</v>
      </c>
      <c r="R23" s="35">
        <v>125000</v>
      </c>
      <c r="S23" s="35">
        <f t="shared" si="3"/>
        <v>0</v>
      </c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</row>
    <row r="24" spans="1:31" ht="15.75" customHeight="1" x14ac:dyDescent="0.25">
      <c r="A24" s="30" t="s">
        <v>1594</v>
      </c>
      <c r="B24" s="30" t="s">
        <v>1595</v>
      </c>
      <c r="C24" s="31"/>
      <c r="D24" s="32">
        <v>25427</v>
      </c>
      <c r="E24" s="32" t="e">
        <f>D24*#REF!</f>
        <v>#REF!</v>
      </c>
      <c r="F24" s="32" t="e">
        <f>D24*#REF!</f>
        <v>#REF!</v>
      </c>
      <c r="G24" s="32" t="e">
        <f>(D24*#REF!)*#REF!</f>
        <v>#REF!</v>
      </c>
      <c r="H24" s="33">
        <f t="shared" si="0"/>
        <v>0</v>
      </c>
      <c r="I24" s="34" t="e">
        <f t="shared" si="1"/>
        <v>#REF!</v>
      </c>
      <c r="J24" s="16"/>
      <c r="K24" s="31"/>
      <c r="L24" s="35">
        <v>57045</v>
      </c>
      <c r="M24" s="35">
        <v>54367</v>
      </c>
      <c r="N24" s="35">
        <v>75000</v>
      </c>
      <c r="O24" s="35">
        <v>24230.32</v>
      </c>
      <c r="P24" s="32">
        <f t="shared" ref="P24:P25" si="8">O24/9*12</f>
        <v>32307.093333333334</v>
      </c>
      <c r="Q24" s="32">
        <v>75000</v>
      </c>
      <c r="R24" s="35">
        <v>75000</v>
      </c>
      <c r="S24" s="35">
        <f t="shared" si="3"/>
        <v>0</v>
      </c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</row>
    <row r="25" spans="1:31" ht="15.75" customHeight="1" x14ac:dyDescent="0.25">
      <c r="A25" s="30" t="s">
        <v>1596</v>
      </c>
      <c r="B25" s="30" t="s">
        <v>1597</v>
      </c>
      <c r="C25" s="31"/>
      <c r="D25" s="32">
        <v>0</v>
      </c>
      <c r="E25" s="32" t="e">
        <f>D25*#REF!</f>
        <v>#REF!</v>
      </c>
      <c r="F25" s="32" t="e">
        <f>D25*#REF!</f>
        <v>#REF!</v>
      </c>
      <c r="G25" s="32" t="e">
        <f>(D25*#REF!)*#REF!</f>
        <v>#REF!</v>
      </c>
      <c r="H25" s="33">
        <f t="shared" si="0"/>
        <v>0</v>
      </c>
      <c r="I25" s="34" t="e">
        <f t="shared" si="1"/>
        <v>#REF!</v>
      </c>
      <c r="J25" s="16"/>
      <c r="K25" s="31"/>
      <c r="L25" s="35">
        <v>0</v>
      </c>
      <c r="M25" s="35">
        <v>711.5</v>
      </c>
      <c r="N25" s="35">
        <v>0</v>
      </c>
      <c r="O25" s="35">
        <v>11733.71</v>
      </c>
      <c r="P25" s="32">
        <f t="shared" si="8"/>
        <v>15644.946666666667</v>
      </c>
      <c r="Q25" s="32">
        <v>35000</v>
      </c>
      <c r="R25" s="35">
        <v>35000</v>
      </c>
      <c r="S25" s="35">
        <f t="shared" si="3"/>
        <v>0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</row>
    <row r="26" spans="1:31" ht="15.75" customHeight="1" x14ac:dyDescent="0.25">
      <c r="A26" s="30" t="s">
        <v>1598</v>
      </c>
      <c r="B26" s="30" t="s">
        <v>84</v>
      </c>
      <c r="C26" s="31"/>
      <c r="D26" s="32">
        <v>20155</v>
      </c>
      <c r="E26" s="32" t="e">
        <f>D26*#REF!</f>
        <v>#REF!</v>
      </c>
      <c r="F26" s="32" t="e">
        <f>D26*#REF!</f>
        <v>#REF!</v>
      </c>
      <c r="G26" s="32" t="e">
        <f>(D26*#REF!)*#REF!</f>
        <v>#REF!</v>
      </c>
      <c r="H26" s="39">
        <f t="shared" si="0"/>
        <v>0</v>
      </c>
      <c r="I26" s="34" t="e">
        <f t="shared" si="1"/>
        <v>#REF!</v>
      </c>
      <c r="J26" s="16"/>
      <c r="K26" s="31"/>
      <c r="L26" s="35">
        <v>19360</v>
      </c>
      <c r="M26" s="35">
        <v>18571.330000000002</v>
      </c>
      <c r="N26" s="35">
        <v>6000</v>
      </c>
      <c r="O26" s="35">
        <v>4268.3</v>
      </c>
      <c r="P26" s="38">
        <f>N26</f>
        <v>6000</v>
      </c>
      <c r="Q26" s="32">
        <v>6490</v>
      </c>
      <c r="R26" s="35">
        <v>6490</v>
      </c>
      <c r="S26" s="35">
        <f t="shared" si="3"/>
        <v>0</v>
      </c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</row>
    <row r="27" spans="1:31" ht="15.75" customHeight="1" x14ac:dyDescent="0.25">
      <c r="A27" s="30" t="s">
        <v>1599</v>
      </c>
      <c r="B27" s="30" t="s">
        <v>210</v>
      </c>
      <c r="C27" s="31"/>
      <c r="D27" s="32">
        <v>802</v>
      </c>
      <c r="E27" s="32" t="e">
        <f>D27*#REF!</f>
        <v>#REF!</v>
      </c>
      <c r="F27" s="32" t="e">
        <f>D27*#REF!</f>
        <v>#REF!</v>
      </c>
      <c r="G27" s="32" t="e">
        <f>(D27*#REF!)*#REF!</f>
        <v>#REF!</v>
      </c>
      <c r="H27" s="33">
        <f t="shared" si="0"/>
        <v>0</v>
      </c>
      <c r="I27" s="34" t="e">
        <f t="shared" si="1"/>
        <v>#REF!</v>
      </c>
      <c r="J27" s="16"/>
      <c r="K27" s="31"/>
      <c r="L27" s="35">
        <v>660</v>
      </c>
      <c r="M27" s="35">
        <v>674</v>
      </c>
      <c r="N27" s="35">
        <v>30000</v>
      </c>
      <c r="O27" s="35">
        <v>5555.35</v>
      </c>
      <c r="P27" s="32">
        <f>O27/9*12</f>
        <v>7407.1333333333341</v>
      </c>
      <c r="Q27" s="32">
        <v>15000</v>
      </c>
      <c r="R27" s="35">
        <v>15000</v>
      </c>
      <c r="S27" s="35">
        <f t="shared" si="3"/>
        <v>0</v>
      </c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</row>
    <row r="28" spans="1:31" ht="15.75" customHeight="1" x14ac:dyDescent="0.25">
      <c r="A28" s="30" t="s">
        <v>1600</v>
      </c>
      <c r="B28" s="30" t="s">
        <v>86</v>
      </c>
      <c r="C28" s="31"/>
      <c r="D28" s="32">
        <v>0</v>
      </c>
      <c r="E28" s="32" t="e">
        <f>D28*#REF!</f>
        <v>#REF!</v>
      </c>
      <c r="F28" s="32" t="e">
        <f>D28*#REF!</f>
        <v>#REF!</v>
      </c>
      <c r="G28" s="32" t="e">
        <f>(D28*#REF!)*#REF!</f>
        <v>#REF!</v>
      </c>
      <c r="H28" s="33">
        <f t="shared" si="0"/>
        <v>0</v>
      </c>
      <c r="I28" s="34" t="e">
        <f t="shared" si="1"/>
        <v>#REF!</v>
      </c>
      <c r="J28" s="34">
        <v>-5000</v>
      </c>
      <c r="K28" s="31"/>
      <c r="L28" s="35">
        <v>0</v>
      </c>
      <c r="M28" s="35">
        <v>6360</v>
      </c>
      <c r="N28" s="35">
        <v>18000</v>
      </c>
      <c r="O28" s="35">
        <v>12860</v>
      </c>
      <c r="P28" s="38">
        <f>N28</f>
        <v>18000</v>
      </c>
      <c r="Q28" s="32">
        <v>5000</v>
      </c>
      <c r="R28" s="35">
        <v>0</v>
      </c>
      <c r="S28" s="35">
        <f t="shared" si="3"/>
        <v>-5000</v>
      </c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</row>
    <row r="29" spans="1:31" ht="15.75" customHeight="1" x14ac:dyDescent="0.25">
      <c r="A29" s="30" t="s">
        <v>1601</v>
      </c>
      <c r="B29" s="30" t="s">
        <v>88</v>
      </c>
      <c r="C29" s="31"/>
      <c r="D29" s="32">
        <v>4346</v>
      </c>
      <c r="E29" s="32" t="e">
        <f>D29*#REF!</f>
        <v>#REF!</v>
      </c>
      <c r="F29" s="32" t="e">
        <f>D29*#REF!</f>
        <v>#REF!</v>
      </c>
      <c r="G29" s="32" t="e">
        <f>(D29*#REF!)*#REF!</f>
        <v>#REF!</v>
      </c>
      <c r="H29" s="33">
        <f t="shared" si="0"/>
        <v>0</v>
      </c>
      <c r="I29" s="34" t="e">
        <f t="shared" si="1"/>
        <v>#REF!</v>
      </c>
      <c r="J29" s="16"/>
      <c r="K29" s="31"/>
      <c r="L29" s="35">
        <v>4558</v>
      </c>
      <c r="M29" s="35">
        <v>17354.88</v>
      </c>
      <c r="N29" s="35">
        <v>13000</v>
      </c>
      <c r="O29" s="35">
        <v>13167.37</v>
      </c>
      <c r="P29" s="38">
        <f>O29</f>
        <v>13167.37</v>
      </c>
      <c r="Q29" s="32">
        <v>31775</v>
      </c>
      <c r="R29" s="35">
        <v>31775</v>
      </c>
      <c r="S29" s="35">
        <f t="shared" si="3"/>
        <v>0</v>
      </c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</row>
    <row r="30" spans="1:31" ht="15.75" customHeight="1" x14ac:dyDescent="0.25">
      <c r="A30" s="30" t="s">
        <v>1602</v>
      </c>
      <c r="B30" s="30" t="s">
        <v>1603</v>
      </c>
      <c r="C30" s="31"/>
      <c r="D30" s="32">
        <v>0</v>
      </c>
      <c r="E30" s="32" t="e">
        <f>D30*#REF!</f>
        <v>#REF!</v>
      </c>
      <c r="F30" s="32" t="e">
        <f>D30*#REF!</f>
        <v>#REF!</v>
      </c>
      <c r="G30" s="32" t="e">
        <f>(D30*#REF!)*#REF!</f>
        <v>#REF!</v>
      </c>
      <c r="H30" s="33">
        <f t="shared" si="0"/>
        <v>0</v>
      </c>
      <c r="I30" s="34" t="e">
        <f t="shared" si="1"/>
        <v>#REF!</v>
      </c>
      <c r="J30" s="16"/>
      <c r="K30" s="31"/>
      <c r="L30" s="35">
        <v>0</v>
      </c>
      <c r="M30" s="35">
        <v>0</v>
      </c>
      <c r="N30" s="35">
        <v>0</v>
      </c>
      <c r="O30" s="35">
        <v>0</v>
      </c>
      <c r="P30" s="32">
        <f>O30/9*12</f>
        <v>0</v>
      </c>
      <c r="Q30" s="32">
        <v>0</v>
      </c>
      <c r="R30" s="35">
        <v>0</v>
      </c>
      <c r="S30" s="35">
        <f t="shared" si="3"/>
        <v>0</v>
      </c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</row>
    <row r="31" spans="1:31" ht="15.75" customHeight="1" x14ac:dyDescent="0.25">
      <c r="A31" s="30" t="s">
        <v>1604</v>
      </c>
      <c r="B31" s="30" t="s">
        <v>1605</v>
      </c>
      <c r="C31" s="31"/>
      <c r="D31" s="32">
        <v>0</v>
      </c>
      <c r="E31" s="32" t="e">
        <f>D31*#REF!</f>
        <v>#REF!</v>
      </c>
      <c r="F31" s="32" t="e">
        <f>D31*#REF!</f>
        <v>#REF!</v>
      </c>
      <c r="G31" s="32" t="e">
        <f>(D31*#REF!)*#REF!</f>
        <v>#REF!</v>
      </c>
      <c r="H31" s="33">
        <f t="shared" si="0"/>
        <v>0</v>
      </c>
      <c r="I31" s="34" t="e">
        <f t="shared" si="1"/>
        <v>#REF!</v>
      </c>
      <c r="J31" s="16"/>
      <c r="K31" s="31"/>
      <c r="L31" s="35">
        <v>0</v>
      </c>
      <c r="M31" s="35">
        <v>0</v>
      </c>
      <c r="N31" s="35">
        <v>0</v>
      </c>
      <c r="O31" s="35">
        <v>3920</v>
      </c>
      <c r="P31" s="38">
        <f>O31</f>
        <v>3920</v>
      </c>
      <c r="Q31" s="32">
        <v>5000</v>
      </c>
      <c r="R31" s="35">
        <v>5000</v>
      </c>
      <c r="S31" s="35">
        <f t="shared" si="3"/>
        <v>0</v>
      </c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</row>
    <row r="32" spans="1:31" ht="15.75" customHeight="1" x14ac:dyDescent="0.25">
      <c r="A32" s="30" t="s">
        <v>1606</v>
      </c>
      <c r="B32" s="30" t="s">
        <v>90</v>
      </c>
      <c r="C32" s="31"/>
      <c r="D32" s="32">
        <v>0</v>
      </c>
      <c r="E32" s="32" t="e">
        <f>D32*#REF!</f>
        <v>#REF!</v>
      </c>
      <c r="F32" s="32" t="e">
        <f>D32*#REF!</f>
        <v>#REF!</v>
      </c>
      <c r="G32" s="32" t="e">
        <f>(D32*#REF!)*#REF!</f>
        <v>#REF!</v>
      </c>
      <c r="H32" s="33">
        <f t="shared" si="0"/>
        <v>0</v>
      </c>
      <c r="I32" s="34" t="e">
        <f t="shared" si="1"/>
        <v>#REF!</v>
      </c>
      <c r="J32" s="16"/>
      <c r="K32" s="31"/>
      <c r="L32" s="35">
        <v>0</v>
      </c>
      <c r="M32" s="35">
        <v>0</v>
      </c>
      <c r="N32" s="35">
        <v>4000</v>
      </c>
      <c r="O32" s="35">
        <v>0</v>
      </c>
      <c r="P32" s="32">
        <f t="shared" ref="P32:P34" si="9">O32/9*12</f>
        <v>0</v>
      </c>
      <c r="Q32" s="32">
        <v>5500</v>
      </c>
      <c r="R32" s="35">
        <v>5500</v>
      </c>
      <c r="S32" s="35">
        <f t="shared" si="3"/>
        <v>0</v>
      </c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</row>
    <row r="33" spans="1:31" ht="15.75" customHeight="1" x14ac:dyDescent="0.25">
      <c r="A33" s="30" t="s">
        <v>1607</v>
      </c>
      <c r="B33" s="30" t="s">
        <v>1608</v>
      </c>
      <c r="C33" s="31"/>
      <c r="D33" s="32">
        <v>0</v>
      </c>
      <c r="E33" s="32" t="e">
        <f>D33*#REF!</f>
        <v>#REF!</v>
      </c>
      <c r="F33" s="32" t="e">
        <f>D33*#REF!</f>
        <v>#REF!</v>
      </c>
      <c r="G33" s="32" t="e">
        <f>(D33*#REF!)*#REF!</f>
        <v>#REF!</v>
      </c>
      <c r="H33" s="33">
        <f t="shared" si="0"/>
        <v>0</v>
      </c>
      <c r="I33" s="34" t="e">
        <f t="shared" si="1"/>
        <v>#REF!</v>
      </c>
      <c r="J33" s="16"/>
      <c r="K33" s="31"/>
      <c r="L33" s="35">
        <v>23011</v>
      </c>
      <c r="M33" s="35">
        <v>48230.86</v>
      </c>
      <c r="N33" s="35">
        <v>102000</v>
      </c>
      <c r="O33" s="35">
        <v>13773.95</v>
      </c>
      <c r="P33" s="32">
        <f t="shared" si="9"/>
        <v>18365.266666666666</v>
      </c>
      <c r="Q33" s="32">
        <v>83800</v>
      </c>
      <c r="R33" s="35">
        <v>83800</v>
      </c>
      <c r="S33" s="35">
        <f t="shared" si="3"/>
        <v>0</v>
      </c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</row>
    <row r="34" spans="1:31" ht="15.75" customHeight="1" x14ac:dyDescent="0.25">
      <c r="A34" s="30" t="s">
        <v>1609</v>
      </c>
      <c r="B34" s="30" t="s">
        <v>468</v>
      </c>
      <c r="C34" s="31"/>
      <c r="D34" s="32">
        <v>0</v>
      </c>
      <c r="E34" s="32" t="e">
        <f>D34*#REF!</f>
        <v>#REF!</v>
      </c>
      <c r="F34" s="32" t="e">
        <f>D34*#REF!</f>
        <v>#REF!</v>
      </c>
      <c r="G34" s="32" t="e">
        <f>(D34*#REF!)*#REF!</f>
        <v>#REF!</v>
      </c>
      <c r="H34" s="33">
        <f t="shared" si="0"/>
        <v>0</v>
      </c>
      <c r="I34" s="34" t="e">
        <f t="shared" si="1"/>
        <v>#REF!</v>
      </c>
      <c r="J34" s="16"/>
      <c r="K34" s="31"/>
      <c r="L34" s="35">
        <v>1127</v>
      </c>
      <c r="M34" s="35">
        <v>1619.36</v>
      </c>
      <c r="N34" s="35">
        <v>2000</v>
      </c>
      <c r="O34" s="35">
        <v>320.32</v>
      </c>
      <c r="P34" s="32">
        <f t="shared" si="9"/>
        <v>427.09333333333336</v>
      </c>
      <c r="Q34" s="32">
        <v>2000</v>
      </c>
      <c r="R34" s="35">
        <v>2000</v>
      </c>
      <c r="S34" s="35">
        <f t="shared" si="3"/>
        <v>0</v>
      </c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</row>
    <row r="35" spans="1:31" ht="15.75" customHeight="1" x14ac:dyDescent="0.25">
      <c r="A35" s="30" t="s">
        <v>1610</v>
      </c>
      <c r="B35" s="30" t="s">
        <v>92</v>
      </c>
      <c r="C35" s="31"/>
      <c r="D35" s="32">
        <v>0</v>
      </c>
      <c r="E35" s="32" t="e">
        <f>D35*#REF!</f>
        <v>#REF!</v>
      </c>
      <c r="F35" s="32" t="e">
        <f>D35*#REF!</f>
        <v>#REF!</v>
      </c>
      <c r="G35" s="32" t="e">
        <f>(D35*#REF!)*#REF!</f>
        <v>#REF!</v>
      </c>
      <c r="H35" s="33">
        <f t="shared" si="0"/>
        <v>0</v>
      </c>
      <c r="I35" s="34" t="e">
        <f t="shared" si="1"/>
        <v>#REF!</v>
      </c>
      <c r="J35" s="16"/>
      <c r="K35" s="31"/>
      <c r="L35" s="35">
        <v>7789</v>
      </c>
      <c r="M35" s="35">
        <v>8850.59</v>
      </c>
      <c r="N35" s="35">
        <v>8200</v>
      </c>
      <c r="O35" s="35">
        <v>10129.89</v>
      </c>
      <c r="P35" s="38">
        <f t="shared" ref="P35:P36" si="10">O35</f>
        <v>10129.89</v>
      </c>
      <c r="Q35" s="32">
        <v>9200</v>
      </c>
      <c r="R35" s="35">
        <v>9200</v>
      </c>
      <c r="S35" s="35">
        <f t="shared" si="3"/>
        <v>0</v>
      </c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 spans="1:31" ht="15.75" customHeight="1" x14ac:dyDescent="0.25">
      <c r="A36" s="30" t="s">
        <v>1611</v>
      </c>
      <c r="B36" s="30" t="s">
        <v>94</v>
      </c>
      <c r="C36" s="31"/>
      <c r="D36" s="32">
        <v>32266</v>
      </c>
      <c r="E36" s="32" t="e">
        <f>D36*#REF!</f>
        <v>#REF!</v>
      </c>
      <c r="F36" s="32" t="e">
        <f>D36*#REF!</f>
        <v>#REF!</v>
      </c>
      <c r="G36" s="32" t="e">
        <f>(D36*#REF!)*#REF!</f>
        <v>#REF!</v>
      </c>
      <c r="H36" s="39">
        <f t="shared" si="0"/>
        <v>0</v>
      </c>
      <c r="I36" s="34" t="e">
        <f t="shared" si="1"/>
        <v>#REF!</v>
      </c>
      <c r="J36" s="18"/>
      <c r="K36" s="31"/>
      <c r="L36" s="35">
        <v>313</v>
      </c>
      <c r="M36" s="35">
        <v>431.07</v>
      </c>
      <c r="N36" s="35">
        <v>1200</v>
      </c>
      <c r="O36" s="35">
        <v>1222</v>
      </c>
      <c r="P36" s="38">
        <f t="shared" si="10"/>
        <v>1222</v>
      </c>
      <c r="Q36" s="32">
        <v>0</v>
      </c>
      <c r="R36" s="35">
        <v>0</v>
      </c>
      <c r="S36" s="35">
        <f t="shared" si="3"/>
        <v>0</v>
      </c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1" ht="15.75" customHeight="1" x14ac:dyDescent="0.25">
      <c r="A37" s="47" t="s">
        <v>1612</v>
      </c>
      <c r="B37" s="48"/>
      <c r="C37" s="282"/>
      <c r="D37" s="50">
        <f t="shared" ref="D37:G37" si="11">SUM(D5:D36)</f>
        <v>608935</v>
      </c>
      <c r="E37" s="50" t="e">
        <f t="shared" si="11"/>
        <v>#REF!</v>
      </c>
      <c r="F37" s="50" t="e">
        <f t="shared" si="11"/>
        <v>#REF!</v>
      </c>
      <c r="G37" s="50" t="e">
        <f t="shared" si="11"/>
        <v>#REF!</v>
      </c>
      <c r="H37" s="42">
        <f t="shared" si="0"/>
        <v>0</v>
      </c>
      <c r="I37" s="50" t="e">
        <f t="shared" ref="I37:J37" si="12">SUM(I5:I36)</f>
        <v>#REF!</v>
      </c>
      <c r="J37" s="113">
        <f t="shared" si="12"/>
        <v>-5000</v>
      </c>
      <c r="K37" s="282"/>
      <c r="L37" s="110">
        <f t="shared" ref="L37:S37" si="13">SUM(L5:L36)</f>
        <v>970759</v>
      </c>
      <c r="M37" s="110">
        <f t="shared" si="13"/>
        <v>1116857.6300000004</v>
      </c>
      <c r="N37" s="110">
        <f t="shared" si="13"/>
        <v>1424474</v>
      </c>
      <c r="O37" s="110">
        <f t="shared" si="13"/>
        <v>830156.77999999991</v>
      </c>
      <c r="P37" s="111">
        <f t="shared" si="13"/>
        <v>1191581.7876666666</v>
      </c>
      <c r="Q37" s="111">
        <f t="shared" si="13"/>
        <v>1450065</v>
      </c>
      <c r="R37" s="110">
        <f t="shared" si="13"/>
        <v>1445065</v>
      </c>
      <c r="S37" s="110">
        <f t="shared" si="13"/>
        <v>-5000</v>
      </c>
      <c r="T37" s="5"/>
      <c r="U37" s="5"/>
      <c r="V37" s="48"/>
      <c r="W37" s="48"/>
      <c r="X37" s="48"/>
      <c r="Y37" s="48"/>
      <c r="Z37" s="48"/>
      <c r="AA37" s="48"/>
      <c r="AB37" s="48"/>
      <c r="AC37" s="48"/>
      <c r="AD37" s="48"/>
      <c r="AE37" s="48"/>
    </row>
    <row r="38" spans="1:31" ht="15.75" customHeight="1" x14ac:dyDescent="0.25">
      <c r="A38" s="5"/>
      <c r="B38" s="5"/>
      <c r="C38" s="284"/>
      <c r="D38" s="18"/>
      <c r="E38" s="18"/>
      <c r="F38" s="18"/>
      <c r="G38" s="18"/>
      <c r="H38" s="18"/>
      <c r="I38" s="18"/>
      <c r="J38" s="18"/>
      <c r="K38" s="284"/>
      <c r="L38" s="176"/>
      <c r="M38" s="176"/>
      <c r="N38" s="176"/>
      <c r="O38" s="176"/>
      <c r="P38" s="176"/>
      <c r="Q38" s="176"/>
      <c r="R38" s="176"/>
      <c r="S38" s="176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</row>
    <row r="39" spans="1:31" ht="15.75" customHeight="1" x14ac:dyDescent="0.25">
      <c r="A39" s="30" t="s">
        <v>1613</v>
      </c>
      <c r="B39" s="30" t="s">
        <v>180</v>
      </c>
      <c r="C39" s="31"/>
      <c r="D39" s="32">
        <f>13380+16682</f>
        <v>30062</v>
      </c>
      <c r="E39" s="32" t="e">
        <f>D39*#REF!</f>
        <v>#REF!</v>
      </c>
      <c r="F39" s="32" t="e">
        <f>D39*#REF!</f>
        <v>#REF!</v>
      </c>
      <c r="G39" s="32" t="e">
        <f>(D39*#REF!)*#REF!</f>
        <v>#REF!</v>
      </c>
      <c r="H39" s="39">
        <f t="shared" ref="H39:H42" si="14">IFERROR(((Q39-G39)/G39),0)</f>
        <v>0</v>
      </c>
      <c r="I39" s="34" t="e">
        <f t="shared" ref="I39:I41" si="15">Q39-G39</f>
        <v>#REF!</v>
      </c>
      <c r="J39" s="16"/>
      <c r="K39" s="31"/>
      <c r="L39" s="35">
        <v>17900</v>
      </c>
      <c r="M39" s="35">
        <v>99507</v>
      </c>
      <c r="N39" s="35">
        <v>0</v>
      </c>
      <c r="O39" s="35">
        <v>1020</v>
      </c>
      <c r="P39" s="38">
        <f>O39</f>
        <v>1020</v>
      </c>
      <c r="Q39" s="32">
        <v>0</v>
      </c>
      <c r="R39" s="35">
        <v>0</v>
      </c>
      <c r="S39" s="35">
        <f t="shared" ref="S39:S41" si="16">R39-Q39</f>
        <v>0</v>
      </c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 spans="1:31" ht="15.75" customHeight="1" x14ac:dyDescent="0.25">
      <c r="A40" s="30" t="s">
        <v>1614</v>
      </c>
      <c r="B40" s="30" t="s">
        <v>532</v>
      </c>
      <c r="C40" s="31"/>
      <c r="D40" s="32">
        <v>20285</v>
      </c>
      <c r="E40" s="32" t="e">
        <f>D40*#REF!</f>
        <v>#REF!</v>
      </c>
      <c r="F40" s="32" t="e">
        <f>D40*#REF!</f>
        <v>#REF!</v>
      </c>
      <c r="G40" s="32" t="e">
        <f>(D40*#REF!)*#REF!</f>
        <v>#REF!</v>
      </c>
      <c r="H40" s="39">
        <f t="shared" si="14"/>
        <v>0</v>
      </c>
      <c r="I40" s="34" t="e">
        <f t="shared" si="15"/>
        <v>#REF!</v>
      </c>
      <c r="J40" s="16"/>
      <c r="K40" s="31"/>
      <c r="L40" s="35">
        <v>257397</v>
      </c>
      <c r="M40" s="35">
        <v>408639.88</v>
      </c>
      <c r="N40" s="35">
        <v>209238</v>
      </c>
      <c r="O40" s="35">
        <f>1708+630</f>
        <v>2338</v>
      </c>
      <c r="P40" s="32">
        <f t="shared" ref="P40:P41" si="17">O40/9*12</f>
        <v>3117.333333333333</v>
      </c>
      <c r="Q40" s="32">
        <v>0</v>
      </c>
      <c r="R40" s="35">
        <v>0</v>
      </c>
      <c r="S40" s="35">
        <f t="shared" si="16"/>
        <v>0</v>
      </c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</row>
    <row r="41" spans="1:31" ht="15.75" customHeight="1" x14ac:dyDescent="0.25">
      <c r="A41" s="30" t="s">
        <v>1615</v>
      </c>
      <c r="B41" s="30" t="s">
        <v>99</v>
      </c>
      <c r="C41" s="31"/>
      <c r="D41" s="32">
        <v>271731</v>
      </c>
      <c r="E41" s="32" t="e">
        <f>D41*#REF!</f>
        <v>#REF!</v>
      </c>
      <c r="F41" s="32" t="e">
        <f>D41*#REF!</f>
        <v>#REF!</v>
      </c>
      <c r="G41" s="32" t="e">
        <f>(D41*#REF!)*#REF!</f>
        <v>#REF!</v>
      </c>
      <c r="H41" s="33">
        <f t="shared" si="14"/>
        <v>0</v>
      </c>
      <c r="I41" s="34" t="e">
        <f t="shared" si="15"/>
        <v>#REF!</v>
      </c>
      <c r="J41" s="34">
        <v>-430800</v>
      </c>
      <c r="K41" s="31"/>
      <c r="L41" s="35">
        <v>371552</v>
      </c>
      <c r="M41" s="35">
        <v>218804.89</v>
      </c>
      <c r="N41" s="35">
        <v>420930</v>
      </c>
      <c r="O41" s="35">
        <v>51616</v>
      </c>
      <c r="P41" s="32">
        <f t="shared" si="17"/>
        <v>68821.333333333343</v>
      </c>
      <c r="Q41" s="32">
        <v>430800</v>
      </c>
      <c r="R41" s="35">
        <v>0</v>
      </c>
      <c r="S41" s="35">
        <f t="shared" si="16"/>
        <v>-430800</v>
      </c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 spans="1:31" ht="15.75" customHeight="1" x14ac:dyDescent="0.25">
      <c r="A42" s="47" t="s">
        <v>1616</v>
      </c>
      <c r="B42" s="48"/>
      <c r="C42" s="282"/>
      <c r="D42" s="50">
        <f t="shared" ref="D42:G42" si="18">SUM(D39:D41)</f>
        <v>322078</v>
      </c>
      <c r="E42" s="50" t="e">
        <f t="shared" si="18"/>
        <v>#REF!</v>
      </c>
      <c r="F42" s="50" t="e">
        <f t="shared" si="18"/>
        <v>#REF!</v>
      </c>
      <c r="G42" s="50" t="e">
        <f t="shared" si="18"/>
        <v>#REF!</v>
      </c>
      <c r="H42" s="42">
        <f t="shared" si="14"/>
        <v>0</v>
      </c>
      <c r="I42" s="113" t="e">
        <f t="shared" ref="I42:J42" si="19">SUM(I39:I41)</f>
        <v>#REF!</v>
      </c>
      <c r="J42" s="50">
        <f t="shared" si="19"/>
        <v>-430800</v>
      </c>
      <c r="K42" s="282"/>
      <c r="L42" s="110">
        <f t="shared" ref="L42:S42" si="20">SUM(L39:L41)</f>
        <v>646849</v>
      </c>
      <c r="M42" s="110">
        <f t="shared" si="20"/>
        <v>726951.77</v>
      </c>
      <c r="N42" s="110">
        <f t="shared" si="20"/>
        <v>630168</v>
      </c>
      <c r="O42" s="110">
        <f t="shared" si="20"/>
        <v>54974</v>
      </c>
      <c r="P42" s="111">
        <f t="shared" si="20"/>
        <v>72958.666666666672</v>
      </c>
      <c r="Q42" s="111">
        <f t="shared" si="20"/>
        <v>430800</v>
      </c>
      <c r="R42" s="110">
        <f t="shared" si="20"/>
        <v>0</v>
      </c>
      <c r="S42" s="110">
        <f t="shared" si="20"/>
        <v>-430800</v>
      </c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</row>
    <row r="43" spans="1:31" ht="15.75" customHeight="1" x14ac:dyDescent="0.25">
      <c r="A43" s="5"/>
      <c r="B43" s="5"/>
      <c r="C43" s="284"/>
      <c r="D43" s="18"/>
      <c r="E43" s="18"/>
      <c r="F43" s="18"/>
      <c r="G43" s="18"/>
      <c r="H43" s="18"/>
      <c r="I43" s="18"/>
      <c r="J43" s="18"/>
      <c r="K43" s="284"/>
      <c r="L43" s="176"/>
      <c r="M43" s="176"/>
      <c r="N43" s="176"/>
      <c r="O43" s="176"/>
      <c r="P43" s="176"/>
      <c r="Q43" s="176"/>
      <c r="R43" s="176"/>
      <c r="S43" s="176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</row>
    <row r="44" spans="1:31" ht="15.75" customHeight="1" x14ac:dyDescent="0.25">
      <c r="A44" s="47" t="s">
        <v>101</v>
      </c>
      <c r="B44" s="48"/>
      <c r="C44" s="282"/>
      <c r="D44" s="50">
        <f t="shared" ref="D44:G44" si="21">SUM(D42)+D37</f>
        <v>931013</v>
      </c>
      <c r="E44" s="50" t="e">
        <f t="shared" si="21"/>
        <v>#REF!</v>
      </c>
      <c r="F44" s="50" t="e">
        <f t="shared" si="21"/>
        <v>#REF!</v>
      </c>
      <c r="G44" s="50" t="e">
        <f t="shared" si="21"/>
        <v>#REF!</v>
      </c>
      <c r="H44" s="42">
        <f>IFERROR(((Q44-G44)/G44),0)</f>
        <v>0</v>
      </c>
      <c r="I44" s="113" t="e">
        <f>Q44-G44</f>
        <v>#REF!</v>
      </c>
      <c r="J44" s="50">
        <f>SUM(J42)+J37</f>
        <v>-435800</v>
      </c>
      <c r="K44" s="282"/>
      <c r="L44" s="110">
        <f t="shared" ref="L44:S44" si="22">SUM(L42)+L37</f>
        <v>1617608</v>
      </c>
      <c r="M44" s="110">
        <f t="shared" si="22"/>
        <v>1843809.4000000004</v>
      </c>
      <c r="N44" s="110">
        <f t="shared" si="22"/>
        <v>2054642</v>
      </c>
      <c r="O44" s="110">
        <f t="shared" si="22"/>
        <v>885130.77999999991</v>
      </c>
      <c r="P44" s="111">
        <f t="shared" si="22"/>
        <v>1264540.4543333333</v>
      </c>
      <c r="Q44" s="111">
        <f t="shared" si="22"/>
        <v>1880865</v>
      </c>
      <c r="R44" s="110">
        <f t="shared" si="22"/>
        <v>1445065</v>
      </c>
      <c r="S44" s="110">
        <f t="shared" si="22"/>
        <v>-435800</v>
      </c>
      <c r="T44" s="5"/>
      <c r="U44" s="5"/>
      <c r="V44" s="5"/>
      <c r="W44" s="5"/>
      <c r="X44" s="5"/>
      <c r="Y44" s="203"/>
      <c r="Z44" s="5"/>
      <c r="AA44" s="5"/>
      <c r="AB44" s="5"/>
      <c r="AC44" s="5"/>
      <c r="AD44" s="5"/>
      <c r="AE44" s="5"/>
    </row>
    <row r="45" spans="1:31" ht="15.75" customHeight="1" x14ac:dyDescent="0.25">
      <c r="A45" s="5"/>
      <c r="B45" s="5"/>
      <c r="C45" s="284"/>
      <c r="D45" s="18"/>
      <c r="E45" s="18"/>
      <c r="F45" s="18"/>
      <c r="G45" s="18"/>
      <c r="H45" s="18"/>
      <c r="I45" s="18"/>
      <c r="J45" s="18"/>
      <c r="K45" s="284"/>
      <c r="L45" s="176"/>
      <c r="M45" s="176"/>
      <c r="N45" s="176"/>
      <c r="O45" s="176"/>
      <c r="P45" s="176"/>
      <c r="Q45" s="176"/>
      <c r="R45" s="176"/>
      <c r="S45" s="176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</row>
    <row r="46" spans="1:31" ht="15.75" customHeight="1" x14ac:dyDescent="0.25">
      <c r="A46" s="11" t="s">
        <v>184</v>
      </c>
      <c r="B46" s="5"/>
      <c r="C46" s="284"/>
      <c r="D46" s="18"/>
      <c r="E46" s="18"/>
      <c r="F46" s="18"/>
      <c r="G46" s="18"/>
      <c r="H46" s="18"/>
      <c r="I46" s="18"/>
      <c r="J46" s="18"/>
      <c r="K46" s="284"/>
      <c r="L46" s="176"/>
      <c r="M46" s="176"/>
      <c r="N46" s="176"/>
      <c r="O46" s="176"/>
      <c r="P46" s="176"/>
      <c r="Q46" s="176"/>
      <c r="R46" s="176"/>
      <c r="S46" s="176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</row>
    <row r="47" spans="1:31" ht="15.75" customHeight="1" x14ac:dyDescent="0.25">
      <c r="A47" s="6" t="s">
        <v>1617</v>
      </c>
      <c r="B47" s="6" t="s">
        <v>1618</v>
      </c>
      <c r="C47" s="31"/>
      <c r="D47" s="34">
        <v>-4509</v>
      </c>
      <c r="E47" s="32" t="e">
        <f>D47*#REF!</f>
        <v>#REF!</v>
      </c>
      <c r="F47" s="32" t="e">
        <f>D47*#REF!</f>
        <v>#REF!</v>
      </c>
      <c r="G47" s="32" t="e">
        <f>(D47*#REF!)*#REF!</f>
        <v>#REF!</v>
      </c>
      <c r="H47" s="39">
        <f t="shared" ref="H47:H55" si="23">IFERROR(((Q47-G47)/G47),0)</f>
        <v>0</v>
      </c>
      <c r="I47" s="34" t="e">
        <f t="shared" ref="I47:I54" si="24">Q47-G47</f>
        <v>#REF!</v>
      </c>
      <c r="J47" s="109"/>
      <c r="K47" s="31"/>
      <c r="L47" s="35">
        <v>-6385</v>
      </c>
      <c r="M47" s="35">
        <v>-5490</v>
      </c>
      <c r="N47" s="35">
        <v>-5800</v>
      </c>
      <c r="O47" s="35">
        <v>-2305</v>
      </c>
      <c r="P47" s="32">
        <f t="shared" ref="P47:P54" si="25">O47/9*12</f>
        <v>-3073.333333333333</v>
      </c>
      <c r="Q47" s="32">
        <v>-5400</v>
      </c>
      <c r="R47" s="35">
        <v>-5400</v>
      </c>
      <c r="S47" s="35">
        <f t="shared" ref="S47:S54" si="26">R47-Q47</f>
        <v>0</v>
      </c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</row>
    <row r="48" spans="1:31" ht="15.75" customHeight="1" x14ac:dyDescent="0.25">
      <c r="A48" s="6" t="s">
        <v>1619</v>
      </c>
      <c r="B48" s="6" t="s">
        <v>1620</v>
      </c>
      <c r="C48" s="31"/>
      <c r="D48" s="34">
        <v>-12905</v>
      </c>
      <c r="E48" s="32" t="e">
        <f>D48*#REF!</f>
        <v>#REF!</v>
      </c>
      <c r="F48" s="32" t="e">
        <f>D48*#REF!</f>
        <v>#REF!</v>
      </c>
      <c r="G48" s="32" t="e">
        <f>(D48*#REF!)*#REF!</f>
        <v>#REF!</v>
      </c>
      <c r="H48" s="33">
        <f t="shared" si="23"/>
        <v>0</v>
      </c>
      <c r="I48" s="34" t="e">
        <f t="shared" si="24"/>
        <v>#REF!</v>
      </c>
      <c r="J48" s="109"/>
      <c r="K48" s="31"/>
      <c r="L48" s="35">
        <v>-37305.25</v>
      </c>
      <c r="M48" s="35">
        <v>-43902</v>
      </c>
      <c r="N48" s="35">
        <v>-28700</v>
      </c>
      <c r="O48" s="35">
        <v>-19506.150000000001</v>
      </c>
      <c r="P48" s="32">
        <f t="shared" si="25"/>
        <v>-26008.200000000004</v>
      </c>
      <c r="Q48" s="32">
        <v>-30000</v>
      </c>
      <c r="R48" s="35">
        <v>-30000</v>
      </c>
      <c r="S48" s="35">
        <f t="shared" si="26"/>
        <v>0</v>
      </c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</row>
    <row r="49" spans="1:31" ht="15.75" customHeight="1" x14ac:dyDescent="0.25">
      <c r="A49" s="6" t="s">
        <v>1621</v>
      </c>
      <c r="B49" s="6" t="s">
        <v>1622</v>
      </c>
      <c r="C49" s="31"/>
      <c r="D49" s="34">
        <v>-5530</v>
      </c>
      <c r="E49" s="32" t="e">
        <f>D49*#REF!</f>
        <v>#REF!</v>
      </c>
      <c r="F49" s="32" t="e">
        <f>D49*#REF!</f>
        <v>#REF!</v>
      </c>
      <c r="G49" s="32" t="e">
        <f>(D49*#REF!)*#REF!</f>
        <v>#REF!</v>
      </c>
      <c r="H49" s="33">
        <f t="shared" si="23"/>
        <v>0</v>
      </c>
      <c r="I49" s="34" t="e">
        <f t="shared" si="24"/>
        <v>#REF!</v>
      </c>
      <c r="J49" s="109"/>
      <c r="K49" s="31"/>
      <c r="L49" s="35">
        <v>-8290</v>
      </c>
      <c r="M49" s="35">
        <v>-9075</v>
      </c>
      <c r="N49" s="35">
        <v>-7500</v>
      </c>
      <c r="O49" s="35">
        <v>-4537</v>
      </c>
      <c r="P49" s="32">
        <f t="shared" si="25"/>
        <v>-6049.333333333333</v>
      </c>
      <c r="Q49" s="32">
        <v>-8000</v>
      </c>
      <c r="R49" s="35">
        <v>-8000</v>
      </c>
      <c r="S49" s="35">
        <f t="shared" si="26"/>
        <v>0</v>
      </c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</row>
    <row r="50" spans="1:31" ht="15.75" customHeight="1" x14ac:dyDescent="0.25">
      <c r="A50" s="6" t="s">
        <v>1623</v>
      </c>
      <c r="B50" s="6" t="s">
        <v>1624</v>
      </c>
      <c r="C50" s="31"/>
      <c r="D50" s="34">
        <v>-1250</v>
      </c>
      <c r="E50" s="32" t="e">
        <f>D50*#REF!</f>
        <v>#REF!</v>
      </c>
      <c r="F50" s="32" t="e">
        <f>D50*#REF!</f>
        <v>#REF!</v>
      </c>
      <c r="G50" s="32" t="e">
        <f>(D50*#REF!)*#REF!</f>
        <v>#REF!</v>
      </c>
      <c r="H50" s="39">
        <f t="shared" si="23"/>
        <v>0</v>
      </c>
      <c r="I50" s="34" t="e">
        <f t="shared" si="24"/>
        <v>#REF!</v>
      </c>
      <c r="J50" s="109"/>
      <c r="K50" s="31"/>
      <c r="L50" s="35">
        <v>-1680</v>
      </c>
      <c r="M50" s="35">
        <v>-1890</v>
      </c>
      <c r="N50" s="35">
        <v>-1200</v>
      </c>
      <c r="O50" s="35">
        <v>-3115</v>
      </c>
      <c r="P50" s="32">
        <f t="shared" si="25"/>
        <v>-4153.333333333333</v>
      </c>
      <c r="Q50" s="32">
        <v>-1500</v>
      </c>
      <c r="R50" s="35">
        <v>-1500</v>
      </c>
      <c r="S50" s="35">
        <f t="shared" si="26"/>
        <v>0</v>
      </c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</row>
    <row r="51" spans="1:31" ht="15.75" customHeight="1" x14ac:dyDescent="0.25">
      <c r="A51" s="6" t="s">
        <v>1625</v>
      </c>
      <c r="B51" s="6" t="s">
        <v>1626</v>
      </c>
      <c r="C51" s="31"/>
      <c r="D51" s="34">
        <v>-45099.839999999997</v>
      </c>
      <c r="E51" s="32" t="e">
        <f>D51*#REF!</f>
        <v>#REF!</v>
      </c>
      <c r="F51" s="32" t="e">
        <f>D51*#REF!</f>
        <v>#REF!</v>
      </c>
      <c r="G51" s="32" t="e">
        <f>(D51*#REF!)*#REF!</f>
        <v>#REF!</v>
      </c>
      <c r="H51" s="39">
        <f t="shared" si="23"/>
        <v>0</v>
      </c>
      <c r="I51" s="34" t="e">
        <f t="shared" si="24"/>
        <v>#REF!</v>
      </c>
      <c r="J51" s="109"/>
      <c r="K51" s="31"/>
      <c r="L51" s="35">
        <v>-35000.75</v>
      </c>
      <c r="M51" s="35">
        <v>-35080</v>
      </c>
      <c r="N51" s="35">
        <v>-34500</v>
      </c>
      <c r="O51" s="35">
        <v>-24348.880000000001</v>
      </c>
      <c r="P51" s="32">
        <f t="shared" si="25"/>
        <v>-32465.173333333332</v>
      </c>
      <c r="Q51" s="32">
        <v>-35000</v>
      </c>
      <c r="R51" s="35">
        <v>-35000</v>
      </c>
      <c r="S51" s="35">
        <f t="shared" si="26"/>
        <v>0</v>
      </c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</row>
    <row r="52" spans="1:31" ht="15.75" customHeight="1" x14ac:dyDescent="0.25">
      <c r="A52" s="6" t="s">
        <v>1627</v>
      </c>
      <c r="B52" s="6" t="s">
        <v>1628</v>
      </c>
      <c r="C52" s="31"/>
      <c r="D52" s="34">
        <v>-25857.919999999998</v>
      </c>
      <c r="E52" s="32" t="e">
        <f>D52*#REF!</f>
        <v>#REF!</v>
      </c>
      <c r="F52" s="32" t="e">
        <f>D52*#REF!</f>
        <v>#REF!</v>
      </c>
      <c r="G52" s="32" t="e">
        <f>(D52*#REF!)*#REF!</f>
        <v>#REF!</v>
      </c>
      <c r="H52" s="33">
        <f t="shared" si="23"/>
        <v>0</v>
      </c>
      <c r="I52" s="34" t="e">
        <f t="shared" si="24"/>
        <v>#REF!</v>
      </c>
      <c r="J52" s="109"/>
      <c r="K52" s="31"/>
      <c r="L52" s="35">
        <v>-32091</v>
      </c>
      <c r="M52" s="35">
        <v>-44869</v>
      </c>
      <c r="N52" s="35">
        <v>-35000</v>
      </c>
      <c r="O52" s="35">
        <v>-27583.82</v>
      </c>
      <c r="P52" s="32">
        <f t="shared" si="25"/>
        <v>-36778.426666666666</v>
      </c>
      <c r="Q52" s="32">
        <v>-45000</v>
      </c>
      <c r="R52" s="35">
        <v>-45000</v>
      </c>
      <c r="S52" s="35">
        <f t="shared" si="26"/>
        <v>0</v>
      </c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</row>
    <row r="53" spans="1:31" ht="15.75" customHeight="1" x14ac:dyDescent="0.25">
      <c r="A53" s="6" t="s">
        <v>1629</v>
      </c>
      <c r="B53" s="6" t="s">
        <v>1630</v>
      </c>
      <c r="C53" s="31"/>
      <c r="D53" s="34">
        <v>-10992.29</v>
      </c>
      <c r="E53" s="32" t="e">
        <f>D53*#REF!</f>
        <v>#REF!</v>
      </c>
      <c r="F53" s="32" t="e">
        <f>D53*#REF!</f>
        <v>#REF!</v>
      </c>
      <c r="G53" s="32" t="e">
        <f>(D53*#REF!)*#REF!</f>
        <v>#REF!</v>
      </c>
      <c r="H53" s="33">
        <f t="shared" si="23"/>
        <v>0</v>
      </c>
      <c r="I53" s="34" t="e">
        <f t="shared" si="24"/>
        <v>#REF!</v>
      </c>
      <c r="J53" s="109"/>
      <c r="K53" s="31"/>
      <c r="L53" s="35">
        <v>-22365.759999999998</v>
      </c>
      <c r="M53" s="35">
        <v>-26768.58</v>
      </c>
      <c r="N53" s="35">
        <v>-23000</v>
      </c>
      <c r="O53" s="35">
        <v>-24871.21</v>
      </c>
      <c r="P53" s="32">
        <f t="shared" si="25"/>
        <v>-33161.613333333335</v>
      </c>
      <c r="Q53" s="32">
        <v>-26000</v>
      </c>
      <c r="R53" s="35">
        <v>-26000</v>
      </c>
      <c r="S53" s="35">
        <f t="shared" si="26"/>
        <v>0</v>
      </c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</row>
    <row r="54" spans="1:31" ht="15.75" customHeight="1" x14ac:dyDescent="0.25">
      <c r="A54" s="6" t="s">
        <v>1631</v>
      </c>
      <c r="B54" s="6" t="s">
        <v>1632</v>
      </c>
      <c r="C54" s="31"/>
      <c r="D54" s="34">
        <v>-105276</v>
      </c>
      <c r="E54" s="32" t="e">
        <f>D54*#REF!</f>
        <v>#REF!</v>
      </c>
      <c r="F54" s="32" t="e">
        <f>D54*#REF!</f>
        <v>#REF!</v>
      </c>
      <c r="G54" s="32" t="e">
        <f>(D54*#REF!)*#REF!</f>
        <v>#REF!</v>
      </c>
      <c r="H54" s="33">
        <f t="shared" si="23"/>
        <v>0</v>
      </c>
      <c r="I54" s="34" t="e">
        <f t="shared" si="24"/>
        <v>#REF!</v>
      </c>
      <c r="J54" s="109"/>
      <c r="K54" s="31"/>
      <c r="L54" s="35">
        <v>-163712.99</v>
      </c>
      <c r="M54" s="35">
        <v>-171726.05</v>
      </c>
      <c r="N54" s="35">
        <v>-231000</v>
      </c>
      <c r="O54" s="35">
        <v>-114396.34</v>
      </c>
      <c r="P54" s="32">
        <f t="shared" si="25"/>
        <v>-152528.45333333331</v>
      </c>
      <c r="Q54" s="32">
        <v>-180000</v>
      </c>
      <c r="R54" s="35">
        <v>-180000</v>
      </c>
      <c r="S54" s="35">
        <f t="shared" si="26"/>
        <v>0</v>
      </c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</row>
    <row r="55" spans="1:31" ht="15.75" customHeight="1" x14ac:dyDescent="0.25">
      <c r="A55" s="11" t="s">
        <v>189</v>
      </c>
      <c r="B55" s="11"/>
      <c r="C55" s="282"/>
      <c r="D55" s="50">
        <f t="shared" ref="D55:G55" si="27">SUM(D46:D54)</f>
        <v>-211420.05</v>
      </c>
      <c r="E55" s="50" t="e">
        <f t="shared" si="27"/>
        <v>#REF!</v>
      </c>
      <c r="F55" s="50" t="e">
        <f t="shared" si="27"/>
        <v>#REF!</v>
      </c>
      <c r="G55" s="50" t="e">
        <f t="shared" si="27"/>
        <v>#REF!</v>
      </c>
      <c r="H55" s="42">
        <f t="shared" si="23"/>
        <v>0</v>
      </c>
      <c r="I55" s="50" t="e">
        <f t="shared" ref="I55:J55" si="28">SUM(I46:I54)</f>
        <v>#REF!</v>
      </c>
      <c r="J55" s="50">
        <f t="shared" si="28"/>
        <v>0</v>
      </c>
      <c r="K55" s="282"/>
      <c r="L55" s="110">
        <f t="shared" ref="L55:S55" si="29">SUM(L46:L54)</f>
        <v>-306830.75</v>
      </c>
      <c r="M55" s="110">
        <f t="shared" si="29"/>
        <v>-338800.63</v>
      </c>
      <c r="N55" s="110">
        <f t="shared" si="29"/>
        <v>-366700</v>
      </c>
      <c r="O55" s="110">
        <f t="shared" si="29"/>
        <v>-220663.4</v>
      </c>
      <c r="P55" s="111">
        <f t="shared" si="29"/>
        <v>-294217.86666666664</v>
      </c>
      <c r="Q55" s="111">
        <f t="shared" si="29"/>
        <v>-330900</v>
      </c>
      <c r="R55" s="110">
        <f t="shared" si="29"/>
        <v>-330900</v>
      </c>
      <c r="S55" s="110">
        <f t="shared" si="29"/>
        <v>0</v>
      </c>
      <c r="T55" s="5"/>
      <c r="U55" s="5"/>
      <c r="V55" s="11"/>
      <c r="W55" s="11"/>
      <c r="X55" s="11"/>
      <c r="Y55" s="11"/>
      <c r="Z55" s="11"/>
      <c r="AA55" s="11"/>
      <c r="AB55" s="11"/>
      <c r="AC55" s="11"/>
      <c r="AD55" s="11"/>
      <c r="AE55" s="11"/>
    </row>
    <row r="56" spans="1:31" ht="15.75" customHeight="1" x14ac:dyDescent="0.25">
      <c r="A56" s="5"/>
      <c r="B56" s="5"/>
      <c r="C56" s="284"/>
      <c r="D56" s="18"/>
      <c r="E56" s="18"/>
      <c r="F56" s="18"/>
      <c r="G56" s="18"/>
      <c r="H56" s="18"/>
      <c r="I56" s="18"/>
      <c r="J56" s="18"/>
      <c r="K56" s="284"/>
      <c r="L56" s="176"/>
      <c r="M56" s="176"/>
      <c r="N56" s="176"/>
      <c r="O56" s="176"/>
      <c r="P56" s="176"/>
      <c r="Q56" s="176"/>
      <c r="R56" s="176"/>
      <c r="S56" s="176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</row>
    <row r="57" spans="1:31" ht="15.75" customHeight="1" x14ac:dyDescent="0.25">
      <c r="A57" s="11" t="s">
        <v>190</v>
      </c>
      <c r="B57" s="5"/>
      <c r="C57" s="282"/>
      <c r="D57" s="50">
        <f t="shared" ref="D57:G57" si="30">D55+D44</f>
        <v>719592.95</v>
      </c>
      <c r="E57" s="50" t="e">
        <f t="shared" si="30"/>
        <v>#REF!</v>
      </c>
      <c r="F57" s="50" t="e">
        <f t="shared" si="30"/>
        <v>#REF!</v>
      </c>
      <c r="G57" s="50" t="e">
        <f t="shared" si="30"/>
        <v>#REF!</v>
      </c>
      <c r="H57" s="42">
        <f>IFERROR(((Q57-G57)/G57),0)</f>
        <v>0</v>
      </c>
      <c r="I57" s="113" t="e">
        <f>Q57-G57</f>
        <v>#REF!</v>
      </c>
      <c r="J57" s="50">
        <f>SUM(J56)</f>
        <v>0</v>
      </c>
      <c r="K57" s="282"/>
      <c r="L57" s="110">
        <f t="shared" ref="L57:S57" si="31">L55+L44</f>
        <v>1310777.25</v>
      </c>
      <c r="M57" s="110">
        <f t="shared" si="31"/>
        <v>1505008.7700000005</v>
      </c>
      <c r="N57" s="110">
        <f t="shared" si="31"/>
        <v>1687942</v>
      </c>
      <c r="O57" s="110">
        <f t="shared" si="31"/>
        <v>664467.37999999989</v>
      </c>
      <c r="P57" s="111">
        <f t="shared" si="31"/>
        <v>970322.5876666666</v>
      </c>
      <c r="Q57" s="111">
        <f t="shared" si="31"/>
        <v>1549965</v>
      </c>
      <c r="R57" s="110">
        <f t="shared" si="31"/>
        <v>1114165</v>
      </c>
      <c r="S57" s="110">
        <f t="shared" si="31"/>
        <v>-435800</v>
      </c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</row>
    <row r="58" spans="1:31" ht="15.75" customHeight="1" x14ac:dyDescent="0.25">
      <c r="A58" s="5"/>
      <c r="B58" s="5"/>
      <c r="C58" s="284"/>
      <c r="D58" s="18"/>
      <c r="E58" s="18"/>
      <c r="F58" s="18"/>
      <c r="G58" s="18"/>
      <c r="H58" s="18"/>
      <c r="I58" s="18"/>
      <c r="J58" s="18"/>
      <c r="K58" s="284"/>
      <c r="L58" s="176"/>
      <c r="M58" s="176"/>
      <c r="N58" s="176"/>
      <c r="O58" s="176"/>
      <c r="P58" s="176"/>
      <c r="Q58" s="176"/>
      <c r="R58" s="176"/>
      <c r="S58" s="176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</row>
    <row r="59" spans="1:31" ht="15.75" customHeight="1" x14ac:dyDescent="0.2">
      <c r="A59" s="5"/>
      <c r="B59" s="5"/>
      <c r="C59" s="284"/>
      <c r="D59" s="18"/>
      <c r="E59" s="18"/>
      <c r="F59" s="18"/>
      <c r="G59" s="18"/>
      <c r="H59" s="18"/>
      <c r="I59" s="18"/>
      <c r="J59" s="18"/>
      <c r="K59" s="284"/>
      <c r="L59" s="345" t="s">
        <v>102</v>
      </c>
      <c r="M59" s="346" t="s">
        <v>59</v>
      </c>
      <c r="N59" s="345" t="s">
        <v>60</v>
      </c>
      <c r="O59" s="345" t="s">
        <v>61</v>
      </c>
      <c r="P59" s="345" t="s">
        <v>62</v>
      </c>
      <c r="Q59" s="345" t="s">
        <v>63</v>
      </c>
      <c r="R59" s="345" t="s">
        <v>64</v>
      </c>
      <c r="S59" s="346" t="s">
        <v>65</v>
      </c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</row>
    <row r="60" spans="1:31" ht="15.75" customHeight="1" x14ac:dyDescent="0.2">
      <c r="A60" s="5"/>
      <c r="B60" s="269"/>
      <c r="C60" s="434"/>
      <c r="D60" s="435"/>
      <c r="E60" s="435"/>
      <c r="F60" s="18"/>
      <c r="G60" s="18"/>
      <c r="H60" s="18"/>
      <c r="I60" s="18"/>
      <c r="J60" s="18"/>
      <c r="K60" s="284"/>
      <c r="L60" s="436" t="s">
        <v>103</v>
      </c>
      <c r="M60" s="179">
        <f t="shared" ref="M60:S60" si="32">L44</f>
        <v>1617608</v>
      </c>
      <c r="N60" s="179">
        <f t="shared" si="32"/>
        <v>1843809.4000000004</v>
      </c>
      <c r="O60" s="179">
        <f t="shared" si="32"/>
        <v>2054642</v>
      </c>
      <c r="P60" s="179">
        <f t="shared" si="32"/>
        <v>885130.77999999991</v>
      </c>
      <c r="Q60" s="179">
        <f t="shared" si="32"/>
        <v>1264540.4543333333</v>
      </c>
      <c r="R60" s="179">
        <f t="shared" si="32"/>
        <v>1880865</v>
      </c>
      <c r="S60" s="179">
        <f t="shared" si="32"/>
        <v>1445065</v>
      </c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</row>
    <row r="61" spans="1:31" ht="15.75" customHeight="1" x14ac:dyDescent="0.25">
      <c r="A61" s="5"/>
      <c r="B61" s="115"/>
      <c r="C61" s="284"/>
      <c r="D61" s="18"/>
      <c r="E61" s="18"/>
      <c r="F61" s="18"/>
      <c r="G61" s="18"/>
      <c r="H61" s="18"/>
      <c r="I61" s="18"/>
      <c r="J61" s="18"/>
      <c r="K61" s="284"/>
      <c r="L61" s="176"/>
      <c r="M61" s="176"/>
      <c r="N61" s="176"/>
      <c r="O61" s="176"/>
      <c r="P61" s="372"/>
      <c r="Q61" s="176"/>
      <c r="R61" s="176"/>
      <c r="S61" s="176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</row>
    <row r="62" spans="1:31" ht="15.75" customHeight="1" x14ac:dyDescent="0.25">
      <c r="A62" s="5"/>
      <c r="B62" s="5"/>
      <c r="C62" s="284"/>
      <c r="D62" s="18"/>
      <c r="E62" s="18"/>
      <c r="F62" s="18"/>
      <c r="G62" s="18"/>
      <c r="H62" s="18"/>
      <c r="I62" s="18"/>
      <c r="J62" s="18"/>
      <c r="K62" s="284"/>
      <c r="L62" s="176"/>
      <c r="M62" s="176"/>
      <c r="N62" s="176"/>
      <c r="O62" s="176"/>
      <c r="P62" s="176"/>
      <c r="Q62" s="176"/>
      <c r="R62" s="176"/>
      <c r="S62" s="176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</row>
    <row r="63" spans="1:31" ht="15.75" customHeight="1" x14ac:dyDescent="0.25">
      <c r="A63" s="5"/>
      <c r="B63" s="5"/>
      <c r="C63" s="284"/>
      <c r="D63" s="18"/>
      <c r="E63" s="18"/>
      <c r="F63" s="18"/>
      <c r="G63" s="18"/>
      <c r="H63" s="18"/>
      <c r="I63" s="18"/>
      <c r="J63" s="18"/>
      <c r="K63" s="284"/>
      <c r="L63" s="176"/>
      <c r="M63" s="176"/>
      <c r="N63" s="176"/>
      <c r="O63" s="176"/>
      <c r="P63" s="176"/>
      <c r="Q63" s="176"/>
      <c r="R63" s="176"/>
      <c r="S63" s="176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</row>
    <row r="64" spans="1:31" ht="15.75" customHeight="1" x14ac:dyDescent="0.25">
      <c r="A64" s="5"/>
      <c r="B64" s="5"/>
      <c r="C64" s="284"/>
      <c r="D64" s="18"/>
      <c r="E64" s="18"/>
      <c r="F64" s="18"/>
      <c r="G64" s="18"/>
      <c r="H64" s="18"/>
      <c r="I64" s="18"/>
      <c r="J64" s="18"/>
      <c r="K64" s="284"/>
      <c r="L64" s="176"/>
      <c r="M64" s="176"/>
      <c r="N64" s="176"/>
      <c r="O64" s="176"/>
      <c r="P64" s="176"/>
      <c r="Q64" s="176"/>
      <c r="R64" s="176"/>
      <c r="S64" s="176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</row>
    <row r="65" spans="1:31" ht="15.75" customHeight="1" x14ac:dyDescent="0.25">
      <c r="A65" s="5"/>
      <c r="B65" s="5"/>
      <c r="C65" s="284"/>
      <c r="D65" s="18"/>
      <c r="E65" s="18"/>
      <c r="F65" s="18"/>
      <c r="G65" s="18"/>
      <c r="H65" s="18"/>
      <c r="I65" s="18"/>
      <c r="J65" s="18"/>
      <c r="K65" s="284"/>
      <c r="L65" s="176"/>
      <c r="M65" s="176"/>
      <c r="N65" s="176"/>
      <c r="O65" s="176"/>
      <c r="P65" s="176"/>
      <c r="Q65" s="176"/>
      <c r="R65" s="176"/>
      <c r="S65" s="176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</row>
    <row r="66" spans="1:31" ht="15.75" customHeight="1" x14ac:dyDescent="0.25">
      <c r="A66" s="5"/>
      <c r="B66" s="5"/>
      <c r="C66" s="284"/>
      <c r="D66" s="18"/>
      <c r="E66" s="18"/>
      <c r="F66" s="18"/>
      <c r="G66" s="18"/>
      <c r="H66" s="18"/>
      <c r="I66" s="18"/>
      <c r="J66" s="18"/>
      <c r="K66" s="284"/>
      <c r="L66" s="176"/>
      <c r="M66" s="176"/>
      <c r="N66" s="176"/>
      <c r="O66" s="176"/>
      <c r="P66" s="176"/>
      <c r="Q66" s="176"/>
      <c r="R66" s="176"/>
      <c r="S66" s="176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</row>
    <row r="67" spans="1:31" ht="15.75" customHeight="1" x14ac:dyDescent="0.25">
      <c r="A67" s="5"/>
      <c r="B67" s="5"/>
      <c r="C67" s="284"/>
      <c r="D67" s="18"/>
      <c r="E67" s="18"/>
      <c r="F67" s="18"/>
      <c r="G67" s="18"/>
      <c r="H67" s="18"/>
      <c r="I67" s="18"/>
      <c r="J67" s="18"/>
      <c r="K67" s="284"/>
      <c r="L67" s="176"/>
      <c r="M67" s="176"/>
      <c r="N67" s="176"/>
      <c r="O67" s="176"/>
      <c r="P67" s="176"/>
      <c r="Q67" s="176"/>
      <c r="R67" s="176"/>
      <c r="S67" s="176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</row>
    <row r="68" spans="1:31" ht="15.75" customHeight="1" x14ac:dyDescent="0.25">
      <c r="A68" s="5"/>
      <c r="B68" s="5"/>
      <c r="C68" s="284"/>
      <c r="D68" s="18"/>
      <c r="E68" s="18"/>
      <c r="F68" s="18"/>
      <c r="G68" s="18"/>
      <c r="H68" s="18"/>
      <c r="I68" s="18"/>
      <c r="J68" s="18"/>
      <c r="K68" s="284"/>
      <c r="L68" s="176"/>
      <c r="M68" s="176"/>
      <c r="N68" s="176"/>
      <c r="O68" s="176"/>
      <c r="P68" s="176"/>
      <c r="Q68" s="176"/>
      <c r="R68" s="176"/>
      <c r="S68" s="176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</row>
    <row r="69" spans="1:31" ht="15.75" customHeight="1" x14ac:dyDescent="0.25">
      <c r="A69" s="5"/>
      <c r="B69" s="5"/>
      <c r="C69" s="284"/>
      <c r="D69" s="18"/>
      <c r="E69" s="18"/>
      <c r="F69" s="18"/>
      <c r="G69" s="18"/>
      <c r="H69" s="18"/>
      <c r="I69" s="18"/>
      <c r="J69" s="18"/>
      <c r="K69" s="284"/>
      <c r="L69" s="176"/>
      <c r="M69" s="176"/>
      <c r="N69" s="176"/>
      <c r="O69" s="176"/>
      <c r="P69" s="176"/>
      <c r="Q69" s="176"/>
      <c r="R69" s="176"/>
      <c r="S69" s="176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</row>
    <row r="70" spans="1:31" ht="15.75" customHeight="1" x14ac:dyDescent="0.25">
      <c r="A70" s="5"/>
      <c r="B70" s="5"/>
      <c r="C70" s="284"/>
      <c r="D70" s="18"/>
      <c r="E70" s="18"/>
      <c r="F70" s="18"/>
      <c r="G70" s="18"/>
      <c r="H70" s="18"/>
      <c r="I70" s="18"/>
      <c r="J70" s="18"/>
      <c r="K70" s="284"/>
      <c r="L70" s="176"/>
      <c r="M70" s="176"/>
      <c r="N70" s="176"/>
      <c r="O70" s="176"/>
      <c r="P70" s="176"/>
      <c r="Q70" s="176"/>
      <c r="R70" s="176"/>
      <c r="S70" s="176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</row>
    <row r="71" spans="1:31" ht="15.75" customHeight="1" x14ac:dyDescent="0.25">
      <c r="A71" s="5"/>
      <c r="B71" s="5"/>
      <c r="C71" s="284"/>
      <c r="D71" s="18"/>
      <c r="E71" s="18"/>
      <c r="F71" s="18"/>
      <c r="G71" s="18"/>
      <c r="H71" s="18"/>
      <c r="I71" s="18"/>
      <c r="J71" s="18"/>
      <c r="K71" s="284"/>
      <c r="L71" s="176"/>
      <c r="M71" s="176"/>
      <c r="N71" s="176"/>
      <c r="O71" s="176"/>
      <c r="P71" s="176"/>
      <c r="Q71" s="176"/>
      <c r="R71" s="176"/>
      <c r="S71" s="176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</row>
    <row r="72" spans="1:31" ht="15.75" customHeight="1" x14ac:dyDescent="0.25">
      <c r="A72" s="5"/>
      <c r="B72" s="5"/>
      <c r="C72" s="284"/>
      <c r="D72" s="18"/>
      <c r="E72" s="18"/>
      <c r="F72" s="18"/>
      <c r="G72" s="18"/>
      <c r="H72" s="18"/>
      <c r="I72" s="18"/>
      <c r="J72" s="18"/>
      <c r="K72" s="284"/>
      <c r="L72" s="176"/>
      <c r="M72" s="176"/>
      <c r="N72" s="176"/>
      <c r="O72" s="176"/>
      <c r="P72" s="176"/>
      <c r="Q72" s="176"/>
      <c r="R72" s="176"/>
      <c r="S72" s="176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</row>
    <row r="73" spans="1:31" ht="15.75" customHeight="1" x14ac:dyDescent="0.25">
      <c r="A73" s="5"/>
      <c r="B73" s="5"/>
      <c r="C73" s="284"/>
      <c r="D73" s="18"/>
      <c r="E73" s="18"/>
      <c r="F73" s="18"/>
      <c r="G73" s="18"/>
      <c r="H73" s="18"/>
      <c r="I73" s="18"/>
      <c r="J73" s="18"/>
      <c r="K73" s="284"/>
      <c r="L73" s="176"/>
      <c r="M73" s="176"/>
      <c r="N73" s="176"/>
      <c r="O73" s="176"/>
      <c r="P73" s="176"/>
      <c r="Q73" s="176"/>
      <c r="R73" s="176"/>
      <c r="S73" s="176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 ht="15.75" customHeight="1" x14ac:dyDescent="0.25">
      <c r="A74" s="5"/>
      <c r="B74" s="5"/>
      <c r="C74" s="284"/>
      <c r="D74" s="18"/>
      <c r="E74" s="18"/>
      <c r="F74" s="18"/>
      <c r="G74" s="18"/>
      <c r="H74" s="18"/>
      <c r="I74" s="18"/>
      <c r="J74" s="18"/>
      <c r="K74" s="284"/>
      <c r="L74" s="176"/>
      <c r="M74" s="176"/>
      <c r="N74" s="176"/>
      <c r="O74" s="176"/>
      <c r="P74" s="176"/>
      <c r="Q74" s="176"/>
      <c r="R74" s="176"/>
      <c r="S74" s="176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</row>
    <row r="75" spans="1:31" ht="15.75" customHeight="1" x14ac:dyDescent="0.25">
      <c r="A75" s="5"/>
      <c r="B75" s="5"/>
      <c r="C75" s="284"/>
      <c r="D75" s="18"/>
      <c r="E75" s="18"/>
      <c r="F75" s="18"/>
      <c r="G75" s="18"/>
      <c r="H75" s="18"/>
      <c r="I75" s="18"/>
      <c r="J75" s="18"/>
      <c r="K75" s="284"/>
      <c r="L75" s="176"/>
      <c r="M75" s="176"/>
      <c r="N75" s="176"/>
      <c r="O75" s="176"/>
      <c r="P75" s="176"/>
      <c r="Q75" s="176"/>
      <c r="R75" s="176"/>
      <c r="S75" s="176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</row>
    <row r="76" spans="1:31" ht="15.75" customHeight="1" x14ac:dyDescent="0.25">
      <c r="A76" s="5"/>
      <c r="B76" s="5"/>
      <c r="C76" s="284"/>
      <c r="D76" s="18"/>
      <c r="E76" s="18"/>
      <c r="F76" s="18"/>
      <c r="G76" s="18"/>
      <c r="H76" s="18"/>
      <c r="I76" s="18"/>
      <c r="J76" s="18"/>
      <c r="K76" s="284"/>
      <c r="L76" s="176"/>
      <c r="M76" s="176"/>
      <c r="N76" s="176"/>
      <c r="O76" s="176"/>
      <c r="P76" s="176"/>
      <c r="Q76" s="176"/>
      <c r="R76" s="176"/>
      <c r="S76" s="176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</row>
    <row r="77" spans="1:31" ht="15.75" customHeight="1" x14ac:dyDescent="0.25">
      <c r="A77" s="5"/>
      <c r="B77" s="5"/>
      <c r="C77" s="284"/>
      <c r="D77" s="18"/>
      <c r="E77" s="18"/>
      <c r="F77" s="18"/>
      <c r="G77" s="18"/>
      <c r="H77" s="18"/>
      <c r="I77" s="18"/>
      <c r="J77" s="18"/>
      <c r="K77" s="284"/>
      <c r="L77" s="176"/>
      <c r="M77" s="176"/>
      <c r="N77" s="176"/>
      <c r="O77" s="176"/>
      <c r="P77" s="176"/>
      <c r="Q77" s="176"/>
      <c r="R77" s="176"/>
      <c r="S77" s="176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</row>
    <row r="78" spans="1:31" ht="15.75" customHeight="1" x14ac:dyDescent="0.25">
      <c r="A78" s="5"/>
      <c r="B78" s="5"/>
      <c r="C78" s="284"/>
      <c r="D78" s="18"/>
      <c r="E78" s="18"/>
      <c r="F78" s="18"/>
      <c r="G78" s="18"/>
      <c r="H78" s="18"/>
      <c r="I78" s="18"/>
      <c r="J78" s="18"/>
      <c r="K78" s="284"/>
      <c r="L78" s="176"/>
      <c r="M78" s="176"/>
      <c r="N78" s="176"/>
      <c r="O78" s="176"/>
      <c r="P78" s="176"/>
      <c r="Q78" s="176"/>
      <c r="R78" s="176"/>
      <c r="S78" s="176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</row>
    <row r="79" spans="1:31" ht="15.75" customHeight="1" x14ac:dyDescent="0.25">
      <c r="A79" s="5"/>
      <c r="B79" s="5"/>
      <c r="C79" s="284"/>
      <c r="D79" s="18"/>
      <c r="E79" s="18"/>
      <c r="F79" s="18"/>
      <c r="G79" s="18"/>
      <c r="H79" s="18"/>
      <c r="I79" s="18"/>
      <c r="J79" s="18"/>
      <c r="K79" s="284"/>
      <c r="L79" s="176"/>
      <c r="M79" s="176"/>
      <c r="N79" s="176"/>
      <c r="O79" s="176"/>
      <c r="P79" s="176"/>
      <c r="Q79" s="176"/>
      <c r="R79" s="176"/>
      <c r="S79" s="176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</row>
    <row r="80" spans="1:31" ht="15.75" customHeight="1" x14ac:dyDescent="0.25">
      <c r="A80" s="5"/>
      <c r="B80" s="5"/>
      <c r="C80" s="284"/>
      <c r="D80" s="18"/>
      <c r="E80" s="18"/>
      <c r="F80" s="18"/>
      <c r="G80" s="18"/>
      <c r="H80" s="18"/>
      <c r="I80" s="18"/>
      <c r="J80" s="18"/>
      <c r="K80" s="284"/>
      <c r="L80" s="176"/>
      <c r="M80" s="176"/>
      <c r="N80" s="176"/>
      <c r="O80" s="176"/>
      <c r="P80" s="176"/>
      <c r="Q80" s="176"/>
      <c r="R80" s="176"/>
      <c r="S80" s="176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</row>
    <row r="81" spans="1:31" ht="15.75" customHeight="1" x14ac:dyDescent="0.25">
      <c r="A81" s="5"/>
      <c r="B81" s="5"/>
      <c r="C81" s="284"/>
      <c r="D81" s="18"/>
      <c r="E81" s="18"/>
      <c r="F81" s="18"/>
      <c r="G81" s="18"/>
      <c r="H81" s="18"/>
      <c r="I81" s="18"/>
      <c r="J81" s="18"/>
      <c r="K81" s="284"/>
      <c r="L81" s="176"/>
      <c r="M81" s="176"/>
      <c r="N81" s="176"/>
      <c r="O81" s="176"/>
      <c r="P81" s="176"/>
      <c r="Q81" s="176"/>
      <c r="R81" s="176"/>
      <c r="S81" s="176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</row>
    <row r="82" spans="1:31" ht="15.75" customHeight="1" x14ac:dyDescent="0.25">
      <c r="A82" s="5"/>
      <c r="B82" s="5"/>
      <c r="C82" s="284"/>
      <c r="D82" s="18"/>
      <c r="E82" s="18"/>
      <c r="F82" s="18"/>
      <c r="G82" s="18"/>
      <c r="H82" s="18"/>
      <c r="I82" s="18"/>
      <c r="J82" s="18"/>
      <c r="K82" s="284"/>
      <c r="L82" s="176"/>
      <c r="M82" s="176"/>
      <c r="N82" s="176"/>
      <c r="O82" s="176"/>
      <c r="P82" s="176"/>
      <c r="Q82" s="176"/>
      <c r="R82" s="176"/>
      <c r="S82" s="176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</row>
    <row r="83" spans="1:31" ht="15.75" customHeight="1" x14ac:dyDescent="0.25">
      <c r="A83" s="5"/>
      <c r="B83" s="5"/>
      <c r="C83" s="284"/>
      <c r="D83" s="18"/>
      <c r="E83" s="18"/>
      <c r="F83" s="18"/>
      <c r="G83" s="18"/>
      <c r="H83" s="18"/>
      <c r="I83" s="18"/>
      <c r="J83" s="18"/>
      <c r="K83" s="284"/>
      <c r="L83" s="176"/>
      <c r="M83" s="176"/>
      <c r="N83" s="176"/>
      <c r="O83" s="176"/>
      <c r="P83" s="176"/>
      <c r="Q83" s="176"/>
      <c r="R83" s="176"/>
      <c r="S83" s="176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</row>
    <row r="84" spans="1:31" ht="15.75" customHeight="1" x14ac:dyDescent="0.25">
      <c r="A84" s="5"/>
      <c r="B84" s="5"/>
      <c r="C84" s="284"/>
      <c r="D84" s="18"/>
      <c r="E84" s="18"/>
      <c r="F84" s="18"/>
      <c r="G84" s="18"/>
      <c r="H84" s="18"/>
      <c r="I84" s="18"/>
      <c r="J84" s="18"/>
      <c r="K84" s="284"/>
      <c r="L84" s="176"/>
      <c r="M84" s="176"/>
      <c r="N84" s="176"/>
      <c r="O84" s="176"/>
      <c r="P84" s="176"/>
      <c r="Q84" s="176"/>
      <c r="R84" s="176"/>
      <c r="S84" s="176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</row>
    <row r="85" spans="1:31" ht="15.75" customHeight="1" x14ac:dyDescent="0.25">
      <c r="A85" s="5"/>
      <c r="B85" s="5"/>
      <c r="C85" s="284"/>
      <c r="D85" s="18"/>
      <c r="E85" s="18"/>
      <c r="F85" s="18"/>
      <c r="G85" s="18"/>
      <c r="H85" s="18"/>
      <c r="I85" s="18"/>
      <c r="J85" s="18"/>
      <c r="K85" s="284"/>
      <c r="L85" s="176"/>
      <c r="M85" s="176"/>
      <c r="N85" s="176"/>
      <c r="O85" s="176"/>
      <c r="P85" s="176"/>
      <c r="Q85" s="176"/>
      <c r="R85" s="176"/>
      <c r="S85" s="176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</row>
    <row r="86" spans="1:31" ht="15.75" customHeight="1" x14ac:dyDescent="0.25">
      <c r="A86" s="5"/>
      <c r="B86" s="5"/>
      <c r="C86" s="284"/>
      <c r="D86" s="18"/>
      <c r="E86" s="18"/>
      <c r="F86" s="18"/>
      <c r="G86" s="18"/>
      <c r="H86" s="18"/>
      <c r="I86" s="18"/>
      <c r="J86" s="18"/>
      <c r="K86" s="284"/>
      <c r="L86" s="176"/>
      <c r="M86" s="176"/>
      <c r="N86" s="176"/>
      <c r="O86" s="176"/>
      <c r="P86" s="176"/>
      <c r="Q86" s="176"/>
      <c r="R86" s="176"/>
      <c r="S86" s="176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</row>
    <row r="87" spans="1:31" ht="15.75" customHeight="1" x14ac:dyDescent="0.25">
      <c r="A87" s="5"/>
      <c r="B87" s="5"/>
      <c r="C87" s="284"/>
      <c r="D87" s="18"/>
      <c r="E87" s="18"/>
      <c r="F87" s="18"/>
      <c r="G87" s="18"/>
      <c r="H87" s="18"/>
      <c r="I87" s="18"/>
      <c r="J87" s="18"/>
      <c r="K87" s="284"/>
      <c r="L87" s="176"/>
      <c r="M87" s="176"/>
      <c r="N87" s="176"/>
      <c r="O87" s="176"/>
      <c r="P87" s="176"/>
      <c r="Q87" s="176"/>
      <c r="R87" s="176"/>
      <c r="S87" s="176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</row>
    <row r="88" spans="1:31" ht="15.75" customHeight="1" x14ac:dyDescent="0.25">
      <c r="A88" s="5"/>
      <c r="B88" s="5"/>
      <c r="C88" s="284"/>
      <c r="D88" s="18"/>
      <c r="E88" s="18"/>
      <c r="F88" s="18"/>
      <c r="G88" s="18"/>
      <c r="H88" s="18"/>
      <c r="I88" s="18"/>
      <c r="J88" s="18"/>
      <c r="K88" s="284"/>
      <c r="L88" s="176"/>
      <c r="M88" s="176"/>
      <c r="N88" s="176"/>
      <c r="O88" s="176"/>
      <c r="P88" s="176"/>
      <c r="Q88" s="176"/>
      <c r="R88" s="176"/>
      <c r="S88" s="176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</row>
    <row r="89" spans="1:31" ht="15.75" customHeight="1" x14ac:dyDescent="0.25">
      <c r="A89" s="5"/>
      <c r="B89" s="5"/>
      <c r="C89" s="284"/>
      <c r="D89" s="18"/>
      <c r="E89" s="18"/>
      <c r="F89" s="18"/>
      <c r="G89" s="18"/>
      <c r="H89" s="18"/>
      <c r="I89" s="18"/>
      <c r="J89" s="18"/>
      <c r="K89" s="284"/>
      <c r="L89" s="176"/>
      <c r="M89" s="176"/>
      <c r="N89" s="176"/>
      <c r="O89" s="176"/>
      <c r="P89" s="176"/>
      <c r="Q89" s="176"/>
      <c r="R89" s="176"/>
      <c r="S89" s="176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</row>
    <row r="90" spans="1:31" ht="15.75" customHeight="1" x14ac:dyDescent="0.25">
      <c r="A90" s="5"/>
      <c r="B90" s="5"/>
      <c r="C90" s="284"/>
      <c r="D90" s="18"/>
      <c r="E90" s="18"/>
      <c r="F90" s="18"/>
      <c r="G90" s="18"/>
      <c r="H90" s="18"/>
      <c r="I90" s="18"/>
      <c r="J90" s="18"/>
      <c r="K90" s="284"/>
      <c r="L90" s="176"/>
      <c r="M90" s="176"/>
      <c r="N90" s="176"/>
      <c r="O90" s="176"/>
      <c r="P90" s="176"/>
      <c r="Q90" s="176"/>
      <c r="R90" s="176"/>
      <c r="S90" s="176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</row>
    <row r="91" spans="1:31" ht="15.75" customHeight="1" x14ac:dyDescent="0.25">
      <c r="A91" s="5"/>
      <c r="B91" s="5"/>
      <c r="C91" s="284"/>
      <c r="D91" s="18"/>
      <c r="E91" s="18"/>
      <c r="F91" s="18"/>
      <c r="G91" s="18"/>
      <c r="H91" s="18"/>
      <c r="I91" s="18"/>
      <c r="J91" s="18"/>
      <c r="K91" s="284"/>
      <c r="L91" s="176"/>
      <c r="M91" s="176"/>
      <c r="N91" s="176"/>
      <c r="O91" s="176"/>
      <c r="P91" s="176"/>
      <c r="Q91" s="176"/>
      <c r="R91" s="176"/>
      <c r="S91" s="176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</row>
    <row r="92" spans="1:31" ht="15.75" customHeight="1" x14ac:dyDescent="0.25">
      <c r="A92" s="5"/>
      <c r="B92" s="5"/>
      <c r="C92" s="284"/>
      <c r="D92" s="18"/>
      <c r="E92" s="18"/>
      <c r="F92" s="18"/>
      <c r="G92" s="18"/>
      <c r="H92" s="18"/>
      <c r="I92" s="18"/>
      <c r="J92" s="18"/>
      <c r="K92" s="284"/>
      <c r="L92" s="176"/>
      <c r="M92" s="176"/>
      <c r="N92" s="176"/>
      <c r="O92" s="176"/>
      <c r="P92" s="176"/>
      <c r="Q92" s="176"/>
      <c r="R92" s="176"/>
      <c r="S92" s="176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</row>
    <row r="93" spans="1:31" ht="15.75" customHeight="1" x14ac:dyDescent="0.25">
      <c r="A93" s="5"/>
      <c r="B93" s="5"/>
      <c r="C93" s="284"/>
      <c r="D93" s="18"/>
      <c r="E93" s="18"/>
      <c r="F93" s="18"/>
      <c r="G93" s="18"/>
      <c r="H93" s="18"/>
      <c r="I93" s="18"/>
      <c r="J93" s="18"/>
      <c r="K93" s="284"/>
      <c r="L93" s="176"/>
      <c r="M93" s="176"/>
      <c r="N93" s="176"/>
      <c r="O93" s="176"/>
      <c r="P93" s="176"/>
      <c r="Q93" s="176"/>
      <c r="R93" s="176"/>
      <c r="S93" s="176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</row>
    <row r="94" spans="1:31" ht="15.75" customHeight="1" x14ac:dyDescent="0.25">
      <c r="A94" s="5"/>
      <c r="B94" s="5"/>
      <c r="C94" s="284"/>
      <c r="D94" s="18"/>
      <c r="E94" s="18"/>
      <c r="F94" s="18"/>
      <c r="G94" s="18"/>
      <c r="H94" s="18"/>
      <c r="I94" s="18"/>
      <c r="J94" s="18"/>
      <c r="K94" s="284"/>
      <c r="L94" s="176"/>
      <c r="M94" s="176"/>
      <c r="N94" s="176"/>
      <c r="O94" s="176"/>
      <c r="P94" s="176"/>
      <c r="Q94" s="176"/>
      <c r="R94" s="176"/>
      <c r="S94" s="176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</row>
    <row r="95" spans="1:31" ht="15.75" customHeight="1" x14ac:dyDescent="0.25">
      <c r="A95" s="5"/>
      <c r="B95" s="5"/>
      <c r="C95" s="284"/>
      <c r="D95" s="18"/>
      <c r="E95" s="18"/>
      <c r="F95" s="18"/>
      <c r="G95" s="18"/>
      <c r="H95" s="18"/>
      <c r="I95" s="18"/>
      <c r="J95" s="18"/>
      <c r="K95" s="284"/>
      <c r="L95" s="176"/>
      <c r="M95" s="176"/>
      <c r="N95" s="176"/>
      <c r="O95" s="176"/>
      <c r="P95" s="176"/>
      <c r="Q95" s="176"/>
      <c r="R95" s="176"/>
      <c r="S95" s="176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</row>
    <row r="96" spans="1:31" ht="15.75" customHeight="1" x14ac:dyDescent="0.25">
      <c r="A96" s="5"/>
      <c r="B96" s="5"/>
      <c r="C96" s="284"/>
      <c r="D96" s="18"/>
      <c r="E96" s="18"/>
      <c r="F96" s="18"/>
      <c r="G96" s="18"/>
      <c r="H96" s="18"/>
      <c r="I96" s="18"/>
      <c r="J96" s="18"/>
      <c r="K96" s="284"/>
      <c r="L96" s="176"/>
      <c r="M96" s="176"/>
      <c r="N96" s="176"/>
      <c r="O96" s="176"/>
      <c r="P96" s="176"/>
      <c r="Q96" s="176"/>
      <c r="R96" s="176"/>
      <c r="S96" s="176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</row>
    <row r="97" spans="1:31" ht="15.75" customHeight="1" x14ac:dyDescent="0.25">
      <c r="A97" s="5"/>
      <c r="B97" s="5"/>
      <c r="C97" s="284"/>
      <c r="D97" s="18"/>
      <c r="E97" s="18"/>
      <c r="F97" s="18"/>
      <c r="G97" s="18"/>
      <c r="H97" s="18"/>
      <c r="I97" s="18"/>
      <c r="J97" s="18"/>
      <c r="K97" s="284"/>
      <c r="L97" s="176"/>
      <c r="M97" s="176"/>
      <c r="N97" s="176"/>
      <c r="O97" s="176"/>
      <c r="P97" s="176"/>
      <c r="Q97" s="176"/>
      <c r="R97" s="176"/>
      <c r="S97" s="176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</row>
    <row r="98" spans="1:31" ht="15.75" customHeight="1" x14ac:dyDescent="0.25">
      <c r="A98" s="5"/>
      <c r="B98" s="5"/>
      <c r="C98" s="284"/>
      <c r="D98" s="18"/>
      <c r="E98" s="18"/>
      <c r="F98" s="18"/>
      <c r="G98" s="18"/>
      <c r="H98" s="18"/>
      <c r="I98" s="18"/>
      <c r="J98" s="18"/>
      <c r="K98" s="284"/>
      <c r="L98" s="176"/>
      <c r="M98" s="176"/>
      <c r="N98" s="176"/>
      <c r="O98" s="176"/>
      <c r="P98" s="176"/>
      <c r="Q98" s="176"/>
      <c r="R98" s="176"/>
      <c r="S98" s="176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</row>
    <row r="99" spans="1:31" ht="15.75" customHeight="1" x14ac:dyDescent="0.25">
      <c r="A99" s="5"/>
      <c r="B99" s="5"/>
      <c r="C99" s="284"/>
      <c r="D99" s="18"/>
      <c r="E99" s="18"/>
      <c r="F99" s="18"/>
      <c r="G99" s="18"/>
      <c r="H99" s="18"/>
      <c r="I99" s="18"/>
      <c r="J99" s="18"/>
      <c r="K99" s="284"/>
      <c r="L99" s="176"/>
      <c r="M99" s="176"/>
      <c r="N99" s="176"/>
      <c r="O99" s="176"/>
      <c r="P99" s="176"/>
      <c r="Q99" s="176"/>
      <c r="R99" s="176"/>
      <c r="S99" s="176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</row>
    <row r="100" spans="1:31" ht="15.75" customHeight="1" x14ac:dyDescent="0.25">
      <c r="A100" s="5"/>
      <c r="B100" s="5"/>
      <c r="C100" s="284"/>
      <c r="D100" s="18"/>
      <c r="E100" s="18"/>
      <c r="F100" s="18"/>
      <c r="G100" s="18"/>
      <c r="H100" s="18"/>
      <c r="I100" s="18"/>
      <c r="J100" s="18"/>
      <c r="K100" s="284"/>
      <c r="L100" s="176"/>
      <c r="M100" s="176"/>
      <c r="N100" s="176"/>
      <c r="O100" s="176"/>
      <c r="P100" s="176"/>
      <c r="Q100" s="176"/>
      <c r="R100" s="176"/>
      <c r="S100" s="176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</row>
    <row r="101" spans="1:31" ht="15.75" customHeight="1" x14ac:dyDescent="0.25">
      <c r="A101" s="5"/>
      <c r="B101" s="5"/>
      <c r="C101" s="284"/>
      <c r="D101" s="18"/>
      <c r="E101" s="18"/>
      <c r="F101" s="18"/>
      <c r="G101" s="18"/>
      <c r="H101" s="18"/>
      <c r="I101" s="18"/>
      <c r="J101" s="18"/>
      <c r="K101" s="284"/>
      <c r="L101" s="176"/>
      <c r="M101" s="176"/>
      <c r="N101" s="176"/>
      <c r="O101" s="176"/>
      <c r="P101" s="176"/>
      <c r="Q101" s="176"/>
      <c r="R101" s="176"/>
      <c r="S101" s="176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</row>
    <row r="102" spans="1:31" ht="15.75" customHeight="1" x14ac:dyDescent="0.25">
      <c r="A102" s="5"/>
      <c r="B102" s="5"/>
      <c r="C102" s="284"/>
      <c r="D102" s="18"/>
      <c r="E102" s="18"/>
      <c r="F102" s="18"/>
      <c r="G102" s="18"/>
      <c r="H102" s="18"/>
      <c r="I102" s="18"/>
      <c r="J102" s="18"/>
      <c r="K102" s="284"/>
      <c r="L102" s="176"/>
      <c r="M102" s="176"/>
      <c r="N102" s="176"/>
      <c r="O102" s="176"/>
      <c r="P102" s="176"/>
      <c r="Q102" s="176"/>
      <c r="R102" s="176"/>
      <c r="S102" s="176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</row>
    <row r="103" spans="1:31" ht="15.75" customHeight="1" x14ac:dyDescent="0.25">
      <c r="A103" s="5"/>
      <c r="B103" s="5"/>
      <c r="C103" s="284"/>
      <c r="D103" s="18"/>
      <c r="E103" s="18"/>
      <c r="F103" s="18"/>
      <c r="G103" s="18"/>
      <c r="H103" s="18"/>
      <c r="I103" s="18"/>
      <c r="J103" s="18"/>
      <c r="K103" s="284"/>
      <c r="L103" s="176"/>
      <c r="M103" s="176"/>
      <c r="N103" s="176"/>
      <c r="O103" s="176"/>
      <c r="P103" s="176"/>
      <c r="Q103" s="176"/>
      <c r="R103" s="176"/>
      <c r="S103" s="176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</row>
    <row r="104" spans="1:31" ht="15.75" customHeight="1" x14ac:dyDescent="0.25">
      <c r="A104" s="5"/>
      <c r="B104" s="5"/>
      <c r="C104" s="284"/>
      <c r="D104" s="18"/>
      <c r="E104" s="18"/>
      <c r="F104" s="18"/>
      <c r="G104" s="18"/>
      <c r="H104" s="18"/>
      <c r="I104" s="18"/>
      <c r="J104" s="18"/>
      <c r="K104" s="284"/>
      <c r="L104" s="176"/>
      <c r="M104" s="176"/>
      <c r="N104" s="176"/>
      <c r="O104" s="176"/>
      <c r="P104" s="176"/>
      <c r="Q104" s="176"/>
      <c r="R104" s="176"/>
      <c r="S104" s="176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</row>
    <row r="105" spans="1:31" ht="15.75" customHeight="1" x14ac:dyDescent="0.25">
      <c r="A105" s="5"/>
      <c r="B105" s="5"/>
      <c r="C105" s="284"/>
      <c r="D105" s="18"/>
      <c r="E105" s="18"/>
      <c r="F105" s="18"/>
      <c r="G105" s="18"/>
      <c r="H105" s="18"/>
      <c r="I105" s="18"/>
      <c r="J105" s="18"/>
      <c r="K105" s="284"/>
      <c r="L105" s="176"/>
      <c r="M105" s="176"/>
      <c r="N105" s="176"/>
      <c r="O105" s="176"/>
      <c r="P105" s="176"/>
      <c r="Q105" s="176"/>
      <c r="R105" s="176"/>
      <c r="S105" s="176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</row>
    <row r="106" spans="1:31" ht="15.75" customHeight="1" x14ac:dyDescent="0.25">
      <c r="A106" s="5"/>
      <c r="B106" s="5"/>
      <c r="C106" s="284"/>
      <c r="D106" s="18"/>
      <c r="E106" s="18"/>
      <c r="F106" s="18"/>
      <c r="G106" s="18"/>
      <c r="H106" s="18"/>
      <c r="I106" s="18"/>
      <c r="J106" s="18"/>
      <c r="K106" s="284"/>
      <c r="L106" s="176"/>
      <c r="M106" s="176"/>
      <c r="N106" s="176"/>
      <c r="O106" s="176"/>
      <c r="P106" s="176"/>
      <c r="Q106" s="176"/>
      <c r="R106" s="176"/>
      <c r="S106" s="176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</row>
    <row r="107" spans="1:31" ht="15.75" customHeight="1" x14ac:dyDescent="0.25">
      <c r="A107" s="5"/>
      <c r="B107" s="5"/>
      <c r="C107" s="284"/>
      <c r="D107" s="18"/>
      <c r="E107" s="209"/>
      <c r="F107" s="209"/>
      <c r="G107" s="18"/>
      <c r="H107" s="18"/>
      <c r="I107" s="18"/>
      <c r="J107" s="18"/>
      <c r="K107" s="284"/>
      <c r="L107" s="176"/>
      <c r="M107" s="176"/>
      <c r="N107" s="176"/>
      <c r="O107" s="176"/>
      <c r="P107" s="176"/>
      <c r="Q107" s="176"/>
      <c r="R107" s="176"/>
      <c r="S107" s="176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</row>
    <row r="108" spans="1:31" ht="15.75" customHeight="1" x14ac:dyDescent="0.25">
      <c r="A108" s="5"/>
      <c r="B108" s="5"/>
      <c r="C108" s="284"/>
      <c r="D108" s="18"/>
      <c r="E108" s="209"/>
      <c r="F108" s="209"/>
      <c r="G108" s="18"/>
      <c r="H108" s="18"/>
      <c r="I108" s="18"/>
      <c r="J108" s="18"/>
      <c r="K108" s="284"/>
      <c r="L108" s="176"/>
      <c r="M108" s="176"/>
      <c r="N108" s="176"/>
      <c r="O108" s="176"/>
      <c r="P108" s="176"/>
      <c r="Q108" s="176"/>
      <c r="R108" s="176"/>
      <c r="S108" s="176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</row>
    <row r="109" spans="1:31" ht="15.75" customHeight="1" x14ac:dyDescent="0.25">
      <c r="A109" s="5"/>
      <c r="B109" s="5"/>
      <c r="C109" s="284"/>
      <c r="D109" s="18"/>
      <c r="E109" s="209" t="s">
        <v>48</v>
      </c>
      <c r="F109" s="209" t="s">
        <v>33</v>
      </c>
      <c r="G109" s="18"/>
      <c r="H109" s="18"/>
      <c r="I109" s="18"/>
      <c r="J109" s="18"/>
      <c r="K109" s="284"/>
      <c r="L109" s="176"/>
      <c r="M109" s="176"/>
      <c r="N109" s="176"/>
      <c r="O109" s="176"/>
      <c r="P109" s="176"/>
      <c r="Q109" s="176"/>
      <c r="R109" s="176"/>
      <c r="S109" s="176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</row>
    <row r="110" spans="1:31" ht="15.75" customHeight="1" x14ac:dyDescent="0.25">
      <c r="A110" s="5"/>
      <c r="B110" s="5"/>
      <c r="C110" s="284"/>
      <c r="D110" s="18"/>
      <c r="E110" s="18" t="s">
        <v>157</v>
      </c>
      <c r="F110" s="18"/>
      <c r="G110" s="18"/>
      <c r="H110" s="18"/>
      <c r="I110" s="18"/>
      <c r="J110" s="18"/>
      <c r="K110" s="284"/>
      <c r="L110" s="176"/>
      <c r="M110" s="176"/>
      <c r="N110" s="176"/>
      <c r="O110" s="176"/>
      <c r="P110" s="176"/>
      <c r="Q110" s="176"/>
      <c r="R110" s="176"/>
      <c r="S110" s="176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</row>
    <row r="111" spans="1:31" ht="31.5" customHeight="1" x14ac:dyDescent="0.35">
      <c r="A111" s="437" t="s">
        <v>1633</v>
      </c>
      <c r="B111" s="103"/>
      <c r="C111" s="324"/>
      <c r="D111" s="105"/>
      <c r="E111" s="105"/>
      <c r="F111" s="105"/>
      <c r="G111" s="105"/>
      <c r="H111" s="33"/>
      <c r="I111" s="18"/>
      <c r="J111" s="18"/>
      <c r="K111" s="324"/>
      <c r="L111" s="265"/>
      <c r="M111" s="265"/>
      <c r="N111" s="265"/>
      <c r="O111" s="265"/>
      <c r="P111" s="266"/>
      <c r="Q111" s="266"/>
      <c r="R111" s="176"/>
      <c r="S111" s="176"/>
      <c r="T111" s="5"/>
      <c r="U111" s="5"/>
      <c r="V111" s="5"/>
      <c r="W111" s="6"/>
      <c r="X111" s="203"/>
      <c r="Y111" s="5"/>
      <c r="Z111" s="5"/>
      <c r="AA111" s="5"/>
      <c r="AB111" s="5"/>
      <c r="AC111" s="5"/>
      <c r="AD111" s="5"/>
      <c r="AE111" s="5"/>
    </row>
    <row r="112" spans="1:31" ht="50.25" customHeight="1" x14ac:dyDescent="0.2">
      <c r="A112" s="3" t="s">
        <v>50</v>
      </c>
      <c r="B112" s="3" t="s">
        <v>51</v>
      </c>
      <c r="C112" s="21"/>
      <c r="D112" s="22" t="s">
        <v>52</v>
      </c>
      <c r="E112" s="23" t="s">
        <v>53</v>
      </c>
      <c r="F112" s="23" t="s">
        <v>54</v>
      </c>
      <c r="G112" s="23" t="s">
        <v>55</v>
      </c>
      <c r="H112" s="100" t="s">
        <v>56</v>
      </c>
      <c r="I112" s="23" t="s">
        <v>57</v>
      </c>
      <c r="J112" s="129" t="s">
        <v>58</v>
      </c>
      <c r="K112" s="130"/>
      <c r="L112" s="27" t="s">
        <v>59</v>
      </c>
      <c r="M112" s="27" t="s">
        <v>60</v>
      </c>
      <c r="N112" s="27" t="s">
        <v>61</v>
      </c>
      <c r="O112" s="27" t="s">
        <v>62</v>
      </c>
      <c r="P112" s="27" t="s">
        <v>63</v>
      </c>
      <c r="Q112" s="27" t="s">
        <v>64</v>
      </c>
      <c r="R112" s="27" t="s">
        <v>65</v>
      </c>
      <c r="S112" s="27" t="s">
        <v>66</v>
      </c>
      <c r="T112" s="5"/>
      <c r="U112" s="370"/>
      <c r="V112" s="230"/>
      <c r="W112" s="5"/>
      <c r="X112" s="370"/>
      <c r="Y112" s="370"/>
      <c r="Z112" s="370"/>
      <c r="AA112" s="370"/>
      <c r="AB112" s="370"/>
      <c r="AC112" s="370"/>
      <c r="AD112" s="370"/>
      <c r="AE112" s="370"/>
    </row>
    <row r="113" spans="1:31" ht="15.75" customHeight="1" x14ac:dyDescent="0.25">
      <c r="A113" s="103" t="s">
        <v>1634</v>
      </c>
      <c r="B113" s="103" t="s">
        <v>68</v>
      </c>
      <c r="C113" s="280"/>
      <c r="D113" s="142">
        <v>625</v>
      </c>
      <c r="E113" s="32">
        <v>0</v>
      </c>
      <c r="F113" s="32">
        <v>0</v>
      </c>
      <c r="G113" s="32">
        <v>0</v>
      </c>
      <c r="H113" s="33">
        <f t="shared" ref="H113:H139" si="33">IFERROR(((Q113-G113)/G113),0)</f>
        <v>0</v>
      </c>
      <c r="I113" s="16">
        <f t="shared" ref="I113:I138" si="34">Q113-G113</f>
        <v>0</v>
      </c>
      <c r="J113" s="18"/>
      <c r="K113" s="280"/>
      <c r="L113" s="216">
        <v>0</v>
      </c>
      <c r="M113" s="216">
        <v>189.5</v>
      </c>
      <c r="N113" s="216">
        <v>500</v>
      </c>
      <c r="O113" s="216">
        <v>0</v>
      </c>
      <c r="P113" s="142">
        <f t="shared" ref="P113:P117" si="35">O113/20*26</f>
        <v>0</v>
      </c>
      <c r="Q113" s="142">
        <v>0</v>
      </c>
      <c r="R113" s="176">
        <v>0</v>
      </c>
      <c r="S113" s="176">
        <f t="shared" ref="S113:S138" si="36">R113-Q113</f>
        <v>0</v>
      </c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</row>
    <row r="114" spans="1:31" ht="15.75" customHeight="1" x14ac:dyDescent="0.25">
      <c r="A114" s="103" t="s">
        <v>1635</v>
      </c>
      <c r="B114" s="103" t="s">
        <v>70</v>
      </c>
      <c r="C114" s="280"/>
      <c r="D114" s="142">
        <v>3087</v>
      </c>
      <c r="E114" s="32">
        <v>0</v>
      </c>
      <c r="F114" s="32">
        <v>0</v>
      </c>
      <c r="G114" s="32">
        <v>0</v>
      </c>
      <c r="H114" s="33">
        <f t="shared" si="33"/>
        <v>0</v>
      </c>
      <c r="I114" s="16">
        <f t="shared" si="34"/>
        <v>5000</v>
      </c>
      <c r="J114" s="18"/>
      <c r="K114" s="280"/>
      <c r="L114" s="216">
        <v>3480</v>
      </c>
      <c r="M114" s="216">
        <v>5780.67</v>
      </c>
      <c r="N114" s="216">
        <v>4500</v>
      </c>
      <c r="O114" s="216">
        <v>2420.83</v>
      </c>
      <c r="P114" s="142">
        <f t="shared" si="35"/>
        <v>3147.0790000000002</v>
      </c>
      <c r="Q114" s="142">
        <v>5000</v>
      </c>
      <c r="R114" s="176">
        <v>5000</v>
      </c>
      <c r="S114" s="176">
        <f t="shared" si="36"/>
        <v>0</v>
      </c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</row>
    <row r="115" spans="1:31" ht="15.75" customHeight="1" x14ac:dyDescent="0.25">
      <c r="A115" s="103" t="s">
        <v>1636</v>
      </c>
      <c r="B115" s="103" t="s">
        <v>132</v>
      </c>
      <c r="C115" s="280"/>
      <c r="D115" s="142">
        <v>0</v>
      </c>
      <c r="E115" s="32">
        <v>0</v>
      </c>
      <c r="F115" s="32">
        <v>0</v>
      </c>
      <c r="G115" s="32">
        <v>0</v>
      </c>
      <c r="H115" s="33">
        <f t="shared" si="33"/>
        <v>0</v>
      </c>
      <c r="I115" s="16">
        <f t="shared" si="34"/>
        <v>13600</v>
      </c>
      <c r="J115" s="18"/>
      <c r="K115" s="280"/>
      <c r="L115" s="216">
        <v>6991</v>
      </c>
      <c r="M115" s="216">
        <v>10890.23</v>
      </c>
      <c r="N115" s="216">
        <v>12137</v>
      </c>
      <c r="O115" s="216">
        <v>9046.48</v>
      </c>
      <c r="P115" s="142">
        <f t="shared" si="35"/>
        <v>11760.423999999999</v>
      </c>
      <c r="Q115" s="142">
        <v>13600</v>
      </c>
      <c r="R115" s="176">
        <v>13600</v>
      </c>
      <c r="S115" s="176">
        <f t="shared" si="36"/>
        <v>0</v>
      </c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</row>
    <row r="116" spans="1:31" ht="15.75" customHeight="1" x14ac:dyDescent="0.25">
      <c r="A116" s="103" t="s">
        <v>1637</v>
      </c>
      <c r="B116" s="103" t="s">
        <v>108</v>
      </c>
      <c r="C116" s="280"/>
      <c r="D116" s="142">
        <v>14699</v>
      </c>
      <c r="E116" s="32">
        <v>0</v>
      </c>
      <c r="F116" s="32">
        <v>0</v>
      </c>
      <c r="G116" s="32">
        <v>0</v>
      </c>
      <c r="H116" s="33">
        <f t="shared" si="33"/>
        <v>0</v>
      </c>
      <c r="I116" s="16">
        <f t="shared" si="34"/>
        <v>12000</v>
      </c>
      <c r="J116" s="18"/>
      <c r="K116" s="280"/>
      <c r="L116" s="216">
        <v>8390</v>
      </c>
      <c r="M116" s="216">
        <v>10858.03</v>
      </c>
      <c r="N116" s="216">
        <v>10400</v>
      </c>
      <c r="O116" s="216">
        <v>11899.71</v>
      </c>
      <c r="P116" s="142">
        <f t="shared" si="35"/>
        <v>15469.623</v>
      </c>
      <c r="Q116" s="142">
        <v>12000</v>
      </c>
      <c r="R116" s="176">
        <v>12000</v>
      </c>
      <c r="S116" s="176">
        <f t="shared" si="36"/>
        <v>0</v>
      </c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</row>
    <row r="117" spans="1:31" ht="15.75" customHeight="1" x14ac:dyDescent="0.25">
      <c r="A117" s="103" t="s">
        <v>1638</v>
      </c>
      <c r="B117" s="103" t="s">
        <v>72</v>
      </c>
      <c r="C117" s="280"/>
      <c r="D117" s="142">
        <v>2004</v>
      </c>
      <c r="E117" s="32">
        <v>0</v>
      </c>
      <c r="F117" s="32">
        <v>0</v>
      </c>
      <c r="G117" s="32">
        <v>0</v>
      </c>
      <c r="H117" s="33">
        <f t="shared" si="33"/>
        <v>0</v>
      </c>
      <c r="I117" s="16">
        <f t="shared" si="34"/>
        <v>3300</v>
      </c>
      <c r="J117" s="18"/>
      <c r="K117" s="280"/>
      <c r="L117" s="216">
        <v>1703</v>
      </c>
      <c r="M117" s="216">
        <v>2495.14</v>
      </c>
      <c r="N117" s="216">
        <v>6023</v>
      </c>
      <c r="O117" s="216">
        <v>2026.88</v>
      </c>
      <c r="P117" s="142">
        <f t="shared" si="35"/>
        <v>2634.9440000000004</v>
      </c>
      <c r="Q117" s="142">
        <v>3300</v>
      </c>
      <c r="R117" s="176">
        <v>3300</v>
      </c>
      <c r="S117" s="176">
        <f t="shared" si="36"/>
        <v>0</v>
      </c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</row>
    <row r="118" spans="1:31" ht="15.75" customHeight="1" x14ac:dyDescent="0.25">
      <c r="A118" s="103" t="s">
        <v>1639</v>
      </c>
      <c r="B118" s="103" t="s">
        <v>1640</v>
      </c>
      <c r="C118" s="280"/>
      <c r="D118" s="142">
        <v>0</v>
      </c>
      <c r="E118" s="32">
        <v>0</v>
      </c>
      <c r="F118" s="32">
        <v>0</v>
      </c>
      <c r="G118" s="32">
        <v>0</v>
      </c>
      <c r="H118" s="33">
        <f t="shared" si="33"/>
        <v>0</v>
      </c>
      <c r="I118" s="16">
        <f t="shared" si="34"/>
        <v>0</v>
      </c>
      <c r="J118" s="18"/>
      <c r="K118" s="280"/>
      <c r="L118" s="216">
        <v>0</v>
      </c>
      <c r="M118" s="216">
        <v>0</v>
      </c>
      <c r="N118" s="216">
        <v>1000</v>
      </c>
      <c r="O118" s="216">
        <v>0</v>
      </c>
      <c r="P118" s="272">
        <f>N118</f>
        <v>1000</v>
      </c>
      <c r="Q118" s="142">
        <v>0</v>
      </c>
      <c r="R118" s="176">
        <v>0</v>
      </c>
      <c r="S118" s="176">
        <f t="shared" si="36"/>
        <v>0</v>
      </c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</row>
    <row r="119" spans="1:31" ht="15.75" customHeight="1" x14ac:dyDescent="0.25">
      <c r="A119" s="103" t="s">
        <v>1641</v>
      </c>
      <c r="B119" s="103" t="s">
        <v>74</v>
      </c>
      <c r="C119" s="280"/>
      <c r="D119" s="142">
        <v>75</v>
      </c>
      <c r="E119" s="32">
        <v>0</v>
      </c>
      <c r="F119" s="32">
        <v>0</v>
      </c>
      <c r="G119" s="32">
        <v>0</v>
      </c>
      <c r="H119" s="33">
        <f t="shared" si="33"/>
        <v>0</v>
      </c>
      <c r="I119" s="16">
        <f t="shared" si="34"/>
        <v>700</v>
      </c>
      <c r="J119" s="18"/>
      <c r="K119" s="280"/>
      <c r="L119" s="216">
        <v>190</v>
      </c>
      <c r="M119" s="216">
        <v>415</v>
      </c>
      <c r="N119" s="216">
        <v>500</v>
      </c>
      <c r="O119" s="216">
        <v>200</v>
      </c>
      <c r="P119" s="142">
        <f t="shared" ref="P119:P122" si="37">O119/9*12</f>
        <v>266.66666666666663</v>
      </c>
      <c r="Q119" s="142">
        <v>700</v>
      </c>
      <c r="R119" s="176">
        <v>700</v>
      </c>
      <c r="S119" s="176">
        <f t="shared" si="36"/>
        <v>0</v>
      </c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</row>
    <row r="120" spans="1:31" ht="15.75" customHeight="1" x14ac:dyDescent="0.25">
      <c r="A120" s="103" t="s">
        <v>1642</v>
      </c>
      <c r="B120" s="103" t="s">
        <v>1578</v>
      </c>
      <c r="C120" s="280"/>
      <c r="D120" s="142">
        <v>12265</v>
      </c>
      <c r="E120" s="32">
        <v>0</v>
      </c>
      <c r="F120" s="32">
        <v>0</v>
      </c>
      <c r="G120" s="32">
        <v>0</v>
      </c>
      <c r="H120" s="33">
        <f t="shared" si="33"/>
        <v>0</v>
      </c>
      <c r="I120" s="16">
        <f t="shared" si="34"/>
        <v>20030</v>
      </c>
      <c r="J120" s="18"/>
      <c r="K120" s="280"/>
      <c r="L120" s="216">
        <v>2531</v>
      </c>
      <c r="M120" s="216">
        <v>8521.9</v>
      </c>
      <c r="N120" s="216">
        <v>7500</v>
      </c>
      <c r="O120" s="216">
        <v>2551.0500000000002</v>
      </c>
      <c r="P120" s="142">
        <f t="shared" si="37"/>
        <v>3401.4000000000005</v>
      </c>
      <c r="Q120" s="142">
        <v>20030</v>
      </c>
      <c r="R120" s="176">
        <v>20030</v>
      </c>
      <c r="S120" s="176">
        <f t="shared" si="36"/>
        <v>0</v>
      </c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</row>
    <row r="121" spans="1:31" ht="15.75" customHeight="1" x14ac:dyDescent="0.25">
      <c r="A121" s="103" t="s">
        <v>1643</v>
      </c>
      <c r="B121" s="103" t="s">
        <v>76</v>
      </c>
      <c r="C121" s="280"/>
      <c r="D121" s="142">
        <v>195</v>
      </c>
      <c r="E121" s="32">
        <v>0</v>
      </c>
      <c r="F121" s="32">
        <v>0</v>
      </c>
      <c r="G121" s="32">
        <v>0</v>
      </c>
      <c r="H121" s="33">
        <f t="shared" si="33"/>
        <v>0</v>
      </c>
      <c r="I121" s="16">
        <f t="shared" si="34"/>
        <v>6000</v>
      </c>
      <c r="J121" s="18"/>
      <c r="K121" s="280"/>
      <c r="L121" s="216">
        <v>7156</v>
      </c>
      <c r="M121" s="216">
        <v>11200.21</v>
      </c>
      <c r="N121" s="216">
        <v>20200</v>
      </c>
      <c r="O121" s="216">
        <v>1286.74</v>
      </c>
      <c r="P121" s="142">
        <f t="shared" si="37"/>
        <v>1715.6533333333332</v>
      </c>
      <c r="Q121" s="142">
        <v>6000</v>
      </c>
      <c r="R121" s="176">
        <v>6000</v>
      </c>
      <c r="S121" s="176">
        <f t="shared" si="36"/>
        <v>0</v>
      </c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</row>
    <row r="122" spans="1:31" ht="15.75" customHeight="1" x14ac:dyDescent="0.25">
      <c r="A122" s="103" t="s">
        <v>1644</v>
      </c>
      <c r="B122" s="103" t="s">
        <v>80</v>
      </c>
      <c r="C122" s="280"/>
      <c r="D122" s="142">
        <v>2369</v>
      </c>
      <c r="E122" s="32">
        <v>0</v>
      </c>
      <c r="F122" s="32">
        <v>0</v>
      </c>
      <c r="G122" s="32">
        <v>0</v>
      </c>
      <c r="H122" s="33">
        <f t="shared" si="33"/>
        <v>0</v>
      </c>
      <c r="I122" s="16">
        <f t="shared" si="34"/>
        <v>5650</v>
      </c>
      <c r="J122" s="18"/>
      <c r="K122" s="280"/>
      <c r="L122" s="216">
        <v>4281</v>
      </c>
      <c r="M122" s="216">
        <v>4724.8999999999996</v>
      </c>
      <c r="N122" s="216">
        <v>2700</v>
      </c>
      <c r="O122" s="216">
        <v>1953.23</v>
      </c>
      <c r="P122" s="142">
        <f t="shared" si="37"/>
        <v>2604.3066666666668</v>
      </c>
      <c r="Q122" s="142">
        <v>5650</v>
      </c>
      <c r="R122" s="176">
        <v>5650</v>
      </c>
      <c r="S122" s="176">
        <f t="shared" si="36"/>
        <v>0</v>
      </c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</row>
    <row r="123" spans="1:31" ht="15.75" customHeight="1" x14ac:dyDescent="0.25">
      <c r="A123" s="103" t="s">
        <v>1645</v>
      </c>
      <c r="B123" s="103" t="s">
        <v>82</v>
      </c>
      <c r="C123" s="280"/>
      <c r="D123" s="142">
        <v>38127</v>
      </c>
      <c r="E123" s="32">
        <v>0</v>
      </c>
      <c r="F123" s="32">
        <v>0</v>
      </c>
      <c r="G123" s="32">
        <v>0</v>
      </c>
      <c r="H123" s="33">
        <f t="shared" si="33"/>
        <v>0</v>
      </c>
      <c r="I123" s="16">
        <f t="shared" si="34"/>
        <v>90550</v>
      </c>
      <c r="J123" s="18"/>
      <c r="K123" s="280"/>
      <c r="L123" s="216">
        <v>70866</v>
      </c>
      <c r="M123" s="216">
        <v>71413.100000000006</v>
      </c>
      <c r="N123" s="216">
        <v>80800</v>
      </c>
      <c r="O123" s="216">
        <v>88049.68</v>
      </c>
      <c r="P123" s="272">
        <f>O123</f>
        <v>88049.68</v>
      </c>
      <c r="Q123" s="142">
        <v>90550</v>
      </c>
      <c r="R123" s="176">
        <v>90550</v>
      </c>
      <c r="S123" s="176">
        <f t="shared" si="36"/>
        <v>0</v>
      </c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</row>
    <row r="124" spans="1:31" ht="15.75" customHeight="1" x14ac:dyDescent="0.25">
      <c r="A124" s="103" t="s">
        <v>1646</v>
      </c>
      <c r="B124" s="103" t="s">
        <v>115</v>
      </c>
      <c r="C124" s="280"/>
      <c r="D124" s="142">
        <v>0</v>
      </c>
      <c r="E124" s="32">
        <v>0</v>
      </c>
      <c r="F124" s="32">
        <v>0</v>
      </c>
      <c r="G124" s="32">
        <v>0</v>
      </c>
      <c r="H124" s="33">
        <f t="shared" si="33"/>
        <v>0</v>
      </c>
      <c r="I124" s="16">
        <f t="shared" si="34"/>
        <v>2000</v>
      </c>
      <c r="J124" s="18"/>
      <c r="K124" s="280"/>
      <c r="L124" s="216">
        <v>1453</v>
      </c>
      <c r="M124" s="216">
        <v>5153.24</v>
      </c>
      <c r="N124" s="216">
        <v>1000</v>
      </c>
      <c r="O124" s="216">
        <v>0</v>
      </c>
      <c r="P124" s="142">
        <f t="shared" ref="P124:P131" si="38">O124/9*12</f>
        <v>0</v>
      </c>
      <c r="Q124" s="142">
        <v>2000</v>
      </c>
      <c r="R124" s="176">
        <v>2000</v>
      </c>
      <c r="S124" s="176">
        <f t="shared" si="36"/>
        <v>0</v>
      </c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</row>
    <row r="125" spans="1:31" ht="15.75" customHeight="1" x14ac:dyDescent="0.25">
      <c r="A125" s="103" t="s">
        <v>1647</v>
      </c>
      <c r="B125" s="103" t="s">
        <v>1648</v>
      </c>
      <c r="C125" s="280"/>
      <c r="D125" s="142">
        <v>0</v>
      </c>
      <c r="E125" s="32">
        <v>0</v>
      </c>
      <c r="F125" s="32">
        <v>0</v>
      </c>
      <c r="G125" s="32">
        <v>0</v>
      </c>
      <c r="H125" s="33">
        <f t="shared" si="33"/>
        <v>0</v>
      </c>
      <c r="I125" s="16">
        <f t="shared" si="34"/>
        <v>0</v>
      </c>
      <c r="J125" s="18"/>
      <c r="K125" s="280"/>
      <c r="L125" s="216">
        <v>0</v>
      </c>
      <c r="M125" s="216">
        <v>0</v>
      </c>
      <c r="N125" s="216">
        <v>0</v>
      </c>
      <c r="O125" s="216">
        <v>0</v>
      </c>
      <c r="P125" s="142">
        <f t="shared" si="38"/>
        <v>0</v>
      </c>
      <c r="Q125" s="142">
        <v>0</v>
      </c>
      <c r="R125" s="176"/>
      <c r="S125" s="176">
        <f t="shared" si="36"/>
        <v>0</v>
      </c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</row>
    <row r="126" spans="1:31" ht="15.75" customHeight="1" x14ac:dyDescent="0.25">
      <c r="A126" s="103" t="s">
        <v>1649</v>
      </c>
      <c r="B126" s="103" t="s">
        <v>210</v>
      </c>
      <c r="C126" s="280"/>
      <c r="D126" s="142">
        <v>26882</v>
      </c>
      <c r="E126" s="32">
        <v>0</v>
      </c>
      <c r="F126" s="32">
        <v>0</v>
      </c>
      <c r="G126" s="32">
        <v>0</v>
      </c>
      <c r="H126" s="33">
        <f t="shared" si="33"/>
        <v>0</v>
      </c>
      <c r="I126" s="16">
        <f t="shared" si="34"/>
        <v>0</v>
      </c>
      <c r="J126" s="18"/>
      <c r="K126" s="280"/>
      <c r="L126" s="216">
        <v>31636</v>
      </c>
      <c r="M126" s="216">
        <v>32778.06</v>
      </c>
      <c r="N126" s="216">
        <v>0</v>
      </c>
      <c r="O126" s="216">
        <v>19.37</v>
      </c>
      <c r="P126" s="142">
        <f t="shared" si="38"/>
        <v>25.826666666666668</v>
      </c>
      <c r="Q126" s="142">
        <v>0</v>
      </c>
      <c r="R126" s="176">
        <v>0</v>
      </c>
      <c r="S126" s="176">
        <f t="shared" si="36"/>
        <v>0</v>
      </c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</row>
    <row r="127" spans="1:31" ht="15.75" customHeight="1" x14ac:dyDescent="0.25">
      <c r="A127" s="103" t="s">
        <v>1650</v>
      </c>
      <c r="B127" s="103" t="s">
        <v>86</v>
      </c>
      <c r="C127" s="280"/>
      <c r="D127" s="142">
        <v>0</v>
      </c>
      <c r="E127" s="32">
        <v>0</v>
      </c>
      <c r="F127" s="32">
        <v>0</v>
      </c>
      <c r="G127" s="32">
        <v>0</v>
      </c>
      <c r="H127" s="33">
        <f t="shared" si="33"/>
        <v>0</v>
      </c>
      <c r="I127" s="16">
        <f t="shared" si="34"/>
        <v>18500</v>
      </c>
      <c r="J127" s="18"/>
      <c r="K127" s="280"/>
      <c r="L127" s="216">
        <v>0</v>
      </c>
      <c r="M127" s="216">
        <v>0</v>
      </c>
      <c r="N127" s="216">
        <v>10000</v>
      </c>
      <c r="O127" s="216">
        <v>5000</v>
      </c>
      <c r="P127" s="142">
        <f t="shared" si="38"/>
        <v>6666.6666666666661</v>
      </c>
      <c r="Q127" s="142">
        <v>18500</v>
      </c>
      <c r="R127" s="176">
        <v>18500</v>
      </c>
      <c r="S127" s="176">
        <f t="shared" si="36"/>
        <v>0</v>
      </c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</row>
    <row r="128" spans="1:31" ht="15.75" customHeight="1" x14ac:dyDescent="0.25">
      <c r="A128" s="103" t="s">
        <v>1651</v>
      </c>
      <c r="B128" s="103" t="s">
        <v>88</v>
      </c>
      <c r="C128" s="280"/>
      <c r="D128" s="142">
        <v>0</v>
      </c>
      <c r="E128" s="32">
        <v>0</v>
      </c>
      <c r="F128" s="32">
        <v>0</v>
      </c>
      <c r="G128" s="32">
        <v>0</v>
      </c>
      <c r="H128" s="33">
        <f t="shared" si="33"/>
        <v>0</v>
      </c>
      <c r="I128" s="16">
        <f t="shared" si="34"/>
        <v>2800</v>
      </c>
      <c r="J128" s="18"/>
      <c r="K128" s="280"/>
      <c r="L128" s="216">
        <v>2500</v>
      </c>
      <c r="M128" s="216">
        <v>1875</v>
      </c>
      <c r="N128" s="216">
        <v>2500</v>
      </c>
      <c r="O128" s="216">
        <v>0</v>
      </c>
      <c r="P128" s="142">
        <f t="shared" si="38"/>
        <v>0</v>
      </c>
      <c r="Q128" s="142">
        <v>2800</v>
      </c>
      <c r="R128" s="176">
        <v>2800</v>
      </c>
      <c r="S128" s="176">
        <f t="shared" si="36"/>
        <v>0</v>
      </c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</row>
    <row r="129" spans="1:31" ht="15.75" customHeight="1" x14ac:dyDescent="0.25">
      <c r="A129" s="103" t="s">
        <v>1652</v>
      </c>
      <c r="B129" s="103" t="s">
        <v>90</v>
      </c>
      <c r="C129" s="280"/>
      <c r="D129" s="142">
        <v>0</v>
      </c>
      <c r="E129" s="32">
        <v>0</v>
      </c>
      <c r="F129" s="32">
        <v>0</v>
      </c>
      <c r="G129" s="32">
        <v>0</v>
      </c>
      <c r="H129" s="33">
        <f t="shared" si="33"/>
        <v>0</v>
      </c>
      <c r="I129" s="16">
        <f t="shared" si="34"/>
        <v>3500</v>
      </c>
      <c r="J129" s="18"/>
      <c r="K129" s="280"/>
      <c r="L129" s="216">
        <v>0</v>
      </c>
      <c r="M129" s="216">
        <v>0</v>
      </c>
      <c r="N129" s="216">
        <v>4500</v>
      </c>
      <c r="O129" s="216">
        <v>60</v>
      </c>
      <c r="P129" s="142">
        <f t="shared" si="38"/>
        <v>80</v>
      </c>
      <c r="Q129" s="142">
        <v>3500</v>
      </c>
      <c r="R129" s="176">
        <v>3500</v>
      </c>
      <c r="S129" s="176">
        <f t="shared" si="36"/>
        <v>0</v>
      </c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</row>
    <row r="130" spans="1:31" ht="15.75" customHeight="1" x14ac:dyDescent="0.25">
      <c r="A130" s="103" t="s">
        <v>1653</v>
      </c>
      <c r="B130" s="103" t="s">
        <v>1654</v>
      </c>
      <c r="C130" s="280"/>
      <c r="D130" s="142">
        <v>5900</v>
      </c>
      <c r="E130" s="32">
        <v>0</v>
      </c>
      <c r="F130" s="32">
        <v>0</v>
      </c>
      <c r="G130" s="32">
        <v>0</v>
      </c>
      <c r="H130" s="33">
        <f t="shared" si="33"/>
        <v>0</v>
      </c>
      <c r="I130" s="16">
        <f t="shared" si="34"/>
        <v>41500</v>
      </c>
      <c r="J130" s="18"/>
      <c r="K130" s="280"/>
      <c r="L130" s="216">
        <v>15678</v>
      </c>
      <c r="M130" s="216">
        <v>26700</v>
      </c>
      <c r="N130" s="216">
        <v>36500</v>
      </c>
      <c r="O130" s="216">
        <v>24855.62</v>
      </c>
      <c r="P130" s="142">
        <f t="shared" si="38"/>
        <v>33140.826666666668</v>
      </c>
      <c r="Q130" s="142">
        <v>41500</v>
      </c>
      <c r="R130" s="176">
        <v>41500</v>
      </c>
      <c r="S130" s="176">
        <f t="shared" si="36"/>
        <v>0</v>
      </c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</row>
    <row r="131" spans="1:31" ht="15.75" customHeight="1" x14ac:dyDescent="0.25">
      <c r="A131" s="103" t="s">
        <v>1655</v>
      </c>
      <c r="B131" s="103" t="s">
        <v>1656</v>
      </c>
      <c r="C131" s="280"/>
      <c r="D131" s="142">
        <v>0</v>
      </c>
      <c r="E131" s="32">
        <v>0</v>
      </c>
      <c r="F131" s="32">
        <v>0</v>
      </c>
      <c r="G131" s="32">
        <v>0</v>
      </c>
      <c r="H131" s="33">
        <f t="shared" si="33"/>
        <v>0</v>
      </c>
      <c r="I131" s="16">
        <f t="shared" si="34"/>
        <v>9250</v>
      </c>
      <c r="J131" s="18"/>
      <c r="K131" s="280"/>
      <c r="L131" s="216">
        <v>0</v>
      </c>
      <c r="M131" s="216">
        <v>0</v>
      </c>
      <c r="N131" s="216">
        <v>0</v>
      </c>
      <c r="O131" s="216">
        <v>0</v>
      </c>
      <c r="P131" s="142">
        <f t="shared" si="38"/>
        <v>0</v>
      </c>
      <c r="Q131" s="142">
        <v>9250</v>
      </c>
      <c r="R131" s="176">
        <v>9250</v>
      </c>
      <c r="S131" s="176">
        <f t="shared" si="36"/>
        <v>0</v>
      </c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</row>
    <row r="132" spans="1:31" ht="15.75" customHeight="1" x14ac:dyDescent="0.25">
      <c r="A132" s="103" t="s">
        <v>1657</v>
      </c>
      <c r="B132" s="103" t="s">
        <v>1658</v>
      </c>
      <c r="C132" s="280"/>
      <c r="D132" s="142">
        <v>0</v>
      </c>
      <c r="E132" s="32">
        <v>0</v>
      </c>
      <c r="F132" s="32">
        <v>0</v>
      </c>
      <c r="G132" s="32">
        <v>0</v>
      </c>
      <c r="H132" s="33">
        <f t="shared" si="33"/>
        <v>0</v>
      </c>
      <c r="I132" s="16">
        <f t="shared" si="34"/>
        <v>42600</v>
      </c>
      <c r="J132" s="18"/>
      <c r="K132" s="280"/>
      <c r="L132" s="216">
        <v>0</v>
      </c>
      <c r="M132" s="216">
        <v>0</v>
      </c>
      <c r="N132" s="216">
        <v>32000</v>
      </c>
      <c r="O132" s="216">
        <v>38792.19</v>
      </c>
      <c r="P132" s="272">
        <f>O132</f>
        <v>38792.19</v>
      </c>
      <c r="Q132" s="142">
        <v>42600</v>
      </c>
      <c r="R132" s="176">
        <v>42600</v>
      </c>
      <c r="S132" s="176">
        <f t="shared" si="36"/>
        <v>0</v>
      </c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</row>
    <row r="133" spans="1:31" ht="15.75" customHeight="1" x14ac:dyDescent="0.25">
      <c r="A133" s="103" t="s">
        <v>1659</v>
      </c>
      <c r="B133" s="103" t="s">
        <v>502</v>
      </c>
      <c r="C133" s="280"/>
      <c r="D133" s="142">
        <v>0</v>
      </c>
      <c r="E133" s="32">
        <v>0</v>
      </c>
      <c r="F133" s="32">
        <v>0</v>
      </c>
      <c r="G133" s="32">
        <v>0</v>
      </c>
      <c r="H133" s="33">
        <f t="shared" si="33"/>
        <v>0</v>
      </c>
      <c r="I133" s="16">
        <f t="shared" si="34"/>
        <v>5000</v>
      </c>
      <c r="J133" s="18"/>
      <c r="K133" s="280"/>
      <c r="L133" s="216">
        <v>1390</v>
      </c>
      <c r="M133" s="216">
        <v>0</v>
      </c>
      <c r="N133" s="216">
        <v>4000</v>
      </c>
      <c r="O133" s="216">
        <v>3176.61</v>
      </c>
      <c r="P133" s="272">
        <f>N133</f>
        <v>4000</v>
      </c>
      <c r="Q133" s="142">
        <v>5000</v>
      </c>
      <c r="R133" s="176">
        <v>5000</v>
      </c>
      <c r="S133" s="176">
        <f t="shared" si="36"/>
        <v>0</v>
      </c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</row>
    <row r="134" spans="1:31" ht="15.75" customHeight="1" x14ac:dyDescent="0.25">
      <c r="A134" s="103" t="s">
        <v>1660</v>
      </c>
      <c r="B134" s="103" t="s">
        <v>92</v>
      </c>
      <c r="C134" s="280"/>
      <c r="D134" s="142">
        <v>0</v>
      </c>
      <c r="E134" s="32">
        <v>0</v>
      </c>
      <c r="F134" s="32">
        <v>0</v>
      </c>
      <c r="G134" s="32">
        <v>0</v>
      </c>
      <c r="H134" s="33">
        <f t="shared" si="33"/>
        <v>0</v>
      </c>
      <c r="I134" s="16">
        <f t="shared" si="34"/>
        <v>0</v>
      </c>
      <c r="J134" s="18"/>
      <c r="K134" s="280"/>
      <c r="L134" s="216">
        <v>149</v>
      </c>
      <c r="M134" s="216">
        <v>146.76</v>
      </c>
      <c r="N134" s="216">
        <v>200</v>
      </c>
      <c r="O134" s="216">
        <v>213.1</v>
      </c>
      <c r="P134" s="272">
        <f>O134</f>
        <v>213.1</v>
      </c>
      <c r="Q134" s="142">
        <v>0</v>
      </c>
      <c r="R134" s="176">
        <v>0</v>
      </c>
      <c r="S134" s="176">
        <f t="shared" si="36"/>
        <v>0</v>
      </c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</row>
    <row r="135" spans="1:31" ht="15.75" customHeight="1" x14ac:dyDescent="0.25">
      <c r="A135" s="103" t="s">
        <v>1661</v>
      </c>
      <c r="B135" s="103" t="s">
        <v>1662</v>
      </c>
      <c r="C135" s="280"/>
      <c r="D135" s="142">
        <v>0</v>
      </c>
      <c r="E135" s="32">
        <v>0</v>
      </c>
      <c r="F135" s="32">
        <v>0</v>
      </c>
      <c r="G135" s="32">
        <v>0</v>
      </c>
      <c r="H135" s="33">
        <f t="shared" si="33"/>
        <v>0</v>
      </c>
      <c r="I135" s="16">
        <f t="shared" si="34"/>
        <v>0</v>
      </c>
      <c r="J135" s="18"/>
      <c r="K135" s="280"/>
      <c r="L135" s="216">
        <v>0</v>
      </c>
      <c r="M135" s="216">
        <v>0</v>
      </c>
      <c r="N135" s="216">
        <v>0</v>
      </c>
      <c r="O135" s="216">
        <v>0</v>
      </c>
      <c r="P135" s="142">
        <f t="shared" ref="P135:P137" si="39">O135/9*12</f>
        <v>0</v>
      </c>
      <c r="Q135" s="142">
        <v>0</v>
      </c>
      <c r="R135" s="176">
        <v>0</v>
      </c>
      <c r="S135" s="176">
        <f t="shared" si="36"/>
        <v>0</v>
      </c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</row>
    <row r="136" spans="1:31" ht="15.75" customHeight="1" x14ac:dyDescent="0.25">
      <c r="A136" s="103" t="s">
        <v>1663</v>
      </c>
      <c r="B136" s="103" t="s">
        <v>94</v>
      </c>
      <c r="C136" s="280"/>
      <c r="D136" s="142">
        <v>9085</v>
      </c>
      <c r="E136" s="32">
        <v>0</v>
      </c>
      <c r="F136" s="32">
        <v>0</v>
      </c>
      <c r="G136" s="32">
        <v>0</v>
      </c>
      <c r="H136" s="33">
        <f t="shared" si="33"/>
        <v>0</v>
      </c>
      <c r="I136" s="16">
        <f t="shared" si="34"/>
        <v>2500</v>
      </c>
      <c r="J136" s="18"/>
      <c r="K136" s="280"/>
      <c r="L136" s="216">
        <v>15950</v>
      </c>
      <c r="M136" s="216">
        <v>16918.5</v>
      </c>
      <c r="N136" s="216">
        <v>41100</v>
      </c>
      <c r="O136" s="216">
        <v>2641.54</v>
      </c>
      <c r="P136" s="142">
        <f t="shared" si="39"/>
        <v>3522.0533333333333</v>
      </c>
      <c r="Q136" s="142">
        <v>2500</v>
      </c>
      <c r="R136" s="176">
        <v>2500</v>
      </c>
      <c r="S136" s="176">
        <f t="shared" si="36"/>
        <v>0</v>
      </c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</row>
    <row r="137" spans="1:31" ht="15.75" customHeight="1" x14ac:dyDescent="0.25">
      <c r="A137" s="103" t="s">
        <v>1664</v>
      </c>
      <c r="B137" s="103" t="s">
        <v>1665</v>
      </c>
      <c r="C137" s="280"/>
      <c r="D137" s="142">
        <v>36048</v>
      </c>
      <c r="E137" s="32">
        <v>0</v>
      </c>
      <c r="F137" s="32">
        <v>0</v>
      </c>
      <c r="G137" s="32">
        <v>0</v>
      </c>
      <c r="H137" s="33">
        <f t="shared" si="33"/>
        <v>0</v>
      </c>
      <c r="I137" s="16">
        <f t="shared" si="34"/>
        <v>0</v>
      </c>
      <c r="J137" s="18"/>
      <c r="K137" s="280"/>
      <c r="L137" s="216">
        <v>0</v>
      </c>
      <c r="M137" s="216">
        <v>0</v>
      </c>
      <c r="N137" s="216">
        <v>0</v>
      </c>
      <c r="O137" s="216">
        <v>0</v>
      </c>
      <c r="P137" s="142">
        <f t="shared" si="39"/>
        <v>0</v>
      </c>
      <c r="Q137" s="142">
        <v>0</v>
      </c>
      <c r="R137" s="176">
        <v>0</v>
      </c>
      <c r="S137" s="176">
        <f t="shared" si="36"/>
        <v>0</v>
      </c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</row>
    <row r="138" spans="1:31" ht="15.75" customHeight="1" x14ac:dyDescent="0.25">
      <c r="A138" s="103" t="s">
        <v>1666</v>
      </c>
      <c r="B138" s="103" t="s">
        <v>1667</v>
      </c>
      <c r="C138" s="280"/>
      <c r="D138" s="142">
        <v>4000</v>
      </c>
      <c r="E138" s="32">
        <v>0</v>
      </c>
      <c r="F138" s="32">
        <v>0</v>
      </c>
      <c r="G138" s="32">
        <v>0</v>
      </c>
      <c r="H138" s="33">
        <f t="shared" si="33"/>
        <v>0</v>
      </c>
      <c r="I138" s="16">
        <f t="shared" si="34"/>
        <v>6600</v>
      </c>
      <c r="J138" s="18"/>
      <c r="K138" s="280"/>
      <c r="L138" s="216">
        <v>6000</v>
      </c>
      <c r="M138" s="216">
        <v>6000</v>
      </c>
      <c r="N138" s="216">
        <v>6300</v>
      </c>
      <c r="O138" s="216">
        <v>0</v>
      </c>
      <c r="P138" s="272">
        <f>N138</f>
        <v>6300</v>
      </c>
      <c r="Q138" s="142">
        <v>6600</v>
      </c>
      <c r="R138" s="176">
        <v>6600</v>
      </c>
      <c r="S138" s="176">
        <f t="shared" si="36"/>
        <v>0</v>
      </c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</row>
    <row r="139" spans="1:31" ht="15.75" customHeight="1" x14ac:dyDescent="0.25">
      <c r="A139" s="47" t="s">
        <v>1668</v>
      </c>
      <c r="B139" s="48"/>
      <c r="C139" s="325"/>
      <c r="D139" s="113">
        <f t="shared" ref="D139:G139" si="40">SUM(D111:D138)</f>
        <v>155361</v>
      </c>
      <c r="E139" s="113">
        <f t="shared" si="40"/>
        <v>0</v>
      </c>
      <c r="F139" s="113">
        <f t="shared" si="40"/>
        <v>0</v>
      </c>
      <c r="G139" s="113">
        <f t="shared" si="40"/>
        <v>0</v>
      </c>
      <c r="H139" s="42">
        <f t="shared" si="33"/>
        <v>0</v>
      </c>
      <c r="I139" s="113">
        <f t="shared" ref="I139:J139" si="41">SUM(I113:I138)</f>
        <v>291080</v>
      </c>
      <c r="J139" s="113">
        <f t="shared" si="41"/>
        <v>0</v>
      </c>
      <c r="K139" s="325"/>
      <c r="L139" s="110">
        <f t="shared" ref="L139:S139" si="42">SUM(L111:L138)</f>
        <v>180344</v>
      </c>
      <c r="M139" s="110">
        <f t="shared" si="42"/>
        <v>216060.24000000002</v>
      </c>
      <c r="N139" s="110">
        <f t="shared" si="42"/>
        <v>284360</v>
      </c>
      <c r="O139" s="110">
        <f t="shared" si="42"/>
        <v>194193.03</v>
      </c>
      <c r="P139" s="111">
        <f t="shared" si="42"/>
        <v>222790.44</v>
      </c>
      <c r="Q139" s="111">
        <f t="shared" si="42"/>
        <v>291080</v>
      </c>
      <c r="R139" s="110">
        <f t="shared" si="42"/>
        <v>291080</v>
      </c>
      <c r="S139" s="110">
        <f t="shared" si="42"/>
        <v>0</v>
      </c>
      <c r="T139" s="5"/>
      <c r="U139" s="5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</row>
    <row r="140" spans="1:31" ht="15.75" customHeight="1" x14ac:dyDescent="0.25">
      <c r="A140" s="5"/>
      <c r="B140" s="5"/>
      <c r="C140" s="284"/>
      <c r="D140" s="18"/>
      <c r="E140" s="18"/>
      <c r="F140" s="18"/>
      <c r="G140" s="18"/>
      <c r="H140" s="18"/>
      <c r="I140" s="18"/>
      <c r="J140" s="18"/>
      <c r="K140" s="284"/>
      <c r="L140" s="176"/>
      <c r="M140" s="176"/>
      <c r="N140" s="176"/>
      <c r="O140" s="176"/>
      <c r="P140" s="176"/>
      <c r="Q140" s="176"/>
      <c r="R140" s="176"/>
      <c r="S140" s="176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</row>
    <row r="141" spans="1:31" ht="15.75" customHeight="1" x14ac:dyDescent="0.25">
      <c r="A141" s="6" t="s">
        <v>184</v>
      </c>
      <c r="B141" s="5"/>
      <c r="C141" s="284"/>
      <c r="D141" s="18"/>
      <c r="E141" s="18"/>
      <c r="F141" s="18"/>
      <c r="G141" s="18"/>
      <c r="H141" s="18"/>
      <c r="I141" s="18"/>
      <c r="J141" s="18"/>
      <c r="K141" s="284"/>
      <c r="L141" s="176"/>
      <c r="M141" s="176"/>
      <c r="N141" s="176"/>
      <c r="O141" s="176"/>
      <c r="P141" s="176"/>
      <c r="Q141" s="176"/>
      <c r="R141" s="176"/>
      <c r="S141" s="176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</row>
    <row r="142" spans="1:31" ht="15.75" customHeight="1" x14ac:dyDescent="0.25">
      <c r="A142" s="6" t="s">
        <v>1669</v>
      </c>
      <c r="B142" s="6" t="s">
        <v>1670</v>
      </c>
      <c r="C142" s="285"/>
      <c r="D142" s="16">
        <v>-119540.38</v>
      </c>
      <c r="E142" s="32">
        <f>D142*'[1]2019 Adjustments'!$A$2</f>
        <v>0</v>
      </c>
      <c r="F142" s="32">
        <f>D142*'[1]2019 Adjustments'!$B$2</f>
        <v>0</v>
      </c>
      <c r="G142" s="32">
        <f>(D142*'[1]2019 Adjustments'!$A$3)*'[1]2019 Adjustments'!$B$3</f>
        <v>0</v>
      </c>
      <c r="H142" s="33">
        <f t="shared" ref="H142:H143" si="43">IFERROR(((Q142-G142)/G142),0)</f>
        <v>0</v>
      </c>
      <c r="I142" s="16">
        <f>Q142-G142</f>
        <v>-135000</v>
      </c>
      <c r="J142" s="109"/>
      <c r="K142" s="285"/>
      <c r="L142" s="176">
        <v>-115279.53</v>
      </c>
      <c r="M142" s="176">
        <v>-130076.03</v>
      </c>
      <c r="N142" s="176">
        <v>-138000</v>
      </c>
      <c r="O142" s="176">
        <v>-142921.06</v>
      </c>
      <c r="P142" s="438">
        <f>O142</f>
        <v>-142921.06</v>
      </c>
      <c r="Q142" s="140">
        <v>-135000</v>
      </c>
      <c r="R142" s="176">
        <v>-135000</v>
      </c>
      <c r="S142" s="176">
        <f>R142-Q142</f>
        <v>0</v>
      </c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</row>
    <row r="143" spans="1:31" ht="15.75" customHeight="1" x14ac:dyDescent="0.25">
      <c r="A143" s="11" t="s">
        <v>189</v>
      </c>
      <c r="B143" s="11"/>
      <c r="C143" s="282"/>
      <c r="D143" s="50">
        <f t="shared" ref="D143:G143" si="44">SUM(D141:D142)</f>
        <v>-119540.38</v>
      </c>
      <c r="E143" s="50">
        <f t="shared" si="44"/>
        <v>0</v>
      </c>
      <c r="F143" s="50">
        <f t="shared" si="44"/>
        <v>0</v>
      </c>
      <c r="G143" s="50">
        <f t="shared" si="44"/>
        <v>0</v>
      </c>
      <c r="H143" s="42">
        <f t="shared" si="43"/>
        <v>0</v>
      </c>
      <c r="I143" s="50">
        <f t="shared" ref="I143:J143" si="45">SUM(I141:I142)</f>
        <v>-135000</v>
      </c>
      <c r="J143" s="50">
        <f t="shared" si="45"/>
        <v>0</v>
      </c>
      <c r="K143" s="282"/>
      <c r="L143" s="110">
        <f t="shared" ref="L143:S143" si="46">SUM(L141:L142)</f>
        <v>-115279.53</v>
      </c>
      <c r="M143" s="110">
        <f t="shared" si="46"/>
        <v>-130076.03</v>
      </c>
      <c r="N143" s="110">
        <f t="shared" si="46"/>
        <v>-138000</v>
      </c>
      <c r="O143" s="110">
        <f t="shared" si="46"/>
        <v>-142921.06</v>
      </c>
      <c r="P143" s="111">
        <f t="shared" si="46"/>
        <v>-142921.06</v>
      </c>
      <c r="Q143" s="111">
        <f t="shared" si="46"/>
        <v>-135000</v>
      </c>
      <c r="R143" s="110">
        <f t="shared" si="46"/>
        <v>-135000</v>
      </c>
      <c r="S143" s="110">
        <f t="shared" si="46"/>
        <v>0</v>
      </c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</row>
    <row r="144" spans="1:31" ht="15.75" customHeight="1" x14ac:dyDescent="0.25">
      <c r="A144" s="5"/>
      <c r="B144" s="5"/>
      <c r="C144" s="284"/>
      <c r="D144" s="18"/>
      <c r="E144" s="18"/>
      <c r="F144" s="18"/>
      <c r="G144" s="18"/>
      <c r="H144" s="18"/>
      <c r="I144" s="18"/>
      <c r="J144" s="18"/>
      <c r="K144" s="284"/>
      <c r="L144" s="176"/>
      <c r="M144" s="176"/>
      <c r="N144" s="176"/>
      <c r="O144" s="176"/>
      <c r="P144" s="176"/>
      <c r="Q144" s="176"/>
      <c r="R144" s="176"/>
      <c r="S144" s="176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</row>
    <row r="145" spans="1:31" ht="15.75" customHeight="1" x14ac:dyDescent="0.25">
      <c r="A145" s="11" t="s">
        <v>190</v>
      </c>
      <c r="B145" s="5"/>
      <c r="C145" s="282"/>
      <c r="D145" s="50">
        <f t="shared" ref="D145:G145" si="47">D143+D139</f>
        <v>35820.619999999995</v>
      </c>
      <c r="E145" s="50">
        <f t="shared" si="47"/>
        <v>0</v>
      </c>
      <c r="F145" s="50">
        <f t="shared" si="47"/>
        <v>0</v>
      </c>
      <c r="G145" s="50">
        <f t="shared" si="47"/>
        <v>0</v>
      </c>
      <c r="H145" s="42">
        <f>IFERROR(((Q145-G145)/G145),0)</f>
        <v>0</v>
      </c>
      <c r="I145" s="113">
        <f>Q145-G145</f>
        <v>156080</v>
      </c>
      <c r="J145" s="50">
        <f>SUM(J144)</f>
        <v>0</v>
      </c>
      <c r="K145" s="282"/>
      <c r="L145" s="110">
        <f t="shared" ref="L145:S145" si="48">L143+L139</f>
        <v>65064.47</v>
      </c>
      <c r="M145" s="110">
        <f t="shared" si="48"/>
        <v>85984.210000000021</v>
      </c>
      <c r="N145" s="110">
        <f t="shared" si="48"/>
        <v>146360</v>
      </c>
      <c r="O145" s="110">
        <f t="shared" si="48"/>
        <v>51271.97</v>
      </c>
      <c r="P145" s="111">
        <f t="shared" si="48"/>
        <v>79869.38</v>
      </c>
      <c r="Q145" s="111">
        <f t="shared" si="48"/>
        <v>156080</v>
      </c>
      <c r="R145" s="110">
        <f t="shared" si="48"/>
        <v>156080</v>
      </c>
      <c r="S145" s="110">
        <f t="shared" si="48"/>
        <v>0</v>
      </c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</row>
    <row r="146" spans="1:31" ht="15.75" customHeight="1" x14ac:dyDescent="0.25">
      <c r="A146" s="5"/>
      <c r="B146" s="5"/>
      <c r="C146" s="284"/>
      <c r="D146" s="18"/>
      <c r="E146" s="18"/>
      <c r="F146" s="18"/>
      <c r="G146" s="18"/>
      <c r="H146" s="18"/>
      <c r="I146" s="18"/>
      <c r="J146" s="18"/>
      <c r="K146" s="284"/>
      <c r="L146" s="176"/>
      <c r="M146" s="176"/>
      <c r="N146" s="176"/>
      <c r="O146" s="176"/>
      <c r="P146" s="176"/>
      <c r="Q146" s="176"/>
      <c r="R146" s="176"/>
      <c r="S146" s="176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</row>
    <row r="147" spans="1:31" ht="15.75" customHeight="1" x14ac:dyDescent="0.2">
      <c r="A147" s="5"/>
      <c r="B147" s="5"/>
      <c r="C147" s="284"/>
      <c r="D147" s="18"/>
      <c r="E147" s="18"/>
      <c r="F147" s="18"/>
      <c r="G147" s="18"/>
      <c r="H147" s="18"/>
      <c r="I147" s="18"/>
      <c r="J147" s="18"/>
      <c r="K147" s="284"/>
      <c r="L147" s="345" t="s">
        <v>102</v>
      </c>
      <c r="M147" s="346" t="s">
        <v>59</v>
      </c>
      <c r="N147" s="345" t="s">
        <v>60</v>
      </c>
      <c r="O147" s="345" t="s">
        <v>61</v>
      </c>
      <c r="P147" s="345" t="s">
        <v>62</v>
      </c>
      <c r="Q147" s="345" t="s">
        <v>63</v>
      </c>
      <c r="R147" s="345" t="s">
        <v>64</v>
      </c>
      <c r="S147" s="345" t="s">
        <v>65</v>
      </c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</row>
    <row r="148" spans="1:31" ht="15.75" customHeight="1" x14ac:dyDescent="0.2">
      <c r="A148" s="5"/>
      <c r="B148" s="269"/>
      <c r="C148" s="434"/>
      <c r="D148" s="435"/>
      <c r="E148" s="435"/>
      <c r="F148" s="18"/>
      <c r="G148" s="18"/>
      <c r="H148" s="18"/>
      <c r="I148" s="18"/>
      <c r="J148" s="18"/>
      <c r="K148" s="284"/>
      <c r="L148" s="436" t="s">
        <v>103</v>
      </c>
      <c r="M148" s="179">
        <f t="shared" ref="M148:S148" si="49">L139</f>
        <v>180344</v>
      </c>
      <c r="N148" s="179">
        <f t="shared" si="49"/>
        <v>216060.24000000002</v>
      </c>
      <c r="O148" s="179">
        <f t="shared" si="49"/>
        <v>284360</v>
      </c>
      <c r="P148" s="179">
        <f t="shared" si="49"/>
        <v>194193.03</v>
      </c>
      <c r="Q148" s="179">
        <f t="shared" si="49"/>
        <v>222790.44</v>
      </c>
      <c r="R148" s="179">
        <f t="shared" si="49"/>
        <v>291080</v>
      </c>
      <c r="S148" s="179">
        <f t="shared" si="49"/>
        <v>291080</v>
      </c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</row>
    <row r="149" spans="1:31" ht="15.75" customHeight="1" x14ac:dyDescent="0.25">
      <c r="A149" s="5"/>
      <c r="B149" s="115"/>
      <c r="C149" s="284"/>
      <c r="D149" s="18"/>
      <c r="E149" s="18"/>
      <c r="F149" s="18"/>
      <c r="G149" s="18"/>
      <c r="H149" s="18"/>
      <c r="I149" s="18"/>
      <c r="J149" s="18"/>
      <c r="K149" s="284"/>
      <c r="L149" s="176"/>
      <c r="M149" s="176"/>
      <c r="N149" s="176"/>
      <c r="O149" s="176"/>
      <c r="P149" s="372"/>
      <c r="Q149" s="176"/>
      <c r="R149" s="176"/>
      <c r="S149" s="176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</row>
    <row r="150" spans="1:31" ht="15.75" customHeight="1" x14ac:dyDescent="0.25">
      <c r="A150" s="5"/>
      <c r="B150" s="5"/>
      <c r="C150" s="284"/>
      <c r="D150" s="18"/>
      <c r="E150" s="18"/>
      <c r="F150" s="18"/>
      <c r="G150" s="18"/>
      <c r="H150" s="18"/>
      <c r="I150" s="18"/>
      <c r="J150" s="18"/>
      <c r="K150" s="284"/>
      <c r="L150" s="176"/>
      <c r="M150" s="176"/>
      <c r="N150" s="176"/>
      <c r="O150" s="176"/>
      <c r="P150" s="176"/>
      <c r="Q150" s="176"/>
      <c r="R150" s="176"/>
      <c r="S150" s="176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</row>
    <row r="151" spans="1:31" ht="15.75" customHeight="1" x14ac:dyDescent="0.25">
      <c r="A151" s="5"/>
      <c r="B151" s="5"/>
      <c r="C151" s="284"/>
      <c r="D151" s="18"/>
      <c r="E151" s="18"/>
      <c r="F151" s="18"/>
      <c r="G151" s="18"/>
      <c r="H151" s="18"/>
      <c r="I151" s="18"/>
      <c r="J151" s="18"/>
      <c r="K151" s="284"/>
      <c r="L151" s="176"/>
      <c r="M151" s="176"/>
      <c r="N151" s="176"/>
      <c r="O151" s="176"/>
      <c r="P151" s="176"/>
      <c r="Q151" s="176"/>
      <c r="R151" s="176"/>
      <c r="S151" s="176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</row>
    <row r="152" spans="1:31" ht="15.75" customHeight="1" x14ac:dyDescent="0.25">
      <c r="A152" s="5"/>
      <c r="B152" s="5"/>
      <c r="C152" s="284"/>
      <c r="D152" s="18"/>
      <c r="E152" s="18"/>
      <c r="F152" s="18"/>
      <c r="G152" s="18"/>
      <c r="H152" s="18"/>
      <c r="I152" s="18"/>
      <c r="J152" s="18"/>
      <c r="K152" s="284"/>
      <c r="L152" s="176"/>
      <c r="M152" s="176"/>
      <c r="N152" s="176"/>
      <c r="O152" s="176"/>
      <c r="P152" s="176"/>
      <c r="Q152" s="176"/>
      <c r="R152" s="176"/>
      <c r="S152" s="176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</row>
    <row r="153" spans="1:31" ht="15.75" customHeight="1" x14ac:dyDescent="0.25">
      <c r="A153" s="5"/>
      <c r="B153" s="5"/>
      <c r="C153" s="284"/>
      <c r="D153" s="18"/>
      <c r="E153" s="18"/>
      <c r="F153" s="18"/>
      <c r="G153" s="18"/>
      <c r="H153" s="18"/>
      <c r="I153" s="18"/>
      <c r="J153" s="18"/>
      <c r="K153" s="284"/>
      <c r="L153" s="176"/>
      <c r="M153" s="176"/>
      <c r="N153" s="176"/>
      <c r="O153" s="176"/>
      <c r="P153" s="176"/>
      <c r="Q153" s="176"/>
      <c r="R153" s="176"/>
      <c r="S153" s="176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</row>
    <row r="154" spans="1:31" ht="15.75" customHeight="1" x14ac:dyDescent="0.25">
      <c r="A154" s="5"/>
      <c r="B154" s="5"/>
      <c r="C154" s="284"/>
      <c r="D154" s="18"/>
      <c r="E154" s="18"/>
      <c r="F154" s="18"/>
      <c r="G154" s="18"/>
      <c r="H154" s="18"/>
      <c r="I154" s="18"/>
      <c r="J154" s="18"/>
      <c r="K154" s="284"/>
      <c r="L154" s="176"/>
      <c r="M154" s="176"/>
      <c r="N154" s="176"/>
      <c r="O154" s="176"/>
      <c r="P154" s="176"/>
      <c r="Q154" s="176"/>
      <c r="R154" s="176"/>
      <c r="S154" s="176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</row>
    <row r="155" spans="1:31" ht="15.75" customHeight="1" x14ac:dyDescent="0.25">
      <c r="A155" s="5"/>
      <c r="B155" s="5"/>
      <c r="C155" s="284"/>
      <c r="D155" s="18"/>
      <c r="E155" s="18"/>
      <c r="F155" s="18"/>
      <c r="G155" s="18"/>
      <c r="H155" s="18"/>
      <c r="I155" s="18"/>
      <c r="J155" s="18"/>
      <c r="K155" s="284"/>
      <c r="L155" s="176"/>
      <c r="M155" s="176"/>
      <c r="N155" s="176"/>
      <c r="O155" s="176"/>
      <c r="P155" s="176"/>
      <c r="Q155" s="176"/>
      <c r="R155" s="176"/>
      <c r="S155" s="176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</row>
    <row r="156" spans="1:31" ht="15.75" customHeight="1" x14ac:dyDescent="0.25">
      <c r="A156" s="5"/>
      <c r="B156" s="5"/>
      <c r="C156" s="284"/>
      <c r="D156" s="18"/>
      <c r="E156" s="18"/>
      <c r="F156" s="18"/>
      <c r="G156" s="18"/>
      <c r="H156" s="18"/>
      <c r="I156" s="18"/>
      <c r="J156" s="18"/>
      <c r="K156" s="284"/>
      <c r="L156" s="176"/>
      <c r="M156" s="176"/>
      <c r="N156" s="176"/>
      <c r="O156" s="176"/>
      <c r="P156" s="176"/>
      <c r="Q156" s="176"/>
      <c r="R156" s="176"/>
      <c r="S156" s="176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</row>
    <row r="157" spans="1:31" ht="15.75" customHeight="1" x14ac:dyDescent="0.25">
      <c r="A157" s="5"/>
      <c r="B157" s="5"/>
      <c r="C157" s="284"/>
      <c r="D157" s="18"/>
      <c r="E157" s="18"/>
      <c r="F157" s="18"/>
      <c r="G157" s="18"/>
      <c r="H157" s="18"/>
      <c r="I157" s="18"/>
      <c r="J157" s="18"/>
      <c r="K157" s="284"/>
      <c r="L157" s="176"/>
      <c r="M157" s="176"/>
      <c r="N157" s="176"/>
      <c r="O157" s="176"/>
      <c r="P157" s="176"/>
      <c r="Q157" s="176"/>
      <c r="R157" s="176"/>
      <c r="S157" s="176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</row>
    <row r="158" spans="1:31" ht="15.75" customHeight="1" x14ac:dyDescent="0.25">
      <c r="A158" s="5"/>
      <c r="B158" s="5"/>
      <c r="C158" s="284"/>
      <c r="D158" s="18"/>
      <c r="E158" s="18"/>
      <c r="F158" s="18"/>
      <c r="G158" s="18"/>
      <c r="H158" s="18"/>
      <c r="I158" s="18"/>
      <c r="J158" s="18"/>
      <c r="K158" s="284"/>
      <c r="L158" s="176"/>
      <c r="M158" s="176"/>
      <c r="N158" s="176"/>
      <c r="O158" s="176"/>
      <c r="P158" s="176"/>
      <c r="Q158" s="176"/>
      <c r="R158" s="176"/>
      <c r="S158" s="176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</row>
    <row r="159" spans="1:31" ht="15.75" customHeight="1" x14ac:dyDescent="0.25">
      <c r="A159" s="5"/>
      <c r="B159" s="5"/>
      <c r="C159" s="284"/>
      <c r="D159" s="18"/>
      <c r="E159" s="18"/>
      <c r="F159" s="18"/>
      <c r="G159" s="18"/>
      <c r="H159" s="18"/>
      <c r="I159" s="18"/>
      <c r="J159" s="18"/>
      <c r="K159" s="284"/>
      <c r="L159" s="176"/>
      <c r="M159" s="176"/>
      <c r="N159" s="176"/>
      <c r="O159" s="176"/>
      <c r="P159" s="176"/>
      <c r="Q159" s="176"/>
      <c r="R159" s="176"/>
      <c r="S159" s="176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</row>
    <row r="160" spans="1:31" ht="15.75" customHeight="1" x14ac:dyDescent="0.25">
      <c r="A160" s="5"/>
      <c r="B160" s="5"/>
      <c r="C160" s="284"/>
      <c r="D160" s="18"/>
      <c r="E160" s="18"/>
      <c r="F160" s="18"/>
      <c r="G160" s="18"/>
      <c r="H160" s="18"/>
      <c r="I160" s="18"/>
      <c r="J160" s="18"/>
      <c r="K160" s="284"/>
      <c r="L160" s="176"/>
      <c r="M160" s="176"/>
      <c r="N160" s="176"/>
      <c r="O160" s="176"/>
      <c r="P160" s="176"/>
      <c r="Q160" s="176"/>
      <c r="R160" s="176"/>
      <c r="S160" s="176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</row>
    <row r="161" spans="1:31" ht="15.75" customHeight="1" x14ac:dyDescent="0.25">
      <c r="A161" s="5"/>
      <c r="B161" s="5"/>
      <c r="C161" s="284"/>
      <c r="D161" s="18"/>
      <c r="E161" s="18"/>
      <c r="F161" s="18"/>
      <c r="G161" s="18"/>
      <c r="H161" s="18"/>
      <c r="I161" s="18"/>
      <c r="J161" s="18"/>
      <c r="K161" s="284"/>
      <c r="L161" s="176"/>
      <c r="M161" s="176"/>
      <c r="N161" s="176"/>
      <c r="O161" s="176"/>
      <c r="P161" s="176"/>
      <c r="Q161" s="176"/>
      <c r="R161" s="176"/>
      <c r="S161" s="176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</row>
    <row r="162" spans="1:31" ht="15.75" customHeight="1" x14ac:dyDescent="0.25">
      <c r="A162" s="5"/>
      <c r="B162" s="5"/>
      <c r="C162" s="284"/>
      <c r="D162" s="18"/>
      <c r="E162" s="18"/>
      <c r="F162" s="18"/>
      <c r="G162" s="18"/>
      <c r="H162" s="18"/>
      <c r="I162" s="18"/>
      <c r="J162" s="18"/>
      <c r="K162" s="284"/>
      <c r="L162" s="176"/>
      <c r="M162" s="176"/>
      <c r="N162" s="176"/>
      <c r="O162" s="176"/>
      <c r="P162" s="176"/>
      <c r="Q162" s="176"/>
      <c r="R162" s="176"/>
      <c r="S162" s="176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</row>
    <row r="163" spans="1:31" ht="15.75" customHeight="1" x14ac:dyDescent="0.25">
      <c r="A163" s="5"/>
      <c r="B163" s="5"/>
      <c r="C163" s="284"/>
      <c r="D163" s="18"/>
      <c r="E163" s="18"/>
      <c r="F163" s="18"/>
      <c r="G163" s="18"/>
      <c r="H163" s="18"/>
      <c r="I163" s="18"/>
      <c r="J163" s="18"/>
      <c r="K163" s="284"/>
      <c r="L163" s="176"/>
      <c r="M163" s="176"/>
      <c r="N163" s="176"/>
      <c r="O163" s="176"/>
      <c r="P163" s="176"/>
      <c r="Q163" s="176"/>
      <c r="R163" s="176"/>
      <c r="S163" s="176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</row>
    <row r="164" spans="1:31" ht="15.75" customHeight="1" x14ac:dyDescent="0.25">
      <c r="A164" s="5"/>
      <c r="B164" s="5"/>
      <c r="C164" s="284"/>
      <c r="D164" s="18"/>
      <c r="E164" s="18"/>
      <c r="F164" s="18"/>
      <c r="G164" s="18"/>
      <c r="H164" s="18"/>
      <c r="I164" s="18"/>
      <c r="J164" s="18"/>
      <c r="K164" s="284"/>
      <c r="L164" s="176"/>
      <c r="M164" s="176"/>
      <c r="N164" s="176"/>
      <c r="O164" s="176"/>
      <c r="P164" s="176"/>
      <c r="Q164" s="176"/>
      <c r="R164" s="176"/>
      <c r="S164" s="176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</row>
    <row r="165" spans="1:31" ht="15.75" customHeight="1" x14ac:dyDescent="0.25">
      <c r="A165" s="5"/>
      <c r="B165" s="5"/>
      <c r="C165" s="284"/>
      <c r="D165" s="18"/>
      <c r="E165" s="18"/>
      <c r="F165" s="18"/>
      <c r="G165" s="18"/>
      <c r="H165" s="18"/>
      <c r="I165" s="18"/>
      <c r="J165" s="18"/>
      <c r="K165" s="284"/>
      <c r="L165" s="176"/>
      <c r="M165" s="176"/>
      <c r="N165" s="176"/>
      <c r="O165" s="176"/>
      <c r="P165" s="176"/>
      <c r="Q165" s="176"/>
      <c r="R165" s="176"/>
      <c r="S165" s="176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</row>
    <row r="166" spans="1:31" ht="15.75" customHeight="1" x14ac:dyDescent="0.25">
      <c r="A166" s="5"/>
      <c r="B166" s="5"/>
      <c r="C166" s="284"/>
      <c r="D166" s="18"/>
      <c r="E166" s="18"/>
      <c r="F166" s="18"/>
      <c r="G166" s="18"/>
      <c r="H166" s="18"/>
      <c r="I166" s="18"/>
      <c r="J166" s="18"/>
      <c r="K166" s="284"/>
      <c r="L166" s="176"/>
      <c r="M166" s="176"/>
      <c r="N166" s="176"/>
      <c r="O166" s="176"/>
      <c r="P166" s="176"/>
      <c r="Q166" s="176"/>
      <c r="R166" s="176"/>
      <c r="S166" s="176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</row>
    <row r="167" spans="1:31" ht="15.75" customHeight="1" x14ac:dyDescent="0.25">
      <c r="A167" s="5"/>
      <c r="B167" s="5"/>
      <c r="C167" s="284"/>
      <c r="D167" s="18"/>
      <c r="E167" s="18"/>
      <c r="F167" s="18"/>
      <c r="G167" s="18"/>
      <c r="H167" s="18"/>
      <c r="I167" s="18"/>
      <c r="J167" s="18"/>
      <c r="K167" s="284"/>
      <c r="L167" s="176"/>
      <c r="M167" s="176"/>
      <c r="N167" s="176"/>
      <c r="O167" s="176"/>
      <c r="P167" s="176"/>
      <c r="Q167" s="176"/>
      <c r="R167" s="176"/>
      <c r="S167" s="176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</row>
    <row r="168" spans="1:31" ht="15.75" customHeight="1" x14ac:dyDescent="0.25">
      <c r="A168" s="5"/>
      <c r="B168" s="5"/>
      <c r="C168" s="284"/>
      <c r="D168" s="18"/>
      <c r="E168" s="18"/>
      <c r="F168" s="18"/>
      <c r="G168" s="18"/>
      <c r="H168" s="18"/>
      <c r="I168" s="18"/>
      <c r="J168" s="18"/>
      <c r="K168" s="284"/>
      <c r="L168" s="176"/>
      <c r="M168" s="176"/>
      <c r="N168" s="176"/>
      <c r="O168" s="176"/>
      <c r="P168" s="176"/>
      <c r="Q168" s="176"/>
      <c r="R168" s="176"/>
      <c r="S168" s="176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</row>
    <row r="169" spans="1:31" ht="15.75" customHeight="1" x14ac:dyDescent="0.25">
      <c r="A169" s="5"/>
      <c r="B169" s="5"/>
      <c r="C169" s="284"/>
      <c r="D169" s="18"/>
      <c r="E169" s="18"/>
      <c r="F169" s="18"/>
      <c r="G169" s="18"/>
      <c r="H169" s="18"/>
      <c r="I169" s="18"/>
      <c r="J169" s="18"/>
      <c r="K169" s="284"/>
      <c r="L169" s="176"/>
      <c r="M169" s="176"/>
      <c r="N169" s="176"/>
      <c r="O169" s="176"/>
      <c r="P169" s="176"/>
      <c r="Q169" s="176"/>
      <c r="R169" s="176"/>
      <c r="S169" s="176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</row>
    <row r="170" spans="1:31" ht="15.75" customHeight="1" x14ac:dyDescent="0.25">
      <c r="A170" s="5"/>
      <c r="B170" s="5"/>
      <c r="C170" s="284"/>
      <c r="D170" s="18"/>
      <c r="E170" s="18"/>
      <c r="F170" s="18"/>
      <c r="G170" s="18"/>
      <c r="H170" s="18"/>
      <c r="I170" s="18"/>
      <c r="J170" s="18"/>
      <c r="K170" s="284"/>
      <c r="L170" s="176"/>
      <c r="M170" s="176"/>
      <c r="N170" s="176"/>
      <c r="O170" s="176"/>
      <c r="P170" s="176"/>
      <c r="Q170" s="176"/>
      <c r="R170" s="176"/>
      <c r="S170" s="176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</row>
    <row r="171" spans="1:31" ht="15.75" customHeight="1" x14ac:dyDescent="0.25">
      <c r="A171" s="5"/>
      <c r="B171" s="5"/>
      <c r="C171" s="284"/>
      <c r="D171" s="18"/>
      <c r="E171" s="18"/>
      <c r="F171" s="18"/>
      <c r="G171" s="18"/>
      <c r="H171" s="18"/>
      <c r="I171" s="18"/>
      <c r="J171" s="18"/>
      <c r="K171" s="284"/>
      <c r="L171" s="176"/>
      <c r="M171" s="176"/>
      <c r="N171" s="176"/>
      <c r="O171" s="176"/>
      <c r="P171" s="176"/>
      <c r="Q171" s="176"/>
      <c r="R171" s="176"/>
      <c r="S171" s="176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</row>
    <row r="172" spans="1:31" ht="15.75" customHeight="1" x14ac:dyDescent="0.25">
      <c r="A172" s="5"/>
      <c r="B172" s="5"/>
      <c r="C172" s="284"/>
      <c r="D172" s="18"/>
      <c r="E172" s="18"/>
      <c r="F172" s="18"/>
      <c r="G172" s="18"/>
      <c r="H172" s="18"/>
      <c r="I172" s="18"/>
      <c r="J172" s="18"/>
      <c r="K172" s="284"/>
      <c r="L172" s="176"/>
      <c r="M172" s="176"/>
      <c r="N172" s="176"/>
      <c r="O172" s="176"/>
      <c r="P172" s="176"/>
      <c r="Q172" s="176"/>
      <c r="R172" s="176"/>
      <c r="S172" s="176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</row>
    <row r="173" spans="1:31" ht="15.75" customHeight="1" x14ac:dyDescent="0.25">
      <c r="A173" s="5"/>
      <c r="B173" s="5"/>
      <c r="C173" s="284"/>
      <c r="D173" s="18"/>
      <c r="E173" s="18"/>
      <c r="F173" s="18"/>
      <c r="G173" s="18"/>
      <c r="H173" s="18"/>
      <c r="I173" s="18"/>
      <c r="J173" s="18"/>
      <c r="K173" s="284"/>
      <c r="L173" s="176"/>
      <c r="M173" s="176"/>
      <c r="N173" s="176"/>
      <c r="O173" s="176"/>
      <c r="P173" s="176"/>
      <c r="Q173" s="176"/>
      <c r="R173" s="176"/>
      <c r="S173" s="176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</row>
    <row r="174" spans="1:31" ht="15.75" customHeight="1" x14ac:dyDescent="0.25">
      <c r="A174" s="5"/>
      <c r="B174" s="5"/>
      <c r="C174" s="284"/>
      <c r="D174" s="18"/>
      <c r="E174" s="18"/>
      <c r="F174" s="18"/>
      <c r="G174" s="18"/>
      <c r="H174" s="18"/>
      <c r="I174" s="18"/>
      <c r="J174" s="18"/>
      <c r="K174" s="284"/>
      <c r="L174" s="176"/>
      <c r="M174" s="176"/>
      <c r="N174" s="176"/>
      <c r="O174" s="176"/>
      <c r="P174" s="176"/>
      <c r="Q174" s="176"/>
      <c r="R174" s="176"/>
      <c r="S174" s="176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</row>
    <row r="175" spans="1:31" ht="15.75" customHeight="1" x14ac:dyDescent="0.25">
      <c r="A175" s="5"/>
      <c r="B175" s="5"/>
      <c r="C175" s="284"/>
      <c r="D175" s="18"/>
      <c r="E175" s="18"/>
      <c r="F175" s="18"/>
      <c r="G175" s="18"/>
      <c r="H175" s="18"/>
      <c r="I175" s="18"/>
      <c r="J175" s="18"/>
      <c r="K175" s="284"/>
      <c r="L175" s="176"/>
      <c r="M175" s="176"/>
      <c r="N175" s="176"/>
      <c r="O175" s="176"/>
      <c r="P175" s="176"/>
      <c r="Q175" s="176"/>
      <c r="R175" s="176"/>
      <c r="S175" s="176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</row>
    <row r="176" spans="1:31" ht="15.75" customHeight="1" x14ac:dyDescent="0.25">
      <c r="A176" s="5"/>
      <c r="B176" s="5"/>
      <c r="C176" s="284"/>
      <c r="D176" s="18"/>
      <c r="E176" s="18"/>
      <c r="F176" s="18"/>
      <c r="G176" s="18"/>
      <c r="H176" s="18"/>
      <c r="I176" s="18"/>
      <c r="J176" s="18"/>
      <c r="K176" s="284"/>
      <c r="L176" s="176"/>
      <c r="M176" s="176"/>
      <c r="N176" s="176"/>
      <c r="O176" s="176"/>
      <c r="P176" s="176"/>
      <c r="Q176" s="176"/>
      <c r="R176" s="176"/>
      <c r="S176" s="176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</row>
    <row r="177" spans="1:31" ht="15.75" customHeight="1" x14ac:dyDescent="0.25">
      <c r="A177" s="5"/>
      <c r="B177" s="5"/>
      <c r="C177" s="284"/>
      <c r="D177" s="18"/>
      <c r="E177" s="18"/>
      <c r="F177" s="18"/>
      <c r="G177" s="18"/>
      <c r="H177" s="18"/>
      <c r="I177" s="18"/>
      <c r="J177" s="18"/>
      <c r="K177" s="284"/>
      <c r="L177" s="176"/>
      <c r="M177" s="176"/>
      <c r="N177" s="176"/>
      <c r="O177" s="176"/>
      <c r="P177" s="176"/>
      <c r="Q177" s="176"/>
      <c r="R177" s="176"/>
      <c r="S177" s="176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</row>
    <row r="178" spans="1:31" ht="15.75" customHeight="1" x14ac:dyDescent="0.25">
      <c r="A178" s="5"/>
      <c r="B178" s="5"/>
      <c r="C178" s="284"/>
      <c r="D178" s="18"/>
      <c r="E178" s="18"/>
      <c r="F178" s="18"/>
      <c r="G178" s="18"/>
      <c r="H178" s="18"/>
      <c r="I178" s="18"/>
      <c r="J178" s="18"/>
      <c r="K178" s="284"/>
      <c r="L178" s="176"/>
      <c r="M178" s="176"/>
      <c r="N178" s="176"/>
      <c r="O178" s="176"/>
      <c r="P178" s="176"/>
      <c r="Q178" s="176"/>
      <c r="R178" s="176"/>
      <c r="S178" s="176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</row>
    <row r="179" spans="1:31" ht="15.75" customHeight="1" x14ac:dyDescent="0.25">
      <c r="A179" s="5"/>
      <c r="B179" s="5"/>
      <c r="C179" s="284"/>
      <c r="D179" s="18"/>
      <c r="E179" s="18"/>
      <c r="F179" s="18"/>
      <c r="G179" s="18"/>
      <c r="H179" s="18"/>
      <c r="I179" s="18"/>
      <c r="J179" s="18"/>
      <c r="K179" s="284"/>
      <c r="L179" s="176"/>
      <c r="M179" s="176"/>
      <c r="N179" s="176"/>
      <c r="O179" s="176"/>
      <c r="P179" s="176"/>
      <c r="Q179" s="176"/>
      <c r="R179" s="176"/>
      <c r="S179" s="176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</row>
    <row r="180" spans="1:31" ht="15.75" customHeight="1" x14ac:dyDescent="0.25">
      <c r="A180" s="5"/>
      <c r="B180" s="5"/>
      <c r="C180" s="284"/>
      <c r="D180" s="18"/>
      <c r="E180" s="18"/>
      <c r="F180" s="18"/>
      <c r="G180" s="18"/>
      <c r="H180" s="18"/>
      <c r="I180" s="18"/>
      <c r="J180" s="18"/>
      <c r="K180" s="284"/>
      <c r="L180" s="176"/>
      <c r="M180" s="176"/>
      <c r="N180" s="176"/>
      <c r="O180" s="176"/>
      <c r="P180" s="176"/>
      <c r="Q180" s="176"/>
      <c r="R180" s="176"/>
      <c r="S180" s="176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</row>
    <row r="181" spans="1:31" ht="15.75" customHeight="1" x14ac:dyDescent="0.25">
      <c r="A181" s="5"/>
      <c r="B181" s="5"/>
      <c r="C181" s="284"/>
      <c r="D181" s="18"/>
      <c r="E181" s="18"/>
      <c r="F181" s="18"/>
      <c r="G181" s="18"/>
      <c r="H181" s="18"/>
      <c r="I181" s="18"/>
      <c r="J181" s="18"/>
      <c r="K181" s="284"/>
      <c r="L181" s="176"/>
      <c r="M181" s="176"/>
      <c r="N181" s="176"/>
      <c r="O181" s="176"/>
      <c r="P181" s="176"/>
      <c r="Q181" s="176"/>
      <c r="R181" s="176"/>
      <c r="S181" s="176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</row>
    <row r="182" spans="1:31" ht="15.75" customHeight="1" x14ac:dyDescent="0.25">
      <c r="A182" s="5"/>
      <c r="B182" s="5"/>
      <c r="C182" s="284"/>
      <c r="D182" s="18"/>
      <c r="E182" s="18"/>
      <c r="F182" s="18"/>
      <c r="G182" s="18"/>
      <c r="H182" s="18"/>
      <c r="I182" s="18"/>
      <c r="J182" s="18"/>
      <c r="K182" s="284"/>
      <c r="L182" s="176"/>
      <c r="M182" s="176"/>
      <c r="N182" s="176"/>
      <c r="O182" s="176"/>
      <c r="P182" s="176"/>
      <c r="Q182" s="176"/>
      <c r="R182" s="176"/>
      <c r="S182" s="176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</row>
    <row r="183" spans="1:31" ht="15.75" customHeight="1" x14ac:dyDescent="0.25">
      <c r="A183" s="5"/>
      <c r="B183" s="5"/>
      <c r="C183" s="284"/>
      <c r="D183" s="18"/>
      <c r="E183" s="18"/>
      <c r="F183" s="18"/>
      <c r="G183" s="18"/>
      <c r="H183" s="18"/>
      <c r="I183" s="18"/>
      <c r="J183" s="18"/>
      <c r="K183" s="284"/>
      <c r="L183" s="176"/>
      <c r="M183" s="176"/>
      <c r="N183" s="176"/>
      <c r="O183" s="176"/>
      <c r="P183" s="176"/>
      <c r="Q183" s="176"/>
      <c r="R183" s="176"/>
      <c r="S183" s="176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</row>
    <row r="184" spans="1:31" ht="15.75" customHeight="1" x14ac:dyDescent="0.25">
      <c r="A184" s="5"/>
      <c r="B184" s="5"/>
      <c r="C184" s="284"/>
      <c r="D184" s="18"/>
      <c r="E184" s="18"/>
      <c r="F184" s="18"/>
      <c r="G184" s="18"/>
      <c r="H184" s="18"/>
      <c r="I184" s="18"/>
      <c r="J184" s="18"/>
      <c r="K184" s="284"/>
      <c r="L184" s="176"/>
      <c r="M184" s="176"/>
      <c r="N184" s="176"/>
      <c r="O184" s="176"/>
      <c r="P184" s="176"/>
      <c r="Q184" s="176"/>
      <c r="R184" s="176"/>
      <c r="S184" s="176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</row>
    <row r="185" spans="1:31" ht="15.75" customHeight="1" x14ac:dyDescent="0.25">
      <c r="A185" s="5"/>
      <c r="B185" s="5"/>
      <c r="C185" s="284"/>
      <c r="D185" s="18"/>
      <c r="E185" s="18"/>
      <c r="F185" s="18"/>
      <c r="G185" s="18"/>
      <c r="H185" s="18"/>
      <c r="I185" s="18"/>
      <c r="J185" s="18"/>
      <c r="K185" s="284"/>
      <c r="L185" s="176"/>
      <c r="M185" s="176"/>
      <c r="N185" s="176"/>
      <c r="O185" s="176"/>
      <c r="P185" s="176"/>
      <c r="Q185" s="176"/>
      <c r="R185" s="176"/>
      <c r="S185" s="176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</row>
    <row r="186" spans="1:31" ht="15.75" customHeight="1" x14ac:dyDescent="0.25">
      <c r="A186" s="5"/>
      <c r="B186" s="5"/>
      <c r="C186" s="284"/>
      <c r="D186" s="18"/>
      <c r="E186" s="18"/>
      <c r="F186" s="18"/>
      <c r="G186" s="18"/>
      <c r="H186" s="18"/>
      <c r="I186" s="18"/>
      <c r="J186" s="18"/>
      <c r="K186" s="284"/>
      <c r="L186" s="176"/>
      <c r="M186" s="176"/>
      <c r="N186" s="176"/>
      <c r="O186" s="176"/>
      <c r="P186" s="176"/>
      <c r="Q186" s="176"/>
      <c r="R186" s="176"/>
      <c r="S186" s="176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</row>
    <row r="187" spans="1:31" ht="15.75" customHeight="1" x14ac:dyDescent="0.25">
      <c r="A187" s="5"/>
      <c r="B187" s="5"/>
      <c r="C187" s="284"/>
      <c r="D187" s="18"/>
      <c r="E187" s="18"/>
      <c r="F187" s="18"/>
      <c r="G187" s="18"/>
      <c r="H187" s="18"/>
      <c r="I187" s="18"/>
      <c r="J187" s="18"/>
      <c r="K187" s="284"/>
      <c r="L187" s="176"/>
      <c r="M187" s="176"/>
      <c r="N187" s="176"/>
      <c r="O187" s="176"/>
      <c r="P187" s="176"/>
      <c r="Q187" s="176"/>
      <c r="R187" s="176"/>
      <c r="S187" s="176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</row>
    <row r="188" spans="1:31" ht="15.75" customHeight="1" x14ac:dyDescent="0.25">
      <c r="A188" s="5"/>
      <c r="B188" s="5"/>
      <c r="C188" s="284"/>
      <c r="D188" s="18"/>
      <c r="E188" s="18"/>
      <c r="F188" s="18"/>
      <c r="G188" s="18"/>
      <c r="H188" s="18"/>
      <c r="I188" s="18"/>
      <c r="J188" s="18"/>
      <c r="K188" s="284"/>
      <c r="L188" s="176"/>
      <c r="M188" s="176"/>
      <c r="N188" s="176"/>
      <c r="O188" s="176"/>
      <c r="P188" s="176"/>
      <c r="Q188" s="176"/>
      <c r="R188" s="176"/>
      <c r="S188" s="176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</row>
    <row r="189" spans="1:31" ht="15.75" customHeight="1" x14ac:dyDescent="0.25">
      <c r="A189" s="5"/>
      <c r="B189" s="5"/>
      <c r="C189" s="284"/>
      <c r="D189" s="18"/>
      <c r="E189" s="18"/>
      <c r="F189" s="18"/>
      <c r="G189" s="18"/>
      <c r="H189" s="18"/>
      <c r="I189" s="18"/>
      <c r="J189" s="18"/>
      <c r="K189" s="284"/>
      <c r="L189" s="176"/>
      <c r="M189" s="176"/>
      <c r="N189" s="176"/>
      <c r="O189" s="176"/>
      <c r="P189" s="176"/>
      <c r="Q189" s="176"/>
      <c r="R189" s="176"/>
      <c r="S189" s="176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</row>
    <row r="190" spans="1:31" ht="15.75" customHeight="1" x14ac:dyDescent="0.25">
      <c r="A190" s="5"/>
      <c r="B190" s="5"/>
      <c r="C190" s="284"/>
      <c r="D190" s="18"/>
      <c r="E190" s="18"/>
      <c r="F190" s="18"/>
      <c r="G190" s="18"/>
      <c r="H190" s="18"/>
      <c r="I190" s="18"/>
      <c r="J190" s="18"/>
      <c r="K190" s="284"/>
      <c r="L190" s="176"/>
      <c r="M190" s="176"/>
      <c r="N190" s="176"/>
      <c r="O190" s="176"/>
      <c r="P190" s="176"/>
      <c r="Q190" s="176"/>
      <c r="R190" s="176"/>
      <c r="S190" s="176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</row>
    <row r="191" spans="1:31" ht="15.75" customHeight="1" x14ac:dyDescent="0.25">
      <c r="A191" s="5"/>
      <c r="B191" s="5"/>
      <c r="C191" s="284"/>
      <c r="D191" s="18"/>
      <c r="E191" s="18"/>
      <c r="F191" s="18"/>
      <c r="G191" s="18"/>
      <c r="H191" s="18"/>
      <c r="I191" s="18"/>
      <c r="J191" s="18"/>
      <c r="K191" s="284"/>
      <c r="L191" s="176"/>
      <c r="M191" s="176"/>
      <c r="N191" s="176"/>
      <c r="O191" s="176"/>
      <c r="P191" s="176"/>
      <c r="Q191" s="176"/>
      <c r="R191" s="176"/>
      <c r="S191" s="176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</row>
    <row r="192" spans="1:31" ht="15.75" customHeight="1" x14ac:dyDescent="0.25">
      <c r="A192" s="5"/>
      <c r="B192" s="5"/>
      <c r="C192" s="284"/>
      <c r="D192" s="18"/>
      <c r="E192" s="18"/>
      <c r="F192" s="18"/>
      <c r="G192" s="18"/>
      <c r="H192" s="18"/>
      <c r="I192" s="18"/>
      <c r="J192" s="18"/>
      <c r="K192" s="284"/>
      <c r="L192" s="176"/>
      <c r="M192" s="176"/>
      <c r="N192" s="176"/>
      <c r="O192" s="176"/>
      <c r="P192" s="176"/>
      <c r="Q192" s="176"/>
      <c r="R192" s="176"/>
      <c r="S192" s="176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</row>
    <row r="193" spans="1:31" ht="15.75" customHeight="1" x14ac:dyDescent="0.25">
      <c r="A193" s="5"/>
      <c r="B193" s="5"/>
      <c r="C193" s="284"/>
      <c r="D193" s="18"/>
      <c r="E193" s="18"/>
      <c r="F193" s="18"/>
      <c r="G193" s="18"/>
      <c r="H193" s="18"/>
      <c r="I193" s="18"/>
      <c r="J193" s="18"/>
      <c r="K193" s="284"/>
      <c r="L193" s="176"/>
      <c r="M193" s="176"/>
      <c r="N193" s="176"/>
      <c r="O193" s="176"/>
      <c r="P193" s="176"/>
      <c r="Q193" s="176"/>
      <c r="R193" s="176"/>
      <c r="S193" s="176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</row>
    <row r="194" spans="1:31" ht="15.75" customHeight="1" x14ac:dyDescent="0.25">
      <c r="A194" s="5"/>
      <c r="B194" s="5"/>
      <c r="C194" s="284"/>
      <c r="D194" s="18"/>
      <c r="E194" s="209"/>
      <c r="F194" s="209"/>
      <c r="G194" s="18"/>
      <c r="H194" s="18"/>
      <c r="I194" s="18"/>
      <c r="J194" s="18"/>
      <c r="K194" s="284"/>
      <c r="L194" s="176"/>
      <c r="M194" s="176"/>
      <c r="N194" s="176"/>
      <c r="O194" s="176"/>
      <c r="P194" s="176"/>
      <c r="Q194" s="176"/>
      <c r="R194" s="176"/>
      <c r="S194" s="176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</row>
    <row r="195" spans="1:31" ht="15.75" customHeight="1" x14ac:dyDescent="0.25">
      <c r="A195" s="5"/>
      <c r="B195" s="5"/>
      <c r="C195" s="284"/>
      <c r="D195" s="18"/>
      <c r="E195" s="209"/>
      <c r="F195" s="209"/>
      <c r="G195" s="18"/>
      <c r="H195" s="18"/>
      <c r="I195" s="18"/>
      <c r="J195" s="18"/>
      <c r="K195" s="284"/>
      <c r="L195" s="176"/>
      <c r="M195" s="176"/>
      <c r="N195" s="176"/>
      <c r="O195" s="176"/>
      <c r="P195" s="176"/>
      <c r="Q195" s="176"/>
      <c r="R195" s="176"/>
      <c r="S195" s="176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</row>
    <row r="196" spans="1:31" ht="15.75" customHeight="1" x14ac:dyDescent="0.25">
      <c r="A196" s="5"/>
      <c r="B196" s="5"/>
      <c r="C196" s="284"/>
      <c r="D196" s="18"/>
      <c r="E196" s="209" t="s">
        <v>48</v>
      </c>
      <c r="F196" s="209" t="s">
        <v>34</v>
      </c>
      <c r="G196" s="18"/>
      <c r="H196" s="18"/>
      <c r="I196" s="18"/>
      <c r="J196" s="18"/>
      <c r="K196" s="284"/>
      <c r="L196" s="176"/>
      <c r="M196" s="176"/>
      <c r="N196" s="176"/>
      <c r="O196" s="176"/>
      <c r="P196" s="176"/>
      <c r="Q196" s="176"/>
      <c r="R196" s="176"/>
      <c r="S196" s="176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</row>
    <row r="197" spans="1:31" ht="15.75" customHeight="1" x14ac:dyDescent="0.25">
      <c r="A197" s="5"/>
      <c r="B197" s="5"/>
      <c r="C197" s="284"/>
      <c r="D197" s="18"/>
      <c r="E197" s="18" t="s">
        <v>157</v>
      </c>
      <c r="F197" s="18"/>
      <c r="G197" s="18"/>
      <c r="H197" s="18"/>
      <c r="I197" s="18"/>
      <c r="J197" s="18"/>
      <c r="K197" s="284"/>
      <c r="L197" s="176"/>
      <c r="M197" s="176"/>
      <c r="N197" s="176"/>
      <c r="O197" s="176"/>
      <c r="P197" s="176"/>
      <c r="Q197" s="176"/>
      <c r="R197" s="176"/>
      <c r="S197" s="176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</row>
    <row r="198" spans="1:31" ht="15.75" customHeight="1" x14ac:dyDescent="0.25">
      <c r="A198" s="5"/>
      <c r="B198" s="5"/>
      <c r="C198" s="284"/>
      <c r="D198" s="18"/>
      <c r="E198" s="18"/>
      <c r="F198" s="18"/>
      <c r="G198" s="18"/>
      <c r="H198" s="18"/>
      <c r="I198" s="18"/>
      <c r="J198" s="18"/>
      <c r="K198" s="284"/>
      <c r="L198" s="176"/>
      <c r="M198" s="176"/>
      <c r="N198" s="176"/>
      <c r="O198" s="176"/>
      <c r="P198" s="176"/>
      <c r="Q198" s="176"/>
      <c r="R198" s="176"/>
      <c r="S198" s="176"/>
      <c r="T198" s="5"/>
      <c r="U198" s="5"/>
      <c r="V198" s="5"/>
      <c r="W198" s="230"/>
      <c r="X198" s="216"/>
      <c r="Y198" s="5"/>
      <c r="Z198" s="5"/>
      <c r="AA198" s="5"/>
      <c r="AB198" s="5"/>
      <c r="AC198" s="5"/>
      <c r="AD198" s="5"/>
      <c r="AE198" s="5"/>
    </row>
    <row r="199" spans="1:31" ht="15.75" customHeight="1" x14ac:dyDescent="0.25">
      <c r="A199" s="3" t="s">
        <v>50</v>
      </c>
      <c r="B199" s="3" t="s">
        <v>51</v>
      </c>
      <c r="C199" s="292"/>
      <c r="D199" s="99" t="s">
        <v>52</v>
      </c>
      <c r="E199" s="439" t="s">
        <v>53</v>
      </c>
      <c r="F199" s="439" t="s">
        <v>54</v>
      </c>
      <c r="G199" s="439" t="s">
        <v>55</v>
      </c>
      <c r="H199" s="24" t="s">
        <v>56</v>
      </c>
      <c r="I199" s="24" t="s">
        <v>57</v>
      </c>
      <c r="J199" s="101" t="s">
        <v>58</v>
      </c>
      <c r="K199" s="292"/>
      <c r="L199" s="27" t="s">
        <v>59</v>
      </c>
      <c r="M199" s="27" t="s">
        <v>60</v>
      </c>
      <c r="N199" s="27" t="s">
        <v>61</v>
      </c>
      <c r="O199" s="27" t="s">
        <v>62</v>
      </c>
      <c r="P199" s="27" t="s">
        <v>63</v>
      </c>
      <c r="Q199" s="27" t="s">
        <v>64</v>
      </c>
      <c r="R199" s="27" t="s">
        <v>65</v>
      </c>
      <c r="S199" s="27" t="s">
        <v>586</v>
      </c>
      <c r="T199" s="5"/>
      <c r="U199" s="5"/>
      <c r="V199" s="5"/>
      <c r="W199" s="230"/>
      <c r="X199" s="5"/>
      <c r="Y199" s="333"/>
      <c r="Z199" s="5"/>
      <c r="AA199" s="5"/>
      <c r="AB199" s="5"/>
      <c r="AC199" s="5"/>
      <c r="AD199" s="5"/>
      <c r="AE199" s="5"/>
    </row>
    <row r="200" spans="1:31" ht="15.75" customHeight="1" x14ac:dyDescent="0.25">
      <c r="A200" s="102" t="s">
        <v>1671</v>
      </c>
      <c r="B200" s="103"/>
      <c r="C200" s="324"/>
      <c r="D200" s="105"/>
      <c r="E200" s="105"/>
      <c r="F200" s="105"/>
      <c r="G200" s="105"/>
      <c r="H200" s="33"/>
      <c r="I200" s="18"/>
      <c r="J200" s="18"/>
      <c r="K200" s="324"/>
      <c r="L200" s="265"/>
      <c r="M200" s="265"/>
      <c r="N200" s="265"/>
      <c r="O200" s="265"/>
      <c r="P200" s="266"/>
      <c r="Q200" s="266"/>
      <c r="R200" s="176"/>
      <c r="S200" s="176"/>
      <c r="T200" s="5"/>
      <c r="U200" s="5"/>
      <c r="V200" s="5"/>
      <c r="W200" s="6"/>
      <c r="X200" s="203"/>
      <c r="Y200" s="5"/>
      <c r="Z200" s="5"/>
      <c r="AA200" s="5"/>
      <c r="AB200" s="5"/>
      <c r="AC200" s="5"/>
      <c r="AD200" s="5"/>
      <c r="AE200" s="5"/>
    </row>
    <row r="201" spans="1:31" ht="15.75" customHeight="1" x14ac:dyDescent="0.25">
      <c r="A201" s="103" t="s">
        <v>1672</v>
      </c>
      <c r="B201" s="103" t="s">
        <v>70</v>
      </c>
      <c r="C201" s="280"/>
      <c r="D201" s="142">
        <v>497</v>
      </c>
      <c r="E201" s="32">
        <v>0</v>
      </c>
      <c r="F201" s="32">
        <v>0</v>
      </c>
      <c r="G201" s="32">
        <v>0</v>
      </c>
      <c r="H201" s="33">
        <f t="shared" ref="H201:H221" si="50">IFERROR(((Q201-G201)/G201),0)</f>
        <v>0</v>
      </c>
      <c r="I201" s="16">
        <f t="shared" ref="I201:I220" si="51">Q201-G201</f>
        <v>1000</v>
      </c>
      <c r="J201" s="18"/>
      <c r="K201" s="280"/>
      <c r="L201" s="216">
        <v>315</v>
      </c>
      <c r="M201" s="216">
        <v>0</v>
      </c>
      <c r="N201" s="216">
        <v>1000</v>
      </c>
      <c r="O201" s="216">
        <v>0</v>
      </c>
      <c r="P201" s="142">
        <f t="shared" ref="P201:P203" si="52">O201/20*26</f>
        <v>0</v>
      </c>
      <c r="Q201" s="142">
        <v>1000</v>
      </c>
      <c r="R201" s="265">
        <v>1000</v>
      </c>
      <c r="S201" s="176">
        <f t="shared" ref="S201:S220" si="53">R201-Q201</f>
        <v>0</v>
      </c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</row>
    <row r="202" spans="1:31" ht="15.75" customHeight="1" x14ac:dyDescent="0.25">
      <c r="A202" s="103" t="s">
        <v>1673</v>
      </c>
      <c r="B202" s="103" t="s">
        <v>108</v>
      </c>
      <c r="C202" s="280"/>
      <c r="D202" s="142">
        <v>2113</v>
      </c>
      <c r="E202" s="32">
        <v>0</v>
      </c>
      <c r="F202" s="32">
        <v>0</v>
      </c>
      <c r="G202" s="32">
        <v>0</v>
      </c>
      <c r="H202" s="33">
        <f t="shared" si="50"/>
        <v>0</v>
      </c>
      <c r="I202" s="16">
        <f t="shared" si="51"/>
        <v>7200</v>
      </c>
      <c r="J202" s="18"/>
      <c r="K202" s="280"/>
      <c r="L202" s="216">
        <v>4001</v>
      </c>
      <c r="M202" s="216">
        <v>2322.06</v>
      </c>
      <c r="N202" s="216">
        <v>7200</v>
      </c>
      <c r="O202" s="216">
        <v>3082.72</v>
      </c>
      <c r="P202" s="142">
        <f t="shared" si="52"/>
        <v>4007.5360000000001</v>
      </c>
      <c r="Q202" s="142">
        <v>7200</v>
      </c>
      <c r="R202" s="265">
        <v>7200</v>
      </c>
      <c r="S202" s="176">
        <f t="shared" si="53"/>
        <v>0</v>
      </c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</row>
    <row r="203" spans="1:31" ht="15.75" customHeight="1" x14ac:dyDescent="0.25">
      <c r="A203" s="103" t="s">
        <v>1674</v>
      </c>
      <c r="B203" s="103" t="s">
        <v>72</v>
      </c>
      <c r="C203" s="280"/>
      <c r="D203" s="142">
        <v>435</v>
      </c>
      <c r="E203" s="32">
        <v>0</v>
      </c>
      <c r="F203" s="32">
        <v>0</v>
      </c>
      <c r="G203" s="32">
        <v>0</v>
      </c>
      <c r="H203" s="33">
        <f t="shared" si="50"/>
        <v>0</v>
      </c>
      <c r="I203" s="16">
        <f t="shared" si="51"/>
        <v>800</v>
      </c>
      <c r="J203" s="18"/>
      <c r="K203" s="280"/>
      <c r="L203" s="216">
        <v>1114</v>
      </c>
      <c r="M203" s="216">
        <v>211.33</v>
      </c>
      <c r="N203" s="216">
        <v>4000</v>
      </c>
      <c r="O203" s="216">
        <v>250.3</v>
      </c>
      <c r="P203" s="142">
        <f t="shared" si="52"/>
        <v>325.39</v>
      </c>
      <c r="Q203" s="142">
        <v>800</v>
      </c>
      <c r="R203" s="265">
        <v>800</v>
      </c>
      <c r="S203" s="176">
        <f t="shared" si="53"/>
        <v>0</v>
      </c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</row>
    <row r="204" spans="1:31" ht="15.75" customHeight="1" x14ac:dyDescent="0.25">
      <c r="A204" s="103" t="s">
        <v>1675</v>
      </c>
      <c r="B204" s="103" t="s">
        <v>74</v>
      </c>
      <c r="C204" s="280"/>
      <c r="D204" s="142">
        <v>1450</v>
      </c>
      <c r="E204" s="32">
        <v>0</v>
      </c>
      <c r="F204" s="32">
        <v>0</v>
      </c>
      <c r="G204" s="32">
        <v>0</v>
      </c>
      <c r="H204" s="33">
        <f t="shared" si="50"/>
        <v>0</v>
      </c>
      <c r="I204" s="16">
        <f t="shared" si="51"/>
        <v>6520</v>
      </c>
      <c r="J204" s="18"/>
      <c r="K204" s="280"/>
      <c r="L204" s="216">
        <v>2850</v>
      </c>
      <c r="M204" s="216">
        <v>1500</v>
      </c>
      <c r="N204" s="216">
        <v>1650</v>
      </c>
      <c r="O204" s="216">
        <v>3180</v>
      </c>
      <c r="P204" s="272">
        <f t="shared" ref="P204:P205" si="54">O204</f>
        <v>3180</v>
      </c>
      <c r="Q204" s="142">
        <v>6520</v>
      </c>
      <c r="R204" s="265">
        <v>6520</v>
      </c>
      <c r="S204" s="176">
        <f t="shared" si="53"/>
        <v>0</v>
      </c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</row>
    <row r="205" spans="1:31" ht="15.75" customHeight="1" x14ac:dyDescent="0.25">
      <c r="A205" s="103" t="s">
        <v>1676</v>
      </c>
      <c r="B205" s="103" t="s">
        <v>1578</v>
      </c>
      <c r="C205" s="280"/>
      <c r="D205" s="142">
        <v>5636</v>
      </c>
      <c r="E205" s="32">
        <v>0</v>
      </c>
      <c r="F205" s="32">
        <v>0</v>
      </c>
      <c r="G205" s="32">
        <v>0</v>
      </c>
      <c r="H205" s="33">
        <f t="shared" si="50"/>
        <v>0</v>
      </c>
      <c r="I205" s="16">
        <f t="shared" si="51"/>
        <v>19806</v>
      </c>
      <c r="J205" s="18"/>
      <c r="K205" s="280"/>
      <c r="L205" s="216">
        <v>12929</v>
      </c>
      <c r="M205" s="216">
        <v>10322.77</v>
      </c>
      <c r="N205" s="216">
        <v>19460</v>
      </c>
      <c r="O205" s="216">
        <v>27962.12</v>
      </c>
      <c r="P205" s="272">
        <f t="shared" si="54"/>
        <v>27962.12</v>
      </c>
      <c r="Q205" s="142">
        <v>19806</v>
      </c>
      <c r="R205" s="265">
        <v>19806</v>
      </c>
      <c r="S205" s="176">
        <f t="shared" si="53"/>
        <v>0</v>
      </c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</row>
    <row r="206" spans="1:31" ht="15.75" customHeight="1" x14ac:dyDescent="0.25">
      <c r="A206" s="103" t="s">
        <v>1677</v>
      </c>
      <c r="B206" s="103" t="s">
        <v>76</v>
      </c>
      <c r="C206" s="280"/>
      <c r="D206" s="142">
        <v>1834</v>
      </c>
      <c r="E206" s="32">
        <v>0</v>
      </c>
      <c r="F206" s="32">
        <v>0</v>
      </c>
      <c r="G206" s="32">
        <v>0</v>
      </c>
      <c r="H206" s="33">
        <f t="shared" si="50"/>
        <v>0</v>
      </c>
      <c r="I206" s="16">
        <f t="shared" si="51"/>
        <v>33700</v>
      </c>
      <c r="J206" s="18"/>
      <c r="K206" s="280"/>
      <c r="L206" s="216">
        <v>6738</v>
      </c>
      <c r="M206" s="216">
        <v>15896.14</v>
      </c>
      <c r="N206" s="216">
        <v>32000</v>
      </c>
      <c r="O206" s="216">
        <v>5485.58</v>
      </c>
      <c r="P206" s="142">
        <f t="shared" ref="P206:P213" si="55">O206/9*12</f>
        <v>7314.1066666666666</v>
      </c>
      <c r="Q206" s="142">
        <v>33700</v>
      </c>
      <c r="R206" s="265">
        <v>33700</v>
      </c>
      <c r="S206" s="176">
        <f t="shared" si="53"/>
        <v>0</v>
      </c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</row>
    <row r="207" spans="1:31" ht="15.75" customHeight="1" x14ac:dyDescent="0.25">
      <c r="A207" s="103" t="s">
        <v>1678</v>
      </c>
      <c r="B207" s="103" t="s">
        <v>80</v>
      </c>
      <c r="C207" s="280"/>
      <c r="D207" s="142">
        <v>2108</v>
      </c>
      <c r="E207" s="32">
        <v>0</v>
      </c>
      <c r="F207" s="32">
        <v>0</v>
      </c>
      <c r="G207" s="32">
        <v>0</v>
      </c>
      <c r="H207" s="33">
        <f t="shared" si="50"/>
        <v>0</v>
      </c>
      <c r="I207" s="16">
        <f t="shared" si="51"/>
        <v>5600</v>
      </c>
      <c r="J207" s="18"/>
      <c r="K207" s="280"/>
      <c r="L207" s="216">
        <v>992</v>
      </c>
      <c r="M207" s="216">
        <v>2535.2399999999998</v>
      </c>
      <c r="N207" s="216">
        <v>12850</v>
      </c>
      <c r="O207" s="216">
        <v>3596.63</v>
      </c>
      <c r="P207" s="142">
        <f t="shared" si="55"/>
        <v>4795.5066666666671</v>
      </c>
      <c r="Q207" s="142">
        <v>5600</v>
      </c>
      <c r="R207" s="265">
        <v>5600</v>
      </c>
      <c r="S207" s="176">
        <f t="shared" si="53"/>
        <v>0</v>
      </c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</row>
    <row r="208" spans="1:31" ht="15.75" customHeight="1" x14ac:dyDescent="0.25">
      <c r="A208" s="103" t="s">
        <v>1679</v>
      </c>
      <c r="B208" s="103" t="s">
        <v>82</v>
      </c>
      <c r="C208" s="280"/>
      <c r="D208" s="142">
        <v>1419</v>
      </c>
      <c r="E208" s="32">
        <v>0</v>
      </c>
      <c r="F208" s="32">
        <v>0</v>
      </c>
      <c r="G208" s="32">
        <v>0</v>
      </c>
      <c r="H208" s="33">
        <f t="shared" si="50"/>
        <v>0</v>
      </c>
      <c r="I208" s="16">
        <f t="shared" si="51"/>
        <v>17500</v>
      </c>
      <c r="J208" s="18"/>
      <c r="K208" s="280"/>
      <c r="L208" s="216">
        <v>167</v>
      </c>
      <c r="M208" s="216">
        <v>1023</v>
      </c>
      <c r="N208" s="216">
        <v>0</v>
      </c>
      <c r="O208" s="216">
        <v>91.72</v>
      </c>
      <c r="P208" s="142">
        <f t="shared" si="55"/>
        <v>122.29333333333332</v>
      </c>
      <c r="Q208" s="142">
        <v>17500</v>
      </c>
      <c r="R208" s="265">
        <v>17500</v>
      </c>
      <c r="S208" s="176">
        <f t="shared" si="53"/>
        <v>0</v>
      </c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</row>
    <row r="209" spans="1:31" ht="15.75" customHeight="1" x14ac:dyDescent="0.25">
      <c r="A209" s="103" t="s">
        <v>1680</v>
      </c>
      <c r="B209" s="103" t="s">
        <v>115</v>
      </c>
      <c r="C209" s="280"/>
      <c r="D209" s="142">
        <v>0</v>
      </c>
      <c r="E209" s="32">
        <v>0</v>
      </c>
      <c r="F209" s="32">
        <v>0</v>
      </c>
      <c r="G209" s="32">
        <v>0</v>
      </c>
      <c r="H209" s="33">
        <f t="shared" si="50"/>
        <v>0</v>
      </c>
      <c r="I209" s="16">
        <f t="shared" si="51"/>
        <v>1000</v>
      </c>
      <c r="J209" s="18"/>
      <c r="K209" s="280"/>
      <c r="L209" s="216">
        <v>0</v>
      </c>
      <c r="M209" s="216">
        <v>0</v>
      </c>
      <c r="N209" s="216">
        <v>800</v>
      </c>
      <c r="O209" s="216">
        <v>0</v>
      </c>
      <c r="P209" s="142">
        <f t="shared" si="55"/>
        <v>0</v>
      </c>
      <c r="Q209" s="142">
        <v>1000</v>
      </c>
      <c r="R209" s="265">
        <v>1000</v>
      </c>
      <c r="S209" s="176">
        <f t="shared" si="53"/>
        <v>0</v>
      </c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</row>
    <row r="210" spans="1:31" ht="15.75" customHeight="1" x14ac:dyDescent="0.25">
      <c r="A210" s="103" t="s">
        <v>1681</v>
      </c>
      <c r="B210" s="103" t="s">
        <v>210</v>
      </c>
      <c r="C210" s="280"/>
      <c r="D210" s="142">
        <v>0</v>
      </c>
      <c r="E210" s="32">
        <v>0</v>
      </c>
      <c r="F210" s="32">
        <v>0</v>
      </c>
      <c r="G210" s="32">
        <v>0</v>
      </c>
      <c r="H210" s="33">
        <f t="shared" si="50"/>
        <v>0</v>
      </c>
      <c r="I210" s="16">
        <f t="shared" si="51"/>
        <v>1200</v>
      </c>
      <c r="J210" s="18"/>
      <c r="K210" s="280"/>
      <c r="L210" s="216">
        <v>0</v>
      </c>
      <c r="M210" s="216">
        <v>0</v>
      </c>
      <c r="N210" s="216">
        <v>500</v>
      </c>
      <c r="O210" s="216">
        <v>0</v>
      </c>
      <c r="P210" s="142">
        <f t="shared" si="55"/>
        <v>0</v>
      </c>
      <c r="Q210" s="142">
        <v>1200</v>
      </c>
      <c r="R210" s="265">
        <v>1200</v>
      </c>
      <c r="S210" s="176">
        <f t="shared" si="53"/>
        <v>0</v>
      </c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</row>
    <row r="211" spans="1:31" ht="15.75" customHeight="1" x14ac:dyDescent="0.25">
      <c r="A211" s="103" t="s">
        <v>1682</v>
      </c>
      <c r="B211" s="103" t="s">
        <v>86</v>
      </c>
      <c r="C211" s="280"/>
      <c r="D211" s="142">
        <v>0</v>
      </c>
      <c r="E211" s="32">
        <v>0</v>
      </c>
      <c r="F211" s="32">
        <v>0</v>
      </c>
      <c r="G211" s="32">
        <v>0</v>
      </c>
      <c r="H211" s="33">
        <f t="shared" si="50"/>
        <v>0</v>
      </c>
      <c r="I211" s="16">
        <f t="shared" si="51"/>
        <v>11275</v>
      </c>
      <c r="J211" s="18"/>
      <c r="K211" s="280"/>
      <c r="L211" s="216">
        <v>0</v>
      </c>
      <c r="M211" s="216">
        <v>0</v>
      </c>
      <c r="N211" s="216">
        <v>4000</v>
      </c>
      <c r="O211" s="216">
        <v>0</v>
      </c>
      <c r="P211" s="142">
        <f t="shared" si="55"/>
        <v>0</v>
      </c>
      <c r="Q211" s="142">
        <v>11275</v>
      </c>
      <c r="R211" s="265">
        <v>11275</v>
      </c>
      <c r="S211" s="176">
        <f t="shared" si="53"/>
        <v>0</v>
      </c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</row>
    <row r="212" spans="1:31" ht="15.75" customHeight="1" x14ac:dyDescent="0.25">
      <c r="A212" s="103" t="s">
        <v>1683</v>
      </c>
      <c r="B212" s="103" t="s">
        <v>1684</v>
      </c>
      <c r="C212" s="280"/>
      <c r="D212" s="142">
        <v>2265</v>
      </c>
      <c r="E212" s="32">
        <v>0</v>
      </c>
      <c r="F212" s="32">
        <v>0</v>
      </c>
      <c r="G212" s="32">
        <v>0</v>
      </c>
      <c r="H212" s="33">
        <f t="shared" si="50"/>
        <v>0</v>
      </c>
      <c r="I212" s="16">
        <f t="shared" si="51"/>
        <v>4620</v>
      </c>
      <c r="J212" s="18"/>
      <c r="K212" s="280"/>
      <c r="L212" s="216">
        <v>4650</v>
      </c>
      <c r="M212" s="216">
        <v>4200</v>
      </c>
      <c r="N212" s="216">
        <v>0</v>
      </c>
      <c r="O212" s="216">
        <v>0</v>
      </c>
      <c r="P212" s="142">
        <f t="shared" si="55"/>
        <v>0</v>
      </c>
      <c r="Q212" s="142">
        <v>4620</v>
      </c>
      <c r="R212" s="265">
        <v>4620</v>
      </c>
      <c r="S212" s="176">
        <f t="shared" si="53"/>
        <v>0</v>
      </c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</row>
    <row r="213" spans="1:31" ht="15.75" customHeight="1" x14ac:dyDescent="0.25">
      <c r="A213" s="103" t="s">
        <v>1685</v>
      </c>
      <c r="B213" s="103" t="s">
        <v>1686</v>
      </c>
      <c r="C213" s="280"/>
      <c r="D213" s="142">
        <v>1497</v>
      </c>
      <c r="E213" s="32">
        <v>0</v>
      </c>
      <c r="F213" s="32">
        <v>0</v>
      </c>
      <c r="G213" s="32">
        <v>0</v>
      </c>
      <c r="H213" s="33">
        <f t="shared" si="50"/>
        <v>0</v>
      </c>
      <c r="I213" s="16">
        <f t="shared" si="51"/>
        <v>3250</v>
      </c>
      <c r="J213" s="18"/>
      <c r="K213" s="280"/>
      <c r="L213" s="216">
        <v>3144</v>
      </c>
      <c r="M213" s="216">
        <v>1333.49</v>
      </c>
      <c r="N213" s="216">
        <v>7200</v>
      </c>
      <c r="O213" s="216">
        <v>2699.3</v>
      </c>
      <c r="P213" s="142">
        <f t="shared" si="55"/>
        <v>3599.0666666666666</v>
      </c>
      <c r="Q213" s="142">
        <v>3250</v>
      </c>
      <c r="R213" s="265">
        <v>3250</v>
      </c>
      <c r="S213" s="176">
        <f t="shared" si="53"/>
        <v>0</v>
      </c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</row>
    <row r="214" spans="1:31" ht="15.75" customHeight="1" x14ac:dyDescent="0.25">
      <c r="A214" s="103" t="s">
        <v>1687</v>
      </c>
      <c r="B214" s="103" t="s">
        <v>1688</v>
      </c>
      <c r="C214" s="280"/>
      <c r="D214" s="142">
        <v>60000</v>
      </c>
      <c r="E214" s="32">
        <v>0</v>
      </c>
      <c r="F214" s="32">
        <v>0</v>
      </c>
      <c r="G214" s="32">
        <v>0</v>
      </c>
      <c r="H214" s="33">
        <f t="shared" si="50"/>
        <v>0</v>
      </c>
      <c r="I214" s="16">
        <f t="shared" si="51"/>
        <v>148000</v>
      </c>
      <c r="J214" s="18"/>
      <c r="K214" s="280"/>
      <c r="L214" s="216">
        <v>116000</v>
      </c>
      <c r="M214" s="216">
        <v>129752</v>
      </c>
      <c r="N214" s="216">
        <v>142000</v>
      </c>
      <c r="O214" s="216">
        <v>136281.06</v>
      </c>
      <c r="P214" s="272">
        <f>O214</f>
        <v>136281.06</v>
      </c>
      <c r="Q214" s="142">
        <v>148000</v>
      </c>
      <c r="R214" s="265">
        <v>148000</v>
      </c>
      <c r="S214" s="176">
        <f t="shared" si="53"/>
        <v>0</v>
      </c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</row>
    <row r="215" spans="1:31" ht="15.75" customHeight="1" x14ac:dyDescent="0.25">
      <c r="A215" s="103" t="s">
        <v>1689</v>
      </c>
      <c r="B215" s="103" t="s">
        <v>468</v>
      </c>
      <c r="C215" s="280"/>
      <c r="D215" s="142">
        <v>0</v>
      </c>
      <c r="E215" s="32">
        <v>0</v>
      </c>
      <c r="F215" s="32">
        <v>0</v>
      </c>
      <c r="G215" s="32">
        <v>0</v>
      </c>
      <c r="H215" s="33">
        <f t="shared" si="50"/>
        <v>0</v>
      </c>
      <c r="I215" s="16">
        <f t="shared" si="51"/>
        <v>1500</v>
      </c>
      <c r="J215" s="18"/>
      <c r="K215" s="280"/>
      <c r="L215" s="216">
        <v>0</v>
      </c>
      <c r="M215" s="216">
        <v>0</v>
      </c>
      <c r="N215" s="216">
        <v>1000</v>
      </c>
      <c r="O215" s="216">
        <v>90</v>
      </c>
      <c r="P215" s="142">
        <f t="shared" ref="P215:P216" si="56">O215/9*12</f>
        <v>120</v>
      </c>
      <c r="Q215" s="142">
        <v>1500</v>
      </c>
      <c r="R215" s="265">
        <v>1500</v>
      </c>
      <c r="S215" s="176">
        <f t="shared" si="53"/>
        <v>0</v>
      </c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</row>
    <row r="216" spans="1:31" ht="15.75" customHeight="1" x14ac:dyDescent="0.25">
      <c r="A216" s="103" t="s">
        <v>1690</v>
      </c>
      <c r="B216" s="103" t="s">
        <v>92</v>
      </c>
      <c r="C216" s="323"/>
      <c r="D216" s="320">
        <v>0</v>
      </c>
      <c r="E216" s="32">
        <v>0</v>
      </c>
      <c r="F216" s="32">
        <v>0</v>
      </c>
      <c r="G216" s="32">
        <v>0</v>
      </c>
      <c r="H216" s="33">
        <f t="shared" si="50"/>
        <v>0</v>
      </c>
      <c r="I216" s="16">
        <f t="shared" si="51"/>
        <v>175</v>
      </c>
      <c r="J216" s="18"/>
      <c r="K216" s="280"/>
      <c r="L216" s="216">
        <v>52</v>
      </c>
      <c r="M216" s="216">
        <v>53.92</v>
      </c>
      <c r="N216" s="216">
        <v>100</v>
      </c>
      <c r="O216" s="216">
        <v>77.459999999999994</v>
      </c>
      <c r="P216" s="142">
        <f t="shared" si="56"/>
        <v>103.27999999999999</v>
      </c>
      <c r="Q216" s="142">
        <v>175</v>
      </c>
      <c r="R216" s="265">
        <v>175</v>
      </c>
      <c r="S216" s="176">
        <f t="shared" si="53"/>
        <v>0</v>
      </c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</row>
    <row r="217" spans="1:31" ht="15.75" customHeight="1" x14ac:dyDescent="0.25">
      <c r="A217" s="103" t="s">
        <v>1691</v>
      </c>
      <c r="B217" s="103" t="s">
        <v>94</v>
      </c>
      <c r="C217" s="280"/>
      <c r="D217" s="142">
        <v>2841</v>
      </c>
      <c r="E217" s="32">
        <v>0</v>
      </c>
      <c r="F217" s="32">
        <v>0</v>
      </c>
      <c r="G217" s="32">
        <v>0</v>
      </c>
      <c r="H217" s="33">
        <f t="shared" si="50"/>
        <v>0</v>
      </c>
      <c r="I217" s="16">
        <f t="shared" si="51"/>
        <v>15000</v>
      </c>
      <c r="J217" s="18"/>
      <c r="K217" s="280"/>
      <c r="L217" s="216">
        <v>8658</v>
      </c>
      <c r="M217" s="216">
        <v>7550.46</v>
      </c>
      <c r="N217" s="216">
        <v>7850</v>
      </c>
      <c r="O217" s="216">
        <v>10180.75</v>
      </c>
      <c r="P217" s="272">
        <f t="shared" ref="P217:P219" si="57">O217</f>
        <v>10180.75</v>
      </c>
      <c r="Q217" s="142">
        <v>15000</v>
      </c>
      <c r="R217" s="265">
        <v>15000</v>
      </c>
      <c r="S217" s="176">
        <f t="shared" si="53"/>
        <v>0</v>
      </c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</row>
    <row r="218" spans="1:31" ht="15.75" customHeight="1" x14ac:dyDescent="0.25">
      <c r="A218" s="103" t="s">
        <v>1692</v>
      </c>
      <c r="B218" s="103" t="s">
        <v>1693</v>
      </c>
      <c r="C218" s="280"/>
      <c r="D218" s="142">
        <v>71900</v>
      </c>
      <c r="E218" s="32">
        <v>0</v>
      </c>
      <c r="F218" s="32">
        <v>0</v>
      </c>
      <c r="G218" s="32">
        <v>0</v>
      </c>
      <c r="H218" s="33">
        <f t="shared" si="50"/>
        <v>0</v>
      </c>
      <c r="I218" s="16">
        <f t="shared" si="51"/>
        <v>163300</v>
      </c>
      <c r="J218" s="18"/>
      <c r="K218" s="280"/>
      <c r="L218" s="216">
        <v>122990</v>
      </c>
      <c r="M218" s="216">
        <v>136685</v>
      </c>
      <c r="N218" s="216">
        <v>161300</v>
      </c>
      <c r="O218" s="216">
        <v>142610</v>
      </c>
      <c r="P218" s="272">
        <f t="shared" si="57"/>
        <v>142610</v>
      </c>
      <c r="Q218" s="142">
        <v>163300</v>
      </c>
      <c r="R218" s="265">
        <v>163300</v>
      </c>
      <c r="S218" s="176">
        <f t="shared" si="53"/>
        <v>0</v>
      </c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</row>
    <row r="219" spans="1:31" ht="15.75" customHeight="1" x14ac:dyDescent="0.25">
      <c r="A219" s="103" t="s">
        <v>1694</v>
      </c>
      <c r="B219" s="103" t="s">
        <v>1695</v>
      </c>
      <c r="C219" s="280"/>
      <c r="D219" s="142">
        <v>4500</v>
      </c>
      <c r="E219" s="32">
        <v>0</v>
      </c>
      <c r="F219" s="32">
        <v>0</v>
      </c>
      <c r="G219" s="32">
        <v>0</v>
      </c>
      <c r="H219" s="33">
        <f t="shared" si="50"/>
        <v>0</v>
      </c>
      <c r="I219" s="16">
        <f t="shared" si="51"/>
        <v>6615</v>
      </c>
      <c r="J219" s="18"/>
      <c r="K219" s="280"/>
      <c r="L219" s="216">
        <v>6000</v>
      </c>
      <c r="M219" s="216">
        <v>6723.75</v>
      </c>
      <c r="N219" s="216">
        <v>6300</v>
      </c>
      <c r="O219" s="216">
        <v>6150</v>
      </c>
      <c r="P219" s="272">
        <f t="shared" si="57"/>
        <v>6150</v>
      </c>
      <c r="Q219" s="142">
        <v>6615</v>
      </c>
      <c r="R219" s="265">
        <v>6615</v>
      </c>
      <c r="S219" s="176">
        <f t="shared" si="53"/>
        <v>0</v>
      </c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</row>
    <row r="220" spans="1:31" ht="15.75" customHeight="1" x14ac:dyDescent="0.25">
      <c r="A220" s="103" t="s">
        <v>1696</v>
      </c>
      <c r="B220" s="103" t="s">
        <v>1697</v>
      </c>
      <c r="C220" s="280"/>
      <c r="D220" s="142">
        <v>4842</v>
      </c>
      <c r="E220" s="32">
        <v>0</v>
      </c>
      <c r="F220" s="32">
        <v>0</v>
      </c>
      <c r="G220" s="32">
        <v>0</v>
      </c>
      <c r="H220" s="33">
        <f t="shared" si="50"/>
        <v>0</v>
      </c>
      <c r="I220" s="16">
        <f t="shared" si="51"/>
        <v>12000</v>
      </c>
      <c r="J220" s="18"/>
      <c r="K220" s="280"/>
      <c r="L220" s="216">
        <v>19800</v>
      </c>
      <c r="M220" s="216">
        <v>18200</v>
      </c>
      <c r="N220" s="216">
        <v>22000</v>
      </c>
      <c r="O220" s="216">
        <v>18600</v>
      </c>
      <c r="P220" s="272">
        <f>N220</f>
        <v>22000</v>
      </c>
      <c r="Q220" s="142">
        <v>12000</v>
      </c>
      <c r="R220" s="265">
        <v>12000</v>
      </c>
      <c r="S220" s="176">
        <f t="shared" si="53"/>
        <v>0</v>
      </c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</row>
    <row r="221" spans="1:31" ht="15.75" customHeight="1" x14ac:dyDescent="0.25">
      <c r="A221" s="47" t="s">
        <v>1698</v>
      </c>
      <c r="B221" s="48"/>
      <c r="C221" s="325"/>
      <c r="D221" s="113">
        <f t="shared" ref="D221:G221" si="58">SUM(D200:D220)</f>
        <v>163337</v>
      </c>
      <c r="E221" s="113">
        <f t="shared" si="58"/>
        <v>0</v>
      </c>
      <c r="F221" s="113">
        <f t="shared" si="58"/>
        <v>0</v>
      </c>
      <c r="G221" s="113">
        <f t="shared" si="58"/>
        <v>0</v>
      </c>
      <c r="H221" s="42">
        <f t="shared" si="50"/>
        <v>0</v>
      </c>
      <c r="I221" s="50">
        <f t="shared" ref="I221:J221" si="59">SUM(I201:I220)</f>
        <v>460061</v>
      </c>
      <c r="J221" s="283">
        <f t="shared" si="59"/>
        <v>0</v>
      </c>
      <c r="K221" s="325"/>
      <c r="L221" s="110">
        <f t="shared" ref="L221:S221" si="60">SUM(L200:L220)</f>
        <v>310400</v>
      </c>
      <c r="M221" s="110">
        <f t="shared" si="60"/>
        <v>338309.16000000003</v>
      </c>
      <c r="N221" s="110">
        <f t="shared" si="60"/>
        <v>431210</v>
      </c>
      <c r="O221" s="110">
        <f t="shared" si="60"/>
        <v>360337.64</v>
      </c>
      <c r="P221" s="111">
        <f t="shared" si="60"/>
        <v>368751.10933333333</v>
      </c>
      <c r="Q221" s="111">
        <f t="shared" si="60"/>
        <v>460061</v>
      </c>
      <c r="R221" s="110">
        <f t="shared" si="60"/>
        <v>460061</v>
      </c>
      <c r="S221" s="110">
        <f t="shared" si="60"/>
        <v>0</v>
      </c>
      <c r="T221" s="5"/>
      <c r="U221" s="5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</row>
    <row r="222" spans="1:31" ht="15.75" customHeight="1" x14ac:dyDescent="0.25">
      <c r="A222" s="5"/>
      <c r="B222" s="5"/>
      <c r="C222" s="284"/>
      <c r="D222" s="18"/>
      <c r="E222" s="18"/>
      <c r="F222" s="18"/>
      <c r="G222" s="18"/>
      <c r="H222" s="18"/>
      <c r="I222" s="18"/>
      <c r="J222" s="18"/>
      <c r="K222" s="284"/>
      <c r="L222" s="176"/>
      <c r="M222" s="176"/>
      <c r="N222" s="176"/>
      <c r="O222" s="176"/>
      <c r="P222" s="176"/>
      <c r="Q222" s="176"/>
      <c r="R222" s="176"/>
      <c r="S222" s="176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</row>
    <row r="223" spans="1:31" ht="15.75" customHeight="1" x14ac:dyDescent="0.25">
      <c r="A223" s="6" t="s">
        <v>184</v>
      </c>
      <c r="B223" s="5"/>
      <c r="C223" s="284"/>
      <c r="D223" s="18"/>
      <c r="E223" s="18"/>
      <c r="F223" s="18"/>
      <c r="G223" s="18"/>
      <c r="H223" s="18"/>
      <c r="I223" s="18"/>
      <c r="J223" s="18"/>
      <c r="K223" s="284"/>
      <c r="L223" s="176"/>
      <c r="M223" s="176"/>
      <c r="N223" s="176"/>
      <c r="O223" s="176"/>
      <c r="P223" s="176"/>
      <c r="Q223" s="176"/>
      <c r="R223" s="176"/>
      <c r="S223" s="176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</row>
    <row r="224" spans="1:31" ht="15.75" customHeight="1" x14ac:dyDescent="0.25">
      <c r="A224" s="6" t="s">
        <v>1699</v>
      </c>
      <c r="B224" s="6" t="s">
        <v>1700</v>
      </c>
      <c r="C224" s="285"/>
      <c r="D224" s="16">
        <v>-52666.25</v>
      </c>
      <c r="E224" s="32">
        <v>0</v>
      </c>
      <c r="F224" s="32">
        <v>0</v>
      </c>
      <c r="G224" s="32">
        <v>0</v>
      </c>
      <c r="H224" s="33"/>
      <c r="I224" s="18"/>
      <c r="J224" s="109"/>
      <c r="K224" s="285"/>
      <c r="L224" s="176">
        <v>-93975</v>
      </c>
      <c r="M224" s="176">
        <v>-117000</v>
      </c>
      <c r="N224" s="176">
        <v>-97000</v>
      </c>
      <c r="O224" s="176">
        <v>-127675</v>
      </c>
      <c r="P224" s="438">
        <f t="shared" ref="P224:P226" si="61">O224</f>
        <v>-127675</v>
      </c>
      <c r="Q224" s="140">
        <v>-120000</v>
      </c>
      <c r="R224" s="176">
        <v>-120000</v>
      </c>
      <c r="S224" s="176">
        <f t="shared" ref="S224:S226" si="62">R224-Q224</f>
        <v>0</v>
      </c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</row>
    <row r="225" spans="1:31" ht="15.75" customHeight="1" x14ac:dyDescent="0.25">
      <c r="A225" s="6" t="s">
        <v>1701</v>
      </c>
      <c r="B225" s="6" t="s">
        <v>1702</v>
      </c>
      <c r="C225" s="285"/>
      <c r="D225" s="16">
        <v>-140732.24</v>
      </c>
      <c r="E225" s="32">
        <v>0</v>
      </c>
      <c r="F225" s="32">
        <v>0</v>
      </c>
      <c r="G225" s="32">
        <v>0</v>
      </c>
      <c r="H225" s="33"/>
      <c r="I225" s="18"/>
      <c r="J225" s="109"/>
      <c r="K225" s="285"/>
      <c r="L225" s="176">
        <v>-209353.35</v>
      </c>
      <c r="M225" s="176">
        <v>-248503.93</v>
      </c>
      <c r="N225" s="176">
        <v>-285000</v>
      </c>
      <c r="O225" s="176">
        <v>-256263.96</v>
      </c>
      <c r="P225" s="438">
        <f t="shared" si="61"/>
        <v>-256263.96</v>
      </c>
      <c r="Q225" s="140">
        <v>-250000</v>
      </c>
      <c r="R225" s="176">
        <v>-250000</v>
      </c>
      <c r="S225" s="176">
        <f t="shared" si="62"/>
        <v>0</v>
      </c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</row>
    <row r="226" spans="1:31" ht="15.75" customHeight="1" x14ac:dyDescent="0.25">
      <c r="A226" s="6" t="s">
        <v>1703</v>
      </c>
      <c r="B226" s="6" t="s">
        <v>1704</v>
      </c>
      <c r="C226" s="285"/>
      <c r="D226" s="16">
        <v>-4645</v>
      </c>
      <c r="E226" s="32">
        <v>0</v>
      </c>
      <c r="F226" s="32">
        <v>0</v>
      </c>
      <c r="G226" s="32">
        <v>0</v>
      </c>
      <c r="H226" s="33">
        <f t="shared" ref="H226:H227" si="63">IFERROR(((Q226-G226)/G226),0)</f>
        <v>0</v>
      </c>
      <c r="I226" s="16">
        <f>Q226-G226</f>
        <v>-800</v>
      </c>
      <c r="J226" s="109"/>
      <c r="K226" s="285"/>
      <c r="L226" s="176">
        <v>-615</v>
      </c>
      <c r="M226" s="176">
        <v>-310</v>
      </c>
      <c r="N226" s="176">
        <v>-15500</v>
      </c>
      <c r="O226" s="176">
        <v>-919.9</v>
      </c>
      <c r="P226" s="438">
        <f t="shared" si="61"/>
        <v>-919.9</v>
      </c>
      <c r="Q226" s="140">
        <v>-800</v>
      </c>
      <c r="R226" s="176">
        <v>-800</v>
      </c>
      <c r="S226" s="176">
        <f t="shared" si="62"/>
        <v>0</v>
      </c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</row>
    <row r="227" spans="1:31" ht="15.75" customHeight="1" x14ac:dyDescent="0.25">
      <c r="A227" s="11" t="s">
        <v>189</v>
      </c>
      <c r="B227" s="11"/>
      <c r="C227" s="282"/>
      <c r="D227" s="50">
        <f t="shared" ref="D227:G227" si="64">SUM(D223:D226)</f>
        <v>-198043.49</v>
      </c>
      <c r="E227" s="50">
        <f t="shared" si="64"/>
        <v>0</v>
      </c>
      <c r="F227" s="50">
        <f t="shared" si="64"/>
        <v>0</v>
      </c>
      <c r="G227" s="50">
        <f t="shared" si="64"/>
        <v>0</v>
      </c>
      <c r="H227" s="42">
        <f t="shared" si="63"/>
        <v>0</v>
      </c>
      <c r="I227" s="50">
        <f t="shared" ref="I227:J227" si="65">SUM(I223:I226)</f>
        <v>-800</v>
      </c>
      <c r="J227" s="50">
        <f t="shared" si="65"/>
        <v>0</v>
      </c>
      <c r="K227" s="282"/>
      <c r="L227" s="110">
        <f t="shared" ref="L227:S227" si="66">SUM(L223:L226)</f>
        <v>-303943.34999999998</v>
      </c>
      <c r="M227" s="110">
        <f t="shared" si="66"/>
        <v>-365813.93</v>
      </c>
      <c r="N227" s="110">
        <f t="shared" si="66"/>
        <v>-397500</v>
      </c>
      <c r="O227" s="110">
        <f t="shared" si="66"/>
        <v>-384858.86</v>
      </c>
      <c r="P227" s="111">
        <f t="shared" si="66"/>
        <v>-384858.86</v>
      </c>
      <c r="Q227" s="111">
        <f t="shared" si="66"/>
        <v>-370800</v>
      </c>
      <c r="R227" s="110">
        <f t="shared" si="66"/>
        <v>-370800</v>
      </c>
      <c r="S227" s="110">
        <f t="shared" si="66"/>
        <v>0</v>
      </c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</row>
    <row r="228" spans="1:31" ht="15.75" customHeight="1" x14ac:dyDescent="0.25">
      <c r="A228" s="5"/>
      <c r="B228" s="5"/>
      <c r="C228" s="284"/>
      <c r="D228" s="18"/>
      <c r="E228" s="18"/>
      <c r="F228" s="18"/>
      <c r="G228" s="18"/>
      <c r="H228" s="18"/>
      <c r="I228" s="18"/>
      <c r="J228" s="18"/>
      <c r="K228" s="284"/>
      <c r="L228" s="176"/>
      <c r="M228" s="176"/>
      <c r="N228" s="176"/>
      <c r="O228" s="176"/>
      <c r="P228" s="176"/>
      <c r="Q228" s="176"/>
      <c r="R228" s="176"/>
      <c r="S228" s="176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</row>
    <row r="229" spans="1:31" ht="15.75" customHeight="1" x14ac:dyDescent="0.25">
      <c r="A229" s="11" t="s">
        <v>190</v>
      </c>
      <c r="B229" s="5"/>
      <c r="C229" s="282"/>
      <c r="D229" s="50">
        <f t="shared" ref="D229:G229" si="67">D227+D221</f>
        <v>-34706.489999999991</v>
      </c>
      <c r="E229" s="50">
        <f t="shared" si="67"/>
        <v>0</v>
      </c>
      <c r="F229" s="50">
        <f t="shared" si="67"/>
        <v>0</v>
      </c>
      <c r="G229" s="50">
        <f t="shared" si="67"/>
        <v>0</v>
      </c>
      <c r="H229" s="42">
        <f>IFERROR(((Q229-G229)/G229),0)</f>
        <v>0</v>
      </c>
      <c r="I229" s="113">
        <f>Q229-G229</f>
        <v>89261</v>
      </c>
      <c r="J229" s="50">
        <f>SUM(J228)</f>
        <v>0</v>
      </c>
      <c r="K229" s="282"/>
      <c r="L229" s="110">
        <f t="shared" ref="L229:S229" si="68">L227+L221</f>
        <v>6456.6500000000233</v>
      </c>
      <c r="M229" s="110">
        <f t="shared" si="68"/>
        <v>-27504.76999999996</v>
      </c>
      <c r="N229" s="110">
        <f t="shared" si="68"/>
        <v>33710</v>
      </c>
      <c r="O229" s="110">
        <f t="shared" si="68"/>
        <v>-24521.219999999972</v>
      </c>
      <c r="P229" s="111">
        <f t="shared" si="68"/>
        <v>-16107.75066666666</v>
      </c>
      <c r="Q229" s="111">
        <f t="shared" si="68"/>
        <v>89261</v>
      </c>
      <c r="R229" s="110">
        <f t="shared" si="68"/>
        <v>89261</v>
      </c>
      <c r="S229" s="110">
        <f t="shared" si="68"/>
        <v>0</v>
      </c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</row>
    <row r="230" spans="1:31" ht="15.75" customHeight="1" x14ac:dyDescent="0.25">
      <c r="A230" s="5"/>
      <c r="B230" s="5"/>
      <c r="C230" s="284"/>
      <c r="D230" s="5"/>
      <c r="E230" s="5"/>
      <c r="F230" s="5"/>
      <c r="G230" s="5"/>
      <c r="H230" s="5"/>
      <c r="I230" s="5"/>
      <c r="J230" s="5"/>
      <c r="K230" s="284"/>
      <c r="L230" s="176"/>
      <c r="M230" s="176"/>
      <c r="N230" s="176"/>
      <c r="O230" s="176"/>
      <c r="P230" s="176"/>
      <c r="Q230" s="176"/>
      <c r="R230" s="176"/>
      <c r="S230" s="176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</row>
    <row r="231" spans="1:31" ht="15.75" customHeight="1" x14ac:dyDescent="0.2">
      <c r="A231" s="5"/>
      <c r="B231" s="5"/>
      <c r="C231" s="284"/>
      <c r="D231" s="5"/>
      <c r="E231" s="5"/>
      <c r="F231" s="5"/>
      <c r="G231" s="5"/>
      <c r="H231" s="5"/>
      <c r="I231" s="5"/>
      <c r="J231" s="5"/>
      <c r="K231" s="284"/>
      <c r="L231" s="345" t="s">
        <v>102</v>
      </c>
      <c r="M231" s="346" t="s">
        <v>59</v>
      </c>
      <c r="N231" s="345" t="s">
        <v>60</v>
      </c>
      <c r="O231" s="345" t="s">
        <v>61</v>
      </c>
      <c r="P231" s="345" t="s">
        <v>62</v>
      </c>
      <c r="Q231" s="345" t="s">
        <v>63</v>
      </c>
      <c r="R231" s="345" t="s">
        <v>64</v>
      </c>
      <c r="S231" s="346" t="s">
        <v>65</v>
      </c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</row>
    <row r="232" spans="1:31" ht="15.75" customHeight="1" x14ac:dyDescent="0.2">
      <c r="A232" s="5"/>
      <c r="B232" s="269"/>
      <c r="C232" s="434"/>
      <c r="D232" s="269"/>
      <c r="E232" s="269"/>
      <c r="F232" s="5"/>
      <c r="G232" s="5"/>
      <c r="H232" s="5"/>
      <c r="I232" s="5"/>
      <c r="J232" s="5"/>
      <c r="K232" s="284"/>
      <c r="L232" s="436" t="s">
        <v>103</v>
      </c>
      <c r="M232" s="179">
        <f t="shared" ref="M232:S232" si="69">L221</f>
        <v>310400</v>
      </c>
      <c r="N232" s="179">
        <f t="shared" si="69"/>
        <v>338309.16000000003</v>
      </c>
      <c r="O232" s="179">
        <f t="shared" si="69"/>
        <v>431210</v>
      </c>
      <c r="P232" s="179">
        <f t="shared" si="69"/>
        <v>360337.64</v>
      </c>
      <c r="Q232" s="179">
        <f t="shared" si="69"/>
        <v>368751.10933333333</v>
      </c>
      <c r="R232" s="179">
        <f t="shared" si="69"/>
        <v>460061</v>
      </c>
      <c r="S232" s="179">
        <f t="shared" si="69"/>
        <v>460061</v>
      </c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</row>
    <row r="233" spans="1:31" ht="15.75" customHeight="1" x14ac:dyDescent="0.25">
      <c r="A233" s="5"/>
      <c r="B233" s="115"/>
      <c r="C233" s="284"/>
      <c r="D233" s="5"/>
      <c r="E233" s="5"/>
      <c r="F233" s="5"/>
      <c r="G233" s="5"/>
      <c r="H233" s="5"/>
      <c r="I233" s="5"/>
      <c r="J233" s="5"/>
      <c r="K233" s="284"/>
      <c r="L233" s="176"/>
      <c r="M233" s="176"/>
      <c r="N233" s="176"/>
      <c r="O233" s="176"/>
      <c r="P233" s="372"/>
      <c r="Q233" s="176"/>
      <c r="R233" s="176"/>
      <c r="S233" s="176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</row>
    <row r="234" spans="1:31" ht="15.75" customHeight="1" x14ac:dyDescent="0.25">
      <c r="A234" s="5"/>
      <c r="B234" s="5"/>
      <c r="C234" s="284"/>
      <c r="D234" s="5"/>
      <c r="E234" s="5"/>
      <c r="F234" s="5"/>
      <c r="G234" s="5"/>
      <c r="H234" s="5"/>
      <c r="I234" s="5"/>
      <c r="J234" s="5"/>
      <c r="K234" s="284"/>
      <c r="L234" s="176"/>
      <c r="M234" s="176"/>
      <c r="N234" s="176"/>
      <c r="O234" s="176"/>
      <c r="P234" s="176"/>
      <c r="Q234" s="176"/>
      <c r="R234" s="176"/>
      <c r="S234" s="176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</row>
    <row r="235" spans="1:31" ht="15.75" customHeight="1" x14ac:dyDescent="0.25">
      <c r="A235" s="5"/>
      <c r="B235" s="5"/>
      <c r="C235" s="284"/>
      <c r="D235" s="5"/>
      <c r="E235" s="5"/>
      <c r="F235" s="5"/>
      <c r="G235" s="5"/>
      <c r="H235" s="5"/>
      <c r="I235" s="5"/>
      <c r="J235" s="5"/>
      <c r="K235" s="284"/>
      <c r="L235" s="176"/>
      <c r="M235" s="176"/>
      <c r="N235" s="176"/>
      <c r="O235" s="176"/>
      <c r="P235" s="176"/>
      <c r="Q235" s="176"/>
      <c r="R235" s="176"/>
      <c r="S235" s="176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</row>
    <row r="236" spans="1:31" ht="15.75" customHeight="1" x14ac:dyDescent="0.25">
      <c r="A236" s="5"/>
      <c r="B236" s="5"/>
      <c r="C236" s="284"/>
      <c r="D236" s="5"/>
      <c r="E236" s="5"/>
      <c r="F236" s="5"/>
      <c r="G236" s="5"/>
      <c r="H236" s="5"/>
      <c r="I236" s="5"/>
      <c r="J236" s="5"/>
      <c r="K236" s="284"/>
      <c r="L236" s="176"/>
      <c r="M236" s="176"/>
      <c r="N236" s="176"/>
      <c r="O236" s="176"/>
      <c r="P236" s="176"/>
      <c r="Q236" s="176"/>
      <c r="R236" s="176"/>
      <c r="S236" s="176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</row>
    <row r="237" spans="1:31" ht="15.75" customHeight="1" x14ac:dyDescent="0.25">
      <c r="A237" s="5"/>
      <c r="B237" s="5"/>
      <c r="C237" s="284"/>
      <c r="D237" s="5"/>
      <c r="E237" s="5"/>
      <c r="F237" s="5"/>
      <c r="G237" s="5"/>
      <c r="H237" s="5"/>
      <c r="I237" s="5"/>
      <c r="J237" s="5"/>
      <c r="K237" s="284"/>
      <c r="L237" s="176"/>
      <c r="M237" s="176"/>
      <c r="N237" s="176"/>
      <c r="O237" s="176"/>
      <c r="P237" s="176"/>
      <c r="Q237" s="176"/>
      <c r="R237" s="176"/>
      <c r="S237" s="176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</row>
    <row r="238" spans="1:31" ht="15.75" customHeight="1" x14ac:dyDescent="0.25">
      <c r="A238" s="5"/>
      <c r="B238" s="5"/>
      <c r="C238" s="284"/>
      <c r="D238" s="5"/>
      <c r="E238" s="5"/>
      <c r="F238" s="5"/>
      <c r="G238" s="5"/>
      <c r="H238" s="5"/>
      <c r="I238" s="5"/>
      <c r="J238" s="5"/>
      <c r="K238" s="284"/>
      <c r="L238" s="176"/>
      <c r="M238" s="176"/>
      <c r="N238" s="176"/>
      <c r="O238" s="176"/>
      <c r="P238" s="176"/>
      <c r="Q238" s="176"/>
      <c r="R238" s="176"/>
      <c r="S238" s="176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</row>
    <row r="239" spans="1:31" ht="15.75" customHeight="1" x14ac:dyDescent="0.25">
      <c r="A239" s="5"/>
      <c r="B239" s="5"/>
      <c r="C239" s="284"/>
      <c r="D239" s="5"/>
      <c r="E239" s="5"/>
      <c r="F239" s="5"/>
      <c r="G239" s="5"/>
      <c r="H239" s="5"/>
      <c r="I239" s="5"/>
      <c r="J239" s="5"/>
      <c r="K239" s="284"/>
      <c r="L239" s="176"/>
      <c r="M239" s="176"/>
      <c r="N239" s="176"/>
      <c r="O239" s="176"/>
      <c r="P239" s="176"/>
      <c r="Q239" s="176"/>
      <c r="R239" s="176"/>
      <c r="S239" s="176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</row>
    <row r="240" spans="1:31" ht="15.75" customHeight="1" x14ac:dyDescent="0.25">
      <c r="A240" s="5"/>
      <c r="B240" s="5"/>
      <c r="C240" s="284"/>
      <c r="D240" s="5"/>
      <c r="E240" s="5"/>
      <c r="F240" s="5"/>
      <c r="G240" s="5"/>
      <c r="H240" s="5"/>
      <c r="I240" s="5"/>
      <c r="J240" s="5"/>
      <c r="K240" s="284"/>
      <c r="L240" s="176"/>
      <c r="M240" s="176"/>
      <c r="N240" s="176"/>
      <c r="O240" s="176"/>
      <c r="P240" s="176"/>
      <c r="Q240" s="176"/>
      <c r="R240" s="176"/>
      <c r="S240" s="176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</row>
    <row r="241" spans="1:31" ht="15.75" customHeight="1" x14ac:dyDescent="0.25">
      <c r="A241" s="5"/>
      <c r="B241" s="5"/>
      <c r="C241" s="284"/>
      <c r="D241" s="5"/>
      <c r="E241" s="5"/>
      <c r="F241" s="5"/>
      <c r="G241" s="5"/>
      <c r="H241" s="5"/>
      <c r="I241" s="5"/>
      <c r="J241" s="5"/>
      <c r="K241" s="284"/>
      <c r="L241" s="176"/>
      <c r="M241" s="176"/>
      <c r="N241" s="176"/>
      <c r="O241" s="176"/>
      <c r="P241" s="176"/>
      <c r="Q241" s="176"/>
      <c r="R241" s="176"/>
      <c r="S241" s="176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</row>
    <row r="242" spans="1:31" ht="15.75" customHeight="1" x14ac:dyDescent="0.25">
      <c r="A242" s="5"/>
      <c r="B242" s="5"/>
      <c r="C242" s="284"/>
      <c r="D242" s="5"/>
      <c r="E242" s="5"/>
      <c r="F242" s="5"/>
      <c r="G242" s="5"/>
      <c r="H242" s="5"/>
      <c r="I242" s="5"/>
      <c r="J242" s="5"/>
      <c r="K242" s="284"/>
      <c r="L242" s="176"/>
      <c r="M242" s="176"/>
      <c r="N242" s="176"/>
      <c r="O242" s="176"/>
      <c r="P242" s="176"/>
      <c r="Q242" s="176"/>
      <c r="R242" s="176"/>
      <c r="S242" s="176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</row>
    <row r="243" spans="1:31" ht="15.75" customHeight="1" x14ac:dyDescent="0.25">
      <c r="A243" s="5"/>
      <c r="B243" s="5"/>
      <c r="C243" s="284"/>
      <c r="D243" s="5"/>
      <c r="E243" s="5"/>
      <c r="F243" s="5"/>
      <c r="G243" s="5"/>
      <c r="H243" s="5"/>
      <c r="I243" s="5"/>
      <c r="J243" s="5"/>
      <c r="K243" s="284"/>
      <c r="L243" s="176"/>
      <c r="M243" s="176"/>
      <c r="N243" s="176"/>
      <c r="O243" s="176"/>
      <c r="P243" s="176"/>
      <c r="Q243" s="176"/>
      <c r="R243" s="176"/>
      <c r="S243" s="176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</row>
    <row r="244" spans="1:31" ht="15.75" customHeight="1" x14ac:dyDescent="0.25">
      <c r="A244" s="5"/>
      <c r="B244" s="5"/>
      <c r="C244" s="284"/>
      <c r="D244" s="5"/>
      <c r="E244" s="5"/>
      <c r="F244" s="5"/>
      <c r="G244" s="5"/>
      <c r="H244" s="5"/>
      <c r="I244" s="5"/>
      <c r="J244" s="5"/>
      <c r="K244" s="284"/>
      <c r="L244" s="176"/>
      <c r="M244" s="176"/>
      <c r="N244" s="176"/>
      <c r="O244" s="176"/>
      <c r="P244" s="176"/>
      <c r="Q244" s="176"/>
      <c r="R244" s="176"/>
      <c r="S244" s="176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</row>
    <row r="245" spans="1:31" ht="15.75" customHeight="1" x14ac:dyDescent="0.25">
      <c r="A245" s="5"/>
      <c r="B245" s="5"/>
      <c r="C245" s="284"/>
      <c r="D245" s="5"/>
      <c r="E245" s="5"/>
      <c r="F245" s="5"/>
      <c r="G245" s="5"/>
      <c r="H245" s="5"/>
      <c r="I245" s="5"/>
      <c r="J245" s="5"/>
      <c r="K245" s="284"/>
      <c r="L245" s="176"/>
      <c r="M245" s="176"/>
      <c r="N245" s="176"/>
      <c r="O245" s="176"/>
      <c r="P245" s="176"/>
      <c r="Q245" s="176"/>
      <c r="R245" s="176"/>
      <c r="S245" s="176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</row>
    <row r="246" spans="1:31" ht="15.75" customHeight="1" x14ac:dyDescent="0.25">
      <c r="A246" s="5"/>
      <c r="B246" s="5"/>
      <c r="C246" s="284"/>
      <c r="D246" s="5"/>
      <c r="E246" s="5"/>
      <c r="F246" s="5"/>
      <c r="G246" s="5"/>
      <c r="H246" s="5"/>
      <c r="I246" s="5"/>
      <c r="J246" s="5"/>
      <c r="K246" s="284"/>
      <c r="L246" s="176"/>
      <c r="M246" s="176"/>
      <c r="N246" s="176"/>
      <c r="O246" s="176"/>
      <c r="P246" s="176"/>
      <c r="Q246" s="176"/>
      <c r="R246" s="176"/>
      <c r="S246" s="176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</row>
    <row r="247" spans="1:31" ht="15.75" customHeight="1" x14ac:dyDescent="0.25">
      <c r="A247" s="5"/>
      <c r="B247" s="5"/>
      <c r="C247" s="284"/>
      <c r="D247" s="5"/>
      <c r="E247" s="5"/>
      <c r="F247" s="5"/>
      <c r="G247" s="5"/>
      <c r="H247" s="5"/>
      <c r="I247" s="5"/>
      <c r="J247" s="5"/>
      <c r="K247" s="284"/>
      <c r="L247" s="176"/>
      <c r="M247" s="176"/>
      <c r="N247" s="176"/>
      <c r="O247" s="176"/>
      <c r="P247" s="176"/>
      <c r="Q247" s="176"/>
      <c r="R247" s="176"/>
      <c r="S247" s="176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</row>
    <row r="248" spans="1:31" ht="15.75" customHeight="1" x14ac:dyDescent="0.25">
      <c r="A248" s="5"/>
      <c r="B248" s="5"/>
      <c r="C248" s="284"/>
      <c r="D248" s="5"/>
      <c r="E248" s="5"/>
      <c r="F248" s="5"/>
      <c r="G248" s="5"/>
      <c r="H248" s="5"/>
      <c r="I248" s="5"/>
      <c r="J248" s="5"/>
      <c r="K248" s="284"/>
      <c r="L248" s="176"/>
      <c r="M248" s="176"/>
      <c r="N248" s="176"/>
      <c r="O248" s="176"/>
      <c r="P248" s="176"/>
      <c r="Q248" s="176"/>
      <c r="R248" s="176"/>
      <c r="S248" s="176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</row>
    <row r="249" spans="1:31" ht="15.75" customHeight="1" x14ac:dyDescent="0.25">
      <c r="A249" s="5"/>
      <c r="B249" s="5"/>
      <c r="C249" s="284"/>
      <c r="D249" s="5"/>
      <c r="E249" s="5"/>
      <c r="F249" s="5"/>
      <c r="G249" s="5"/>
      <c r="H249" s="5"/>
      <c r="I249" s="5"/>
      <c r="J249" s="5"/>
      <c r="K249" s="284"/>
      <c r="L249" s="176"/>
      <c r="M249" s="176"/>
      <c r="N249" s="176"/>
      <c r="O249" s="176"/>
      <c r="P249" s="176"/>
      <c r="Q249" s="176"/>
      <c r="R249" s="176"/>
      <c r="S249" s="176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</row>
    <row r="250" spans="1:31" ht="15.75" customHeight="1" x14ac:dyDescent="0.25">
      <c r="A250" s="5"/>
      <c r="B250" s="5"/>
      <c r="C250" s="284"/>
      <c r="D250" s="5"/>
      <c r="E250" s="5"/>
      <c r="F250" s="5"/>
      <c r="G250" s="5"/>
      <c r="H250" s="5"/>
      <c r="I250" s="5"/>
      <c r="J250" s="5"/>
      <c r="K250" s="284"/>
      <c r="L250" s="176"/>
      <c r="M250" s="176"/>
      <c r="N250" s="176"/>
      <c r="O250" s="176"/>
      <c r="P250" s="176"/>
      <c r="Q250" s="176"/>
      <c r="R250" s="176"/>
      <c r="S250" s="176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</row>
    <row r="251" spans="1:31" ht="15.75" customHeight="1" x14ac:dyDescent="0.25">
      <c r="A251" s="5"/>
      <c r="B251" s="5"/>
      <c r="C251" s="284"/>
      <c r="D251" s="5"/>
      <c r="E251" s="5"/>
      <c r="F251" s="5"/>
      <c r="G251" s="5"/>
      <c r="H251" s="5"/>
      <c r="I251" s="5"/>
      <c r="J251" s="5"/>
      <c r="K251" s="284"/>
      <c r="L251" s="176"/>
      <c r="M251" s="176"/>
      <c r="N251" s="176"/>
      <c r="O251" s="176"/>
      <c r="P251" s="176"/>
      <c r="Q251" s="176"/>
      <c r="R251" s="176"/>
      <c r="S251" s="176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</row>
    <row r="252" spans="1:31" ht="15.75" customHeight="1" x14ac:dyDescent="0.25">
      <c r="A252" s="5"/>
      <c r="B252" s="5"/>
      <c r="C252" s="284"/>
      <c r="D252" s="5"/>
      <c r="E252" s="5"/>
      <c r="F252" s="5"/>
      <c r="G252" s="5"/>
      <c r="H252" s="5"/>
      <c r="I252" s="5"/>
      <c r="J252" s="5"/>
      <c r="K252" s="284"/>
      <c r="L252" s="176"/>
      <c r="M252" s="176"/>
      <c r="N252" s="176"/>
      <c r="O252" s="176"/>
      <c r="P252" s="176"/>
      <c r="Q252" s="176"/>
      <c r="R252" s="176"/>
      <c r="S252" s="176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</row>
    <row r="253" spans="1:31" ht="15.75" customHeight="1" x14ac:dyDescent="0.25">
      <c r="A253" s="5"/>
      <c r="B253" s="5"/>
      <c r="C253" s="284"/>
      <c r="D253" s="5"/>
      <c r="E253" s="5"/>
      <c r="F253" s="5"/>
      <c r="G253" s="5"/>
      <c r="H253" s="5"/>
      <c r="I253" s="5"/>
      <c r="J253" s="5"/>
      <c r="K253" s="284"/>
      <c r="L253" s="176"/>
      <c r="M253" s="176"/>
      <c r="N253" s="176"/>
      <c r="O253" s="176"/>
      <c r="P253" s="176"/>
      <c r="Q253" s="176"/>
      <c r="R253" s="176"/>
      <c r="S253" s="176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</row>
    <row r="254" spans="1:31" ht="15.75" customHeight="1" x14ac:dyDescent="0.25">
      <c r="A254" s="5"/>
      <c r="B254" s="5"/>
      <c r="C254" s="284"/>
      <c r="D254" s="5"/>
      <c r="E254" s="5"/>
      <c r="F254" s="5"/>
      <c r="G254" s="5"/>
      <c r="H254" s="5"/>
      <c r="I254" s="5"/>
      <c r="J254" s="5"/>
      <c r="K254" s="284"/>
      <c r="L254" s="176"/>
      <c r="M254" s="176"/>
      <c r="N254" s="176"/>
      <c r="O254" s="176"/>
      <c r="P254" s="176"/>
      <c r="Q254" s="176"/>
      <c r="R254" s="176"/>
      <c r="S254" s="176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</row>
    <row r="255" spans="1:31" ht="15.75" customHeight="1" x14ac:dyDescent="0.25">
      <c r="A255" s="5"/>
      <c r="B255" s="5"/>
      <c r="C255" s="284"/>
      <c r="D255" s="5"/>
      <c r="E255" s="5"/>
      <c r="F255" s="5"/>
      <c r="G255" s="5"/>
      <c r="H255" s="5"/>
      <c r="I255" s="5"/>
      <c r="J255" s="5"/>
      <c r="K255" s="284"/>
      <c r="L255" s="176"/>
      <c r="M255" s="176"/>
      <c r="N255" s="176"/>
      <c r="O255" s="176"/>
      <c r="P255" s="176"/>
      <c r="Q255" s="176"/>
      <c r="R255" s="176"/>
      <c r="S255" s="176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</row>
    <row r="256" spans="1:31" ht="15.75" customHeight="1" x14ac:dyDescent="0.25">
      <c r="A256" s="5"/>
      <c r="B256" s="5"/>
      <c r="C256" s="284"/>
      <c r="D256" s="5"/>
      <c r="E256" s="5"/>
      <c r="F256" s="5"/>
      <c r="G256" s="5"/>
      <c r="H256" s="5"/>
      <c r="I256" s="5"/>
      <c r="J256" s="5"/>
      <c r="K256" s="284"/>
      <c r="L256" s="176"/>
      <c r="M256" s="176"/>
      <c r="N256" s="176"/>
      <c r="O256" s="176"/>
      <c r="P256" s="176"/>
      <c r="Q256" s="176"/>
      <c r="R256" s="176"/>
      <c r="S256" s="176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</row>
    <row r="257" spans="1:31" ht="15.75" customHeight="1" x14ac:dyDescent="0.25">
      <c r="A257" s="5"/>
      <c r="B257" s="5"/>
      <c r="C257" s="284"/>
      <c r="D257" s="5"/>
      <c r="E257" s="5"/>
      <c r="F257" s="5"/>
      <c r="G257" s="5"/>
      <c r="H257" s="5"/>
      <c r="I257" s="5"/>
      <c r="J257" s="5"/>
      <c r="K257" s="284"/>
      <c r="L257" s="176"/>
      <c r="M257" s="176"/>
      <c r="N257" s="176"/>
      <c r="O257" s="176"/>
      <c r="P257" s="176"/>
      <c r="Q257" s="176"/>
      <c r="R257" s="176"/>
      <c r="S257" s="176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</row>
    <row r="258" spans="1:31" ht="15.75" customHeight="1" x14ac:dyDescent="0.25">
      <c r="A258" s="5"/>
      <c r="B258" s="5"/>
      <c r="C258" s="284"/>
      <c r="D258" s="5"/>
      <c r="E258" s="5"/>
      <c r="F258" s="5"/>
      <c r="G258" s="5"/>
      <c r="H258" s="5"/>
      <c r="I258" s="5"/>
      <c r="J258" s="5"/>
      <c r="K258" s="284"/>
      <c r="L258" s="176"/>
      <c r="M258" s="176"/>
      <c r="N258" s="176"/>
      <c r="O258" s="176"/>
      <c r="P258" s="176"/>
      <c r="Q258" s="176"/>
      <c r="R258" s="176"/>
      <c r="S258" s="176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</row>
    <row r="259" spans="1:31" ht="15.75" customHeight="1" x14ac:dyDescent="0.25">
      <c r="A259" s="5"/>
      <c r="B259" s="5"/>
      <c r="C259" s="284"/>
      <c r="D259" s="5"/>
      <c r="E259" s="5"/>
      <c r="F259" s="5"/>
      <c r="G259" s="5"/>
      <c r="H259" s="5"/>
      <c r="I259" s="5"/>
      <c r="J259" s="5"/>
      <c r="K259" s="284"/>
      <c r="L259" s="176"/>
      <c r="M259" s="176"/>
      <c r="N259" s="176"/>
      <c r="O259" s="176"/>
      <c r="P259" s="176"/>
      <c r="Q259" s="176"/>
      <c r="R259" s="176"/>
      <c r="S259" s="176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</row>
    <row r="260" spans="1:31" ht="15.75" customHeight="1" x14ac:dyDescent="0.25">
      <c r="A260" s="5"/>
      <c r="B260" s="5"/>
      <c r="C260" s="284"/>
      <c r="D260" s="5"/>
      <c r="E260" s="5"/>
      <c r="F260" s="5"/>
      <c r="G260" s="5"/>
      <c r="H260" s="5"/>
      <c r="I260" s="5"/>
      <c r="J260" s="5"/>
      <c r="K260" s="284"/>
      <c r="L260" s="176"/>
      <c r="M260" s="176"/>
      <c r="N260" s="176"/>
      <c r="O260" s="176"/>
      <c r="P260" s="176"/>
      <c r="Q260" s="176"/>
      <c r="R260" s="176"/>
      <c r="S260" s="176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</row>
    <row r="261" spans="1:31" ht="14.25" customHeight="1" x14ac:dyDescent="0.25">
      <c r="A261" s="5"/>
      <c r="B261" s="5"/>
      <c r="C261" s="284"/>
      <c r="D261" s="5"/>
      <c r="E261" s="5"/>
      <c r="F261" s="5"/>
      <c r="G261" s="5"/>
      <c r="H261" s="5"/>
      <c r="I261" s="5"/>
      <c r="J261" s="5"/>
      <c r="K261" s="284"/>
      <c r="L261" s="176"/>
      <c r="M261" s="176"/>
      <c r="N261" s="176"/>
      <c r="O261" s="176"/>
      <c r="P261" s="176"/>
      <c r="Q261" s="176"/>
      <c r="R261" s="176"/>
      <c r="S261" s="176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</row>
    <row r="262" spans="1:31" ht="15.75" customHeight="1" x14ac:dyDescent="0.25">
      <c r="A262" s="5"/>
      <c r="B262" s="5"/>
      <c r="C262" s="284"/>
      <c r="D262" s="5"/>
      <c r="E262" s="5"/>
      <c r="F262" s="5"/>
      <c r="G262" s="5"/>
      <c r="H262" s="5"/>
      <c r="I262" s="5"/>
      <c r="J262" s="5"/>
      <c r="K262" s="284"/>
      <c r="L262" s="176"/>
      <c r="M262" s="176"/>
      <c r="N262" s="176"/>
      <c r="O262" s="176"/>
      <c r="P262" s="176"/>
      <c r="Q262" s="176"/>
      <c r="R262" s="176"/>
      <c r="S262" s="176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</row>
    <row r="263" spans="1:31" ht="15.75" customHeight="1" x14ac:dyDescent="0.25">
      <c r="A263" s="5"/>
      <c r="B263" s="5"/>
      <c r="C263" s="284"/>
      <c r="D263" s="5"/>
      <c r="E263" s="5"/>
      <c r="F263" s="5"/>
      <c r="G263" s="5"/>
      <c r="H263" s="5"/>
      <c r="I263" s="5"/>
      <c r="J263" s="5"/>
      <c r="K263" s="284"/>
      <c r="L263" s="176"/>
      <c r="M263" s="176"/>
      <c r="N263" s="176"/>
      <c r="O263" s="176"/>
      <c r="P263" s="176"/>
      <c r="Q263" s="176"/>
      <c r="R263" s="176"/>
      <c r="S263" s="176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</row>
    <row r="264" spans="1:31" ht="15.75" customHeight="1" x14ac:dyDescent="0.25">
      <c r="A264" s="5"/>
      <c r="B264" s="5"/>
      <c r="C264" s="284"/>
      <c r="D264" s="5"/>
      <c r="E264" s="5"/>
      <c r="F264" s="5"/>
      <c r="G264" s="5"/>
      <c r="H264" s="5"/>
      <c r="I264" s="5"/>
      <c r="J264" s="5"/>
      <c r="K264" s="284"/>
      <c r="L264" s="176"/>
      <c r="M264" s="176"/>
      <c r="N264" s="176"/>
      <c r="O264" s="176"/>
      <c r="P264" s="176"/>
      <c r="Q264" s="176"/>
      <c r="R264" s="176"/>
      <c r="S264" s="176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</row>
    <row r="265" spans="1:31" ht="15.75" customHeight="1" x14ac:dyDescent="0.25">
      <c r="A265" s="5"/>
      <c r="B265" s="5"/>
      <c r="C265" s="284"/>
      <c r="D265" s="5"/>
      <c r="E265" s="5"/>
      <c r="F265" s="5"/>
      <c r="G265" s="5"/>
      <c r="H265" s="5"/>
      <c r="I265" s="5"/>
      <c r="J265" s="5"/>
      <c r="K265" s="284"/>
      <c r="L265" s="176"/>
      <c r="M265" s="176"/>
      <c r="N265" s="176"/>
      <c r="O265" s="176"/>
      <c r="P265" s="176"/>
      <c r="Q265" s="176"/>
      <c r="R265" s="176"/>
      <c r="S265" s="176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</row>
    <row r="266" spans="1:31" ht="15.75" customHeight="1" x14ac:dyDescent="0.25">
      <c r="A266" s="5"/>
      <c r="B266" s="5"/>
      <c r="C266" s="284"/>
      <c r="D266" s="5"/>
      <c r="E266" s="5"/>
      <c r="F266" s="5"/>
      <c r="G266" s="5"/>
      <c r="H266" s="5"/>
      <c r="I266" s="5"/>
      <c r="J266" s="5"/>
      <c r="K266" s="284"/>
      <c r="L266" s="176"/>
      <c r="M266" s="176"/>
      <c r="N266" s="176"/>
      <c r="O266" s="176"/>
      <c r="P266" s="176"/>
      <c r="Q266" s="176"/>
      <c r="R266" s="176"/>
      <c r="S266" s="176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</row>
    <row r="267" spans="1:31" ht="15.75" customHeight="1" x14ac:dyDescent="0.25">
      <c r="A267" s="5"/>
      <c r="B267" s="5"/>
      <c r="C267" s="284"/>
      <c r="D267" s="5"/>
      <c r="E267" s="5"/>
      <c r="F267" s="5"/>
      <c r="G267" s="5"/>
      <c r="H267" s="5"/>
      <c r="I267" s="5"/>
      <c r="J267" s="5"/>
      <c r="K267" s="284"/>
      <c r="L267" s="176"/>
      <c r="M267" s="176"/>
      <c r="N267" s="176"/>
      <c r="O267" s="176"/>
      <c r="P267" s="176"/>
      <c r="Q267" s="176"/>
      <c r="R267" s="176"/>
      <c r="S267" s="176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</row>
    <row r="268" spans="1:31" ht="15.75" customHeight="1" x14ac:dyDescent="0.25">
      <c r="A268" s="5"/>
      <c r="B268" s="5"/>
      <c r="C268" s="284"/>
      <c r="D268" s="5"/>
      <c r="E268" s="5"/>
      <c r="F268" s="5"/>
      <c r="G268" s="5"/>
      <c r="H268" s="5"/>
      <c r="I268" s="5"/>
      <c r="J268" s="5"/>
      <c r="K268" s="284"/>
      <c r="L268" s="176"/>
      <c r="M268" s="176"/>
      <c r="N268" s="176"/>
      <c r="O268" s="176"/>
      <c r="P268" s="176"/>
      <c r="Q268" s="176"/>
      <c r="R268" s="176"/>
      <c r="S268" s="176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</row>
    <row r="269" spans="1:31" ht="15.75" customHeight="1" x14ac:dyDescent="0.25">
      <c r="A269" s="5"/>
      <c r="B269" s="5"/>
      <c r="C269" s="284"/>
      <c r="D269" s="5"/>
      <c r="E269" s="5"/>
      <c r="F269" s="5"/>
      <c r="G269" s="5"/>
      <c r="H269" s="5"/>
      <c r="I269" s="5"/>
      <c r="J269" s="5"/>
      <c r="K269" s="284"/>
      <c r="L269" s="176"/>
      <c r="M269" s="176"/>
      <c r="N269" s="176"/>
      <c r="O269" s="176"/>
      <c r="P269" s="176"/>
      <c r="Q269" s="176"/>
      <c r="R269" s="176"/>
      <c r="S269" s="176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</row>
    <row r="270" spans="1:31" ht="15.75" customHeight="1" x14ac:dyDescent="0.25">
      <c r="A270" s="5"/>
      <c r="B270" s="5"/>
      <c r="C270" s="284"/>
      <c r="D270" s="5"/>
      <c r="E270" s="5"/>
      <c r="F270" s="5"/>
      <c r="G270" s="5"/>
      <c r="H270" s="5"/>
      <c r="I270" s="5"/>
      <c r="J270" s="5"/>
      <c r="K270" s="284"/>
      <c r="L270" s="176"/>
      <c r="M270" s="176"/>
      <c r="N270" s="176"/>
      <c r="O270" s="176"/>
      <c r="P270" s="176"/>
      <c r="Q270" s="176"/>
      <c r="R270" s="176"/>
      <c r="S270" s="176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</row>
    <row r="271" spans="1:31" ht="15.75" customHeight="1" x14ac:dyDescent="0.25">
      <c r="A271" s="5"/>
      <c r="B271" s="5"/>
      <c r="C271" s="284"/>
      <c r="D271" s="5"/>
      <c r="E271" s="5"/>
      <c r="F271" s="5"/>
      <c r="G271" s="5"/>
      <c r="H271" s="5"/>
      <c r="I271" s="5"/>
      <c r="J271" s="5"/>
      <c r="K271" s="284"/>
      <c r="L271" s="176"/>
      <c r="M271" s="176"/>
      <c r="N271" s="176"/>
      <c r="O271" s="176"/>
      <c r="P271" s="176"/>
      <c r="Q271" s="176"/>
      <c r="R271" s="176"/>
      <c r="S271" s="176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</row>
    <row r="272" spans="1:31" ht="15.75" customHeight="1" x14ac:dyDescent="0.25">
      <c r="A272" s="5"/>
      <c r="B272" s="5"/>
      <c r="C272" s="284"/>
      <c r="D272" s="5"/>
      <c r="E272" s="5"/>
      <c r="F272" s="5"/>
      <c r="G272" s="5"/>
      <c r="H272" s="5"/>
      <c r="I272" s="5"/>
      <c r="J272" s="5"/>
      <c r="K272" s="284"/>
      <c r="L272" s="176"/>
      <c r="M272" s="176"/>
      <c r="N272" s="176"/>
      <c r="O272" s="176"/>
      <c r="P272" s="176"/>
      <c r="Q272" s="176"/>
      <c r="R272" s="176"/>
      <c r="S272" s="176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</row>
    <row r="273" spans="1:31" ht="15.75" customHeight="1" x14ac:dyDescent="0.25">
      <c r="A273" s="5"/>
      <c r="B273" s="5"/>
      <c r="C273" s="284"/>
      <c r="D273" s="5"/>
      <c r="E273" s="5"/>
      <c r="F273" s="5"/>
      <c r="G273" s="5"/>
      <c r="H273" s="5"/>
      <c r="I273" s="5"/>
      <c r="J273" s="5"/>
      <c r="K273" s="284"/>
      <c r="L273" s="176"/>
      <c r="M273" s="176"/>
      <c r="N273" s="176"/>
      <c r="O273" s="176"/>
      <c r="P273" s="176"/>
      <c r="Q273" s="176"/>
      <c r="R273" s="176"/>
      <c r="S273" s="176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</row>
    <row r="274" spans="1:31" ht="15.75" customHeight="1" x14ac:dyDescent="0.25">
      <c r="A274" s="5"/>
      <c r="B274" s="5"/>
      <c r="C274" s="284"/>
      <c r="D274" s="5"/>
      <c r="E274" s="5"/>
      <c r="F274" s="5"/>
      <c r="G274" s="5"/>
      <c r="H274" s="5"/>
      <c r="I274" s="5"/>
      <c r="J274" s="5"/>
      <c r="K274" s="284"/>
      <c r="L274" s="176"/>
      <c r="M274" s="176"/>
      <c r="N274" s="176"/>
      <c r="O274" s="176"/>
      <c r="P274" s="176"/>
      <c r="Q274" s="176"/>
      <c r="R274" s="176"/>
      <c r="S274" s="176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</row>
    <row r="275" spans="1:31" ht="15.75" customHeight="1" x14ac:dyDescent="0.25">
      <c r="A275" s="5"/>
      <c r="B275" s="5"/>
      <c r="C275" s="284"/>
      <c r="D275" s="5"/>
      <c r="E275" s="5"/>
      <c r="F275" s="5"/>
      <c r="G275" s="5"/>
      <c r="H275" s="5"/>
      <c r="I275" s="5"/>
      <c r="J275" s="5"/>
      <c r="K275" s="284"/>
      <c r="L275" s="176"/>
      <c r="M275" s="176"/>
      <c r="N275" s="176"/>
      <c r="O275" s="176"/>
      <c r="P275" s="176"/>
      <c r="Q275" s="176"/>
      <c r="R275" s="176"/>
      <c r="S275" s="176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</row>
    <row r="276" spans="1:31" ht="15.75" customHeight="1" x14ac:dyDescent="0.25">
      <c r="A276" s="5"/>
      <c r="B276" s="5"/>
      <c r="C276" s="284"/>
      <c r="D276" s="5"/>
      <c r="E276" s="5"/>
      <c r="F276" s="5"/>
      <c r="G276" s="5"/>
      <c r="H276" s="5"/>
      <c r="I276" s="5"/>
      <c r="J276" s="5"/>
      <c r="K276" s="284"/>
      <c r="L276" s="176"/>
      <c r="M276" s="176"/>
      <c r="N276" s="176"/>
      <c r="O276" s="176"/>
      <c r="P276" s="176"/>
      <c r="Q276" s="176"/>
      <c r="R276" s="176"/>
      <c r="S276" s="176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</row>
    <row r="277" spans="1:31" ht="15.75" customHeight="1" x14ac:dyDescent="0.25">
      <c r="A277" s="5"/>
      <c r="B277" s="5"/>
      <c r="C277" s="284"/>
      <c r="D277" s="5"/>
      <c r="E277" s="5"/>
      <c r="F277" s="5"/>
      <c r="G277" s="5"/>
      <c r="H277" s="5"/>
      <c r="I277" s="5"/>
      <c r="J277" s="5"/>
      <c r="K277" s="284"/>
      <c r="L277" s="176"/>
      <c r="M277" s="176"/>
      <c r="N277" s="176"/>
      <c r="O277" s="176"/>
      <c r="P277" s="176"/>
      <c r="Q277" s="176"/>
      <c r="R277" s="176"/>
      <c r="S277" s="176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</row>
    <row r="278" spans="1:31" ht="15.75" customHeight="1" x14ac:dyDescent="0.25">
      <c r="A278" s="5"/>
      <c r="B278" s="5"/>
      <c r="C278" s="284"/>
      <c r="D278" s="5"/>
      <c r="E278" s="5"/>
      <c r="F278" s="5"/>
      <c r="G278" s="5"/>
      <c r="H278" s="5"/>
      <c r="I278" s="5"/>
      <c r="J278" s="5"/>
      <c r="K278" s="284"/>
      <c r="L278" s="176"/>
      <c r="M278" s="176"/>
      <c r="N278" s="176"/>
      <c r="O278" s="176"/>
      <c r="P278" s="176"/>
      <c r="Q278" s="176"/>
      <c r="R278" s="176"/>
      <c r="S278" s="176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</row>
    <row r="279" spans="1:31" ht="15.75" customHeight="1" x14ac:dyDescent="0.25">
      <c r="A279" s="5"/>
      <c r="B279" s="5"/>
      <c r="C279" s="284"/>
      <c r="D279" s="5"/>
      <c r="E279" s="5"/>
      <c r="F279" s="5"/>
      <c r="G279" s="5"/>
      <c r="H279" s="5"/>
      <c r="I279" s="5"/>
      <c r="J279" s="5"/>
      <c r="K279" s="284"/>
      <c r="L279" s="176"/>
      <c r="M279" s="176"/>
      <c r="N279" s="176"/>
      <c r="O279" s="176"/>
      <c r="P279" s="176"/>
      <c r="Q279" s="176"/>
      <c r="R279" s="176"/>
      <c r="S279" s="176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</row>
    <row r="280" spans="1:31" ht="15.75" customHeight="1" x14ac:dyDescent="0.25">
      <c r="A280" s="5"/>
      <c r="B280" s="5"/>
      <c r="C280" s="284"/>
      <c r="D280" s="5"/>
      <c r="E280" s="5"/>
      <c r="F280" s="5"/>
      <c r="G280" s="5"/>
      <c r="H280" s="5"/>
      <c r="I280" s="5"/>
      <c r="J280" s="5"/>
      <c r="K280" s="284"/>
      <c r="L280" s="176"/>
      <c r="M280" s="176"/>
      <c r="N280" s="176"/>
      <c r="O280" s="176"/>
      <c r="P280" s="176"/>
      <c r="Q280" s="176"/>
      <c r="R280" s="176"/>
      <c r="S280" s="176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</row>
    <row r="281" spans="1:31" ht="15.75" customHeight="1" x14ac:dyDescent="0.25">
      <c r="A281" s="5"/>
      <c r="B281" s="5"/>
      <c r="C281" s="284"/>
      <c r="D281" s="5"/>
      <c r="E281" s="5"/>
      <c r="F281" s="5"/>
      <c r="G281" s="5"/>
      <c r="H281" s="5"/>
      <c r="I281" s="5"/>
      <c r="J281" s="5"/>
      <c r="K281" s="284"/>
      <c r="L281" s="176"/>
      <c r="M281" s="176"/>
      <c r="N281" s="176"/>
      <c r="O281" s="176"/>
      <c r="P281" s="176"/>
      <c r="Q281" s="176"/>
      <c r="R281" s="176"/>
      <c r="S281" s="176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</row>
    <row r="282" spans="1:31" ht="15.75" customHeight="1" x14ac:dyDescent="0.25">
      <c r="A282" s="5"/>
      <c r="B282" s="5"/>
      <c r="C282" s="284"/>
      <c r="D282" s="5"/>
      <c r="E282" s="5"/>
      <c r="F282" s="5"/>
      <c r="G282" s="5"/>
      <c r="H282" s="5"/>
      <c r="I282" s="5"/>
      <c r="J282" s="5"/>
      <c r="K282" s="284"/>
      <c r="L282" s="176"/>
      <c r="M282" s="176"/>
      <c r="N282" s="176"/>
      <c r="O282" s="176"/>
      <c r="P282" s="176"/>
      <c r="Q282" s="176"/>
      <c r="R282" s="176"/>
      <c r="S282" s="176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</row>
    <row r="283" spans="1:31" ht="15.75" customHeight="1" x14ac:dyDescent="0.25">
      <c r="A283" s="5"/>
      <c r="B283" s="5"/>
      <c r="C283" s="284"/>
      <c r="D283" s="5"/>
      <c r="E283" s="5"/>
      <c r="F283" s="5"/>
      <c r="G283" s="5"/>
      <c r="H283" s="5"/>
      <c r="I283" s="5"/>
      <c r="J283" s="5"/>
      <c r="K283" s="284"/>
      <c r="L283" s="176"/>
      <c r="M283" s="176"/>
      <c r="N283" s="176"/>
      <c r="O283" s="176"/>
      <c r="P283" s="176"/>
      <c r="Q283" s="176"/>
      <c r="R283" s="176"/>
      <c r="S283" s="176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</row>
    <row r="284" spans="1:31" ht="15.75" customHeight="1" x14ac:dyDescent="0.25">
      <c r="A284" s="5"/>
      <c r="B284" s="5"/>
      <c r="C284" s="284"/>
      <c r="D284" s="5"/>
      <c r="E284" s="5"/>
      <c r="F284" s="5"/>
      <c r="G284" s="5"/>
      <c r="H284" s="5"/>
      <c r="I284" s="5"/>
      <c r="J284" s="5"/>
      <c r="K284" s="284"/>
      <c r="L284" s="176"/>
      <c r="M284" s="176"/>
      <c r="N284" s="176"/>
      <c r="O284" s="176"/>
      <c r="P284" s="176"/>
      <c r="Q284" s="176"/>
      <c r="R284" s="176"/>
      <c r="S284" s="176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</row>
    <row r="285" spans="1:31" ht="15.75" customHeight="1" x14ac:dyDescent="0.25">
      <c r="A285" s="5"/>
      <c r="B285" s="5"/>
      <c r="C285" s="284"/>
      <c r="D285" s="5"/>
      <c r="E285" s="5"/>
      <c r="F285" s="5"/>
      <c r="G285" s="5"/>
      <c r="H285" s="5"/>
      <c r="I285" s="5"/>
      <c r="J285" s="5"/>
      <c r="K285" s="284"/>
      <c r="L285" s="176"/>
      <c r="M285" s="176"/>
      <c r="N285" s="176"/>
      <c r="O285" s="176"/>
      <c r="P285" s="176"/>
      <c r="Q285" s="176"/>
      <c r="R285" s="176"/>
      <c r="S285" s="176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</row>
    <row r="286" spans="1:31" ht="15.75" customHeight="1" x14ac:dyDescent="0.25">
      <c r="A286" s="5"/>
      <c r="B286" s="5"/>
      <c r="C286" s="284"/>
      <c r="D286" s="5"/>
      <c r="E286" s="5"/>
      <c r="F286" s="5"/>
      <c r="G286" s="5"/>
      <c r="H286" s="5"/>
      <c r="I286" s="5"/>
      <c r="J286" s="5"/>
      <c r="K286" s="284"/>
      <c r="L286" s="176"/>
      <c r="M286" s="176"/>
      <c r="N286" s="176"/>
      <c r="O286" s="176"/>
      <c r="P286" s="176"/>
      <c r="Q286" s="176"/>
      <c r="R286" s="176"/>
      <c r="S286" s="176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</row>
    <row r="287" spans="1:31" ht="15.75" customHeight="1" x14ac:dyDescent="0.25">
      <c r="A287" s="5"/>
      <c r="B287" s="5"/>
      <c r="C287" s="284"/>
      <c r="D287" s="5"/>
      <c r="E287" s="5"/>
      <c r="F287" s="5"/>
      <c r="G287" s="5"/>
      <c r="H287" s="5"/>
      <c r="I287" s="5"/>
      <c r="J287" s="5"/>
      <c r="K287" s="284"/>
      <c r="L287" s="176"/>
      <c r="M287" s="176"/>
      <c r="N287" s="176"/>
      <c r="O287" s="176"/>
      <c r="P287" s="176"/>
      <c r="Q287" s="176"/>
      <c r="R287" s="176"/>
      <c r="S287" s="176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</row>
    <row r="288" spans="1:31" ht="15.75" customHeight="1" x14ac:dyDescent="0.25">
      <c r="A288" s="5"/>
      <c r="B288" s="5"/>
      <c r="C288" s="284"/>
      <c r="D288" s="5"/>
      <c r="E288" s="5"/>
      <c r="F288" s="5"/>
      <c r="G288" s="5"/>
      <c r="H288" s="5"/>
      <c r="I288" s="5"/>
      <c r="J288" s="5"/>
      <c r="K288" s="284"/>
      <c r="L288" s="176"/>
      <c r="M288" s="176"/>
      <c r="N288" s="176"/>
      <c r="O288" s="176"/>
      <c r="P288" s="176"/>
      <c r="Q288" s="176"/>
      <c r="R288" s="176"/>
      <c r="S288" s="176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</row>
    <row r="289" spans="1:31" ht="15.75" customHeight="1" x14ac:dyDescent="0.25">
      <c r="A289" s="5"/>
      <c r="B289" s="5"/>
      <c r="C289" s="284"/>
      <c r="D289" s="5"/>
      <c r="E289" s="5"/>
      <c r="F289" s="5"/>
      <c r="G289" s="5"/>
      <c r="H289" s="5"/>
      <c r="I289" s="5"/>
      <c r="J289" s="5"/>
      <c r="K289" s="284"/>
      <c r="L289" s="176"/>
      <c r="M289" s="176"/>
      <c r="N289" s="176"/>
      <c r="O289" s="176"/>
      <c r="P289" s="176"/>
      <c r="Q289" s="176"/>
      <c r="R289" s="176"/>
      <c r="S289" s="176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</row>
    <row r="290" spans="1:31" ht="15.75" customHeight="1" x14ac:dyDescent="0.25">
      <c r="A290" s="5"/>
      <c r="B290" s="5"/>
      <c r="C290" s="284"/>
      <c r="D290" s="5"/>
      <c r="E290" s="5"/>
      <c r="F290" s="5"/>
      <c r="G290" s="5"/>
      <c r="H290" s="5"/>
      <c r="I290" s="5"/>
      <c r="J290" s="5"/>
      <c r="K290" s="284"/>
      <c r="L290" s="176"/>
      <c r="M290" s="176"/>
      <c r="N290" s="176"/>
      <c r="O290" s="176"/>
      <c r="P290" s="176"/>
      <c r="Q290" s="176"/>
      <c r="R290" s="176"/>
      <c r="S290" s="176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</row>
    <row r="291" spans="1:31" ht="15.75" customHeight="1" x14ac:dyDescent="0.25">
      <c r="A291" s="5"/>
      <c r="B291" s="5"/>
      <c r="C291" s="284"/>
      <c r="D291" s="5"/>
      <c r="E291" s="5"/>
      <c r="F291" s="5"/>
      <c r="G291" s="5"/>
      <c r="H291" s="5"/>
      <c r="I291" s="5"/>
      <c r="J291" s="5"/>
      <c r="K291" s="284"/>
      <c r="L291" s="176"/>
      <c r="M291" s="176"/>
      <c r="N291" s="176"/>
      <c r="O291" s="176"/>
      <c r="P291" s="176"/>
      <c r="Q291" s="176"/>
      <c r="R291" s="176"/>
      <c r="S291" s="176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</row>
    <row r="292" spans="1:31" ht="15.75" customHeight="1" x14ac:dyDescent="0.25">
      <c r="A292" s="5"/>
      <c r="B292" s="5"/>
      <c r="C292" s="284"/>
      <c r="D292" s="5"/>
      <c r="E292" s="5"/>
      <c r="F292" s="5"/>
      <c r="G292" s="5"/>
      <c r="H292" s="5"/>
      <c r="I292" s="5"/>
      <c r="J292" s="5"/>
      <c r="K292" s="284"/>
      <c r="L292" s="176"/>
      <c r="M292" s="176"/>
      <c r="N292" s="176"/>
      <c r="O292" s="176"/>
      <c r="P292" s="176"/>
      <c r="Q292" s="176"/>
      <c r="R292" s="176"/>
      <c r="S292" s="176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</row>
    <row r="293" spans="1:31" ht="15.75" customHeight="1" x14ac:dyDescent="0.25">
      <c r="A293" s="5"/>
      <c r="B293" s="5"/>
      <c r="C293" s="284"/>
      <c r="D293" s="5"/>
      <c r="E293" s="5"/>
      <c r="F293" s="5"/>
      <c r="G293" s="5"/>
      <c r="H293" s="5"/>
      <c r="I293" s="5"/>
      <c r="J293" s="5"/>
      <c r="K293" s="284"/>
      <c r="L293" s="176"/>
      <c r="M293" s="176"/>
      <c r="N293" s="176"/>
      <c r="O293" s="176"/>
      <c r="P293" s="176"/>
      <c r="Q293" s="176"/>
      <c r="R293" s="176"/>
      <c r="S293" s="176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</row>
    <row r="294" spans="1:31" ht="15.75" customHeight="1" x14ac:dyDescent="0.25">
      <c r="A294" s="5"/>
      <c r="B294" s="5"/>
      <c r="C294" s="284"/>
      <c r="D294" s="5"/>
      <c r="E294" s="5"/>
      <c r="F294" s="5"/>
      <c r="G294" s="5"/>
      <c r="H294" s="5"/>
      <c r="I294" s="5"/>
      <c r="J294" s="5"/>
      <c r="K294" s="284"/>
      <c r="L294" s="176"/>
      <c r="M294" s="176"/>
      <c r="N294" s="176"/>
      <c r="O294" s="176"/>
      <c r="P294" s="176"/>
      <c r="Q294" s="176"/>
      <c r="R294" s="176"/>
      <c r="S294" s="176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</row>
    <row r="295" spans="1:31" ht="15.75" customHeight="1" x14ac:dyDescent="0.25">
      <c r="A295" s="5"/>
      <c r="B295" s="5"/>
      <c r="C295" s="284"/>
      <c r="D295" s="5"/>
      <c r="E295" s="5"/>
      <c r="F295" s="5"/>
      <c r="G295" s="5"/>
      <c r="H295" s="5"/>
      <c r="I295" s="5"/>
      <c r="J295" s="5"/>
      <c r="K295" s="284"/>
      <c r="L295" s="176"/>
      <c r="M295" s="176"/>
      <c r="N295" s="176"/>
      <c r="O295" s="176"/>
      <c r="P295" s="176"/>
      <c r="Q295" s="176"/>
      <c r="R295" s="176"/>
      <c r="S295" s="176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</row>
    <row r="296" spans="1:31" ht="15.75" customHeight="1" x14ac:dyDescent="0.25">
      <c r="A296" s="5"/>
      <c r="B296" s="5"/>
      <c r="C296" s="284"/>
      <c r="D296" s="5"/>
      <c r="E296" s="5"/>
      <c r="F296" s="5"/>
      <c r="G296" s="5"/>
      <c r="H296" s="5"/>
      <c r="I296" s="5"/>
      <c r="J296" s="5"/>
      <c r="K296" s="284"/>
      <c r="L296" s="176"/>
      <c r="M296" s="176"/>
      <c r="N296" s="176"/>
      <c r="O296" s="176"/>
      <c r="P296" s="176"/>
      <c r="Q296" s="176"/>
      <c r="R296" s="176"/>
      <c r="S296" s="176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</row>
    <row r="297" spans="1:31" ht="15.75" customHeight="1" x14ac:dyDescent="0.25">
      <c r="A297" s="5"/>
      <c r="B297" s="5"/>
      <c r="C297" s="284"/>
      <c r="D297" s="5"/>
      <c r="E297" s="5"/>
      <c r="F297" s="5"/>
      <c r="G297" s="5"/>
      <c r="H297" s="5"/>
      <c r="I297" s="5"/>
      <c r="J297" s="5"/>
      <c r="K297" s="284"/>
      <c r="L297" s="176"/>
      <c r="M297" s="176"/>
      <c r="N297" s="176"/>
      <c r="O297" s="176"/>
      <c r="P297" s="176"/>
      <c r="Q297" s="176"/>
      <c r="R297" s="176"/>
      <c r="S297" s="176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</row>
    <row r="298" spans="1:31" ht="15.75" customHeight="1" x14ac:dyDescent="0.25">
      <c r="A298" s="5"/>
      <c r="B298" s="5"/>
      <c r="C298" s="284"/>
      <c r="D298" s="5"/>
      <c r="E298" s="5"/>
      <c r="F298" s="5"/>
      <c r="G298" s="5"/>
      <c r="H298" s="5"/>
      <c r="I298" s="5"/>
      <c r="J298" s="5"/>
      <c r="K298" s="284"/>
      <c r="L298" s="176"/>
      <c r="M298" s="176"/>
      <c r="N298" s="176"/>
      <c r="O298" s="176"/>
      <c r="P298" s="176"/>
      <c r="Q298" s="176"/>
      <c r="R298" s="176"/>
      <c r="S298" s="176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</row>
    <row r="299" spans="1:31" ht="15.75" customHeight="1" x14ac:dyDescent="0.25">
      <c r="A299" s="5"/>
      <c r="B299" s="5"/>
      <c r="C299" s="284"/>
      <c r="D299" s="5"/>
      <c r="E299" s="5"/>
      <c r="F299" s="5"/>
      <c r="G299" s="5"/>
      <c r="H299" s="5"/>
      <c r="I299" s="5"/>
      <c r="J299" s="5"/>
      <c r="K299" s="284"/>
      <c r="L299" s="176"/>
      <c r="M299" s="176"/>
      <c r="N299" s="176"/>
      <c r="O299" s="176"/>
      <c r="P299" s="176"/>
      <c r="Q299" s="176"/>
      <c r="R299" s="176"/>
      <c r="S299" s="176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</row>
    <row r="300" spans="1:31" ht="15.75" customHeight="1" x14ac:dyDescent="0.25">
      <c r="A300" s="5"/>
      <c r="B300" s="5"/>
      <c r="C300" s="284"/>
      <c r="D300" s="5"/>
      <c r="E300" s="5"/>
      <c r="F300" s="5"/>
      <c r="G300" s="5"/>
      <c r="H300" s="5"/>
      <c r="I300" s="5"/>
      <c r="J300" s="5"/>
      <c r="K300" s="284"/>
      <c r="L300" s="176"/>
      <c r="M300" s="176"/>
      <c r="N300" s="176"/>
      <c r="O300" s="176"/>
      <c r="P300" s="176"/>
      <c r="Q300" s="176"/>
      <c r="R300" s="176"/>
      <c r="S300" s="176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</row>
    <row r="301" spans="1:31" ht="15.75" customHeight="1" x14ac:dyDescent="0.25">
      <c r="A301" s="5"/>
      <c r="B301" s="5"/>
      <c r="C301" s="284"/>
      <c r="D301" s="5"/>
      <c r="E301" s="5"/>
      <c r="F301" s="5"/>
      <c r="G301" s="5"/>
      <c r="H301" s="5"/>
      <c r="I301" s="5"/>
      <c r="J301" s="5"/>
      <c r="K301" s="284"/>
      <c r="L301" s="176"/>
      <c r="M301" s="176"/>
      <c r="N301" s="176"/>
      <c r="O301" s="176"/>
      <c r="P301" s="176"/>
      <c r="Q301" s="176"/>
      <c r="R301" s="176"/>
      <c r="S301" s="176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</row>
    <row r="302" spans="1:31" ht="15.75" customHeight="1" x14ac:dyDescent="0.25">
      <c r="A302" s="5"/>
      <c r="B302" s="5"/>
      <c r="C302" s="284"/>
      <c r="D302" s="5"/>
      <c r="E302" s="5"/>
      <c r="F302" s="5"/>
      <c r="G302" s="5"/>
      <c r="H302" s="5"/>
      <c r="I302" s="5"/>
      <c r="J302" s="5"/>
      <c r="K302" s="284"/>
      <c r="L302" s="176"/>
      <c r="M302" s="176"/>
      <c r="N302" s="176"/>
      <c r="O302" s="176"/>
      <c r="P302" s="176"/>
      <c r="Q302" s="176"/>
      <c r="R302" s="176"/>
      <c r="S302" s="176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</row>
    <row r="303" spans="1:31" ht="15.75" customHeight="1" x14ac:dyDescent="0.25">
      <c r="A303" s="5"/>
      <c r="B303" s="5"/>
      <c r="C303" s="284"/>
      <c r="D303" s="5"/>
      <c r="E303" s="5"/>
      <c r="F303" s="5"/>
      <c r="G303" s="5"/>
      <c r="H303" s="5"/>
      <c r="I303" s="5"/>
      <c r="J303" s="5"/>
      <c r="K303" s="284"/>
      <c r="L303" s="176"/>
      <c r="M303" s="176"/>
      <c r="N303" s="176"/>
      <c r="O303" s="176"/>
      <c r="P303" s="176"/>
      <c r="Q303" s="176"/>
      <c r="R303" s="176"/>
      <c r="S303" s="176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</row>
    <row r="304" spans="1:31" ht="15.75" customHeight="1" x14ac:dyDescent="0.25">
      <c r="A304" s="5"/>
      <c r="B304" s="5"/>
      <c r="C304" s="284"/>
      <c r="D304" s="5"/>
      <c r="E304" s="5"/>
      <c r="F304" s="5"/>
      <c r="G304" s="5"/>
      <c r="H304" s="5"/>
      <c r="I304" s="5"/>
      <c r="J304" s="5"/>
      <c r="K304" s="284"/>
      <c r="L304" s="176"/>
      <c r="M304" s="176"/>
      <c r="N304" s="176"/>
      <c r="O304" s="176"/>
      <c r="P304" s="176"/>
      <c r="Q304" s="176"/>
      <c r="R304" s="176"/>
      <c r="S304" s="176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</row>
    <row r="305" spans="1:31" ht="15.75" customHeight="1" x14ac:dyDescent="0.25">
      <c r="A305" s="5"/>
      <c r="B305" s="5"/>
      <c r="C305" s="284"/>
      <c r="D305" s="5"/>
      <c r="E305" s="5"/>
      <c r="F305" s="5"/>
      <c r="G305" s="5"/>
      <c r="H305" s="5"/>
      <c r="I305" s="5"/>
      <c r="J305" s="5"/>
      <c r="K305" s="284"/>
      <c r="L305" s="176"/>
      <c r="M305" s="176"/>
      <c r="N305" s="176"/>
      <c r="O305" s="176"/>
      <c r="P305" s="176"/>
      <c r="Q305" s="176"/>
      <c r="R305" s="176"/>
      <c r="S305" s="176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</row>
    <row r="306" spans="1:31" ht="15.75" customHeight="1" x14ac:dyDescent="0.25">
      <c r="A306" s="5"/>
      <c r="B306" s="5"/>
      <c r="C306" s="284"/>
      <c r="D306" s="5"/>
      <c r="E306" s="5"/>
      <c r="F306" s="5"/>
      <c r="G306" s="5"/>
      <c r="H306" s="5"/>
      <c r="I306" s="5"/>
      <c r="J306" s="5"/>
      <c r="K306" s="284"/>
      <c r="L306" s="176"/>
      <c r="M306" s="176"/>
      <c r="N306" s="176"/>
      <c r="O306" s="176"/>
      <c r="P306" s="176"/>
      <c r="Q306" s="176"/>
      <c r="R306" s="176"/>
      <c r="S306" s="176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</row>
    <row r="307" spans="1:31" ht="15.75" customHeight="1" x14ac:dyDescent="0.25">
      <c r="A307" s="5"/>
      <c r="B307" s="5"/>
      <c r="C307" s="284"/>
      <c r="D307" s="5"/>
      <c r="E307" s="5"/>
      <c r="F307" s="5"/>
      <c r="G307" s="5"/>
      <c r="H307" s="5"/>
      <c r="I307" s="5"/>
      <c r="J307" s="5"/>
      <c r="K307" s="284"/>
      <c r="L307" s="176"/>
      <c r="M307" s="176"/>
      <c r="N307" s="176"/>
      <c r="O307" s="176"/>
      <c r="P307" s="176"/>
      <c r="Q307" s="176"/>
      <c r="R307" s="176"/>
      <c r="S307" s="176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</row>
    <row r="308" spans="1:31" ht="15.75" customHeight="1" x14ac:dyDescent="0.25">
      <c r="A308" s="5"/>
      <c r="B308" s="5"/>
      <c r="C308" s="284"/>
      <c r="D308" s="5"/>
      <c r="E308" s="5"/>
      <c r="F308" s="5"/>
      <c r="G308" s="5"/>
      <c r="H308" s="5"/>
      <c r="I308" s="5"/>
      <c r="J308" s="5"/>
      <c r="K308" s="284"/>
      <c r="L308" s="176"/>
      <c r="M308" s="176"/>
      <c r="N308" s="176"/>
      <c r="O308" s="176"/>
      <c r="P308" s="176"/>
      <c r="Q308" s="176"/>
      <c r="R308" s="176"/>
      <c r="S308" s="176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</row>
    <row r="309" spans="1:31" ht="15.75" customHeight="1" x14ac:dyDescent="0.25">
      <c r="A309" s="5"/>
      <c r="B309" s="5"/>
      <c r="C309" s="284"/>
      <c r="D309" s="5"/>
      <c r="E309" s="5"/>
      <c r="F309" s="5"/>
      <c r="G309" s="5"/>
      <c r="H309" s="5"/>
      <c r="I309" s="5"/>
      <c r="J309" s="5"/>
      <c r="K309" s="284"/>
      <c r="L309" s="176"/>
      <c r="M309" s="176"/>
      <c r="N309" s="176"/>
      <c r="O309" s="176"/>
      <c r="P309" s="176"/>
      <c r="Q309" s="176"/>
      <c r="R309" s="176"/>
      <c r="S309" s="176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</row>
    <row r="310" spans="1:31" ht="15.75" customHeight="1" x14ac:dyDescent="0.25">
      <c r="A310" s="5"/>
      <c r="B310" s="5"/>
      <c r="C310" s="284"/>
      <c r="D310" s="5"/>
      <c r="E310" s="5"/>
      <c r="F310" s="5"/>
      <c r="G310" s="5"/>
      <c r="H310" s="5"/>
      <c r="I310" s="5"/>
      <c r="J310" s="5"/>
      <c r="K310" s="284"/>
      <c r="L310" s="176"/>
      <c r="M310" s="176"/>
      <c r="N310" s="176"/>
      <c r="O310" s="176"/>
      <c r="P310" s="176"/>
      <c r="Q310" s="176"/>
      <c r="R310" s="176"/>
      <c r="S310" s="176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</row>
    <row r="311" spans="1:31" ht="15.75" customHeight="1" x14ac:dyDescent="0.25">
      <c r="A311" s="5"/>
      <c r="B311" s="5"/>
      <c r="C311" s="284"/>
      <c r="D311" s="5"/>
      <c r="E311" s="5"/>
      <c r="F311" s="5"/>
      <c r="G311" s="5"/>
      <c r="H311" s="5"/>
      <c r="I311" s="5"/>
      <c r="J311" s="5"/>
      <c r="K311" s="284"/>
      <c r="L311" s="176"/>
      <c r="M311" s="176"/>
      <c r="N311" s="176"/>
      <c r="O311" s="176"/>
      <c r="P311" s="176"/>
      <c r="Q311" s="176"/>
      <c r="R311" s="176"/>
      <c r="S311" s="176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</row>
    <row r="312" spans="1:31" ht="15.75" customHeight="1" x14ac:dyDescent="0.25">
      <c r="A312" s="5"/>
      <c r="B312" s="5"/>
      <c r="C312" s="284"/>
      <c r="D312" s="5"/>
      <c r="E312" s="5"/>
      <c r="F312" s="5"/>
      <c r="G312" s="5"/>
      <c r="H312" s="5"/>
      <c r="I312" s="5"/>
      <c r="J312" s="5"/>
      <c r="K312" s="284"/>
      <c r="L312" s="176"/>
      <c r="M312" s="176"/>
      <c r="N312" s="176"/>
      <c r="O312" s="176"/>
      <c r="P312" s="176"/>
      <c r="Q312" s="176"/>
      <c r="R312" s="176"/>
      <c r="S312" s="176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</row>
    <row r="313" spans="1:31" ht="15.75" customHeight="1" x14ac:dyDescent="0.25">
      <c r="A313" s="5"/>
      <c r="B313" s="5"/>
      <c r="C313" s="284"/>
      <c r="D313" s="5"/>
      <c r="E313" s="5"/>
      <c r="F313" s="5"/>
      <c r="G313" s="5"/>
      <c r="H313" s="5"/>
      <c r="I313" s="5"/>
      <c r="J313" s="5"/>
      <c r="K313" s="284"/>
      <c r="L313" s="176"/>
      <c r="M313" s="176"/>
      <c r="N313" s="176"/>
      <c r="O313" s="176"/>
      <c r="P313" s="176"/>
      <c r="Q313" s="176"/>
      <c r="R313" s="176"/>
      <c r="S313" s="176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</row>
    <row r="314" spans="1:31" ht="15.75" customHeight="1" x14ac:dyDescent="0.25">
      <c r="A314" s="5"/>
      <c r="B314" s="5"/>
      <c r="C314" s="284"/>
      <c r="D314" s="5"/>
      <c r="E314" s="5"/>
      <c r="F314" s="5"/>
      <c r="G314" s="5"/>
      <c r="H314" s="5"/>
      <c r="I314" s="5"/>
      <c r="J314" s="5"/>
      <c r="K314" s="284"/>
      <c r="L314" s="176"/>
      <c r="M314" s="176"/>
      <c r="N314" s="176"/>
      <c r="O314" s="176"/>
      <c r="P314" s="176"/>
      <c r="Q314" s="176"/>
      <c r="R314" s="176"/>
      <c r="S314" s="176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</row>
    <row r="315" spans="1:31" ht="15.75" customHeight="1" x14ac:dyDescent="0.25">
      <c r="A315" s="5"/>
      <c r="B315" s="5"/>
      <c r="C315" s="284"/>
      <c r="D315" s="5"/>
      <c r="E315" s="5"/>
      <c r="F315" s="5"/>
      <c r="G315" s="5"/>
      <c r="H315" s="5"/>
      <c r="I315" s="5"/>
      <c r="J315" s="5"/>
      <c r="K315" s="284"/>
      <c r="L315" s="176"/>
      <c r="M315" s="176"/>
      <c r="N315" s="176"/>
      <c r="O315" s="176"/>
      <c r="P315" s="176"/>
      <c r="Q315" s="176"/>
      <c r="R315" s="176"/>
      <c r="S315" s="176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</row>
    <row r="316" spans="1:31" ht="15.75" customHeight="1" x14ac:dyDescent="0.25">
      <c r="A316" s="5"/>
      <c r="B316" s="5"/>
      <c r="C316" s="284"/>
      <c r="D316" s="5"/>
      <c r="E316" s="5"/>
      <c r="F316" s="5"/>
      <c r="G316" s="5"/>
      <c r="H316" s="5"/>
      <c r="I316" s="5"/>
      <c r="J316" s="5"/>
      <c r="K316" s="284"/>
      <c r="L316" s="176"/>
      <c r="M316" s="176"/>
      <c r="N316" s="176"/>
      <c r="O316" s="176"/>
      <c r="P316" s="176"/>
      <c r="Q316" s="176"/>
      <c r="R316" s="176"/>
      <c r="S316" s="176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</row>
    <row r="317" spans="1:31" ht="15.75" customHeight="1" x14ac:dyDescent="0.25">
      <c r="A317" s="5"/>
      <c r="B317" s="5"/>
      <c r="C317" s="284"/>
      <c r="D317" s="5"/>
      <c r="E317" s="5"/>
      <c r="F317" s="5"/>
      <c r="G317" s="5"/>
      <c r="H317" s="5"/>
      <c r="I317" s="5"/>
      <c r="J317" s="5"/>
      <c r="K317" s="284"/>
      <c r="L317" s="176"/>
      <c r="M317" s="176"/>
      <c r="N317" s="176"/>
      <c r="O317" s="176"/>
      <c r="P317" s="176"/>
      <c r="Q317" s="176"/>
      <c r="R317" s="176"/>
      <c r="S317" s="176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</row>
    <row r="318" spans="1:31" ht="15.75" customHeight="1" x14ac:dyDescent="0.25">
      <c r="A318" s="5"/>
      <c r="B318" s="5"/>
      <c r="C318" s="284"/>
      <c r="D318" s="5"/>
      <c r="E318" s="5"/>
      <c r="F318" s="5"/>
      <c r="G318" s="5"/>
      <c r="H318" s="5"/>
      <c r="I318" s="5"/>
      <c r="J318" s="5"/>
      <c r="K318" s="284"/>
      <c r="L318" s="176"/>
      <c r="M318" s="176"/>
      <c r="N318" s="176"/>
      <c r="O318" s="176"/>
      <c r="P318" s="176"/>
      <c r="Q318" s="176"/>
      <c r="R318" s="176"/>
      <c r="S318" s="176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</row>
    <row r="319" spans="1:31" ht="15.75" customHeight="1" x14ac:dyDescent="0.25">
      <c r="A319" s="5"/>
      <c r="B319" s="5"/>
      <c r="C319" s="284"/>
      <c r="D319" s="5"/>
      <c r="E319" s="5"/>
      <c r="F319" s="5"/>
      <c r="G319" s="5"/>
      <c r="H319" s="5"/>
      <c r="I319" s="5"/>
      <c r="J319" s="5"/>
      <c r="K319" s="284"/>
      <c r="L319" s="176"/>
      <c r="M319" s="176"/>
      <c r="N319" s="176"/>
      <c r="O319" s="176"/>
      <c r="P319" s="176"/>
      <c r="Q319" s="176"/>
      <c r="R319" s="176"/>
      <c r="S319" s="176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</row>
    <row r="320" spans="1:31" ht="15.75" customHeight="1" x14ac:dyDescent="0.25">
      <c r="A320" s="5"/>
      <c r="B320" s="5"/>
      <c r="C320" s="284"/>
      <c r="D320" s="5"/>
      <c r="E320" s="5"/>
      <c r="F320" s="5"/>
      <c r="G320" s="5"/>
      <c r="H320" s="5"/>
      <c r="I320" s="5"/>
      <c r="J320" s="5"/>
      <c r="K320" s="284"/>
      <c r="L320" s="176"/>
      <c r="M320" s="176"/>
      <c r="N320" s="176"/>
      <c r="O320" s="176"/>
      <c r="P320" s="176"/>
      <c r="Q320" s="176"/>
      <c r="R320" s="176"/>
      <c r="S320" s="176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</row>
    <row r="321" spans="1:31" ht="15.75" customHeight="1" x14ac:dyDescent="0.25">
      <c r="A321" s="5"/>
      <c r="B321" s="5"/>
      <c r="C321" s="284"/>
      <c r="D321" s="5"/>
      <c r="E321" s="5"/>
      <c r="F321" s="5"/>
      <c r="G321" s="5"/>
      <c r="H321" s="5"/>
      <c r="I321" s="5"/>
      <c r="J321" s="5"/>
      <c r="K321" s="284"/>
      <c r="L321" s="176"/>
      <c r="M321" s="176"/>
      <c r="N321" s="176"/>
      <c r="O321" s="176"/>
      <c r="P321" s="176"/>
      <c r="Q321" s="176"/>
      <c r="R321" s="176"/>
      <c r="S321" s="176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</row>
    <row r="322" spans="1:31" ht="15.75" customHeight="1" x14ac:dyDescent="0.25">
      <c r="A322" s="5"/>
      <c r="B322" s="5"/>
      <c r="C322" s="284"/>
      <c r="D322" s="5"/>
      <c r="E322" s="5"/>
      <c r="F322" s="5"/>
      <c r="G322" s="5"/>
      <c r="H322" s="5"/>
      <c r="I322" s="5"/>
      <c r="J322" s="5"/>
      <c r="K322" s="284"/>
      <c r="L322" s="176"/>
      <c r="M322" s="176"/>
      <c r="N322" s="176"/>
      <c r="O322" s="176"/>
      <c r="P322" s="176"/>
      <c r="Q322" s="176"/>
      <c r="R322" s="176"/>
      <c r="S322" s="176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</row>
    <row r="323" spans="1:31" ht="15.75" customHeight="1" x14ac:dyDescent="0.25">
      <c r="A323" s="5"/>
      <c r="B323" s="5"/>
      <c r="C323" s="284"/>
      <c r="D323" s="5"/>
      <c r="E323" s="5"/>
      <c r="F323" s="5"/>
      <c r="G323" s="5"/>
      <c r="H323" s="5"/>
      <c r="I323" s="5"/>
      <c r="J323" s="5"/>
      <c r="K323" s="284"/>
      <c r="L323" s="176"/>
      <c r="M323" s="176"/>
      <c r="N323" s="176"/>
      <c r="O323" s="176"/>
      <c r="P323" s="176"/>
      <c r="Q323" s="176"/>
      <c r="R323" s="176"/>
      <c r="S323" s="176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</row>
    <row r="324" spans="1:31" ht="15.75" customHeight="1" x14ac:dyDescent="0.25">
      <c r="A324" s="5"/>
      <c r="B324" s="5"/>
      <c r="C324" s="284"/>
      <c r="D324" s="5"/>
      <c r="E324" s="5"/>
      <c r="F324" s="5"/>
      <c r="G324" s="5"/>
      <c r="H324" s="5"/>
      <c r="I324" s="5"/>
      <c r="J324" s="5"/>
      <c r="K324" s="284"/>
      <c r="L324" s="176"/>
      <c r="M324" s="176"/>
      <c r="N324" s="176"/>
      <c r="O324" s="176"/>
      <c r="P324" s="176"/>
      <c r="Q324" s="176"/>
      <c r="R324" s="176"/>
      <c r="S324" s="176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</row>
    <row r="325" spans="1:31" ht="15.75" customHeight="1" x14ac:dyDescent="0.25">
      <c r="A325" s="5"/>
      <c r="B325" s="5"/>
      <c r="C325" s="284"/>
      <c r="D325" s="5"/>
      <c r="E325" s="5"/>
      <c r="F325" s="5"/>
      <c r="G325" s="5"/>
      <c r="H325" s="5"/>
      <c r="I325" s="5"/>
      <c r="J325" s="5"/>
      <c r="K325" s="284"/>
      <c r="L325" s="176"/>
      <c r="M325" s="176"/>
      <c r="N325" s="176"/>
      <c r="O325" s="176"/>
      <c r="P325" s="176"/>
      <c r="Q325" s="176"/>
      <c r="R325" s="176"/>
      <c r="S325" s="176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</row>
    <row r="326" spans="1:31" ht="15.75" customHeight="1" x14ac:dyDescent="0.25">
      <c r="A326" s="5"/>
      <c r="B326" s="5"/>
      <c r="C326" s="284"/>
      <c r="D326" s="5"/>
      <c r="E326" s="5"/>
      <c r="F326" s="5"/>
      <c r="G326" s="5"/>
      <c r="H326" s="5"/>
      <c r="I326" s="5"/>
      <c r="J326" s="5"/>
      <c r="K326" s="284"/>
      <c r="L326" s="176"/>
      <c r="M326" s="176"/>
      <c r="N326" s="176"/>
      <c r="O326" s="176"/>
      <c r="P326" s="176"/>
      <c r="Q326" s="176"/>
      <c r="R326" s="176"/>
      <c r="S326" s="176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</row>
    <row r="327" spans="1:31" ht="15.75" customHeight="1" x14ac:dyDescent="0.25">
      <c r="A327" s="5"/>
      <c r="B327" s="5"/>
      <c r="C327" s="284"/>
      <c r="D327" s="5"/>
      <c r="E327" s="5"/>
      <c r="F327" s="5"/>
      <c r="G327" s="5"/>
      <c r="H327" s="5"/>
      <c r="I327" s="5"/>
      <c r="J327" s="5"/>
      <c r="K327" s="284"/>
      <c r="L327" s="176"/>
      <c r="M327" s="176"/>
      <c r="N327" s="176"/>
      <c r="O327" s="176"/>
      <c r="P327" s="176"/>
      <c r="Q327" s="176"/>
      <c r="R327" s="176"/>
      <c r="S327" s="176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</row>
    <row r="328" spans="1:31" ht="15.75" customHeight="1" x14ac:dyDescent="0.25">
      <c r="A328" s="5"/>
      <c r="B328" s="5"/>
      <c r="C328" s="284"/>
      <c r="D328" s="5"/>
      <c r="E328" s="5"/>
      <c r="F328" s="5"/>
      <c r="G328" s="5"/>
      <c r="H328" s="5"/>
      <c r="I328" s="5"/>
      <c r="J328" s="5"/>
      <c r="K328" s="284"/>
      <c r="L328" s="176"/>
      <c r="M328" s="176"/>
      <c r="N328" s="176"/>
      <c r="O328" s="176"/>
      <c r="P328" s="176"/>
      <c r="Q328" s="176"/>
      <c r="R328" s="176"/>
      <c r="S328" s="176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</row>
    <row r="329" spans="1:31" ht="15.75" customHeight="1" x14ac:dyDescent="0.25">
      <c r="A329" s="5"/>
      <c r="B329" s="5"/>
      <c r="C329" s="284"/>
      <c r="D329" s="5"/>
      <c r="E329" s="5"/>
      <c r="F329" s="5"/>
      <c r="G329" s="5"/>
      <c r="H329" s="5"/>
      <c r="I329" s="5"/>
      <c r="J329" s="5"/>
      <c r="K329" s="284"/>
      <c r="L329" s="176"/>
      <c r="M329" s="176"/>
      <c r="N329" s="176"/>
      <c r="O329" s="176"/>
      <c r="P329" s="176"/>
      <c r="Q329" s="176"/>
      <c r="R329" s="176"/>
      <c r="S329" s="176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</row>
    <row r="330" spans="1:31" ht="15.75" customHeight="1" x14ac:dyDescent="0.25">
      <c r="A330" s="5"/>
      <c r="B330" s="5"/>
      <c r="C330" s="284"/>
      <c r="D330" s="5"/>
      <c r="E330" s="5"/>
      <c r="F330" s="5"/>
      <c r="G330" s="5"/>
      <c r="H330" s="5"/>
      <c r="I330" s="5"/>
      <c r="J330" s="5"/>
      <c r="K330" s="284"/>
      <c r="L330" s="176"/>
      <c r="M330" s="176"/>
      <c r="N330" s="176"/>
      <c r="O330" s="176"/>
      <c r="P330" s="176"/>
      <c r="Q330" s="176"/>
      <c r="R330" s="176"/>
      <c r="S330" s="176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</row>
    <row r="331" spans="1:31" ht="15.75" customHeight="1" x14ac:dyDescent="0.25">
      <c r="A331" s="5"/>
      <c r="B331" s="5"/>
      <c r="C331" s="284"/>
      <c r="D331" s="5"/>
      <c r="E331" s="5"/>
      <c r="F331" s="5"/>
      <c r="G331" s="5"/>
      <c r="H331" s="5"/>
      <c r="I331" s="5"/>
      <c r="J331" s="5"/>
      <c r="K331" s="284"/>
      <c r="L331" s="176"/>
      <c r="M331" s="176"/>
      <c r="N331" s="176"/>
      <c r="O331" s="176"/>
      <c r="P331" s="176"/>
      <c r="Q331" s="176"/>
      <c r="R331" s="176"/>
      <c r="S331" s="176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</row>
    <row r="332" spans="1:31" ht="15.75" customHeight="1" x14ac:dyDescent="0.25">
      <c r="A332" s="5"/>
      <c r="B332" s="5"/>
      <c r="C332" s="284"/>
      <c r="D332" s="5"/>
      <c r="E332" s="5"/>
      <c r="F332" s="5"/>
      <c r="G332" s="5"/>
      <c r="H332" s="5"/>
      <c r="I332" s="5"/>
      <c r="J332" s="5"/>
      <c r="K332" s="284"/>
      <c r="L332" s="176"/>
      <c r="M332" s="176"/>
      <c r="N332" s="176"/>
      <c r="O332" s="176"/>
      <c r="P332" s="176"/>
      <c r="Q332" s="176"/>
      <c r="R332" s="176"/>
      <c r="S332" s="176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</row>
    <row r="333" spans="1:31" ht="15.75" customHeight="1" x14ac:dyDescent="0.25">
      <c r="A333" s="5"/>
      <c r="B333" s="5"/>
      <c r="C333" s="284"/>
      <c r="D333" s="5"/>
      <c r="E333" s="5"/>
      <c r="F333" s="5"/>
      <c r="G333" s="5"/>
      <c r="H333" s="5"/>
      <c r="I333" s="5"/>
      <c r="J333" s="5"/>
      <c r="K333" s="284"/>
      <c r="L333" s="176"/>
      <c r="M333" s="176"/>
      <c r="N333" s="176"/>
      <c r="O333" s="176"/>
      <c r="P333" s="176"/>
      <c r="Q333" s="176"/>
      <c r="R333" s="176"/>
      <c r="S333" s="176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</row>
    <row r="334" spans="1:31" ht="15.75" customHeight="1" x14ac:dyDescent="0.25">
      <c r="A334" s="5"/>
      <c r="B334" s="5"/>
      <c r="C334" s="284"/>
      <c r="D334" s="5"/>
      <c r="E334" s="5"/>
      <c r="F334" s="5"/>
      <c r="G334" s="5"/>
      <c r="H334" s="5"/>
      <c r="I334" s="5"/>
      <c r="J334" s="5"/>
      <c r="K334" s="284"/>
      <c r="L334" s="176"/>
      <c r="M334" s="176"/>
      <c r="N334" s="176"/>
      <c r="O334" s="176"/>
      <c r="P334" s="176"/>
      <c r="Q334" s="176"/>
      <c r="R334" s="176"/>
      <c r="S334" s="176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</row>
    <row r="335" spans="1:31" ht="15.75" customHeight="1" x14ac:dyDescent="0.25">
      <c r="A335" s="5"/>
      <c r="B335" s="5"/>
      <c r="C335" s="284"/>
      <c r="D335" s="5"/>
      <c r="E335" s="5"/>
      <c r="F335" s="5"/>
      <c r="G335" s="5"/>
      <c r="H335" s="5"/>
      <c r="I335" s="5"/>
      <c r="J335" s="5"/>
      <c r="K335" s="284"/>
      <c r="L335" s="176"/>
      <c r="M335" s="176"/>
      <c r="N335" s="176"/>
      <c r="O335" s="176"/>
      <c r="P335" s="176"/>
      <c r="Q335" s="176"/>
      <c r="R335" s="176"/>
      <c r="S335" s="176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</row>
    <row r="336" spans="1:31" ht="15.75" customHeight="1" x14ac:dyDescent="0.25">
      <c r="A336" s="5"/>
      <c r="B336" s="5"/>
      <c r="C336" s="284"/>
      <c r="D336" s="5"/>
      <c r="E336" s="5"/>
      <c r="F336" s="5"/>
      <c r="G336" s="5"/>
      <c r="H336" s="5"/>
      <c r="I336" s="5"/>
      <c r="J336" s="5"/>
      <c r="K336" s="284"/>
      <c r="L336" s="176"/>
      <c r="M336" s="176"/>
      <c r="N336" s="176"/>
      <c r="O336" s="176"/>
      <c r="P336" s="176"/>
      <c r="Q336" s="176"/>
      <c r="R336" s="176"/>
      <c r="S336" s="176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</row>
    <row r="337" spans="1:31" ht="15.75" customHeight="1" x14ac:dyDescent="0.25">
      <c r="A337" s="5"/>
      <c r="B337" s="5"/>
      <c r="C337" s="284"/>
      <c r="D337" s="5"/>
      <c r="E337" s="5"/>
      <c r="F337" s="5"/>
      <c r="G337" s="5"/>
      <c r="H337" s="5"/>
      <c r="I337" s="5"/>
      <c r="J337" s="5"/>
      <c r="K337" s="284"/>
      <c r="L337" s="176"/>
      <c r="M337" s="176"/>
      <c r="N337" s="176"/>
      <c r="O337" s="176"/>
      <c r="P337" s="176"/>
      <c r="Q337" s="176"/>
      <c r="R337" s="176"/>
      <c r="S337" s="176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</row>
    <row r="338" spans="1:31" ht="15.75" customHeight="1" x14ac:dyDescent="0.25">
      <c r="A338" s="5"/>
      <c r="B338" s="5"/>
      <c r="C338" s="284"/>
      <c r="D338" s="5"/>
      <c r="E338" s="5"/>
      <c r="F338" s="5"/>
      <c r="G338" s="5"/>
      <c r="H338" s="5"/>
      <c r="I338" s="5"/>
      <c r="J338" s="5"/>
      <c r="K338" s="284"/>
      <c r="L338" s="176"/>
      <c r="M338" s="176"/>
      <c r="N338" s="176"/>
      <c r="O338" s="176"/>
      <c r="P338" s="176"/>
      <c r="Q338" s="176"/>
      <c r="R338" s="176"/>
      <c r="S338" s="176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</row>
    <row r="339" spans="1:31" ht="15.75" customHeight="1" x14ac:dyDescent="0.25">
      <c r="A339" s="5"/>
      <c r="B339" s="5"/>
      <c r="C339" s="284"/>
      <c r="D339" s="5"/>
      <c r="E339" s="5"/>
      <c r="F339" s="5"/>
      <c r="G339" s="5"/>
      <c r="H339" s="5"/>
      <c r="I339" s="5"/>
      <c r="J339" s="5"/>
      <c r="K339" s="284"/>
      <c r="L339" s="176"/>
      <c r="M339" s="176"/>
      <c r="N339" s="176"/>
      <c r="O339" s="176"/>
      <c r="P339" s="176"/>
      <c r="Q339" s="176"/>
      <c r="R339" s="176"/>
      <c r="S339" s="176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</row>
    <row r="340" spans="1:31" ht="15.75" customHeight="1" x14ac:dyDescent="0.25">
      <c r="A340" s="5"/>
      <c r="B340" s="5"/>
      <c r="C340" s="284"/>
      <c r="D340" s="5"/>
      <c r="E340" s="5"/>
      <c r="F340" s="5"/>
      <c r="G340" s="5"/>
      <c r="H340" s="5"/>
      <c r="I340" s="5"/>
      <c r="J340" s="5"/>
      <c r="K340" s="284"/>
      <c r="L340" s="176"/>
      <c r="M340" s="176"/>
      <c r="N340" s="176"/>
      <c r="O340" s="176"/>
      <c r="P340" s="176"/>
      <c r="Q340" s="176"/>
      <c r="R340" s="176"/>
      <c r="S340" s="176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</row>
    <row r="341" spans="1:31" ht="15.75" customHeight="1" x14ac:dyDescent="0.25">
      <c r="A341" s="5"/>
      <c r="B341" s="5"/>
      <c r="C341" s="284"/>
      <c r="D341" s="5"/>
      <c r="E341" s="5"/>
      <c r="F341" s="5"/>
      <c r="G341" s="5"/>
      <c r="H341" s="5"/>
      <c r="I341" s="5"/>
      <c r="J341" s="5"/>
      <c r="K341" s="284"/>
      <c r="L341" s="176"/>
      <c r="M341" s="176"/>
      <c r="N341" s="176"/>
      <c r="O341" s="176"/>
      <c r="P341" s="176"/>
      <c r="Q341" s="176"/>
      <c r="R341" s="176"/>
      <c r="S341" s="176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</row>
    <row r="342" spans="1:31" ht="15.75" customHeight="1" x14ac:dyDescent="0.25">
      <c r="A342" s="5"/>
      <c r="B342" s="5"/>
      <c r="C342" s="284"/>
      <c r="D342" s="5"/>
      <c r="E342" s="5"/>
      <c r="F342" s="5"/>
      <c r="G342" s="5"/>
      <c r="H342" s="5"/>
      <c r="I342" s="5"/>
      <c r="J342" s="5"/>
      <c r="K342" s="284"/>
      <c r="L342" s="176"/>
      <c r="M342" s="176"/>
      <c r="N342" s="176"/>
      <c r="O342" s="176"/>
      <c r="P342" s="176"/>
      <c r="Q342" s="176"/>
      <c r="R342" s="176"/>
      <c r="S342" s="176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</row>
    <row r="343" spans="1:31" ht="15.75" customHeight="1" x14ac:dyDescent="0.25">
      <c r="A343" s="5"/>
      <c r="B343" s="5"/>
      <c r="C343" s="284"/>
      <c r="D343" s="5"/>
      <c r="E343" s="5"/>
      <c r="F343" s="5"/>
      <c r="G343" s="5"/>
      <c r="H343" s="5"/>
      <c r="I343" s="5"/>
      <c r="J343" s="5"/>
      <c r="K343" s="284"/>
      <c r="L343" s="176"/>
      <c r="M343" s="176"/>
      <c r="N343" s="176"/>
      <c r="O343" s="176"/>
      <c r="P343" s="176"/>
      <c r="Q343" s="176"/>
      <c r="R343" s="176"/>
      <c r="S343" s="176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</row>
    <row r="344" spans="1:31" ht="15.75" customHeight="1" x14ac:dyDescent="0.25">
      <c r="A344" s="5"/>
      <c r="B344" s="5"/>
      <c r="C344" s="284"/>
      <c r="D344" s="5"/>
      <c r="E344" s="5"/>
      <c r="F344" s="5"/>
      <c r="G344" s="5"/>
      <c r="H344" s="5"/>
      <c r="I344" s="5"/>
      <c r="J344" s="5"/>
      <c r="K344" s="284"/>
      <c r="L344" s="176"/>
      <c r="M344" s="176"/>
      <c r="N344" s="176"/>
      <c r="O344" s="176"/>
      <c r="P344" s="176"/>
      <c r="Q344" s="176"/>
      <c r="R344" s="176"/>
      <c r="S344" s="176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</row>
    <row r="345" spans="1:31" ht="15.75" customHeight="1" x14ac:dyDescent="0.25">
      <c r="A345" s="5"/>
      <c r="B345" s="5"/>
      <c r="C345" s="284"/>
      <c r="D345" s="5"/>
      <c r="E345" s="5"/>
      <c r="F345" s="5"/>
      <c r="G345" s="5"/>
      <c r="H345" s="5"/>
      <c r="I345" s="5"/>
      <c r="J345" s="5"/>
      <c r="K345" s="284"/>
      <c r="L345" s="176"/>
      <c r="M345" s="176"/>
      <c r="N345" s="176"/>
      <c r="O345" s="176"/>
      <c r="P345" s="176"/>
      <c r="Q345" s="176"/>
      <c r="R345" s="176"/>
      <c r="S345" s="176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</row>
    <row r="346" spans="1:31" ht="15.75" customHeight="1" x14ac:dyDescent="0.25">
      <c r="A346" s="5"/>
      <c r="B346" s="5"/>
      <c r="C346" s="284"/>
      <c r="D346" s="5"/>
      <c r="E346" s="5"/>
      <c r="F346" s="5"/>
      <c r="G346" s="5"/>
      <c r="H346" s="5"/>
      <c r="I346" s="5"/>
      <c r="J346" s="5"/>
      <c r="K346" s="284"/>
      <c r="L346" s="176"/>
      <c r="M346" s="176"/>
      <c r="N346" s="176"/>
      <c r="O346" s="176"/>
      <c r="P346" s="176"/>
      <c r="Q346" s="176"/>
      <c r="R346" s="176"/>
      <c r="S346" s="176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</row>
    <row r="347" spans="1:31" ht="15.75" customHeight="1" x14ac:dyDescent="0.25">
      <c r="A347" s="5"/>
      <c r="B347" s="5"/>
      <c r="C347" s="284"/>
      <c r="D347" s="5"/>
      <c r="E347" s="5"/>
      <c r="F347" s="5"/>
      <c r="G347" s="5"/>
      <c r="H347" s="5"/>
      <c r="I347" s="5"/>
      <c r="J347" s="5"/>
      <c r="K347" s="284"/>
      <c r="L347" s="176"/>
      <c r="M347" s="176"/>
      <c r="N347" s="176"/>
      <c r="O347" s="176"/>
      <c r="P347" s="176"/>
      <c r="Q347" s="176"/>
      <c r="R347" s="176"/>
      <c r="S347" s="176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</row>
    <row r="348" spans="1:31" ht="15.75" customHeight="1" x14ac:dyDescent="0.25">
      <c r="A348" s="5"/>
      <c r="B348" s="5"/>
      <c r="C348" s="284"/>
      <c r="D348" s="5"/>
      <c r="E348" s="5"/>
      <c r="F348" s="5"/>
      <c r="G348" s="5"/>
      <c r="H348" s="5"/>
      <c r="I348" s="5"/>
      <c r="J348" s="5"/>
      <c r="K348" s="284"/>
      <c r="L348" s="176"/>
      <c r="M348" s="176"/>
      <c r="N348" s="176"/>
      <c r="O348" s="176"/>
      <c r="P348" s="176"/>
      <c r="Q348" s="176"/>
      <c r="R348" s="176"/>
      <c r="S348" s="176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</row>
    <row r="349" spans="1:31" ht="15.75" customHeight="1" x14ac:dyDescent="0.25">
      <c r="A349" s="5"/>
      <c r="B349" s="5"/>
      <c r="C349" s="284"/>
      <c r="D349" s="5"/>
      <c r="E349" s="5"/>
      <c r="F349" s="5"/>
      <c r="G349" s="5"/>
      <c r="H349" s="5"/>
      <c r="I349" s="5"/>
      <c r="J349" s="5"/>
      <c r="K349" s="284"/>
      <c r="L349" s="176"/>
      <c r="M349" s="176"/>
      <c r="N349" s="176"/>
      <c r="O349" s="176"/>
      <c r="P349" s="176"/>
      <c r="Q349" s="176"/>
      <c r="R349" s="176"/>
      <c r="S349" s="176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</row>
    <row r="350" spans="1:31" ht="15.75" customHeight="1" x14ac:dyDescent="0.25">
      <c r="A350" s="5"/>
      <c r="B350" s="5"/>
      <c r="C350" s="284"/>
      <c r="D350" s="5"/>
      <c r="E350" s="5"/>
      <c r="F350" s="5"/>
      <c r="G350" s="5"/>
      <c r="H350" s="5"/>
      <c r="I350" s="5"/>
      <c r="J350" s="5"/>
      <c r="K350" s="284"/>
      <c r="L350" s="176"/>
      <c r="M350" s="176"/>
      <c r="N350" s="176"/>
      <c r="O350" s="176"/>
      <c r="P350" s="176"/>
      <c r="Q350" s="176"/>
      <c r="R350" s="176"/>
      <c r="S350" s="176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</row>
    <row r="351" spans="1:31" ht="15.75" customHeight="1" x14ac:dyDescent="0.25">
      <c r="A351" s="5"/>
      <c r="B351" s="5"/>
      <c r="C351" s="284"/>
      <c r="D351" s="5"/>
      <c r="E351" s="5"/>
      <c r="F351" s="5"/>
      <c r="G351" s="5"/>
      <c r="H351" s="5"/>
      <c r="I351" s="5"/>
      <c r="J351" s="5"/>
      <c r="K351" s="284"/>
      <c r="L351" s="176"/>
      <c r="M351" s="176"/>
      <c r="N351" s="176"/>
      <c r="O351" s="176"/>
      <c r="P351" s="176"/>
      <c r="Q351" s="176"/>
      <c r="R351" s="176"/>
      <c r="S351" s="176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</row>
    <row r="352" spans="1:31" ht="15.75" customHeight="1" x14ac:dyDescent="0.25">
      <c r="A352" s="5"/>
      <c r="B352" s="5"/>
      <c r="C352" s="284"/>
      <c r="D352" s="5"/>
      <c r="E352" s="5"/>
      <c r="F352" s="5"/>
      <c r="G352" s="5"/>
      <c r="H352" s="5"/>
      <c r="I352" s="5"/>
      <c r="J352" s="5"/>
      <c r="K352" s="284"/>
      <c r="L352" s="176"/>
      <c r="M352" s="176"/>
      <c r="N352" s="176"/>
      <c r="O352" s="176"/>
      <c r="P352" s="176"/>
      <c r="Q352" s="176"/>
      <c r="R352" s="176"/>
      <c r="S352" s="176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</row>
    <row r="353" spans="1:31" ht="15.75" customHeight="1" x14ac:dyDescent="0.25">
      <c r="A353" s="5"/>
      <c r="B353" s="5"/>
      <c r="C353" s="284"/>
      <c r="D353" s="5"/>
      <c r="E353" s="5"/>
      <c r="F353" s="5"/>
      <c r="G353" s="5"/>
      <c r="H353" s="5"/>
      <c r="I353" s="5"/>
      <c r="J353" s="5"/>
      <c r="K353" s="284"/>
      <c r="L353" s="176"/>
      <c r="M353" s="176"/>
      <c r="N353" s="176"/>
      <c r="O353" s="176"/>
      <c r="P353" s="176"/>
      <c r="Q353" s="176"/>
      <c r="R353" s="176"/>
      <c r="S353" s="176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</row>
    <row r="354" spans="1:31" ht="15.75" customHeight="1" x14ac:dyDescent="0.25">
      <c r="A354" s="5"/>
      <c r="B354" s="5"/>
      <c r="C354" s="284"/>
      <c r="D354" s="5"/>
      <c r="E354" s="5"/>
      <c r="F354" s="5"/>
      <c r="G354" s="5"/>
      <c r="H354" s="5"/>
      <c r="I354" s="5"/>
      <c r="J354" s="5"/>
      <c r="K354" s="284"/>
      <c r="L354" s="176"/>
      <c r="M354" s="176"/>
      <c r="N354" s="176"/>
      <c r="O354" s="176"/>
      <c r="P354" s="176"/>
      <c r="Q354" s="176"/>
      <c r="R354" s="176"/>
      <c r="S354" s="176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</row>
    <row r="355" spans="1:31" ht="15.75" customHeight="1" x14ac:dyDescent="0.25">
      <c r="A355" s="5"/>
      <c r="B355" s="5"/>
      <c r="C355" s="284"/>
      <c r="D355" s="5"/>
      <c r="E355" s="5"/>
      <c r="F355" s="5"/>
      <c r="G355" s="5"/>
      <c r="H355" s="5"/>
      <c r="I355" s="5"/>
      <c r="J355" s="5"/>
      <c r="K355" s="284"/>
      <c r="L355" s="176"/>
      <c r="M355" s="176"/>
      <c r="N355" s="176"/>
      <c r="O355" s="176"/>
      <c r="P355" s="176"/>
      <c r="Q355" s="176"/>
      <c r="R355" s="176"/>
      <c r="S355" s="176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</row>
    <row r="356" spans="1:31" ht="15.75" customHeight="1" x14ac:dyDescent="0.25">
      <c r="A356" s="5"/>
      <c r="B356" s="5"/>
      <c r="C356" s="284"/>
      <c r="D356" s="5"/>
      <c r="E356" s="5"/>
      <c r="F356" s="5"/>
      <c r="G356" s="5"/>
      <c r="H356" s="5"/>
      <c r="I356" s="5"/>
      <c r="J356" s="5"/>
      <c r="K356" s="284"/>
      <c r="L356" s="176"/>
      <c r="M356" s="176"/>
      <c r="N356" s="176"/>
      <c r="O356" s="176"/>
      <c r="P356" s="176"/>
      <c r="Q356" s="176"/>
      <c r="R356" s="176"/>
      <c r="S356" s="176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</row>
    <row r="357" spans="1:31" ht="15.75" customHeight="1" x14ac:dyDescent="0.25">
      <c r="A357" s="5"/>
      <c r="B357" s="5"/>
      <c r="C357" s="284"/>
      <c r="D357" s="5"/>
      <c r="E357" s="5"/>
      <c r="F357" s="5"/>
      <c r="G357" s="5"/>
      <c r="H357" s="5"/>
      <c r="I357" s="5"/>
      <c r="J357" s="5"/>
      <c r="K357" s="284"/>
      <c r="L357" s="176"/>
      <c r="M357" s="176"/>
      <c r="N357" s="176"/>
      <c r="O357" s="176"/>
      <c r="P357" s="176"/>
      <c r="Q357" s="176"/>
      <c r="R357" s="176"/>
      <c r="S357" s="176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</row>
    <row r="358" spans="1:31" ht="15.75" customHeight="1" x14ac:dyDescent="0.25">
      <c r="A358" s="5"/>
      <c r="B358" s="5"/>
      <c r="C358" s="284"/>
      <c r="D358" s="5"/>
      <c r="E358" s="5"/>
      <c r="F358" s="5"/>
      <c r="G358" s="5"/>
      <c r="H358" s="5"/>
      <c r="I358" s="5"/>
      <c r="J358" s="5"/>
      <c r="K358" s="284"/>
      <c r="L358" s="176"/>
      <c r="M358" s="176"/>
      <c r="N358" s="176"/>
      <c r="O358" s="176"/>
      <c r="P358" s="176"/>
      <c r="Q358" s="176"/>
      <c r="R358" s="176"/>
      <c r="S358" s="176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</row>
    <row r="359" spans="1:31" ht="15.75" customHeight="1" x14ac:dyDescent="0.25">
      <c r="A359" s="5"/>
      <c r="B359" s="5"/>
      <c r="C359" s="284"/>
      <c r="D359" s="5"/>
      <c r="E359" s="5"/>
      <c r="F359" s="5"/>
      <c r="G359" s="5"/>
      <c r="H359" s="5"/>
      <c r="I359" s="5"/>
      <c r="J359" s="5"/>
      <c r="K359" s="284"/>
      <c r="L359" s="176"/>
      <c r="M359" s="176"/>
      <c r="N359" s="176"/>
      <c r="O359" s="176"/>
      <c r="P359" s="176"/>
      <c r="Q359" s="176"/>
      <c r="R359" s="176"/>
      <c r="S359" s="176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</row>
    <row r="360" spans="1:31" ht="15.75" customHeight="1" x14ac:dyDescent="0.25">
      <c r="A360" s="5"/>
      <c r="B360" s="5"/>
      <c r="C360" s="284"/>
      <c r="D360" s="5"/>
      <c r="E360" s="5"/>
      <c r="F360" s="5"/>
      <c r="G360" s="5"/>
      <c r="H360" s="5"/>
      <c r="I360" s="5"/>
      <c r="J360" s="5"/>
      <c r="K360" s="284"/>
      <c r="L360" s="176"/>
      <c r="M360" s="176"/>
      <c r="N360" s="176"/>
      <c r="O360" s="176"/>
      <c r="P360" s="176"/>
      <c r="Q360" s="176"/>
      <c r="R360" s="176"/>
      <c r="S360" s="176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</row>
    <row r="361" spans="1:31" ht="15.75" customHeight="1" x14ac:dyDescent="0.25">
      <c r="A361" s="5"/>
      <c r="B361" s="5"/>
      <c r="C361" s="284"/>
      <c r="D361" s="5"/>
      <c r="E361" s="5"/>
      <c r="F361" s="5"/>
      <c r="G361" s="5"/>
      <c r="H361" s="5"/>
      <c r="I361" s="5"/>
      <c r="J361" s="5"/>
      <c r="K361" s="284"/>
      <c r="L361" s="176"/>
      <c r="M361" s="176"/>
      <c r="N361" s="176"/>
      <c r="O361" s="176"/>
      <c r="P361" s="176"/>
      <c r="Q361" s="176"/>
      <c r="R361" s="176"/>
      <c r="S361" s="176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</row>
    <row r="362" spans="1:31" ht="15.75" customHeight="1" x14ac:dyDescent="0.25">
      <c r="A362" s="5"/>
      <c r="B362" s="5"/>
      <c r="C362" s="284"/>
      <c r="D362" s="5"/>
      <c r="E362" s="5"/>
      <c r="F362" s="5"/>
      <c r="G362" s="5"/>
      <c r="H362" s="5"/>
      <c r="I362" s="5"/>
      <c r="J362" s="5"/>
      <c r="K362" s="284"/>
      <c r="L362" s="176"/>
      <c r="M362" s="176"/>
      <c r="N362" s="176"/>
      <c r="O362" s="176"/>
      <c r="P362" s="176"/>
      <c r="Q362" s="176"/>
      <c r="R362" s="176"/>
      <c r="S362" s="176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</row>
    <row r="363" spans="1:31" ht="15.75" customHeight="1" x14ac:dyDescent="0.25">
      <c r="A363" s="5"/>
      <c r="B363" s="5"/>
      <c r="C363" s="284"/>
      <c r="D363" s="5"/>
      <c r="E363" s="5"/>
      <c r="F363" s="5"/>
      <c r="G363" s="5"/>
      <c r="H363" s="5"/>
      <c r="I363" s="5"/>
      <c r="J363" s="5"/>
      <c r="K363" s="284"/>
      <c r="L363" s="176"/>
      <c r="M363" s="176"/>
      <c r="N363" s="176"/>
      <c r="O363" s="176"/>
      <c r="P363" s="176"/>
      <c r="Q363" s="176"/>
      <c r="R363" s="176"/>
      <c r="S363" s="176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</row>
    <row r="364" spans="1:31" ht="15.75" customHeight="1" x14ac:dyDescent="0.25">
      <c r="A364" s="5"/>
      <c r="B364" s="5"/>
      <c r="C364" s="284"/>
      <c r="D364" s="5"/>
      <c r="E364" s="5"/>
      <c r="F364" s="5"/>
      <c r="G364" s="5"/>
      <c r="H364" s="5"/>
      <c r="I364" s="5"/>
      <c r="J364" s="5"/>
      <c r="K364" s="284"/>
      <c r="L364" s="176"/>
      <c r="M364" s="176"/>
      <c r="N364" s="176"/>
      <c r="O364" s="176"/>
      <c r="P364" s="176"/>
      <c r="Q364" s="176"/>
      <c r="R364" s="176"/>
      <c r="S364" s="176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</row>
    <row r="365" spans="1:31" ht="15.75" customHeight="1" x14ac:dyDescent="0.25">
      <c r="A365" s="5"/>
      <c r="B365" s="5"/>
      <c r="C365" s="284"/>
      <c r="D365" s="5"/>
      <c r="E365" s="5"/>
      <c r="F365" s="5"/>
      <c r="G365" s="5"/>
      <c r="H365" s="5"/>
      <c r="I365" s="5"/>
      <c r="J365" s="5"/>
      <c r="K365" s="284"/>
      <c r="L365" s="176"/>
      <c r="M365" s="176"/>
      <c r="N365" s="176"/>
      <c r="O365" s="176"/>
      <c r="P365" s="176"/>
      <c r="Q365" s="176"/>
      <c r="R365" s="176"/>
      <c r="S365" s="176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</row>
    <row r="366" spans="1:31" ht="15.75" customHeight="1" x14ac:dyDescent="0.25">
      <c r="A366" s="5"/>
      <c r="B366" s="5"/>
      <c r="C366" s="284"/>
      <c r="D366" s="5"/>
      <c r="E366" s="5"/>
      <c r="F366" s="5"/>
      <c r="G366" s="5"/>
      <c r="H366" s="5"/>
      <c r="I366" s="5"/>
      <c r="J366" s="5"/>
      <c r="K366" s="284"/>
      <c r="L366" s="176"/>
      <c r="M366" s="176"/>
      <c r="N366" s="176"/>
      <c r="O366" s="176"/>
      <c r="P366" s="176"/>
      <c r="Q366" s="176"/>
      <c r="R366" s="176"/>
      <c r="S366" s="176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</row>
    <row r="367" spans="1:31" ht="15.75" customHeight="1" x14ac:dyDescent="0.25">
      <c r="A367" s="5"/>
      <c r="B367" s="5"/>
      <c r="C367" s="284"/>
      <c r="D367" s="5"/>
      <c r="E367" s="5"/>
      <c r="F367" s="5"/>
      <c r="G367" s="5"/>
      <c r="H367" s="5"/>
      <c r="I367" s="5"/>
      <c r="J367" s="5"/>
      <c r="K367" s="284"/>
      <c r="L367" s="176"/>
      <c r="M367" s="176"/>
      <c r="N367" s="176"/>
      <c r="O367" s="176"/>
      <c r="P367" s="176"/>
      <c r="Q367" s="176"/>
      <c r="R367" s="176"/>
      <c r="S367" s="176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</row>
    <row r="368" spans="1:31" ht="15.75" customHeight="1" x14ac:dyDescent="0.25">
      <c r="A368" s="5"/>
      <c r="B368" s="5"/>
      <c r="C368" s="284"/>
      <c r="D368" s="5"/>
      <c r="E368" s="5"/>
      <c r="F368" s="5"/>
      <c r="G368" s="5"/>
      <c r="H368" s="5"/>
      <c r="I368" s="5"/>
      <c r="J368" s="5"/>
      <c r="K368" s="284"/>
      <c r="L368" s="176"/>
      <c r="M368" s="176"/>
      <c r="N368" s="176"/>
      <c r="O368" s="176"/>
      <c r="P368" s="176"/>
      <c r="Q368" s="176"/>
      <c r="R368" s="176"/>
      <c r="S368" s="176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</row>
    <row r="369" spans="1:31" ht="15.75" customHeight="1" x14ac:dyDescent="0.25">
      <c r="A369" s="5"/>
      <c r="B369" s="5"/>
      <c r="C369" s="284"/>
      <c r="D369" s="5"/>
      <c r="E369" s="5"/>
      <c r="F369" s="5"/>
      <c r="G369" s="5"/>
      <c r="H369" s="5"/>
      <c r="I369" s="5"/>
      <c r="J369" s="5"/>
      <c r="K369" s="284"/>
      <c r="L369" s="176"/>
      <c r="M369" s="176"/>
      <c r="N369" s="176"/>
      <c r="O369" s="176"/>
      <c r="P369" s="176"/>
      <c r="Q369" s="176"/>
      <c r="R369" s="176"/>
      <c r="S369" s="176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</row>
    <row r="370" spans="1:31" ht="15.75" customHeight="1" x14ac:dyDescent="0.25">
      <c r="A370" s="5"/>
      <c r="B370" s="5"/>
      <c r="C370" s="284"/>
      <c r="D370" s="5"/>
      <c r="E370" s="5"/>
      <c r="F370" s="5"/>
      <c r="G370" s="5"/>
      <c r="H370" s="5"/>
      <c r="I370" s="5"/>
      <c r="J370" s="5"/>
      <c r="K370" s="284"/>
      <c r="L370" s="176"/>
      <c r="M370" s="176"/>
      <c r="N370" s="176"/>
      <c r="O370" s="176"/>
      <c r="P370" s="176"/>
      <c r="Q370" s="176"/>
      <c r="R370" s="176"/>
      <c r="S370" s="176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</row>
    <row r="371" spans="1:31" ht="15.75" customHeight="1" x14ac:dyDescent="0.25">
      <c r="A371" s="5"/>
      <c r="B371" s="5"/>
      <c r="C371" s="284"/>
      <c r="D371" s="5"/>
      <c r="E371" s="5"/>
      <c r="F371" s="5"/>
      <c r="G371" s="5"/>
      <c r="H371" s="5"/>
      <c r="I371" s="5"/>
      <c r="J371" s="5"/>
      <c r="K371" s="284"/>
      <c r="L371" s="176"/>
      <c r="M371" s="176"/>
      <c r="N371" s="176"/>
      <c r="O371" s="176"/>
      <c r="P371" s="176"/>
      <c r="Q371" s="176"/>
      <c r="R371" s="176"/>
      <c r="S371" s="176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</row>
    <row r="372" spans="1:31" ht="15.75" customHeight="1" x14ac:dyDescent="0.25">
      <c r="A372" s="5"/>
      <c r="B372" s="5"/>
      <c r="C372" s="284"/>
      <c r="D372" s="5"/>
      <c r="E372" s="5"/>
      <c r="F372" s="5"/>
      <c r="G372" s="5"/>
      <c r="H372" s="5"/>
      <c r="I372" s="5"/>
      <c r="J372" s="5"/>
      <c r="K372" s="284"/>
      <c r="L372" s="176"/>
      <c r="M372" s="176"/>
      <c r="N372" s="176"/>
      <c r="O372" s="176"/>
      <c r="P372" s="176"/>
      <c r="Q372" s="176"/>
      <c r="R372" s="176"/>
      <c r="S372" s="176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</row>
    <row r="373" spans="1:31" ht="15.75" customHeight="1" x14ac:dyDescent="0.25">
      <c r="A373" s="5"/>
      <c r="B373" s="5"/>
      <c r="C373" s="284"/>
      <c r="D373" s="5"/>
      <c r="E373" s="5"/>
      <c r="F373" s="5"/>
      <c r="G373" s="5"/>
      <c r="H373" s="5"/>
      <c r="I373" s="5"/>
      <c r="J373" s="5"/>
      <c r="K373" s="284"/>
      <c r="L373" s="176"/>
      <c r="M373" s="176"/>
      <c r="N373" s="176"/>
      <c r="O373" s="176"/>
      <c r="P373" s="176"/>
      <c r="Q373" s="176"/>
      <c r="R373" s="176"/>
      <c r="S373" s="176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</row>
    <row r="374" spans="1:31" ht="15.75" customHeight="1" x14ac:dyDescent="0.25">
      <c r="A374" s="5"/>
      <c r="B374" s="5"/>
      <c r="C374" s="284"/>
      <c r="D374" s="5"/>
      <c r="E374" s="5"/>
      <c r="F374" s="5"/>
      <c r="G374" s="5"/>
      <c r="H374" s="5"/>
      <c r="I374" s="5"/>
      <c r="J374" s="5"/>
      <c r="K374" s="284"/>
      <c r="L374" s="176"/>
      <c r="M374" s="176"/>
      <c r="N374" s="176"/>
      <c r="O374" s="176"/>
      <c r="P374" s="176"/>
      <c r="Q374" s="176"/>
      <c r="R374" s="176"/>
      <c r="S374" s="176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</row>
    <row r="375" spans="1:31" ht="15.75" customHeight="1" x14ac:dyDescent="0.25">
      <c r="A375" s="5"/>
      <c r="B375" s="5"/>
      <c r="C375" s="284"/>
      <c r="D375" s="5"/>
      <c r="E375" s="5"/>
      <c r="F375" s="5"/>
      <c r="G375" s="5"/>
      <c r="H375" s="5"/>
      <c r="I375" s="5"/>
      <c r="J375" s="5"/>
      <c r="K375" s="284"/>
      <c r="L375" s="176"/>
      <c r="M375" s="176"/>
      <c r="N375" s="176"/>
      <c r="O375" s="176"/>
      <c r="P375" s="176"/>
      <c r="Q375" s="176"/>
      <c r="R375" s="176"/>
      <c r="S375" s="176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</row>
    <row r="376" spans="1:31" ht="15.75" customHeight="1" x14ac:dyDescent="0.25">
      <c r="A376" s="5"/>
      <c r="B376" s="5"/>
      <c r="C376" s="284"/>
      <c r="D376" s="5"/>
      <c r="E376" s="5"/>
      <c r="F376" s="5"/>
      <c r="G376" s="5"/>
      <c r="H376" s="5"/>
      <c r="I376" s="5"/>
      <c r="J376" s="5"/>
      <c r="K376" s="284"/>
      <c r="L376" s="176"/>
      <c r="M376" s="176"/>
      <c r="N376" s="176"/>
      <c r="O376" s="176"/>
      <c r="P376" s="176"/>
      <c r="Q376" s="176"/>
      <c r="R376" s="176"/>
      <c r="S376" s="176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</row>
    <row r="377" spans="1:31" ht="15.75" customHeight="1" x14ac:dyDescent="0.25">
      <c r="A377" s="5"/>
      <c r="B377" s="5"/>
      <c r="C377" s="284"/>
      <c r="D377" s="5"/>
      <c r="E377" s="5"/>
      <c r="F377" s="5"/>
      <c r="G377" s="5"/>
      <c r="H377" s="5"/>
      <c r="I377" s="5"/>
      <c r="J377" s="5"/>
      <c r="K377" s="284"/>
      <c r="L377" s="176"/>
      <c r="M377" s="176"/>
      <c r="N377" s="176"/>
      <c r="O377" s="176"/>
      <c r="P377" s="176"/>
      <c r="Q377" s="176"/>
      <c r="R377" s="176"/>
      <c r="S377" s="176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</row>
    <row r="378" spans="1:31" ht="15.75" customHeight="1" x14ac:dyDescent="0.25">
      <c r="A378" s="5"/>
      <c r="B378" s="5"/>
      <c r="C378" s="284"/>
      <c r="D378" s="5"/>
      <c r="E378" s="5"/>
      <c r="F378" s="5"/>
      <c r="G378" s="5"/>
      <c r="H378" s="5"/>
      <c r="I378" s="5"/>
      <c r="J378" s="5"/>
      <c r="K378" s="284"/>
      <c r="L378" s="176"/>
      <c r="M378" s="176"/>
      <c r="N378" s="176"/>
      <c r="O378" s="176"/>
      <c r="P378" s="176"/>
      <c r="Q378" s="176"/>
      <c r="R378" s="176"/>
      <c r="S378" s="176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</row>
    <row r="379" spans="1:31" ht="15.75" customHeight="1" x14ac:dyDescent="0.25">
      <c r="A379" s="5"/>
      <c r="B379" s="5"/>
      <c r="C379" s="284"/>
      <c r="D379" s="5"/>
      <c r="E379" s="5"/>
      <c r="F379" s="5"/>
      <c r="G379" s="5"/>
      <c r="H379" s="5"/>
      <c r="I379" s="5"/>
      <c r="J379" s="5"/>
      <c r="K379" s="284"/>
      <c r="L379" s="176"/>
      <c r="M379" s="176"/>
      <c r="N379" s="176"/>
      <c r="O379" s="176"/>
      <c r="P379" s="176"/>
      <c r="Q379" s="176"/>
      <c r="R379" s="176"/>
      <c r="S379" s="176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</row>
    <row r="380" spans="1:31" ht="15.75" customHeight="1" x14ac:dyDescent="0.25">
      <c r="A380" s="5"/>
      <c r="B380" s="5"/>
      <c r="C380" s="284"/>
      <c r="D380" s="5"/>
      <c r="E380" s="5"/>
      <c r="F380" s="5"/>
      <c r="G380" s="5"/>
      <c r="H380" s="5"/>
      <c r="I380" s="5"/>
      <c r="J380" s="5"/>
      <c r="K380" s="284"/>
      <c r="L380" s="176"/>
      <c r="M380" s="176"/>
      <c r="N380" s="176"/>
      <c r="O380" s="176"/>
      <c r="P380" s="176"/>
      <c r="Q380" s="176"/>
      <c r="R380" s="176"/>
      <c r="S380" s="176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</row>
    <row r="381" spans="1:31" ht="15.75" customHeight="1" x14ac:dyDescent="0.25">
      <c r="A381" s="5"/>
      <c r="B381" s="5"/>
      <c r="C381" s="284"/>
      <c r="D381" s="5"/>
      <c r="E381" s="5"/>
      <c r="F381" s="5"/>
      <c r="G381" s="5"/>
      <c r="H381" s="5"/>
      <c r="I381" s="5"/>
      <c r="J381" s="5"/>
      <c r="K381" s="284"/>
      <c r="L381" s="176"/>
      <c r="M381" s="176"/>
      <c r="N381" s="176"/>
      <c r="O381" s="176"/>
      <c r="P381" s="176"/>
      <c r="Q381" s="176"/>
      <c r="R381" s="176"/>
      <c r="S381" s="176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</row>
    <row r="382" spans="1:31" ht="15.75" customHeight="1" x14ac:dyDescent="0.25">
      <c r="A382" s="5"/>
      <c r="B382" s="5"/>
      <c r="C382" s="284"/>
      <c r="D382" s="5"/>
      <c r="E382" s="5"/>
      <c r="F382" s="5"/>
      <c r="G382" s="5"/>
      <c r="H382" s="5"/>
      <c r="I382" s="5"/>
      <c r="J382" s="5"/>
      <c r="K382" s="284"/>
      <c r="L382" s="176"/>
      <c r="M382" s="176"/>
      <c r="N382" s="176"/>
      <c r="O382" s="176"/>
      <c r="P382" s="176"/>
      <c r="Q382" s="176"/>
      <c r="R382" s="176"/>
      <c r="S382" s="176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</row>
    <row r="383" spans="1:31" ht="15.75" customHeight="1" x14ac:dyDescent="0.25">
      <c r="A383" s="5"/>
      <c r="B383" s="5"/>
      <c r="C383" s="284"/>
      <c r="D383" s="5"/>
      <c r="E383" s="5"/>
      <c r="F383" s="5"/>
      <c r="G383" s="5"/>
      <c r="H383" s="5"/>
      <c r="I383" s="5"/>
      <c r="J383" s="5"/>
      <c r="K383" s="284"/>
      <c r="L383" s="176"/>
      <c r="M383" s="176"/>
      <c r="N383" s="176"/>
      <c r="O383" s="176"/>
      <c r="P383" s="176"/>
      <c r="Q383" s="176"/>
      <c r="R383" s="176"/>
      <c r="S383" s="176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</row>
    <row r="384" spans="1:31" ht="15.75" customHeight="1" x14ac:dyDescent="0.25">
      <c r="A384" s="5"/>
      <c r="B384" s="5"/>
      <c r="C384" s="284"/>
      <c r="D384" s="5"/>
      <c r="E384" s="5"/>
      <c r="F384" s="5"/>
      <c r="G384" s="5"/>
      <c r="H384" s="5"/>
      <c r="I384" s="5"/>
      <c r="J384" s="5"/>
      <c r="K384" s="284"/>
      <c r="L384" s="176"/>
      <c r="M384" s="176"/>
      <c r="N384" s="176"/>
      <c r="O384" s="176"/>
      <c r="P384" s="176"/>
      <c r="Q384" s="176"/>
      <c r="R384" s="176"/>
      <c r="S384" s="176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</row>
    <row r="385" spans="1:31" ht="15.75" customHeight="1" x14ac:dyDescent="0.25">
      <c r="A385" s="5"/>
      <c r="B385" s="5"/>
      <c r="C385" s="284"/>
      <c r="D385" s="5"/>
      <c r="E385" s="5"/>
      <c r="F385" s="5"/>
      <c r="G385" s="5"/>
      <c r="H385" s="5"/>
      <c r="I385" s="5"/>
      <c r="J385" s="5"/>
      <c r="K385" s="284"/>
      <c r="L385" s="176"/>
      <c r="M385" s="176"/>
      <c r="N385" s="176"/>
      <c r="O385" s="176"/>
      <c r="P385" s="176"/>
      <c r="Q385" s="176"/>
      <c r="R385" s="176"/>
      <c r="S385" s="176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</row>
    <row r="386" spans="1:31" ht="15.75" customHeight="1" x14ac:dyDescent="0.25">
      <c r="A386" s="5"/>
      <c r="B386" s="5"/>
      <c r="C386" s="284"/>
      <c r="D386" s="5"/>
      <c r="E386" s="5"/>
      <c r="F386" s="5"/>
      <c r="G386" s="5"/>
      <c r="H386" s="5"/>
      <c r="I386" s="5"/>
      <c r="J386" s="5"/>
      <c r="K386" s="284"/>
      <c r="L386" s="176"/>
      <c r="M386" s="176"/>
      <c r="N386" s="176"/>
      <c r="O386" s="176"/>
      <c r="P386" s="176"/>
      <c r="Q386" s="176"/>
      <c r="R386" s="176"/>
      <c r="S386" s="176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</row>
    <row r="387" spans="1:31" ht="15.75" customHeight="1" x14ac:dyDescent="0.25">
      <c r="A387" s="5"/>
      <c r="B387" s="5"/>
      <c r="C387" s="284"/>
      <c r="D387" s="5"/>
      <c r="E387" s="5"/>
      <c r="F387" s="5"/>
      <c r="G387" s="5"/>
      <c r="H387" s="5"/>
      <c r="I387" s="5"/>
      <c r="J387" s="5"/>
      <c r="K387" s="284"/>
      <c r="L387" s="176"/>
      <c r="M387" s="176"/>
      <c r="N387" s="176"/>
      <c r="O387" s="176"/>
      <c r="P387" s="176"/>
      <c r="Q387" s="176"/>
      <c r="R387" s="176"/>
      <c r="S387" s="176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</row>
    <row r="388" spans="1:31" ht="15.75" customHeight="1" x14ac:dyDescent="0.25">
      <c r="A388" s="5"/>
      <c r="B388" s="5"/>
      <c r="C388" s="284"/>
      <c r="D388" s="5"/>
      <c r="E388" s="5"/>
      <c r="F388" s="5"/>
      <c r="G388" s="5"/>
      <c r="H388" s="5"/>
      <c r="I388" s="5"/>
      <c r="J388" s="5"/>
      <c r="K388" s="284"/>
      <c r="L388" s="176"/>
      <c r="M388" s="176"/>
      <c r="N388" s="176"/>
      <c r="O388" s="176"/>
      <c r="P388" s="176"/>
      <c r="Q388" s="176"/>
      <c r="R388" s="176"/>
      <c r="S388" s="176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</row>
    <row r="389" spans="1:31" ht="15.75" customHeight="1" x14ac:dyDescent="0.25">
      <c r="A389" s="5"/>
      <c r="B389" s="5"/>
      <c r="C389" s="284"/>
      <c r="D389" s="5"/>
      <c r="E389" s="5"/>
      <c r="F389" s="5"/>
      <c r="G389" s="5"/>
      <c r="H389" s="5"/>
      <c r="I389" s="5"/>
      <c r="J389" s="5"/>
      <c r="K389" s="284"/>
      <c r="L389" s="176"/>
      <c r="M389" s="176"/>
      <c r="N389" s="176"/>
      <c r="O389" s="176"/>
      <c r="P389" s="176"/>
      <c r="Q389" s="176"/>
      <c r="R389" s="176"/>
      <c r="S389" s="176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</row>
    <row r="390" spans="1:31" ht="15.75" customHeight="1" x14ac:dyDescent="0.25">
      <c r="A390" s="5"/>
      <c r="B390" s="5"/>
      <c r="C390" s="284"/>
      <c r="D390" s="5"/>
      <c r="E390" s="5"/>
      <c r="F390" s="5"/>
      <c r="G390" s="5"/>
      <c r="H390" s="5"/>
      <c r="I390" s="5"/>
      <c r="J390" s="5"/>
      <c r="K390" s="284"/>
      <c r="L390" s="176"/>
      <c r="M390" s="176"/>
      <c r="N390" s="176"/>
      <c r="O390" s="176"/>
      <c r="P390" s="176"/>
      <c r="Q390" s="176"/>
      <c r="R390" s="176"/>
      <c r="S390" s="176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</row>
    <row r="391" spans="1:31" ht="15.75" customHeight="1" x14ac:dyDescent="0.25">
      <c r="A391" s="5"/>
      <c r="B391" s="5"/>
      <c r="C391" s="284"/>
      <c r="D391" s="5"/>
      <c r="E391" s="5"/>
      <c r="F391" s="5"/>
      <c r="G391" s="5"/>
      <c r="H391" s="5"/>
      <c r="I391" s="5"/>
      <c r="J391" s="5"/>
      <c r="K391" s="284"/>
      <c r="L391" s="176"/>
      <c r="M391" s="176"/>
      <c r="N391" s="176"/>
      <c r="O391" s="176"/>
      <c r="P391" s="176"/>
      <c r="Q391" s="176"/>
      <c r="R391" s="176"/>
      <c r="S391" s="176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</row>
    <row r="392" spans="1:31" ht="15.75" customHeight="1" x14ac:dyDescent="0.25">
      <c r="A392" s="5"/>
      <c r="B392" s="5"/>
      <c r="C392" s="284"/>
      <c r="D392" s="5"/>
      <c r="E392" s="5"/>
      <c r="F392" s="5"/>
      <c r="G392" s="5"/>
      <c r="H392" s="5"/>
      <c r="I392" s="5"/>
      <c r="J392" s="5"/>
      <c r="K392" s="284"/>
      <c r="L392" s="176"/>
      <c r="M392" s="176"/>
      <c r="N392" s="176"/>
      <c r="O392" s="176"/>
      <c r="P392" s="176"/>
      <c r="Q392" s="176"/>
      <c r="R392" s="176"/>
      <c r="S392" s="176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</row>
    <row r="393" spans="1:31" ht="15.75" customHeight="1" x14ac:dyDescent="0.25">
      <c r="A393" s="5"/>
      <c r="B393" s="5"/>
      <c r="C393" s="284"/>
      <c r="D393" s="5"/>
      <c r="E393" s="5"/>
      <c r="F393" s="5"/>
      <c r="G393" s="5"/>
      <c r="H393" s="5"/>
      <c r="I393" s="5"/>
      <c r="J393" s="5"/>
      <c r="K393" s="284"/>
      <c r="L393" s="176"/>
      <c r="M393" s="176"/>
      <c r="N393" s="176"/>
      <c r="O393" s="176"/>
      <c r="P393" s="176"/>
      <c r="Q393" s="176"/>
      <c r="R393" s="176"/>
      <c r="S393" s="176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</row>
    <row r="394" spans="1:31" ht="15.75" customHeight="1" x14ac:dyDescent="0.25">
      <c r="A394" s="5"/>
      <c r="B394" s="5"/>
      <c r="C394" s="284"/>
      <c r="D394" s="5"/>
      <c r="E394" s="5"/>
      <c r="F394" s="5"/>
      <c r="G394" s="5"/>
      <c r="H394" s="5"/>
      <c r="I394" s="5"/>
      <c r="J394" s="5"/>
      <c r="K394" s="284"/>
      <c r="L394" s="176"/>
      <c r="M394" s="176"/>
      <c r="N394" s="176"/>
      <c r="O394" s="176"/>
      <c r="P394" s="176"/>
      <c r="Q394" s="176"/>
      <c r="R394" s="176"/>
      <c r="S394" s="176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</row>
    <row r="395" spans="1:31" ht="15.75" customHeight="1" x14ac:dyDescent="0.25">
      <c r="A395" s="5"/>
      <c r="B395" s="5"/>
      <c r="C395" s="284"/>
      <c r="D395" s="5"/>
      <c r="E395" s="5"/>
      <c r="F395" s="5"/>
      <c r="G395" s="5"/>
      <c r="H395" s="5"/>
      <c r="I395" s="5"/>
      <c r="J395" s="5"/>
      <c r="K395" s="284"/>
      <c r="L395" s="176"/>
      <c r="M395" s="176"/>
      <c r="N395" s="176"/>
      <c r="O395" s="176"/>
      <c r="P395" s="176"/>
      <c r="Q395" s="176"/>
      <c r="R395" s="176"/>
      <c r="S395" s="176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</row>
    <row r="396" spans="1:31" ht="15.75" customHeight="1" x14ac:dyDescent="0.25">
      <c r="A396" s="5"/>
      <c r="B396" s="5"/>
      <c r="C396" s="284"/>
      <c r="D396" s="5"/>
      <c r="E396" s="5"/>
      <c r="F396" s="5"/>
      <c r="G396" s="5"/>
      <c r="H396" s="5"/>
      <c r="I396" s="5"/>
      <c r="J396" s="5"/>
      <c r="K396" s="284"/>
      <c r="L396" s="176"/>
      <c r="M396" s="176"/>
      <c r="N396" s="176"/>
      <c r="O396" s="176"/>
      <c r="P396" s="176"/>
      <c r="Q396" s="176"/>
      <c r="R396" s="176"/>
      <c r="S396" s="176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</row>
    <row r="397" spans="1:31" ht="15.75" customHeight="1" x14ac:dyDescent="0.25">
      <c r="A397" s="5"/>
      <c r="B397" s="5"/>
      <c r="C397" s="284"/>
      <c r="D397" s="5"/>
      <c r="E397" s="5"/>
      <c r="F397" s="5"/>
      <c r="G397" s="5"/>
      <c r="H397" s="5"/>
      <c r="I397" s="5"/>
      <c r="J397" s="5"/>
      <c r="K397" s="284"/>
      <c r="L397" s="176"/>
      <c r="M397" s="176"/>
      <c r="N397" s="176"/>
      <c r="O397" s="176"/>
      <c r="P397" s="176"/>
      <c r="Q397" s="176"/>
      <c r="R397" s="176"/>
      <c r="S397" s="176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</row>
    <row r="398" spans="1:31" ht="15.75" customHeight="1" x14ac:dyDescent="0.25">
      <c r="A398" s="5"/>
      <c r="B398" s="5"/>
      <c r="C398" s="284"/>
      <c r="D398" s="5"/>
      <c r="E398" s="5"/>
      <c r="F398" s="5"/>
      <c r="G398" s="5"/>
      <c r="H398" s="5"/>
      <c r="I398" s="5"/>
      <c r="J398" s="5"/>
      <c r="K398" s="284"/>
      <c r="L398" s="176"/>
      <c r="M398" s="176"/>
      <c r="N398" s="176"/>
      <c r="O398" s="176"/>
      <c r="P398" s="176"/>
      <c r="Q398" s="176"/>
      <c r="R398" s="176"/>
      <c r="S398" s="176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</row>
    <row r="399" spans="1:31" ht="15.75" customHeight="1" x14ac:dyDescent="0.25">
      <c r="A399" s="5"/>
      <c r="B399" s="5"/>
      <c r="C399" s="284"/>
      <c r="D399" s="5"/>
      <c r="E399" s="5"/>
      <c r="F399" s="5"/>
      <c r="G399" s="5"/>
      <c r="H399" s="5"/>
      <c r="I399" s="5"/>
      <c r="J399" s="5"/>
      <c r="K399" s="284"/>
      <c r="L399" s="176"/>
      <c r="M399" s="176"/>
      <c r="N399" s="176"/>
      <c r="O399" s="176"/>
      <c r="P399" s="176"/>
      <c r="Q399" s="176"/>
      <c r="R399" s="176"/>
      <c r="S399" s="176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</row>
    <row r="400" spans="1:31" ht="15.75" customHeight="1" x14ac:dyDescent="0.25">
      <c r="A400" s="5"/>
      <c r="B400" s="5"/>
      <c r="C400" s="284"/>
      <c r="D400" s="5"/>
      <c r="E400" s="5"/>
      <c r="F400" s="5"/>
      <c r="G400" s="5"/>
      <c r="H400" s="5"/>
      <c r="I400" s="5"/>
      <c r="J400" s="5"/>
      <c r="K400" s="284"/>
      <c r="L400" s="176"/>
      <c r="M400" s="176"/>
      <c r="N400" s="176"/>
      <c r="O400" s="176"/>
      <c r="P400" s="176"/>
      <c r="Q400" s="176"/>
      <c r="R400" s="176"/>
      <c r="S400" s="176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</row>
    <row r="401" spans="1:31" ht="15.75" customHeight="1" x14ac:dyDescent="0.25">
      <c r="A401" s="5"/>
      <c r="B401" s="5"/>
      <c r="C401" s="284"/>
      <c r="D401" s="5"/>
      <c r="E401" s="5"/>
      <c r="F401" s="5"/>
      <c r="G401" s="5"/>
      <c r="H401" s="5"/>
      <c r="I401" s="5"/>
      <c r="J401" s="5"/>
      <c r="K401" s="284"/>
      <c r="L401" s="176"/>
      <c r="M401" s="176"/>
      <c r="N401" s="176"/>
      <c r="O401" s="176"/>
      <c r="P401" s="176"/>
      <c r="Q401" s="176"/>
      <c r="R401" s="176"/>
      <c r="S401" s="176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</row>
    <row r="402" spans="1:31" ht="15.75" customHeight="1" x14ac:dyDescent="0.25">
      <c r="A402" s="5"/>
      <c r="B402" s="5"/>
      <c r="C402" s="284"/>
      <c r="D402" s="5"/>
      <c r="E402" s="5"/>
      <c r="F402" s="5"/>
      <c r="G402" s="5"/>
      <c r="H402" s="5"/>
      <c r="I402" s="5"/>
      <c r="J402" s="5"/>
      <c r="K402" s="284"/>
      <c r="L402" s="176"/>
      <c r="M402" s="176"/>
      <c r="N402" s="176"/>
      <c r="O402" s="176"/>
      <c r="P402" s="176"/>
      <c r="Q402" s="176"/>
      <c r="R402" s="176"/>
      <c r="S402" s="176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</row>
    <row r="403" spans="1:31" ht="15.75" customHeight="1" x14ac:dyDescent="0.25">
      <c r="A403" s="5"/>
      <c r="B403" s="5"/>
      <c r="C403" s="284"/>
      <c r="D403" s="5"/>
      <c r="E403" s="5"/>
      <c r="F403" s="5"/>
      <c r="G403" s="5"/>
      <c r="H403" s="5"/>
      <c r="I403" s="5"/>
      <c r="J403" s="5"/>
      <c r="K403" s="284"/>
      <c r="L403" s="176"/>
      <c r="M403" s="176"/>
      <c r="N403" s="176"/>
      <c r="O403" s="176"/>
      <c r="P403" s="176"/>
      <c r="Q403" s="176"/>
      <c r="R403" s="176"/>
      <c r="S403" s="176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</row>
    <row r="404" spans="1:31" ht="15.75" customHeight="1" x14ac:dyDescent="0.25">
      <c r="A404" s="5"/>
      <c r="B404" s="5"/>
      <c r="C404" s="284"/>
      <c r="D404" s="5"/>
      <c r="E404" s="5"/>
      <c r="F404" s="5"/>
      <c r="G404" s="5"/>
      <c r="H404" s="5"/>
      <c r="I404" s="5"/>
      <c r="J404" s="5"/>
      <c r="K404" s="284"/>
      <c r="L404" s="176"/>
      <c r="M404" s="176"/>
      <c r="N404" s="176"/>
      <c r="O404" s="176"/>
      <c r="P404" s="176"/>
      <c r="Q404" s="176"/>
      <c r="R404" s="176"/>
      <c r="S404" s="176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</row>
    <row r="405" spans="1:31" ht="15.75" customHeight="1" x14ac:dyDescent="0.25">
      <c r="A405" s="5"/>
      <c r="B405" s="5"/>
      <c r="C405" s="284"/>
      <c r="D405" s="5"/>
      <c r="E405" s="5"/>
      <c r="F405" s="5"/>
      <c r="G405" s="5"/>
      <c r="H405" s="5"/>
      <c r="I405" s="5"/>
      <c r="J405" s="5"/>
      <c r="K405" s="284"/>
      <c r="L405" s="176"/>
      <c r="M405" s="176"/>
      <c r="N405" s="176"/>
      <c r="O405" s="176"/>
      <c r="P405" s="176"/>
      <c r="Q405" s="176"/>
      <c r="R405" s="176"/>
      <c r="S405" s="176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</row>
    <row r="406" spans="1:31" ht="15.75" customHeight="1" x14ac:dyDescent="0.25">
      <c r="A406" s="5"/>
      <c r="B406" s="5"/>
      <c r="C406" s="284"/>
      <c r="D406" s="5"/>
      <c r="E406" s="5"/>
      <c r="F406" s="5"/>
      <c r="G406" s="5"/>
      <c r="H406" s="5"/>
      <c r="I406" s="5"/>
      <c r="J406" s="5"/>
      <c r="K406" s="284"/>
      <c r="L406" s="176"/>
      <c r="M406" s="176"/>
      <c r="N406" s="176"/>
      <c r="O406" s="176"/>
      <c r="P406" s="176"/>
      <c r="Q406" s="176"/>
      <c r="R406" s="176"/>
      <c r="S406" s="176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</row>
    <row r="407" spans="1:31" ht="15.75" customHeight="1" x14ac:dyDescent="0.25">
      <c r="A407" s="5"/>
      <c r="B407" s="5"/>
      <c r="C407" s="284"/>
      <c r="D407" s="5"/>
      <c r="E407" s="5"/>
      <c r="F407" s="5"/>
      <c r="G407" s="5"/>
      <c r="H407" s="5"/>
      <c r="I407" s="5"/>
      <c r="J407" s="5"/>
      <c r="K407" s="284"/>
      <c r="L407" s="176"/>
      <c r="M407" s="176"/>
      <c r="N407" s="176"/>
      <c r="O407" s="176"/>
      <c r="P407" s="176"/>
      <c r="Q407" s="176"/>
      <c r="R407" s="176"/>
      <c r="S407" s="176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</row>
    <row r="408" spans="1:31" ht="15.75" customHeight="1" x14ac:dyDescent="0.25">
      <c r="A408" s="5"/>
      <c r="B408" s="5"/>
      <c r="C408" s="284"/>
      <c r="D408" s="5"/>
      <c r="E408" s="5"/>
      <c r="F408" s="5"/>
      <c r="G408" s="5"/>
      <c r="H408" s="5"/>
      <c r="I408" s="5"/>
      <c r="J408" s="5"/>
      <c r="K408" s="284"/>
      <c r="L408" s="176"/>
      <c r="M408" s="176"/>
      <c r="N408" s="176"/>
      <c r="O408" s="176"/>
      <c r="P408" s="176"/>
      <c r="Q408" s="176"/>
      <c r="R408" s="176"/>
      <c r="S408" s="176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</row>
    <row r="409" spans="1:31" ht="15.75" customHeight="1" x14ac:dyDescent="0.25">
      <c r="A409" s="5"/>
      <c r="B409" s="5"/>
      <c r="C409" s="284"/>
      <c r="D409" s="5"/>
      <c r="E409" s="5"/>
      <c r="F409" s="5"/>
      <c r="G409" s="5"/>
      <c r="H409" s="5"/>
      <c r="I409" s="5"/>
      <c r="J409" s="5"/>
      <c r="K409" s="284"/>
      <c r="L409" s="176"/>
      <c r="M409" s="176"/>
      <c r="N409" s="176"/>
      <c r="O409" s="176"/>
      <c r="P409" s="176"/>
      <c r="Q409" s="176"/>
      <c r="R409" s="176"/>
      <c r="S409" s="176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</row>
    <row r="410" spans="1:31" ht="15.75" customHeight="1" x14ac:dyDescent="0.25">
      <c r="A410" s="5"/>
      <c r="B410" s="5"/>
      <c r="C410" s="284"/>
      <c r="D410" s="5"/>
      <c r="E410" s="5"/>
      <c r="F410" s="5"/>
      <c r="G410" s="5"/>
      <c r="H410" s="5"/>
      <c r="I410" s="5"/>
      <c r="J410" s="5"/>
      <c r="K410" s="284"/>
      <c r="L410" s="176"/>
      <c r="M410" s="176"/>
      <c r="N410" s="176"/>
      <c r="O410" s="176"/>
      <c r="P410" s="176"/>
      <c r="Q410" s="176"/>
      <c r="R410" s="176"/>
      <c r="S410" s="176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</row>
    <row r="411" spans="1:31" ht="15.75" customHeight="1" x14ac:dyDescent="0.25">
      <c r="A411" s="5"/>
      <c r="B411" s="5"/>
      <c r="C411" s="284"/>
      <c r="D411" s="5"/>
      <c r="E411" s="5"/>
      <c r="F411" s="5"/>
      <c r="G411" s="5"/>
      <c r="H411" s="5"/>
      <c r="I411" s="5"/>
      <c r="J411" s="5"/>
      <c r="K411" s="284"/>
      <c r="L411" s="176"/>
      <c r="M411" s="176"/>
      <c r="N411" s="176"/>
      <c r="O411" s="176"/>
      <c r="P411" s="176"/>
      <c r="Q411" s="176"/>
      <c r="R411" s="176"/>
      <c r="S411" s="176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</row>
    <row r="412" spans="1:31" ht="15.75" customHeight="1" x14ac:dyDescent="0.25">
      <c r="A412" s="5"/>
      <c r="B412" s="5"/>
      <c r="C412" s="284"/>
      <c r="D412" s="5"/>
      <c r="E412" s="5"/>
      <c r="F412" s="5"/>
      <c r="G412" s="5"/>
      <c r="H412" s="5"/>
      <c r="I412" s="5"/>
      <c r="J412" s="5"/>
      <c r="K412" s="284"/>
      <c r="L412" s="176"/>
      <c r="M412" s="176"/>
      <c r="N412" s="176"/>
      <c r="O412" s="176"/>
      <c r="P412" s="176"/>
      <c r="Q412" s="176"/>
      <c r="R412" s="176"/>
      <c r="S412" s="176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</row>
    <row r="413" spans="1:31" ht="15.75" customHeight="1" x14ac:dyDescent="0.25">
      <c r="A413" s="5"/>
      <c r="B413" s="5"/>
      <c r="C413" s="284"/>
      <c r="D413" s="5"/>
      <c r="E413" s="5"/>
      <c r="F413" s="5"/>
      <c r="G413" s="5"/>
      <c r="H413" s="5"/>
      <c r="I413" s="5"/>
      <c r="J413" s="5"/>
      <c r="K413" s="284"/>
      <c r="L413" s="176"/>
      <c r="M413" s="176"/>
      <c r="N413" s="176"/>
      <c r="O413" s="176"/>
      <c r="P413" s="176"/>
      <c r="Q413" s="176"/>
      <c r="R413" s="176"/>
      <c r="S413" s="176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</row>
    <row r="414" spans="1:31" ht="15.75" customHeight="1" x14ac:dyDescent="0.25">
      <c r="A414" s="5"/>
      <c r="B414" s="5"/>
      <c r="C414" s="284"/>
      <c r="D414" s="5"/>
      <c r="E414" s="5"/>
      <c r="F414" s="5"/>
      <c r="G414" s="5"/>
      <c r="H414" s="5"/>
      <c r="I414" s="5"/>
      <c r="J414" s="5"/>
      <c r="K414" s="284"/>
      <c r="L414" s="176"/>
      <c r="M414" s="176"/>
      <c r="N414" s="176"/>
      <c r="O414" s="176"/>
      <c r="P414" s="176"/>
      <c r="Q414" s="176"/>
      <c r="R414" s="176"/>
      <c r="S414" s="176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</row>
    <row r="415" spans="1:31" ht="15.75" customHeight="1" x14ac:dyDescent="0.25">
      <c r="A415" s="5"/>
      <c r="B415" s="5"/>
      <c r="C415" s="284"/>
      <c r="D415" s="5"/>
      <c r="E415" s="5"/>
      <c r="F415" s="5"/>
      <c r="G415" s="5"/>
      <c r="H415" s="5"/>
      <c r="I415" s="5"/>
      <c r="J415" s="5"/>
      <c r="K415" s="284"/>
      <c r="L415" s="176"/>
      <c r="M415" s="176"/>
      <c r="N415" s="176"/>
      <c r="O415" s="176"/>
      <c r="P415" s="176"/>
      <c r="Q415" s="176"/>
      <c r="R415" s="176"/>
      <c r="S415" s="176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</row>
    <row r="416" spans="1:31" ht="15.75" customHeight="1" x14ac:dyDescent="0.25">
      <c r="A416" s="5"/>
      <c r="B416" s="5"/>
      <c r="C416" s="284"/>
      <c r="D416" s="5"/>
      <c r="E416" s="5"/>
      <c r="F416" s="5"/>
      <c r="G416" s="5"/>
      <c r="H416" s="5"/>
      <c r="I416" s="5"/>
      <c r="J416" s="5"/>
      <c r="K416" s="284"/>
      <c r="L416" s="176"/>
      <c r="M416" s="176"/>
      <c r="N416" s="176"/>
      <c r="O416" s="176"/>
      <c r="P416" s="176"/>
      <c r="Q416" s="176"/>
      <c r="R416" s="176"/>
      <c r="S416" s="176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</row>
    <row r="417" spans="1:31" ht="15.75" customHeight="1" x14ac:dyDescent="0.25">
      <c r="A417" s="5"/>
      <c r="B417" s="5"/>
      <c r="C417" s="284"/>
      <c r="D417" s="5"/>
      <c r="E417" s="5"/>
      <c r="F417" s="5"/>
      <c r="G417" s="5"/>
      <c r="H417" s="5"/>
      <c r="I417" s="5"/>
      <c r="J417" s="5"/>
      <c r="K417" s="284"/>
      <c r="L417" s="176"/>
      <c r="M417" s="176"/>
      <c r="N417" s="176"/>
      <c r="O417" s="176"/>
      <c r="P417" s="176"/>
      <c r="Q417" s="176"/>
      <c r="R417" s="176"/>
      <c r="S417" s="176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</row>
    <row r="418" spans="1:31" ht="15.75" customHeight="1" x14ac:dyDescent="0.25">
      <c r="A418" s="5"/>
      <c r="B418" s="5"/>
      <c r="C418" s="284"/>
      <c r="D418" s="5"/>
      <c r="E418" s="5"/>
      <c r="F418" s="5"/>
      <c r="G418" s="5"/>
      <c r="H418" s="5"/>
      <c r="I418" s="5"/>
      <c r="J418" s="5"/>
      <c r="K418" s="284"/>
      <c r="L418" s="176"/>
      <c r="M418" s="176"/>
      <c r="N418" s="176"/>
      <c r="O418" s="176"/>
      <c r="P418" s="176"/>
      <c r="Q418" s="176"/>
      <c r="R418" s="176"/>
      <c r="S418" s="176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</row>
    <row r="419" spans="1:31" ht="15.75" customHeight="1" x14ac:dyDescent="0.25">
      <c r="A419" s="5"/>
      <c r="B419" s="5"/>
      <c r="C419" s="284"/>
      <c r="D419" s="5"/>
      <c r="E419" s="5"/>
      <c r="F419" s="5"/>
      <c r="G419" s="5"/>
      <c r="H419" s="5"/>
      <c r="I419" s="5"/>
      <c r="J419" s="5"/>
      <c r="K419" s="284"/>
      <c r="L419" s="176"/>
      <c r="M419" s="176"/>
      <c r="N419" s="176"/>
      <c r="O419" s="176"/>
      <c r="P419" s="176"/>
      <c r="Q419" s="176"/>
      <c r="R419" s="176"/>
      <c r="S419" s="176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</row>
    <row r="420" spans="1:31" ht="15.75" customHeight="1" x14ac:dyDescent="0.25">
      <c r="A420" s="5"/>
      <c r="B420" s="5"/>
      <c r="C420" s="284"/>
      <c r="D420" s="5"/>
      <c r="E420" s="5"/>
      <c r="F420" s="5"/>
      <c r="G420" s="5"/>
      <c r="H420" s="5"/>
      <c r="I420" s="5"/>
      <c r="J420" s="5"/>
      <c r="K420" s="284"/>
      <c r="L420" s="176"/>
      <c r="M420" s="176"/>
      <c r="N420" s="176"/>
      <c r="O420" s="176"/>
      <c r="P420" s="176"/>
      <c r="Q420" s="176"/>
      <c r="R420" s="176"/>
      <c r="S420" s="176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</row>
    <row r="421" spans="1:31" ht="15.75" customHeight="1" x14ac:dyDescent="0.25">
      <c r="A421" s="5"/>
      <c r="B421" s="5"/>
      <c r="C421" s="284"/>
      <c r="D421" s="5"/>
      <c r="E421" s="5"/>
      <c r="F421" s="5"/>
      <c r="G421" s="5"/>
      <c r="H421" s="5"/>
      <c r="I421" s="5"/>
      <c r="J421" s="5"/>
      <c r="K421" s="284"/>
      <c r="L421" s="176"/>
      <c r="M421" s="176"/>
      <c r="N421" s="176"/>
      <c r="O421" s="176"/>
      <c r="P421" s="176"/>
      <c r="Q421" s="176"/>
      <c r="R421" s="176"/>
      <c r="S421" s="176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</row>
    <row r="422" spans="1:31" ht="15.75" customHeight="1" x14ac:dyDescent="0.25">
      <c r="A422" s="5"/>
      <c r="B422" s="5"/>
      <c r="C422" s="284"/>
      <c r="D422" s="5"/>
      <c r="E422" s="5"/>
      <c r="F422" s="5"/>
      <c r="G422" s="5"/>
      <c r="H422" s="5"/>
      <c r="I422" s="5"/>
      <c r="J422" s="5"/>
      <c r="K422" s="284"/>
      <c r="L422" s="176"/>
      <c r="M422" s="176"/>
      <c r="N422" s="176"/>
      <c r="O422" s="176"/>
      <c r="P422" s="176"/>
      <c r="Q422" s="176"/>
      <c r="R422" s="176"/>
      <c r="S422" s="176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</row>
    <row r="423" spans="1:31" ht="15.75" customHeight="1" x14ac:dyDescent="0.25">
      <c r="A423" s="5"/>
      <c r="B423" s="5"/>
      <c r="C423" s="284"/>
      <c r="D423" s="5"/>
      <c r="E423" s="5"/>
      <c r="F423" s="5"/>
      <c r="G423" s="5"/>
      <c r="H423" s="5"/>
      <c r="I423" s="5"/>
      <c r="J423" s="5"/>
      <c r="K423" s="284"/>
      <c r="L423" s="176"/>
      <c r="M423" s="176"/>
      <c r="N423" s="176"/>
      <c r="O423" s="176"/>
      <c r="P423" s="176"/>
      <c r="Q423" s="176"/>
      <c r="R423" s="176"/>
      <c r="S423" s="176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</row>
    <row r="424" spans="1:31" ht="15.75" customHeight="1" x14ac:dyDescent="0.25">
      <c r="A424" s="5"/>
      <c r="B424" s="5"/>
      <c r="C424" s="284"/>
      <c r="D424" s="5"/>
      <c r="E424" s="5"/>
      <c r="F424" s="5"/>
      <c r="G424" s="5"/>
      <c r="H424" s="5"/>
      <c r="I424" s="5"/>
      <c r="J424" s="5"/>
      <c r="K424" s="284"/>
      <c r="L424" s="176"/>
      <c r="M424" s="176"/>
      <c r="N424" s="176"/>
      <c r="O424" s="176"/>
      <c r="P424" s="176"/>
      <c r="Q424" s="176"/>
      <c r="R424" s="176"/>
      <c r="S424" s="176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</row>
    <row r="425" spans="1:31" ht="15.75" customHeight="1" x14ac:dyDescent="0.25">
      <c r="A425" s="5"/>
      <c r="B425" s="5"/>
      <c r="C425" s="284"/>
      <c r="D425" s="5"/>
      <c r="E425" s="5"/>
      <c r="F425" s="5"/>
      <c r="G425" s="5"/>
      <c r="H425" s="5"/>
      <c r="I425" s="5"/>
      <c r="J425" s="5"/>
      <c r="K425" s="284"/>
      <c r="L425" s="176"/>
      <c r="M425" s="176"/>
      <c r="N425" s="176"/>
      <c r="O425" s="176"/>
      <c r="P425" s="176"/>
      <c r="Q425" s="176"/>
      <c r="R425" s="176"/>
      <c r="S425" s="176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</row>
    <row r="426" spans="1:31" ht="15.75" customHeight="1" x14ac:dyDescent="0.25">
      <c r="A426" s="5"/>
      <c r="B426" s="5"/>
      <c r="C426" s="284"/>
      <c r="D426" s="5"/>
      <c r="E426" s="5"/>
      <c r="F426" s="5"/>
      <c r="G426" s="5"/>
      <c r="H426" s="5"/>
      <c r="I426" s="5"/>
      <c r="J426" s="5"/>
      <c r="K426" s="284"/>
      <c r="L426" s="176"/>
      <c r="M426" s="176"/>
      <c r="N426" s="176"/>
      <c r="O426" s="176"/>
      <c r="P426" s="176"/>
      <c r="Q426" s="176"/>
      <c r="R426" s="176"/>
      <c r="S426" s="176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</row>
    <row r="427" spans="1:31" ht="15.75" customHeight="1" x14ac:dyDescent="0.25">
      <c r="A427" s="5"/>
      <c r="B427" s="5"/>
      <c r="C427" s="284"/>
      <c r="D427" s="5"/>
      <c r="E427" s="5"/>
      <c r="F427" s="5"/>
      <c r="G427" s="5"/>
      <c r="H427" s="5"/>
      <c r="I427" s="5"/>
      <c r="J427" s="5"/>
      <c r="K427" s="284"/>
      <c r="L427" s="176"/>
      <c r="M427" s="176"/>
      <c r="N427" s="176"/>
      <c r="O427" s="176"/>
      <c r="P427" s="176"/>
      <c r="Q427" s="176"/>
      <c r="R427" s="176"/>
      <c r="S427" s="176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</row>
    <row r="428" spans="1:31" ht="15.75" customHeight="1" x14ac:dyDescent="0.25">
      <c r="A428" s="5"/>
      <c r="B428" s="5"/>
      <c r="C428" s="284"/>
      <c r="D428" s="5"/>
      <c r="E428" s="5"/>
      <c r="F428" s="5"/>
      <c r="G428" s="5"/>
      <c r="H428" s="5"/>
      <c r="I428" s="5"/>
      <c r="J428" s="5"/>
      <c r="K428" s="284"/>
      <c r="L428" s="176"/>
      <c r="M428" s="176"/>
      <c r="N428" s="176"/>
      <c r="O428" s="176"/>
      <c r="P428" s="176"/>
      <c r="Q428" s="176"/>
      <c r="R428" s="176"/>
      <c r="S428" s="176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</row>
    <row r="429" spans="1:31" ht="15.75" customHeight="1" x14ac:dyDescent="0.25">
      <c r="A429" s="5"/>
      <c r="B429" s="5"/>
      <c r="C429" s="284"/>
      <c r="D429" s="5"/>
      <c r="E429" s="5"/>
      <c r="F429" s="5"/>
      <c r="G429" s="5"/>
      <c r="H429" s="5"/>
      <c r="I429" s="5"/>
      <c r="J429" s="5"/>
      <c r="K429" s="284"/>
      <c r="L429" s="176"/>
      <c r="M429" s="176"/>
      <c r="N429" s="176"/>
      <c r="O429" s="176"/>
      <c r="P429" s="176"/>
      <c r="Q429" s="176"/>
      <c r="R429" s="176"/>
      <c r="S429" s="176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</row>
    <row r="430" spans="1:31" ht="15.75" customHeight="1" x14ac:dyDescent="0.25">
      <c r="A430" s="5"/>
      <c r="B430" s="5"/>
      <c r="C430" s="284"/>
      <c r="D430" s="5"/>
      <c r="E430" s="5"/>
      <c r="F430" s="5"/>
      <c r="G430" s="5"/>
      <c r="H430" s="5"/>
      <c r="I430" s="5"/>
      <c r="J430" s="5"/>
      <c r="K430" s="284"/>
      <c r="L430" s="176"/>
      <c r="M430" s="176"/>
      <c r="N430" s="176"/>
      <c r="O430" s="176"/>
      <c r="P430" s="176"/>
      <c r="Q430" s="176"/>
      <c r="R430" s="176"/>
      <c r="S430" s="176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</row>
    <row r="431" spans="1:31" ht="15.75" customHeight="1" x14ac:dyDescent="0.25">
      <c r="A431" s="5"/>
      <c r="B431" s="5"/>
      <c r="C431" s="284"/>
      <c r="D431" s="5"/>
      <c r="E431" s="5"/>
      <c r="F431" s="5"/>
      <c r="G431" s="5"/>
      <c r="H431" s="5"/>
      <c r="I431" s="5"/>
      <c r="J431" s="5"/>
      <c r="K431" s="284"/>
      <c r="L431" s="176"/>
      <c r="M431" s="176"/>
      <c r="N431" s="176"/>
      <c r="O431" s="176"/>
      <c r="P431" s="176"/>
      <c r="Q431" s="176"/>
      <c r="R431" s="176"/>
      <c r="S431" s="176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</row>
    <row r="432" spans="1:31" ht="15.75" customHeight="1" x14ac:dyDescent="0.25">
      <c r="A432" s="5"/>
      <c r="B432" s="5"/>
      <c r="C432" s="284"/>
      <c r="D432" s="5"/>
      <c r="E432" s="5"/>
      <c r="F432" s="5"/>
      <c r="G432" s="5"/>
      <c r="H432" s="5"/>
      <c r="I432" s="5"/>
      <c r="J432" s="5"/>
      <c r="K432" s="284"/>
      <c r="L432" s="176"/>
      <c r="M432" s="176"/>
      <c r="N432" s="176"/>
      <c r="O432" s="176"/>
      <c r="P432" s="176"/>
      <c r="Q432" s="176"/>
      <c r="R432" s="176"/>
      <c r="S432" s="176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</row>
    <row r="433" spans="1:31" ht="15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</row>
    <row r="434" spans="1:31" ht="15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</row>
    <row r="435" spans="1:31" ht="15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</row>
    <row r="436" spans="1:31" ht="15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</row>
    <row r="437" spans="1:31" ht="15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</row>
    <row r="438" spans="1:31" ht="15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</row>
    <row r="439" spans="1:31" ht="15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</row>
    <row r="440" spans="1:31" ht="15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</row>
    <row r="441" spans="1:31" ht="15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</row>
    <row r="442" spans="1:31" ht="15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</row>
    <row r="443" spans="1:31" ht="15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</row>
    <row r="444" spans="1:31" ht="15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</row>
    <row r="445" spans="1:31" ht="15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</row>
    <row r="446" spans="1:31" ht="15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</row>
    <row r="447" spans="1:31" ht="15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</row>
    <row r="448" spans="1:31" ht="15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</row>
    <row r="449" spans="1:31" ht="15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</row>
    <row r="450" spans="1:31" ht="15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</row>
    <row r="451" spans="1:31" ht="15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</row>
    <row r="452" spans="1:31" ht="15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</row>
    <row r="453" spans="1:31" ht="15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</row>
    <row r="454" spans="1:31" ht="15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</row>
    <row r="455" spans="1:31" ht="15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</row>
    <row r="456" spans="1:31" ht="15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</row>
    <row r="457" spans="1:31" ht="15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</row>
    <row r="458" spans="1:31" ht="15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</row>
    <row r="459" spans="1:31" ht="15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</row>
    <row r="460" spans="1:31" ht="15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</row>
    <row r="461" spans="1:31" ht="15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</row>
    <row r="462" spans="1:31" ht="15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</row>
    <row r="463" spans="1:31" ht="15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</row>
    <row r="464" spans="1:31" ht="15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</row>
    <row r="465" spans="1:31" ht="15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</row>
    <row r="466" spans="1:31" ht="15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</row>
    <row r="467" spans="1:31" ht="15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</row>
    <row r="468" spans="1:31" ht="15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</row>
    <row r="469" spans="1:31" ht="15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</row>
    <row r="470" spans="1:31" ht="15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</row>
    <row r="471" spans="1:31" ht="15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</row>
    <row r="472" spans="1:31" ht="15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</row>
    <row r="473" spans="1:31" ht="15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</row>
    <row r="474" spans="1:31" ht="15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</row>
    <row r="475" spans="1:31" ht="15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</row>
    <row r="476" spans="1:31" ht="15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</row>
    <row r="477" spans="1:31" ht="15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</row>
    <row r="478" spans="1:31" ht="15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</row>
    <row r="479" spans="1:31" ht="15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</row>
    <row r="480" spans="1:31" ht="15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</row>
    <row r="481" spans="1:31" ht="15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</row>
    <row r="482" spans="1:31" ht="15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</row>
    <row r="483" spans="1:31" ht="15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</row>
    <row r="484" spans="1:31" ht="15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</row>
    <row r="485" spans="1:31" ht="15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</row>
    <row r="486" spans="1:31" ht="15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</row>
    <row r="487" spans="1:31" ht="15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</row>
    <row r="488" spans="1:31" ht="15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</row>
    <row r="489" spans="1:31" ht="15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</row>
    <row r="490" spans="1:31" ht="15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</row>
    <row r="491" spans="1:31" ht="15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</row>
    <row r="492" spans="1:31" ht="15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</row>
    <row r="493" spans="1:31" ht="15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</row>
    <row r="494" spans="1:31" ht="15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</row>
    <row r="495" spans="1:31" ht="15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</row>
    <row r="496" spans="1:31" ht="15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</row>
    <row r="497" spans="1:31" ht="15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</row>
    <row r="498" spans="1:31" ht="15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</row>
    <row r="499" spans="1:31" ht="15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</row>
    <row r="500" spans="1:31" ht="15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</row>
    <row r="501" spans="1:31" ht="15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</row>
    <row r="502" spans="1:31" ht="15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</row>
    <row r="503" spans="1:31" ht="15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</row>
    <row r="504" spans="1:31" ht="15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</row>
    <row r="505" spans="1:31" ht="15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</row>
    <row r="506" spans="1:31" ht="15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</row>
    <row r="507" spans="1:31" ht="15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</row>
    <row r="508" spans="1:31" ht="15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</row>
    <row r="509" spans="1:31" ht="15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</row>
    <row r="510" spans="1:31" ht="15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</row>
    <row r="511" spans="1:31" ht="15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</row>
    <row r="512" spans="1:31" ht="15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</row>
    <row r="513" spans="1:31" ht="15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</row>
    <row r="514" spans="1:31" ht="15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</row>
    <row r="515" spans="1:31" ht="15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</row>
    <row r="516" spans="1:31" ht="15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</row>
    <row r="517" spans="1:31" ht="15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</row>
    <row r="518" spans="1:31" ht="15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</row>
    <row r="519" spans="1:31" ht="15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</row>
    <row r="520" spans="1:31" ht="15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</row>
    <row r="521" spans="1:31" ht="15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</row>
    <row r="522" spans="1:31" ht="15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</row>
    <row r="523" spans="1:31" ht="15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</row>
    <row r="524" spans="1:31" ht="15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</row>
    <row r="525" spans="1:31" ht="15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</row>
    <row r="526" spans="1:31" ht="15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</row>
    <row r="527" spans="1:31" ht="15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</row>
    <row r="528" spans="1:31" ht="15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</row>
    <row r="529" spans="1:31" ht="15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</row>
    <row r="530" spans="1:31" ht="15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</row>
    <row r="531" spans="1:31" ht="15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</row>
    <row r="532" spans="1:31" ht="15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</row>
    <row r="533" spans="1:31" ht="15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</row>
    <row r="534" spans="1:31" ht="15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</row>
    <row r="535" spans="1:31" ht="15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</row>
    <row r="536" spans="1:31" ht="15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</row>
    <row r="537" spans="1:31" ht="15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</row>
    <row r="538" spans="1:31" ht="15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</row>
    <row r="539" spans="1:31" ht="15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</row>
    <row r="540" spans="1:31" ht="15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</row>
    <row r="541" spans="1:31" ht="15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</row>
    <row r="542" spans="1:31" ht="15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</row>
    <row r="543" spans="1:31" ht="15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</row>
    <row r="544" spans="1:31" ht="15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</row>
    <row r="545" spans="1:31" ht="15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</row>
    <row r="546" spans="1:31" ht="15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</row>
    <row r="547" spans="1:31" ht="15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</row>
    <row r="548" spans="1:31" ht="15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</row>
    <row r="549" spans="1:31" ht="15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</row>
    <row r="550" spans="1:31" ht="15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</row>
    <row r="551" spans="1:31" ht="15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</row>
    <row r="552" spans="1:31" ht="15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</row>
    <row r="553" spans="1:31" ht="15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</row>
    <row r="554" spans="1:31" ht="15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</row>
    <row r="555" spans="1:31" ht="15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</row>
    <row r="556" spans="1:31" ht="15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</row>
    <row r="557" spans="1:31" ht="15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</row>
    <row r="558" spans="1:31" ht="15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</row>
    <row r="559" spans="1:31" ht="15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</row>
    <row r="560" spans="1:31" ht="15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</row>
    <row r="561" spans="1:31" ht="15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</row>
    <row r="562" spans="1:31" ht="15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</row>
    <row r="563" spans="1:31" ht="15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</row>
    <row r="564" spans="1:31" ht="15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</row>
    <row r="565" spans="1:31" ht="15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</row>
    <row r="566" spans="1:31" ht="15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</row>
    <row r="567" spans="1:31" ht="15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</row>
    <row r="568" spans="1:31" ht="15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</row>
    <row r="569" spans="1:31" ht="15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</row>
    <row r="570" spans="1:31" ht="15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</row>
    <row r="571" spans="1:31" ht="15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</row>
    <row r="572" spans="1:31" ht="15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</row>
    <row r="573" spans="1:31" ht="15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</row>
    <row r="574" spans="1:31" ht="15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</row>
    <row r="575" spans="1:31" ht="15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</row>
    <row r="576" spans="1:31" ht="15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</row>
    <row r="577" spans="1:31" ht="15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</row>
    <row r="578" spans="1:31" ht="15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</row>
    <row r="579" spans="1:31" ht="15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</row>
    <row r="580" spans="1:31" ht="15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</row>
    <row r="581" spans="1:31" ht="15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</row>
    <row r="582" spans="1:31" ht="15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</row>
    <row r="583" spans="1:31" ht="15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</row>
    <row r="584" spans="1:31" ht="15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</row>
    <row r="585" spans="1:31" ht="15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</row>
    <row r="586" spans="1:31" ht="15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</row>
    <row r="587" spans="1:31" ht="15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</row>
    <row r="588" spans="1:31" ht="15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</row>
    <row r="589" spans="1:31" ht="15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</row>
    <row r="590" spans="1:31" ht="15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</row>
    <row r="591" spans="1:31" ht="15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</row>
    <row r="592" spans="1:31" ht="15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</row>
    <row r="593" spans="1:31" ht="15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</row>
    <row r="594" spans="1:31" ht="15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</row>
    <row r="595" spans="1:31" ht="15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</row>
    <row r="596" spans="1:31" ht="15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</row>
    <row r="597" spans="1:31" ht="15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</row>
    <row r="598" spans="1:31" ht="15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</row>
    <row r="599" spans="1:31" ht="15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</row>
    <row r="600" spans="1:31" ht="15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</row>
    <row r="601" spans="1:31" ht="15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</row>
    <row r="602" spans="1:31" ht="15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</row>
    <row r="603" spans="1:31" ht="15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</row>
    <row r="604" spans="1:31" ht="15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</row>
    <row r="605" spans="1:31" ht="15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</row>
    <row r="606" spans="1:31" ht="15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</row>
    <row r="607" spans="1:31" ht="15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</row>
    <row r="608" spans="1:31" ht="15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</row>
    <row r="609" spans="1:31" ht="15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</row>
    <row r="610" spans="1:31" ht="15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</row>
    <row r="611" spans="1:31" ht="15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</row>
    <row r="612" spans="1:31" ht="15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</row>
    <row r="613" spans="1:31" ht="15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</row>
    <row r="614" spans="1:31" ht="15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</row>
    <row r="615" spans="1:31" ht="15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</row>
    <row r="616" spans="1:31" ht="15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</row>
    <row r="617" spans="1:31" ht="15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</row>
    <row r="618" spans="1:31" ht="15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</row>
    <row r="619" spans="1:31" ht="15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</row>
    <row r="620" spans="1:31" ht="15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</row>
    <row r="621" spans="1:31" ht="15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</row>
    <row r="622" spans="1:31" ht="15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</row>
    <row r="623" spans="1:31" ht="15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</row>
    <row r="624" spans="1:31" ht="15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</row>
    <row r="625" spans="1:31" ht="15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</row>
    <row r="626" spans="1:31" ht="15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</row>
    <row r="627" spans="1:31" ht="15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</row>
    <row r="628" spans="1:31" ht="15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</row>
    <row r="629" spans="1:31" ht="15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</row>
    <row r="630" spans="1:31" ht="15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</row>
    <row r="631" spans="1:31" ht="15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</row>
    <row r="632" spans="1:31" ht="15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</row>
    <row r="633" spans="1:31" ht="15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</row>
    <row r="634" spans="1:31" ht="15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</row>
    <row r="635" spans="1:31" ht="15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</row>
    <row r="636" spans="1:31" ht="15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</row>
    <row r="637" spans="1:31" ht="15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</row>
    <row r="638" spans="1:31" ht="15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</row>
    <row r="639" spans="1:31" ht="15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</row>
    <row r="640" spans="1:31" ht="15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</row>
    <row r="641" spans="1:31" ht="15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</row>
    <row r="642" spans="1:31" ht="15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</row>
    <row r="643" spans="1:31" ht="15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</row>
    <row r="644" spans="1:31" ht="15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</row>
    <row r="645" spans="1:31" ht="15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</row>
    <row r="646" spans="1:31" ht="15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</row>
    <row r="647" spans="1:31" ht="15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</row>
    <row r="648" spans="1:31" ht="15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</row>
    <row r="649" spans="1:31" ht="15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</row>
    <row r="650" spans="1:31" ht="15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</row>
    <row r="651" spans="1:31" ht="15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</row>
    <row r="652" spans="1:31" ht="15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</row>
    <row r="653" spans="1:31" ht="15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</row>
    <row r="654" spans="1:31" ht="15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</row>
    <row r="655" spans="1:31" ht="15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</row>
    <row r="656" spans="1:31" ht="15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</row>
    <row r="657" spans="1:31" ht="15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</row>
    <row r="658" spans="1:31" ht="15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</row>
    <row r="659" spans="1:31" ht="15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</row>
    <row r="660" spans="1:31" ht="15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</row>
    <row r="661" spans="1:31" ht="15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</row>
    <row r="662" spans="1:31" ht="15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</row>
    <row r="663" spans="1:31" ht="15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</row>
    <row r="664" spans="1:31" ht="15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</row>
    <row r="665" spans="1:31" ht="15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</row>
    <row r="666" spans="1:31" ht="15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</row>
    <row r="667" spans="1:31" ht="15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</row>
    <row r="668" spans="1:31" ht="15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</row>
    <row r="669" spans="1:31" ht="15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</row>
    <row r="670" spans="1:31" ht="15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</row>
    <row r="671" spans="1:31" ht="15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</row>
    <row r="672" spans="1:31" ht="15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</row>
    <row r="673" spans="1:31" ht="15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</row>
    <row r="674" spans="1:31" ht="15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</row>
    <row r="675" spans="1:31" ht="15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</row>
    <row r="676" spans="1:31" ht="15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</row>
    <row r="677" spans="1:31" ht="15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</row>
    <row r="678" spans="1:31" ht="15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</row>
    <row r="679" spans="1:31" ht="15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</row>
    <row r="680" spans="1:31" ht="15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</row>
    <row r="681" spans="1:31" ht="15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</row>
    <row r="682" spans="1:31" ht="15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</row>
    <row r="683" spans="1:31" ht="15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</row>
    <row r="684" spans="1:31" ht="15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</row>
    <row r="685" spans="1:31" ht="15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</row>
    <row r="686" spans="1:31" ht="15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</row>
    <row r="687" spans="1:31" ht="15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</row>
    <row r="688" spans="1:31" ht="15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</row>
    <row r="689" spans="1:31" ht="15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</row>
    <row r="690" spans="1:31" ht="15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</row>
    <row r="691" spans="1:31" ht="15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</row>
    <row r="692" spans="1:31" ht="15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</row>
    <row r="693" spans="1:31" ht="15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</row>
    <row r="694" spans="1:31" ht="15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</row>
    <row r="695" spans="1:31" ht="15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</row>
    <row r="696" spans="1:31" ht="15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</row>
    <row r="697" spans="1:31" ht="15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</row>
    <row r="698" spans="1:31" ht="15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</row>
    <row r="699" spans="1:31" ht="15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</row>
    <row r="700" spans="1:31" ht="15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</row>
    <row r="701" spans="1:31" ht="15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</row>
    <row r="702" spans="1:31" ht="15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</row>
    <row r="703" spans="1:31" ht="15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</row>
    <row r="704" spans="1:31" ht="15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</row>
    <row r="705" spans="1:31" ht="15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</row>
    <row r="706" spans="1:31" ht="15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</row>
    <row r="707" spans="1:31" ht="15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</row>
    <row r="708" spans="1:31" ht="15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</row>
    <row r="709" spans="1:31" ht="15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</row>
    <row r="710" spans="1:31" ht="15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</row>
    <row r="711" spans="1:31" ht="15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</row>
    <row r="712" spans="1:31" ht="15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</row>
    <row r="713" spans="1:31" ht="15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</row>
    <row r="714" spans="1:31" ht="15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</row>
    <row r="715" spans="1:31" ht="15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</row>
    <row r="716" spans="1:31" ht="15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</row>
    <row r="717" spans="1:31" ht="15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</row>
    <row r="718" spans="1:31" ht="15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</row>
    <row r="719" spans="1:31" ht="15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</row>
    <row r="720" spans="1:31" ht="15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</row>
    <row r="721" spans="1:31" ht="15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</row>
    <row r="722" spans="1:31" ht="15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</row>
    <row r="723" spans="1:31" ht="15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</row>
    <row r="724" spans="1:31" ht="15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</row>
    <row r="725" spans="1:31" ht="15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</row>
    <row r="726" spans="1:31" ht="15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</row>
    <row r="727" spans="1:31" ht="15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</row>
    <row r="728" spans="1:31" ht="15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</row>
    <row r="729" spans="1:31" ht="15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</row>
    <row r="730" spans="1:31" ht="15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</row>
    <row r="731" spans="1:31" ht="15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</row>
    <row r="732" spans="1:31" ht="15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</row>
    <row r="733" spans="1:31" ht="15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</row>
    <row r="734" spans="1:31" ht="15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</row>
    <row r="735" spans="1:31" ht="15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</row>
    <row r="736" spans="1:31" ht="15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</row>
    <row r="737" spans="1:31" ht="15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</row>
    <row r="738" spans="1:31" ht="15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</row>
    <row r="739" spans="1:31" ht="15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</row>
    <row r="740" spans="1:31" ht="15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</row>
    <row r="741" spans="1:31" ht="15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</row>
    <row r="742" spans="1:31" ht="15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</row>
    <row r="743" spans="1:31" ht="15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</row>
    <row r="744" spans="1:31" ht="15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</row>
    <row r="745" spans="1:31" ht="15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</row>
    <row r="746" spans="1:31" ht="15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</row>
    <row r="747" spans="1:31" ht="15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</row>
    <row r="748" spans="1:31" ht="15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</row>
    <row r="749" spans="1:31" ht="15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</row>
    <row r="750" spans="1:31" ht="15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</row>
    <row r="751" spans="1:31" ht="15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</row>
    <row r="752" spans="1:31" ht="15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</row>
    <row r="753" spans="1:31" ht="15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</row>
    <row r="754" spans="1:31" ht="15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</row>
    <row r="755" spans="1:31" ht="15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</row>
    <row r="756" spans="1:31" ht="15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</row>
    <row r="757" spans="1:31" ht="15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</row>
    <row r="758" spans="1:31" ht="15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</row>
    <row r="759" spans="1:31" ht="15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</row>
    <row r="760" spans="1:31" ht="15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</row>
    <row r="761" spans="1:31" ht="15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</row>
    <row r="762" spans="1:31" ht="15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</row>
    <row r="763" spans="1:31" ht="15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</row>
    <row r="764" spans="1:31" ht="15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</row>
    <row r="765" spans="1:31" ht="15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</row>
    <row r="766" spans="1:31" ht="15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</row>
    <row r="767" spans="1:31" ht="15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</row>
    <row r="768" spans="1:31" ht="15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</row>
    <row r="769" spans="1:31" ht="15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</row>
    <row r="770" spans="1:31" ht="15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</row>
    <row r="771" spans="1:31" ht="15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</row>
    <row r="772" spans="1:31" ht="15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</row>
    <row r="773" spans="1:31" ht="15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</row>
    <row r="774" spans="1:31" ht="15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</row>
    <row r="775" spans="1:31" ht="15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</row>
    <row r="776" spans="1:31" ht="15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</row>
    <row r="777" spans="1:31" ht="15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</row>
    <row r="778" spans="1:31" ht="15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</row>
    <row r="779" spans="1:31" ht="15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</row>
    <row r="780" spans="1:31" ht="15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</row>
    <row r="781" spans="1:31" ht="15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</row>
    <row r="782" spans="1:31" ht="15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</row>
    <row r="783" spans="1:31" ht="15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</row>
    <row r="784" spans="1:31" ht="15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</row>
    <row r="785" spans="1:31" ht="15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</row>
    <row r="786" spans="1:31" ht="15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</row>
    <row r="787" spans="1:31" ht="15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</row>
    <row r="788" spans="1:31" ht="15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</row>
    <row r="789" spans="1:31" ht="15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</row>
    <row r="790" spans="1:31" ht="15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</row>
    <row r="791" spans="1:31" ht="15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</row>
    <row r="792" spans="1:31" ht="15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</row>
    <row r="793" spans="1:31" ht="15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</row>
    <row r="794" spans="1:31" ht="15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</row>
    <row r="795" spans="1:31" ht="15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</row>
    <row r="796" spans="1:31" ht="15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</row>
    <row r="797" spans="1:31" ht="15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</row>
    <row r="798" spans="1:31" ht="15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</row>
    <row r="799" spans="1:31" ht="15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</row>
    <row r="800" spans="1:31" ht="15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</row>
    <row r="801" spans="1:31" ht="15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</row>
    <row r="802" spans="1:31" ht="15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</row>
    <row r="803" spans="1:31" ht="15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</row>
    <row r="804" spans="1:31" ht="15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</row>
    <row r="805" spans="1:31" ht="15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</row>
    <row r="806" spans="1:31" ht="15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</row>
    <row r="807" spans="1:31" ht="15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</row>
    <row r="808" spans="1:31" ht="15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</row>
    <row r="809" spans="1:31" ht="15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</row>
    <row r="810" spans="1:31" ht="15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</row>
    <row r="811" spans="1:31" ht="15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</row>
    <row r="812" spans="1:31" ht="15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</row>
    <row r="813" spans="1:31" ht="15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</row>
    <row r="814" spans="1:31" ht="15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</row>
    <row r="815" spans="1:31" ht="15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</row>
    <row r="816" spans="1:31" ht="15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</row>
    <row r="817" spans="1:31" ht="15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</row>
    <row r="818" spans="1:31" ht="15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</row>
    <row r="819" spans="1:31" ht="15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</row>
    <row r="820" spans="1:31" ht="15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</row>
    <row r="821" spans="1:31" ht="15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</row>
    <row r="822" spans="1:31" ht="15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</row>
    <row r="823" spans="1:31" ht="15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</row>
    <row r="824" spans="1:31" ht="15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</row>
    <row r="825" spans="1:31" ht="15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</row>
    <row r="826" spans="1:31" ht="15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</row>
    <row r="827" spans="1:31" ht="15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</row>
    <row r="828" spans="1:31" ht="15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</row>
    <row r="829" spans="1:31" ht="15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</row>
    <row r="830" spans="1:31" ht="15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</row>
    <row r="831" spans="1:31" ht="15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</row>
    <row r="832" spans="1:31" ht="15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</row>
    <row r="833" spans="1:31" ht="15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</row>
    <row r="834" spans="1:31" ht="15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</row>
    <row r="835" spans="1:31" ht="15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</row>
    <row r="836" spans="1:31" ht="15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</row>
    <row r="837" spans="1:31" ht="15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</row>
    <row r="838" spans="1:31" ht="15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</row>
    <row r="839" spans="1:31" ht="15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</row>
    <row r="840" spans="1:31" ht="15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</row>
    <row r="841" spans="1:31" ht="15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</row>
    <row r="842" spans="1:31" ht="15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</row>
    <row r="843" spans="1:31" ht="15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</row>
    <row r="844" spans="1:31" ht="15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</row>
    <row r="845" spans="1:31" ht="15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</row>
    <row r="846" spans="1:31" ht="15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</row>
    <row r="847" spans="1:31" ht="15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</row>
    <row r="848" spans="1:31" ht="15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</row>
    <row r="849" spans="1:31" ht="15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</row>
    <row r="850" spans="1:31" ht="15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</row>
    <row r="851" spans="1:31" ht="15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</row>
    <row r="852" spans="1:31" ht="15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</row>
    <row r="853" spans="1:31" ht="15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</row>
    <row r="854" spans="1:31" ht="15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</row>
    <row r="855" spans="1:31" ht="15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</row>
    <row r="856" spans="1:31" ht="15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</row>
    <row r="857" spans="1:31" ht="15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</row>
    <row r="858" spans="1:31" ht="15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</row>
    <row r="859" spans="1:31" ht="15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</row>
    <row r="860" spans="1:31" ht="15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</row>
    <row r="861" spans="1:31" ht="15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</row>
    <row r="862" spans="1:31" ht="15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</row>
    <row r="863" spans="1:31" ht="15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</row>
    <row r="864" spans="1:31" ht="15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</row>
    <row r="865" spans="1:31" ht="15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</row>
    <row r="866" spans="1:31" ht="15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</row>
    <row r="867" spans="1:31" ht="15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</row>
    <row r="868" spans="1:31" ht="15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</row>
    <row r="869" spans="1:31" ht="15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</row>
    <row r="870" spans="1:31" ht="15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</row>
    <row r="871" spans="1:31" ht="15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</row>
    <row r="872" spans="1:31" ht="15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</row>
    <row r="873" spans="1:31" ht="15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</row>
    <row r="874" spans="1:31" ht="15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</row>
    <row r="875" spans="1:31" ht="15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</row>
    <row r="876" spans="1:31" ht="15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</row>
    <row r="877" spans="1:31" ht="15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</row>
    <row r="878" spans="1:31" ht="15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</row>
    <row r="879" spans="1:31" ht="15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</row>
    <row r="880" spans="1:31" ht="15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</row>
    <row r="881" spans="1:31" ht="15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</row>
    <row r="882" spans="1:31" ht="15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</row>
    <row r="883" spans="1:31" ht="15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</row>
    <row r="884" spans="1:31" ht="15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</row>
    <row r="885" spans="1:31" ht="15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</row>
    <row r="886" spans="1:31" ht="15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</row>
    <row r="887" spans="1:31" ht="15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</row>
    <row r="888" spans="1:31" ht="15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</row>
    <row r="889" spans="1:31" ht="15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</row>
    <row r="890" spans="1:31" ht="15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</row>
    <row r="891" spans="1:31" ht="15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</row>
    <row r="892" spans="1:31" ht="15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</row>
    <row r="893" spans="1:31" ht="15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</row>
    <row r="894" spans="1:31" ht="15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</row>
    <row r="895" spans="1:31" ht="15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</row>
    <row r="896" spans="1:31" ht="15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</row>
    <row r="897" spans="1:31" ht="15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</row>
    <row r="898" spans="1:31" ht="15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</row>
    <row r="899" spans="1:31" ht="15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</row>
    <row r="900" spans="1:31" ht="15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</row>
    <row r="901" spans="1:31" ht="15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</row>
    <row r="902" spans="1:31" ht="15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</row>
    <row r="903" spans="1:31" ht="15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</row>
    <row r="904" spans="1:31" ht="15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</row>
    <row r="905" spans="1:31" ht="15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</row>
    <row r="906" spans="1:31" ht="15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</row>
    <row r="907" spans="1:31" ht="15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</row>
    <row r="908" spans="1:31" ht="15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</row>
    <row r="909" spans="1:31" ht="15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</row>
    <row r="910" spans="1:31" ht="15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</row>
    <row r="911" spans="1:31" ht="15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</row>
    <row r="912" spans="1:31" ht="15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</row>
    <row r="913" spans="1:31" ht="15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</row>
    <row r="914" spans="1:31" ht="15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</row>
    <row r="915" spans="1:31" ht="15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</row>
    <row r="916" spans="1:31" ht="15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</row>
    <row r="917" spans="1:31" ht="15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</row>
    <row r="918" spans="1:31" ht="15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</row>
    <row r="919" spans="1:31" ht="15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</row>
    <row r="920" spans="1:31" ht="15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</row>
    <row r="921" spans="1:31" ht="15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</row>
    <row r="922" spans="1:31" ht="15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</row>
    <row r="923" spans="1:31" ht="15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</row>
    <row r="924" spans="1:31" ht="15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</row>
    <row r="925" spans="1:31" ht="15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</row>
    <row r="926" spans="1:31" ht="15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</row>
    <row r="927" spans="1:31" ht="15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</row>
    <row r="928" spans="1:31" ht="15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</row>
    <row r="929" spans="1:31" ht="15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</row>
    <row r="930" spans="1:31" ht="15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</row>
    <row r="931" spans="1:31" ht="15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</row>
    <row r="932" spans="1:31" ht="15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</row>
    <row r="933" spans="1:31" ht="15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</row>
    <row r="934" spans="1:31" ht="15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</row>
    <row r="935" spans="1:31" ht="15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</row>
    <row r="936" spans="1:31" ht="15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</row>
    <row r="937" spans="1:31" ht="15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</row>
    <row r="938" spans="1:31" ht="15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</row>
    <row r="939" spans="1:31" ht="15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</row>
    <row r="940" spans="1:31" ht="15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</row>
    <row r="941" spans="1:31" ht="15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</row>
    <row r="942" spans="1:31" ht="15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</row>
    <row r="943" spans="1:31" ht="15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</row>
    <row r="944" spans="1:31" ht="15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</row>
    <row r="945" spans="1:31" ht="15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</row>
    <row r="946" spans="1:31" ht="15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</row>
    <row r="947" spans="1:31" ht="15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</row>
    <row r="948" spans="1:31" ht="15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</row>
    <row r="949" spans="1:31" ht="15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</row>
    <row r="950" spans="1:31" ht="15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</row>
    <row r="951" spans="1:31" ht="15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</row>
    <row r="952" spans="1:31" ht="15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</row>
    <row r="953" spans="1:31" ht="15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</row>
    <row r="954" spans="1:31" ht="15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</row>
    <row r="955" spans="1:31" ht="15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</row>
    <row r="956" spans="1:31" ht="15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</row>
    <row r="957" spans="1:31" ht="15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</row>
    <row r="958" spans="1:31" ht="15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</row>
    <row r="959" spans="1:31" ht="15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</row>
    <row r="960" spans="1:31" ht="15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</row>
    <row r="961" spans="1:31" ht="15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</row>
    <row r="962" spans="1:31" ht="15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</row>
    <row r="963" spans="1:31" ht="15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</row>
    <row r="964" spans="1:31" ht="15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</row>
    <row r="965" spans="1:31" ht="15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</row>
    <row r="966" spans="1:31" ht="15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</row>
    <row r="967" spans="1:31" ht="15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</row>
    <row r="968" spans="1:31" ht="15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</row>
    <row r="969" spans="1:31" ht="15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</row>
    <row r="970" spans="1:31" ht="15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</row>
    <row r="971" spans="1:31" ht="15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</row>
    <row r="972" spans="1:31" ht="15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</row>
    <row r="973" spans="1:31" ht="15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</row>
    <row r="974" spans="1:31" ht="15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</row>
    <row r="975" spans="1:31" ht="15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</row>
    <row r="976" spans="1:31" ht="15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</row>
    <row r="977" spans="1:31" ht="15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</row>
    <row r="978" spans="1:31" ht="15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</row>
    <row r="979" spans="1:31" ht="15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</row>
    <row r="980" spans="1:31" ht="15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</row>
    <row r="981" spans="1:31" ht="15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</row>
    <row r="982" spans="1:31" ht="15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</row>
    <row r="983" spans="1:31" ht="15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</row>
    <row r="984" spans="1:31" ht="15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</row>
    <row r="985" spans="1:31" ht="15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</row>
    <row r="986" spans="1:31" ht="15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</row>
    <row r="987" spans="1:31" ht="15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</row>
    <row r="988" spans="1:31" ht="15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</row>
    <row r="989" spans="1:31" ht="15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</row>
    <row r="990" spans="1:31" ht="15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</row>
    <row r="991" spans="1:31" ht="15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</row>
    <row r="992" spans="1:31" ht="15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</row>
    <row r="993" spans="1:31" ht="15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</row>
    <row r="994" spans="1:31" ht="15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</row>
    <row r="995" spans="1:31" ht="15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</row>
    <row r="996" spans="1:31" ht="15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</row>
    <row r="997" spans="1:31" ht="15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</row>
    <row r="998" spans="1:31" ht="15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</row>
    <row r="999" spans="1:31" ht="1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</row>
    <row r="1000" spans="1:31" ht="1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</row>
    <row r="1001" spans="1:31" ht="15" customHeight="1" x14ac:dyDescent="0.2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</row>
  </sheetData>
  <conditionalFormatting sqref="H6:H37 H39:H42 H44 H47:H55 H57 H113:H139 H142:H143 H145 H201:H221 H224:H227 H229">
    <cfRule type="cellIs" dxfId="7" priority="1" operator="lessThan">
      <formula>0</formula>
    </cfRule>
  </conditionalFormatting>
  <printOptions horizontalCentered="1" verticalCentered="1"/>
  <pageMargins left="0.25" right="0.25" top="0.75" bottom="0.75" header="0.3" footer="0.3"/>
  <pageSetup fitToHeight="0" orientation="landscape" r:id="rId1"/>
  <headerFooter>
    <oddHeader>&amp;A</oddHeader>
    <oddFooter>Page &amp;P of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000"/>
  <sheetViews>
    <sheetView topLeftCell="A19" workbookViewId="0"/>
  </sheetViews>
  <sheetFormatPr defaultColWidth="12.5703125" defaultRowHeight="15" customHeight="1" outlineLevelCol="1" x14ac:dyDescent="0.2"/>
  <cols>
    <col min="2" max="2" width="28.42578125" customWidth="1"/>
    <col min="3" max="3" width="3.5703125" hidden="1" customWidth="1" outlineLevel="1"/>
    <col min="4" max="4" width="11.5703125" hidden="1" customWidth="1" outlineLevel="1"/>
    <col min="5" max="6" width="11.7109375" hidden="1" customWidth="1" outlineLevel="1"/>
    <col min="7" max="7" width="11" hidden="1" customWidth="1" outlineLevel="1"/>
    <col min="8" max="10" width="11.140625" hidden="1" customWidth="1" outlineLevel="1"/>
    <col min="11" max="11" width="3.5703125" hidden="1" customWidth="1" outlineLevel="1"/>
    <col min="12" max="12" width="11.140625" customWidth="1" collapsed="1"/>
    <col min="13" max="13" width="12.28515625" customWidth="1"/>
    <col min="14" max="14" width="11.42578125" customWidth="1"/>
    <col min="15" max="15" width="10.7109375" customWidth="1"/>
    <col min="16" max="17" width="11.7109375" customWidth="1"/>
    <col min="18" max="18" width="12.140625" customWidth="1"/>
    <col min="19" max="19" width="12.7109375" customWidth="1"/>
    <col min="20" max="20" width="12.42578125" customWidth="1"/>
    <col min="21" max="21" width="10.5703125" customWidth="1"/>
    <col min="22" max="22" width="3" customWidth="1"/>
    <col min="23" max="23" width="16.140625" customWidth="1"/>
    <col min="24" max="24" width="10.42578125" customWidth="1"/>
  </cols>
  <sheetData>
    <row r="1" spans="1:32" ht="15.75" hidden="1" customHeight="1" x14ac:dyDescent="0.25">
      <c r="A1" s="5"/>
      <c r="B1" s="5"/>
      <c r="C1" s="284"/>
      <c r="D1" s="18"/>
      <c r="E1" s="209" t="s">
        <v>48</v>
      </c>
      <c r="F1" s="209" t="s">
        <v>32</v>
      </c>
      <c r="G1" s="18"/>
      <c r="H1" s="18"/>
      <c r="I1" s="18"/>
      <c r="J1" s="18"/>
      <c r="K1" s="284"/>
      <c r="L1" s="176"/>
      <c r="M1" s="176"/>
      <c r="N1" s="176"/>
      <c r="O1" s="176"/>
      <c r="P1" s="176"/>
      <c r="Q1" s="176"/>
      <c r="R1" s="176"/>
      <c r="S1" s="176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</row>
    <row r="2" spans="1:32" ht="15.75" hidden="1" customHeight="1" x14ac:dyDescent="0.25">
      <c r="A2" s="5"/>
      <c r="B2" s="5"/>
      <c r="C2" s="284"/>
      <c r="D2" s="18"/>
      <c r="E2" s="18" t="s">
        <v>157</v>
      </c>
      <c r="F2" s="18"/>
      <c r="G2" s="18"/>
      <c r="H2" s="18"/>
      <c r="I2" s="18"/>
      <c r="J2" s="18"/>
      <c r="K2" s="284"/>
      <c r="L2" s="176"/>
      <c r="M2" s="176"/>
      <c r="N2" s="176"/>
      <c r="O2" s="176"/>
      <c r="P2" s="176"/>
      <c r="Q2" s="176"/>
      <c r="R2" s="176"/>
      <c r="S2" s="176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</row>
    <row r="3" spans="1:32" ht="15.75" hidden="1" customHeight="1" x14ac:dyDescent="0.25">
      <c r="A3" s="5"/>
      <c r="B3" s="5"/>
      <c r="C3" s="284"/>
      <c r="D3" s="18"/>
      <c r="E3" s="18"/>
      <c r="F3" s="18"/>
      <c r="G3" s="18"/>
      <c r="H3" s="18"/>
      <c r="I3" s="18"/>
      <c r="J3" s="18"/>
      <c r="K3" s="284"/>
      <c r="L3" s="176"/>
      <c r="M3" s="176"/>
      <c r="N3" s="176"/>
      <c r="O3" s="176"/>
      <c r="P3" s="176"/>
      <c r="Q3" s="176"/>
      <c r="R3" s="176"/>
      <c r="S3" s="176"/>
      <c r="T3" s="5"/>
      <c r="U3" s="5"/>
      <c r="V3" s="5"/>
      <c r="W3" s="230"/>
      <c r="X3" s="216"/>
      <c r="Y3" s="5"/>
      <c r="Z3" s="5"/>
      <c r="AA3" s="5"/>
      <c r="AB3" s="5"/>
      <c r="AC3" s="5"/>
      <c r="AD3" s="5"/>
      <c r="AE3" s="5"/>
      <c r="AF3" s="5"/>
    </row>
    <row r="4" spans="1:32" ht="31.5" customHeight="1" x14ac:dyDescent="0.35">
      <c r="A4" s="437" t="s">
        <v>1633</v>
      </c>
      <c r="B4" s="103"/>
      <c r="C4" s="324"/>
      <c r="D4" s="105"/>
      <c r="E4" s="105"/>
      <c r="F4" s="105"/>
      <c r="G4" s="105"/>
      <c r="H4" s="33"/>
      <c r="I4" s="18"/>
      <c r="J4" s="18"/>
      <c r="K4" s="324"/>
      <c r="L4" s="265"/>
      <c r="M4" s="265"/>
      <c r="N4" s="265"/>
      <c r="O4" s="265"/>
      <c r="P4" s="266"/>
      <c r="Q4" s="266"/>
      <c r="R4" s="176"/>
      <c r="S4" s="176"/>
      <c r="T4" s="5"/>
      <c r="U4" s="5"/>
      <c r="V4" s="5"/>
      <c r="W4" s="6"/>
      <c r="X4" s="203"/>
      <c r="Y4" s="5"/>
      <c r="Z4" s="5"/>
      <c r="AA4" s="5"/>
      <c r="AB4" s="5"/>
      <c r="AC4" s="5"/>
      <c r="AD4" s="5"/>
      <c r="AE4" s="5"/>
      <c r="AF4" s="5"/>
    </row>
    <row r="5" spans="1:32" ht="50.25" customHeight="1" x14ac:dyDescent="0.2">
      <c r="A5" s="3" t="s">
        <v>50</v>
      </c>
      <c r="B5" s="3" t="s">
        <v>51</v>
      </c>
      <c r="C5" s="21"/>
      <c r="D5" s="22" t="s">
        <v>52</v>
      </c>
      <c r="E5" s="23" t="s">
        <v>53</v>
      </c>
      <c r="F5" s="23" t="s">
        <v>54</v>
      </c>
      <c r="G5" s="23" t="s">
        <v>55</v>
      </c>
      <c r="H5" s="100" t="s">
        <v>56</v>
      </c>
      <c r="I5" s="23" t="s">
        <v>57</v>
      </c>
      <c r="J5" s="129" t="s">
        <v>58</v>
      </c>
      <c r="K5" s="130"/>
      <c r="L5" s="27" t="s">
        <v>59</v>
      </c>
      <c r="M5" s="27" t="s">
        <v>60</v>
      </c>
      <c r="N5" s="27" t="s">
        <v>61</v>
      </c>
      <c r="O5" s="27" t="s">
        <v>62</v>
      </c>
      <c r="P5" s="27" t="s">
        <v>63</v>
      </c>
      <c r="Q5" s="27" t="s">
        <v>64</v>
      </c>
      <c r="R5" s="27" t="s">
        <v>65</v>
      </c>
      <c r="S5" s="27" t="s">
        <v>66</v>
      </c>
      <c r="T5" s="5"/>
      <c r="U5" s="370"/>
      <c r="V5" s="230"/>
      <c r="W5" s="5"/>
      <c r="X5" s="370"/>
      <c r="Y5" s="370"/>
      <c r="Z5" s="370"/>
      <c r="AA5" s="370"/>
      <c r="AB5" s="370"/>
      <c r="AC5" s="370"/>
      <c r="AD5" s="370"/>
      <c r="AE5" s="370"/>
      <c r="AF5" s="5"/>
    </row>
    <row r="6" spans="1:32" ht="15.75" customHeight="1" x14ac:dyDescent="0.25">
      <c r="A6" s="103" t="s">
        <v>1634</v>
      </c>
      <c r="B6" s="103" t="s">
        <v>68</v>
      </c>
      <c r="C6" s="280"/>
      <c r="D6" s="142">
        <v>625</v>
      </c>
      <c r="E6" s="32" t="e">
        <v>#REF!</v>
      </c>
      <c r="F6" s="32" t="e">
        <v>#REF!</v>
      </c>
      <c r="G6" s="32" t="e">
        <v>#REF!</v>
      </c>
      <c r="H6" s="33">
        <f t="shared" ref="H6:H32" si="0">IFERROR(((Q6-G6)/G6),0)</f>
        <v>0</v>
      </c>
      <c r="I6" s="16" t="e">
        <f t="shared" ref="I6:I31" si="1">Q6-G6</f>
        <v>#REF!</v>
      </c>
      <c r="J6" s="18"/>
      <c r="K6" s="280"/>
      <c r="L6" s="216">
        <v>0</v>
      </c>
      <c r="M6" s="216">
        <v>189.5</v>
      </c>
      <c r="N6" s="216">
        <v>500</v>
      </c>
      <c r="O6" s="216">
        <v>0</v>
      </c>
      <c r="P6" s="142">
        <f t="shared" ref="P6:P10" si="2">O6/20*26</f>
        <v>0</v>
      </c>
      <c r="Q6" s="142">
        <v>0</v>
      </c>
      <c r="R6" s="176">
        <v>0</v>
      </c>
      <c r="S6" s="176">
        <f t="shared" ref="S6:S31" si="3">R6-Q6</f>
        <v>0</v>
      </c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</row>
    <row r="7" spans="1:32" ht="15.75" customHeight="1" x14ac:dyDescent="0.25">
      <c r="A7" s="103" t="s">
        <v>1635</v>
      </c>
      <c r="B7" s="103" t="s">
        <v>70</v>
      </c>
      <c r="C7" s="280"/>
      <c r="D7" s="142">
        <v>3087</v>
      </c>
      <c r="E7" s="32" t="e">
        <v>#REF!</v>
      </c>
      <c r="F7" s="32" t="e">
        <v>#REF!</v>
      </c>
      <c r="G7" s="32" t="e">
        <v>#REF!</v>
      </c>
      <c r="H7" s="33">
        <f t="shared" si="0"/>
        <v>0</v>
      </c>
      <c r="I7" s="16" t="e">
        <f t="shared" si="1"/>
        <v>#REF!</v>
      </c>
      <c r="J7" s="18"/>
      <c r="K7" s="280"/>
      <c r="L7" s="216">
        <v>3480</v>
      </c>
      <c r="M7" s="216">
        <v>5780.67</v>
      </c>
      <c r="N7" s="216">
        <v>4500</v>
      </c>
      <c r="O7" s="216">
        <v>2420.83</v>
      </c>
      <c r="P7" s="142">
        <f t="shared" si="2"/>
        <v>3147.0790000000002</v>
      </c>
      <c r="Q7" s="142">
        <v>5000</v>
      </c>
      <c r="R7" s="176">
        <v>5000</v>
      </c>
      <c r="S7" s="176">
        <f t="shared" si="3"/>
        <v>0</v>
      </c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</row>
    <row r="8" spans="1:32" ht="15.75" customHeight="1" x14ac:dyDescent="0.25">
      <c r="A8" s="103" t="s">
        <v>1636</v>
      </c>
      <c r="B8" s="103" t="s">
        <v>132</v>
      </c>
      <c r="C8" s="280"/>
      <c r="D8" s="142">
        <v>0</v>
      </c>
      <c r="E8" s="32" t="e">
        <v>#REF!</v>
      </c>
      <c r="F8" s="32" t="e">
        <v>#REF!</v>
      </c>
      <c r="G8" s="32" t="e">
        <v>#REF!</v>
      </c>
      <c r="H8" s="33">
        <f t="shared" si="0"/>
        <v>0</v>
      </c>
      <c r="I8" s="16" t="e">
        <f t="shared" si="1"/>
        <v>#REF!</v>
      </c>
      <c r="J8" s="18"/>
      <c r="K8" s="280"/>
      <c r="L8" s="216">
        <v>6991</v>
      </c>
      <c r="M8" s="216">
        <v>10890.23</v>
      </c>
      <c r="N8" s="216">
        <v>12137</v>
      </c>
      <c r="O8" s="216">
        <v>9046.48</v>
      </c>
      <c r="P8" s="142">
        <f t="shared" si="2"/>
        <v>11760.423999999999</v>
      </c>
      <c r="Q8" s="142">
        <v>13600</v>
      </c>
      <c r="R8" s="176">
        <v>13600</v>
      </c>
      <c r="S8" s="176">
        <f t="shared" si="3"/>
        <v>0</v>
      </c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</row>
    <row r="9" spans="1:32" ht="15.75" customHeight="1" x14ac:dyDescent="0.25">
      <c r="A9" s="103" t="s">
        <v>1637</v>
      </c>
      <c r="B9" s="103" t="s">
        <v>108</v>
      </c>
      <c r="C9" s="280"/>
      <c r="D9" s="142">
        <v>14699</v>
      </c>
      <c r="E9" s="32" t="e">
        <v>#REF!</v>
      </c>
      <c r="F9" s="32" t="e">
        <v>#REF!</v>
      </c>
      <c r="G9" s="32" t="e">
        <v>#REF!</v>
      </c>
      <c r="H9" s="33">
        <f t="shared" si="0"/>
        <v>0</v>
      </c>
      <c r="I9" s="16" t="e">
        <f t="shared" si="1"/>
        <v>#REF!</v>
      </c>
      <c r="J9" s="18"/>
      <c r="K9" s="280"/>
      <c r="L9" s="216">
        <v>8390</v>
      </c>
      <c r="M9" s="216">
        <v>10858.03</v>
      </c>
      <c r="N9" s="216">
        <v>10400</v>
      </c>
      <c r="O9" s="216">
        <v>11899.71</v>
      </c>
      <c r="P9" s="142">
        <f t="shared" si="2"/>
        <v>15469.623</v>
      </c>
      <c r="Q9" s="142">
        <v>12000</v>
      </c>
      <c r="R9" s="176">
        <v>12000</v>
      </c>
      <c r="S9" s="176">
        <f t="shared" si="3"/>
        <v>0</v>
      </c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</row>
    <row r="10" spans="1:32" ht="15.75" customHeight="1" x14ac:dyDescent="0.25">
      <c r="A10" s="103" t="s">
        <v>1638</v>
      </c>
      <c r="B10" s="103" t="s">
        <v>72</v>
      </c>
      <c r="C10" s="280"/>
      <c r="D10" s="142">
        <v>2004</v>
      </c>
      <c r="E10" s="32" t="e">
        <v>#REF!</v>
      </c>
      <c r="F10" s="32" t="e">
        <v>#REF!</v>
      </c>
      <c r="G10" s="32" t="e">
        <v>#REF!</v>
      </c>
      <c r="H10" s="33">
        <f t="shared" si="0"/>
        <v>0</v>
      </c>
      <c r="I10" s="16" t="e">
        <f t="shared" si="1"/>
        <v>#REF!</v>
      </c>
      <c r="J10" s="18"/>
      <c r="K10" s="280"/>
      <c r="L10" s="216">
        <v>1703</v>
      </c>
      <c r="M10" s="216">
        <v>2495.14</v>
      </c>
      <c r="N10" s="216">
        <v>6023</v>
      </c>
      <c r="O10" s="216">
        <v>2026.88</v>
      </c>
      <c r="P10" s="142">
        <f t="shared" si="2"/>
        <v>2634.9440000000004</v>
      </c>
      <c r="Q10" s="142">
        <v>3300</v>
      </c>
      <c r="R10" s="176">
        <v>3300</v>
      </c>
      <c r="S10" s="176">
        <f t="shared" si="3"/>
        <v>0</v>
      </c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</row>
    <row r="11" spans="1:32" ht="15.75" customHeight="1" x14ac:dyDescent="0.25">
      <c r="A11" s="103" t="s">
        <v>1639</v>
      </c>
      <c r="B11" s="103" t="s">
        <v>1640</v>
      </c>
      <c r="C11" s="280"/>
      <c r="D11" s="142">
        <v>0</v>
      </c>
      <c r="E11" s="32" t="e">
        <v>#REF!</v>
      </c>
      <c r="F11" s="32" t="e">
        <v>#REF!</v>
      </c>
      <c r="G11" s="32" t="e">
        <v>#REF!</v>
      </c>
      <c r="H11" s="33">
        <f t="shared" si="0"/>
        <v>0</v>
      </c>
      <c r="I11" s="16" t="e">
        <f t="shared" si="1"/>
        <v>#REF!</v>
      </c>
      <c r="J11" s="18"/>
      <c r="K11" s="280"/>
      <c r="L11" s="216">
        <v>0</v>
      </c>
      <c r="M11" s="216">
        <v>0</v>
      </c>
      <c r="N11" s="216">
        <v>1000</v>
      </c>
      <c r="O11" s="216">
        <v>0</v>
      </c>
      <c r="P11" s="272">
        <f>N11</f>
        <v>1000</v>
      </c>
      <c r="Q11" s="142">
        <v>0</v>
      </c>
      <c r="R11" s="176">
        <v>0</v>
      </c>
      <c r="S11" s="176">
        <f t="shared" si="3"/>
        <v>0</v>
      </c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</row>
    <row r="12" spans="1:32" ht="15.75" customHeight="1" x14ac:dyDescent="0.25">
      <c r="A12" s="103" t="s">
        <v>1641</v>
      </c>
      <c r="B12" s="103" t="s">
        <v>74</v>
      </c>
      <c r="C12" s="280"/>
      <c r="D12" s="142">
        <v>75</v>
      </c>
      <c r="E12" s="32" t="e">
        <v>#REF!</v>
      </c>
      <c r="F12" s="32" t="e">
        <v>#REF!</v>
      </c>
      <c r="G12" s="32" t="e">
        <v>#REF!</v>
      </c>
      <c r="H12" s="33">
        <f t="shared" si="0"/>
        <v>0</v>
      </c>
      <c r="I12" s="16" t="e">
        <f t="shared" si="1"/>
        <v>#REF!</v>
      </c>
      <c r="J12" s="18"/>
      <c r="K12" s="280"/>
      <c r="L12" s="216">
        <v>190</v>
      </c>
      <c r="M12" s="216">
        <v>415</v>
      </c>
      <c r="N12" s="216">
        <v>500</v>
      </c>
      <c r="O12" s="216">
        <v>200</v>
      </c>
      <c r="P12" s="142">
        <f t="shared" ref="P12:P15" si="4">O12/9*12</f>
        <v>266.66666666666663</v>
      </c>
      <c r="Q12" s="142">
        <v>700</v>
      </c>
      <c r="R12" s="176">
        <v>700</v>
      </c>
      <c r="S12" s="176">
        <f t="shared" si="3"/>
        <v>0</v>
      </c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</row>
    <row r="13" spans="1:32" ht="15.75" customHeight="1" x14ac:dyDescent="0.25">
      <c r="A13" s="103" t="s">
        <v>1642</v>
      </c>
      <c r="B13" s="103" t="s">
        <v>1578</v>
      </c>
      <c r="C13" s="280"/>
      <c r="D13" s="142">
        <v>12265</v>
      </c>
      <c r="E13" s="32" t="e">
        <v>#REF!</v>
      </c>
      <c r="F13" s="32" t="e">
        <v>#REF!</v>
      </c>
      <c r="G13" s="32" t="e">
        <v>#REF!</v>
      </c>
      <c r="H13" s="33">
        <f t="shared" si="0"/>
        <v>0</v>
      </c>
      <c r="I13" s="16" t="e">
        <f t="shared" si="1"/>
        <v>#REF!</v>
      </c>
      <c r="J13" s="18"/>
      <c r="K13" s="280"/>
      <c r="L13" s="216">
        <v>2531</v>
      </c>
      <c r="M13" s="216">
        <v>8521.9</v>
      </c>
      <c r="N13" s="216">
        <v>7500</v>
      </c>
      <c r="O13" s="216">
        <v>2551.0500000000002</v>
      </c>
      <c r="P13" s="142">
        <f t="shared" si="4"/>
        <v>3401.4000000000005</v>
      </c>
      <c r="Q13" s="142">
        <v>20030</v>
      </c>
      <c r="R13" s="176">
        <v>20030</v>
      </c>
      <c r="S13" s="176">
        <f t="shared" si="3"/>
        <v>0</v>
      </c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</row>
    <row r="14" spans="1:32" ht="15.75" customHeight="1" x14ac:dyDescent="0.25">
      <c r="A14" s="103" t="s">
        <v>1643</v>
      </c>
      <c r="B14" s="103" t="s">
        <v>76</v>
      </c>
      <c r="C14" s="280"/>
      <c r="D14" s="142">
        <v>195</v>
      </c>
      <c r="E14" s="32" t="e">
        <v>#REF!</v>
      </c>
      <c r="F14" s="32" t="e">
        <v>#REF!</v>
      </c>
      <c r="G14" s="32" t="e">
        <v>#REF!</v>
      </c>
      <c r="H14" s="33">
        <f t="shared" si="0"/>
        <v>0</v>
      </c>
      <c r="I14" s="16" t="e">
        <f t="shared" si="1"/>
        <v>#REF!</v>
      </c>
      <c r="J14" s="18"/>
      <c r="K14" s="280"/>
      <c r="L14" s="216">
        <v>7156</v>
      </c>
      <c r="M14" s="216">
        <v>11200.21</v>
      </c>
      <c r="N14" s="216">
        <v>20200</v>
      </c>
      <c r="O14" s="216">
        <v>1286.74</v>
      </c>
      <c r="P14" s="142">
        <f t="shared" si="4"/>
        <v>1715.6533333333332</v>
      </c>
      <c r="Q14" s="142">
        <v>6000</v>
      </c>
      <c r="R14" s="176">
        <v>6000</v>
      </c>
      <c r="S14" s="176">
        <f t="shared" si="3"/>
        <v>0</v>
      </c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</row>
    <row r="15" spans="1:32" ht="15.75" customHeight="1" x14ac:dyDescent="0.25">
      <c r="A15" s="103" t="s">
        <v>1644</v>
      </c>
      <c r="B15" s="103" t="s">
        <v>80</v>
      </c>
      <c r="C15" s="280"/>
      <c r="D15" s="142">
        <v>2369</v>
      </c>
      <c r="E15" s="32" t="e">
        <v>#REF!</v>
      </c>
      <c r="F15" s="32" t="e">
        <v>#REF!</v>
      </c>
      <c r="G15" s="32" t="e">
        <v>#REF!</v>
      </c>
      <c r="H15" s="33">
        <f t="shared" si="0"/>
        <v>0</v>
      </c>
      <c r="I15" s="16" t="e">
        <f t="shared" si="1"/>
        <v>#REF!</v>
      </c>
      <c r="J15" s="18"/>
      <c r="K15" s="280"/>
      <c r="L15" s="216">
        <v>4281</v>
      </c>
      <c r="M15" s="216">
        <v>4724.8999999999996</v>
      </c>
      <c r="N15" s="216">
        <v>2700</v>
      </c>
      <c r="O15" s="216">
        <v>1953.23</v>
      </c>
      <c r="P15" s="142">
        <f t="shared" si="4"/>
        <v>2604.3066666666668</v>
      </c>
      <c r="Q15" s="142">
        <v>5650</v>
      </c>
      <c r="R15" s="176">
        <v>5650</v>
      </c>
      <c r="S15" s="176">
        <f t="shared" si="3"/>
        <v>0</v>
      </c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</row>
    <row r="16" spans="1:32" ht="15.75" customHeight="1" x14ac:dyDescent="0.25">
      <c r="A16" s="103" t="s">
        <v>1645</v>
      </c>
      <c r="B16" s="103" t="s">
        <v>82</v>
      </c>
      <c r="C16" s="280"/>
      <c r="D16" s="142">
        <v>38127</v>
      </c>
      <c r="E16" s="32" t="e">
        <v>#REF!</v>
      </c>
      <c r="F16" s="32" t="e">
        <v>#REF!</v>
      </c>
      <c r="G16" s="32" t="e">
        <v>#REF!</v>
      </c>
      <c r="H16" s="33">
        <f t="shared" si="0"/>
        <v>0</v>
      </c>
      <c r="I16" s="16" t="e">
        <f t="shared" si="1"/>
        <v>#REF!</v>
      </c>
      <c r="J16" s="18"/>
      <c r="K16" s="280"/>
      <c r="L16" s="216">
        <v>70866</v>
      </c>
      <c r="M16" s="216">
        <v>71413.100000000006</v>
      </c>
      <c r="N16" s="216">
        <v>80800</v>
      </c>
      <c r="O16" s="216">
        <v>88049.68</v>
      </c>
      <c r="P16" s="272">
        <f>O16</f>
        <v>88049.68</v>
      </c>
      <c r="Q16" s="142">
        <v>90550</v>
      </c>
      <c r="R16" s="176">
        <v>90550</v>
      </c>
      <c r="S16" s="176">
        <f t="shared" si="3"/>
        <v>0</v>
      </c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1:32" ht="15.75" customHeight="1" x14ac:dyDescent="0.25">
      <c r="A17" s="103" t="s">
        <v>1646</v>
      </c>
      <c r="B17" s="103" t="s">
        <v>115</v>
      </c>
      <c r="C17" s="280"/>
      <c r="D17" s="142">
        <v>0</v>
      </c>
      <c r="E17" s="32" t="e">
        <v>#REF!</v>
      </c>
      <c r="F17" s="32" t="e">
        <v>#REF!</v>
      </c>
      <c r="G17" s="32" t="e">
        <v>#REF!</v>
      </c>
      <c r="H17" s="33">
        <f t="shared" si="0"/>
        <v>0</v>
      </c>
      <c r="I17" s="16" t="e">
        <f t="shared" si="1"/>
        <v>#REF!</v>
      </c>
      <c r="J17" s="18"/>
      <c r="K17" s="280"/>
      <c r="L17" s="216">
        <v>1453</v>
      </c>
      <c r="M17" s="216">
        <v>5153.24</v>
      </c>
      <c r="N17" s="216">
        <v>1000</v>
      </c>
      <c r="O17" s="216">
        <v>0</v>
      </c>
      <c r="P17" s="142">
        <f t="shared" ref="P17:P24" si="5">O17/9*12</f>
        <v>0</v>
      </c>
      <c r="Q17" s="142">
        <v>2000</v>
      </c>
      <c r="R17" s="176">
        <v>2000</v>
      </c>
      <c r="S17" s="176">
        <f t="shared" si="3"/>
        <v>0</v>
      </c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spans="1:32" ht="15.75" customHeight="1" x14ac:dyDescent="0.25">
      <c r="A18" s="103" t="s">
        <v>1647</v>
      </c>
      <c r="B18" s="103" t="s">
        <v>1648</v>
      </c>
      <c r="C18" s="280"/>
      <c r="D18" s="142">
        <v>0</v>
      </c>
      <c r="E18" s="32" t="e">
        <v>#REF!</v>
      </c>
      <c r="F18" s="32" t="e">
        <v>#REF!</v>
      </c>
      <c r="G18" s="32" t="e">
        <v>#REF!</v>
      </c>
      <c r="H18" s="33">
        <f t="shared" si="0"/>
        <v>0</v>
      </c>
      <c r="I18" s="16" t="e">
        <f t="shared" si="1"/>
        <v>#REF!</v>
      </c>
      <c r="J18" s="18"/>
      <c r="K18" s="280"/>
      <c r="L18" s="216">
        <v>0</v>
      </c>
      <c r="M18" s="216">
        <v>0</v>
      </c>
      <c r="N18" s="216">
        <v>0</v>
      </c>
      <c r="O18" s="216">
        <v>0</v>
      </c>
      <c r="P18" s="142">
        <f t="shared" si="5"/>
        <v>0</v>
      </c>
      <c r="Q18" s="142">
        <v>0</v>
      </c>
      <c r="R18" s="176"/>
      <c r="S18" s="176">
        <f t="shared" si="3"/>
        <v>0</v>
      </c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1:32" ht="15.75" customHeight="1" x14ac:dyDescent="0.25">
      <c r="A19" s="103" t="s">
        <v>1649</v>
      </c>
      <c r="B19" s="103" t="s">
        <v>210</v>
      </c>
      <c r="C19" s="280"/>
      <c r="D19" s="142">
        <v>26882</v>
      </c>
      <c r="E19" s="32" t="e">
        <v>#REF!</v>
      </c>
      <c r="F19" s="32" t="e">
        <v>#REF!</v>
      </c>
      <c r="G19" s="32" t="e">
        <v>#REF!</v>
      </c>
      <c r="H19" s="33">
        <f t="shared" si="0"/>
        <v>0</v>
      </c>
      <c r="I19" s="16" t="e">
        <f t="shared" si="1"/>
        <v>#REF!</v>
      </c>
      <c r="J19" s="18"/>
      <c r="K19" s="280"/>
      <c r="L19" s="216">
        <v>31636</v>
      </c>
      <c r="M19" s="216">
        <v>32778.06</v>
      </c>
      <c r="N19" s="216">
        <v>0</v>
      </c>
      <c r="O19" s="216">
        <v>19.37</v>
      </c>
      <c r="P19" s="142">
        <f t="shared" si="5"/>
        <v>25.826666666666668</v>
      </c>
      <c r="Q19" s="142">
        <v>0</v>
      </c>
      <c r="R19" s="176">
        <v>0</v>
      </c>
      <c r="S19" s="176">
        <f t="shared" si="3"/>
        <v>0</v>
      </c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1:32" ht="15.75" customHeight="1" x14ac:dyDescent="0.25">
      <c r="A20" s="103" t="s">
        <v>1650</v>
      </c>
      <c r="B20" s="103" t="s">
        <v>86</v>
      </c>
      <c r="C20" s="280"/>
      <c r="D20" s="142">
        <v>0</v>
      </c>
      <c r="E20" s="32" t="e">
        <v>#REF!</v>
      </c>
      <c r="F20" s="32" t="e">
        <v>#REF!</v>
      </c>
      <c r="G20" s="32" t="e">
        <v>#REF!</v>
      </c>
      <c r="H20" s="33">
        <f t="shared" si="0"/>
        <v>0</v>
      </c>
      <c r="I20" s="16" t="e">
        <f t="shared" si="1"/>
        <v>#REF!</v>
      </c>
      <c r="J20" s="18"/>
      <c r="K20" s="280"/>
      <c r="L20" s="216">
        <v>0</v>
      </c>
      <c r="M20" s="216">
        <v>0</v>
      </c>
      <c r="N20" s="216">
        <v>10000</v>
      </c>
      <c r="O20" s="216">
        <v>5000</v>
      </c>
      <c r="P20" s="142">
        <f t="shared" si="5"/>
        <v>6666.6666666666661</v>
      </c>
      <c r="Q20" s="142">
        <v>18500</v>
      </c>
      <c r="R20" s="176">
        <v>18500</v>
      </c>
      <c r="S20" s="176">
        <f t="shared" si="3"/>
        <v>0</v>
      </c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32" ht="15.75" customHeight="1" x14ac:dyDescent="0.25">
      <c r="A21" s="103" t="s">
        <v>1651</v>
      </c>
      <c r="B21" s="103" t="s">
        <v>88</v>
      </c>
      <c r="C21" s="280"/>
      <c r="D21" s="142">
        <v>0</v>
      </c>
      <c r="E21" s="32" t="e">
        <v>#REF!</v>
      </c>
      <c r="F21" s="32" t="e">
        <v>#REF!</v>
      </c>
      <c r="G21" s="32" t="e">
        <v>#REF!</v>
      </c>
      <c r="H21" s="33">
        <f t="shared" si="0"/>
        <v>0</v>
      </c>
      <c r="I21" s="16" t="e">
        <f t="shared" si="1"/>
        <v>#REF!</v>
      </c>
      <c r="J21" s="18"/>
      <c r="K21" s="280"/>
      <c r="L21" s="216">
        <v>2500</v>
      </c>
      <c r="M21" s="216">
        <v>1875</v>
      </c>
      <c r="N21" s="216">
        <v>2500</v>
      </c>
      <c r="O21" s="216">
        <v>0</v>
      </c>
      <c r="P21" s="142">
        <f t="shared" si="5"/>
        <v>0</v>
      </c>
      <c r="Q21" s="142">
        <v>2800</v>
      </c>
      <c r="R21" s="176">
        <v>2800</v>
      </c>
      <c r="S21" s="176">
        <f t="shared" si="3"/>
        <v>0</v>
      </c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32" ht="15.75" customHeight="1" x14ac:dyDescent="0.25">
      <c r="A22" s="103" t="s">
        <v>1652</v>
      </c>
      <c r="B22" s="103" t="s">
        <v>90</v>
      </c>
      <c r="C22" s="280"/>
      <c r="D22" s="142">
        <v>0</v>
      </c>
      <c r="E22" s="32" t="e">
        <v>#REF!</v>
      </c>
      <c r="F22" s="32" t="e">
        <v>#REF!</v>
      </c>
      <c r="G22" s="32" t="e">
        <v>#REF!</v>
      </c>
      <c r="H22" s="33">
        <f t="shared" si="0"/>
        <v>0</v>
      </c>
      <c r="I22" s="16" t="e">
        <f t="shared" si="1"/>
        <v>#REF!</v>
      </c>
      <c r="J22" s="18"/>
      <c r="K22" s="280"/>
      <c r="L22" s="216">
        <v>0</v>
      </c>
      <c r="M22" s="216">
        <v>0</v>
      </c>
      <c r="N22" s="216">
        <v>4500</v>
      </c>
      <c r="O22" s="216">
        <v>60</v>
      </c>
      <c r="P22" s="142">
        <f t="shared" si="5"/>
        <v>80</v>
      </c>
      <c r="Q22" s="142">
        <v>3500</v>
      </c>
      <c r="R22" s="176">
        <v>3500</v>
      </c>
      <c r="S22" s="176">
        <f t="shared" si="3"/>
        <v>0</v>
      </c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32" ht="15.75" customHeight="1" x14ac:dyDescent="0.25">
      <c r="A23" s="103" t="s">
        <v>1653</v>
      </c>
      <c r="B23" s="103" t="s">
        <v>1654</v>
      </c>
      <c r="C23" s="280"/>
      <c r="D23" s="142">
        <v>5900</v>
      </c>
      <c r="E23" s="32" t="e">
        <v>#REF!</v>
      </c>
      <c r="F23" s="32" t="e">
        <v>#REF!</v>
      </c>
      <c r="G23" s="32" t="e">
        <v>#REF!</v>
      </c>
      <c r="H23" s="33">
        <f t="shared" si="0"/>
        <v>0</v>
      </c>
      <c r="I23" s="16" t="e">
        <f t="shared" si="1"/>
        <v>#REF!</v>
      </c>
      <c r="J23" s="18"/>
      <c r="K23" s="280"/>
      <c r="L23" s="216">
        <v>15678</v>
      </c>
      <c r="M23" s="216">
        <v>26700</v>
      </c>
      <c r="N23" s="216">
        <v>36500</v>
      </c>
      <c r="O23" s="216">
        <v>24855.62</v>
      </c>
      <c r="P23" s="142">
        <f t="shared" si="5"/>
        <v>33140.826666666668</v>
      </c>
      <c r="Q23" s="142">
        <v>41500</v>
      </c>
      <c r="R23" s="176">
        <v>41500</v>
      </c>
      <c r="S23" s="176">
        <f t="shared" si="3"/>
        <v>0</v>
      </c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1:32" ht="15.75" customHeight="1" x14ac:dyDescent="0.25">
      <c r="A24" s="103" t="s">
        <v>1655</v>
      </c>
      <c r="B24" s="103" t="s">
        <v>1656</v>
      </c>
      <c r="C24" s="280"/>
      <c r="D24" s="142">
        <v>0</v>
      </c>
      <c r="E24" s="32" t="e">
        <v>#REF!</v>
      </c>
      <c r="F24" s="32" t="e">
        <v>#REF!</v>
      </c>
      <c r="G24" s="32" t="e">
        <v>#REF!</v>
      </c>
      <c r="H24" s="33">
        <f t="shared" si="0"/>
        <v>0</v>
      </c>
      <c r="I24" s="16" t="e">
        <f t="shared" si="1"/>
        <v>#REF!</v>
      </c>
      <c r="J24" s="18"/>
      <c r="K24" s="280"/>
      <c r="L24" s="216">
        <v>0</v>
      </c>
      <c r="M24" s="216">
        <v>0</v>
      </c>
      <c r="N24" s="216">
        <v>0</v>
      </c>
      <c r="O24" s="216">
        <v>0</v>
      </c>
      <c r="P24" s="142">
        <f t="shared" si="5"/>
        <v>0</v>
      </c>
      <c r="Q24" s="142">
        <v>9250</v>
      </c>
      <c r="R24" s="176">
        <v>9250</v>
      </c>
      <c r="S24" s="176">
        <f t="shared" si="3"/>
        <v>0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32" ht="15.75" customHeight="1" x14ac:dyDescent="0.25">
      <c r="A25" s="103" t="s">
        <v>1657</v>
      </c>
      <c r="B25" s="103" t="s">
        <v>1658</v>
      </c>
      <c r="C25" s="280"/>
      <c r="D25" s="142">
        <v>0</v>
      </c>
      <c r="E25" s="32" t="e">
        <v>#REF!</v>
      </c>
      <c r="F25" s="32" t="e">
        <v>#REF!</v>
      </c>
      <c r="G25" s="32" t="e">
        <v>#REF!</v>
      </c>
      <c r="H25" s="33">
        <f t="shared" si="0"/>
        <v>0</v>
      </c>
      <c r="I25" s="16" t="e">
        <f t="shared" si="1"/>
        <v>#REF!</v>
      </c>
      <c r="J25" s="18"/>
      <c r="K25" s="280"/>
      <c r="L25" s="216">
        <v>0</v>
      </c>
      <c r="M25" s="216">
        <v>0</v>
      </c>
      <c r="N25" s="216">
        <v>32000</v>
      </c>
      <c r="O25" s="216">
        <v>38792.19</v>
      </c>
      <c r="P25" s="272">
        <f>O25</f>
        <v>38792.19</v>
      </c>
      <c r="Q25" s="142">
        <v>42600</v>
      </c>
      <c r="R25" s="176">
        <v>42600</v>
      </c>
      <c r="S25" s="176">
        <f t="shared" si="3"/>
        <v>0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6" spans="1:32" ht="15.75" customHeight="1" x14ac:dyDescent="0.25">
      <c r="A26" s="103" t="s">
        <v>1659</v>
      </c>
      <c r="B26" s="103" t="s">
        <v>502</v>
      </c>
      <c r="C26" s="280"/>
      <c r="D26" s="142">
        <v>0</v>
      </c>
      <c r="E26" s="32" t="e">
        <v>#REF!</v>
      </c>
      <c r="F26" s="32" t="e">
        <v>#REF!</v>
      </c>
      <c r="G26" s="32" t="e">
        <v>#REF!</v>
      </c>
      <c r="H26" s="33">
        <f t="shared" si="0"/>
        <v>0</v>
      </c>
      <c r="I26" s="16" t="e">
        <f t="shared" si="1"/>
        <v>#REF!</v>
      </c>
      <c r="J26" s="18"/>
      <c r="K26" s="280"/>
      <c r="L26" s="216">
        <v>1390</v>
      </c>
      <c r="M26" s="216">
        <v>0</v>
      </c>
      <c r="N26" s="216">
        <v>4000</v>
      </c>
      <c r="O26" s="216">
        <v>3176.61</v>
      </c>
      <c r="P26" s="272">
        <f>N26</f>
        <v>4000</v>
      </c>
      <c r="Q26" s="142">
        <v>5000</v>
      </c>
      <c r="R26" s="176">
        <v>5000</v>
      </c>
      <c r="S26" s="176">
        <f t="shared" si="3"/>
        <v>0</v>
      </c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</row>
    <row r="27" spans="1:32" ht="15.75" customHeight="1" x14ac:dyDescent="0.25">
      <c r="A27" s="103" t="s">
        <v>1660</v>
      </c>
      <c r="B27" s="103" t="s">
        <v>92</v>
      </c>
      <c r="C27" s="280"/>
      <c r="D27" s="142">
        <v>0</v>
      </c>
      <c r="E27" s="32" t="e">
        <v>#REF!</v>
      </c>
      <c r="F27" s="32" t="e">
        <v>#REF!</v>
      </c>
      <c r="G27" s="32" t="e">
        <v>#REF!</v>
      </c>
      <c r="H27" s="33">
        <f t="shared" si="0"/>
        <v>0</v>
      </c>
      <c r="I27" s="16" t="e">
        <f t="shared" si="1"/>
        <v>#REF!</v>
      </c>
      <c r="J27" s="18"/>
      <c r="K27" s="280"/>
      <c r="L27" s="216">
        <v>149</v>
      </c>
      <c r="M27" s="216">
        <v>146.76</v>
      </c>
      <c r="N27" s="216">
        <v>200</v>
      </c>
      <c r="O27" s="216">
        <v>213.1</v>
      </c>
      <c r="P27" s="272">
        <f>O27</f>
        <v>213.1</v>
      </c>
      <c r="Q27" s="142">
        <v>0</v>
      </c>
      <c r="R27" s="176">
        <v>0</v>
      </c>
      <c r="S27" s="176">
        <f t="shared" si="3"/>
        <v>0</v>
      </c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</row>
    <row r="28" spans="1:32" ht="15.75" customHeight="1" x14ac:dyDescent="0.25">
      <c r="A28" s="103" t="s">
        <v>1661</v>
      </c>
      <c r="B28" s="103" t="s">
        <v>1662</v>
      </c>
      <c r="C28" s="280"/>
      <c r="D28" s="142">
        <v>0</v>
      </c>
      <c r="E28" s="32" t="e">
        <v>#REF!</v>
      </c>
      <c r="F28" s="32" t="e">
        <v>#REF!</v>
      </c>
      <c r="G28" s="32" t="e">
        <v>#REF!</v>
      </c>
      <c r="H28" s="33">
        <f t="shared" si="0"/>
        <v>0</v>
      </c>
      <c r="I28" s="16" t="e">
        <f t="shared" si="1"/>
        <v>#REF!</v>
      </c>
      <c r="J28" s="18"/>
      <c r="K28" s="280"/>
      <c r="L28" s="216">
        <v>0</v>
      </c>
      <c r="M28" s="216">
        <v>0</v>
      </c>
      <c r="N28" s="216">
        <v>0</v>
      </c>
      <c r="O28" s="216">
        <v>0</v>
      </c>
      <c r="P28" s="142">
        <f t="shared" ref="P28:P30" si="6">O28/9*12</f>
        <v>0</v>
      </c>
      <c r="Q28" s="142">
        <v>0</v>
      </c>
      <c r="R28" s="176">
        <v>0</v>
      </c>
      <c r="S28" s="176">
        <f t="shared" si="3"/>
        <v>0</v>
      </c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</row>
    <row r="29" spans="1:32" ht="15.75" customHeight="1" x14ac:dyDescent="0.25">
      <c r="A29" s="103" t="s">
        <v>1663</v>
      </c>
      <c r="B29" s="103" t="s">
        <v>94</v>
      </c>
      <c r="C29" s="280"/>
      <c r="D29" s="142">
        <v>9085</v>
      </c>
      <c r="E29" s="32" t="e">
        <v>#REF!</v>
      </c>
      <c r="F29" s="32" t="e">
        <v>#REF!</v>
      </c>
      <c r="G29" s="32" t="e">
        <v>#REF!</v>
      </c>
      <c r="H29" s="33">
        <f t="shared" si="0"/>
        <v>0</v>
      </c>
      <c r="I29" s="16" t="e">
        <f t="shared" si="1"/>
        <v>#REF!</v>
      </c>
      <c r="J29" s="18"/>
      <c r="K29" s="280"/>
      <c r="L29" s="216">
        <v>15950</v>
      </c>
      <c r="M29" s="216">
        <v>16918.5</v>
      </c>
      <c r="N29" s="216">
        <v>41100</v>
      </c>
      <c r="O29" s="216">
        <v>2641.54</v>
      </c>
      <c r="P29" s="142">
        <f t="shared" si="6"/>
        <v>3522.0533333333333</v>
      </c>
      <c r="Q29" s="142">
        <v>2500</v>
      </c>
      <c r="R29" s="176">
        <v>2500</v>
      </c>
      <c r="S29" s="176">
        <f t="shared" si="3"/>
        <v>0</v>
      </c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</row>
    <row r="30" spans="1:32" ht="15.75" customHeight="1" x14ac:dyDescent="0.25">
      <c r="A30" s="103" t="s">
        <v>1664</v>
      </c>
      <c r="B30" s="103" t="s">
        <v>1665</v>
      </c>
      <c r="C30" s="280"/>
      <c r="D30" s="142">
        <v>36048</v>
      </c>
      <c r="E30" s="32" t="e">
        <v>#REF!</v>
      </c>
      <c r="F30" s="32" t="e">
        <v>#REF!</v>
      </c>
      <c r="G30" s="32" t="e">
        <v>#REF!</v>
      </c>
      <c r="H30" s="33">
        <f t="shared" si="0"/>
        <v>0</v>
      </c>
      <c r="I30" s="16" t="e">
        <f t="shared" si="1"/>
        <v>#REF!</v>
      </c>
      <c r="J30" s="18"/>
      <c r="K30" s="280"/>
      <c r="L30" s="216">
        <v>0</v>
      </c>
      <c r="M30" s="216">
        <v>0</v>
      </c>
      <c r="N30" s="216">
        <v>0</v>
      </c>
      <c r="O30" s="216">
        <v>0</v>
      </c>
      <c r="P30" s="142">
        <f t="shared" si="6"/>
        <v>0</v>
      </c>
      <c r="Q30" s="142">
        <v>0</v>
      </c>
      <c r="R30" s="176">
        <v>0</v>
      </c>
      <c r="S30" s="176">
        <f t="shared" si="3"/>
        <v>0</v>
      </c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</row>
    <row r="31" spans="1:32" ht="15.75" customHeight="1" x14ac:dyDescent="0.25">
      <c r="A31" s="103" t="s">
        <v>1666</v>
      </c>
      <c r="B31" s="103" t="s">
        <v>1667</v>
      </c>
      <c r="C31" s="280"/>
      <c r="D31" s="142">
        <v>4000</v>
      </c>
      <c r="E31" s="32" t="e">
        <v>#REF!</v>
      </c>
      <c r="F31" s="32" t="e">
        <v>#REF!</v>
      </c>
      <c r="G31" s="32" t="e">
        <v>#REF!</v>
      </c>
      <c r="H31" s="33">
        <f t="shared" si="0"/>
        <v>0</v>
      </c>
      <c r="I31" s="16" t="e">
        <f t="shared" si="1"/>
        <v>#REF!</v>
      </c>
      <c r="J31" s="18"/>
      <c r="K31" s="280"/>
      <c r="L31" s="216">
        <v>6000</v>
      </c>
      <c r="M31" s="216">
        <v>6000</v>
      </c>
      <c r="N31" s="216">
        <v>6300</v>
      </c>
      <c r="O31" s="216">
        <v>0</v>
      </c>
      <c r="P31" s="272">
        <f>N31</f>
        <v>6300</v>
      </c>
      <c r="Q31" s="142">
        <v>6600</v>
      </c>
      <c r="R31" s="176">
        <v>6600</v>
      </c>
      <c r="S31" s="176">
        <f t="shared" si="3"/>
        <v>0</v>
      </c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</row>
    <row r="32" spans="1:32" ht="15.75" customHeight="1" x14ac:dyDescent="0.25">
      <c r="A32" s="47" t="s">
        <v>1668</v>
      </c>
      <c r="B32" s="48"/>
      <c r="C32" s="325"/>
      <c r="D32" s="113">
        <f t="shared" ref="D32:G32" si="7">SUM(D4:D31)</f>
        <v>155361</v>
      </c>
      <c r="E32" s="113" t="e">
        <f t="shared" si="7"/>
        <v>#REF!</v>
      </c>
      <c r="F32" s="113" t="e">
        <f t="shared" si="7"/>
        <v>#REF!</v>
      </c>
      <c r="G32" s="113" t="e">
        <f t="shared" si="7"/>
        <v>#REF!</v>
      </c>
      <c r="H32" s="42">
        <f t="shared" si="0"/>
        <v>0</v>
      </c>
      <c r="I32" s="113" t="e">
        <f t="shared" ref="I32:J32" si="8">SUM(I6:I31)</f>
        <v>#REF!</v>
      </c>
      <c r="J32" s="113">
        <f t="shared" si="8"/>
        <v>0</v>
      </c>
      <c r="K32" s="325"/>
      <c r="L32" s="110">
        <f t="shared" ref="L32:S32" si="9">SUM(L4:L31)</f>
        <v>180344</v>
      </c>
      <c r="M32" s="110">
        <f t="shared" si="9"/>
        <v>216060.24000000002</v>
      </c>
      <c r="N32" s="110">
        <f t="shared" si="9"/>
        <v>284360</v>
      </c>
      <c r="O32" s="110">
        <f t="shared" si="9"/>
        <v>194193.03</v>
      </c>
      <c r="P32" s="111">
        <f t="shared" si="9"/>
        <v>222790.44</v>
      </c>
      <c r="Q32" s="111">
        <f t="shared" si="9"/>
        <v>291080</v>
      </c>
      <c r="R32" s="110">
        <f t="shared" si="9"/>
        <v>291080</v>
      </c>
      <c r="S32" s="110">
        <f t="shared" si="9"/>
        <v>0</v>
      </c>
      <c r="T32" s="5"/>
      <c r="U32" s="5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5"/>
    </row>
    <row r="33" spans="1:32" ht="15.75" customHeight="1" x14ac:dyDescent="0.25">
      <c r="A33" s="5"/>
      <c r="B33" s="5"/>
      <c r="C33" s="284"/>
      <c r="D33" s="18"/>
      <c r="E33" s="18"/>
      <c r="F33" s="18"/>
      <c r="G33" s="18"/>
      <c r="H33" s="18"/>
      <c r="I33" s="18"/>
      <c r="J33" s="18"/>
      <c r="K33" s="284"/>
      <c r="L33" s="176"/>
      <c r="M33" s="176"/>
      <c r="N33" s="176"/>
      <c r="O33" s="176"/>
      <c r="P33" s="176"/>
      <c r="Q33" s="176"/>
      <c r="R33" s="176"/>
      <c r="S33" s="176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</row>
    <row r="34" spans="1:32" ht="15.75" customHeight="1" x14ac:dyDescent="0.25">
      <c r="A34" s="6" t="s">
        <v>184</v>
      </c>
      <c r="B34" s="5"/>
      <c r="C34" s="284"/>
      <c r="D34" s="18"/>
      <c r="E34" s="18"/>
      <c r="F34" s="18"/>
      <c r="G34" s="18"/>
      <c r="H34" s="18"/>
      <c r="I34" s="18"/>
      <c r="J34" s="18"/>
      <c r="K34" s="284"/>
      <c r="L34" s="176"/>
      <c r="M34" s="176"/>
      <c r="N34" s="176"/>
      <c r="O34" s="176"/>
      <c r="P34" s="176"/>
      <c r="Q34" s="176"/>
      <c r="R34" s="176"/>
      <c r="S34" s="176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</row>
    <row r="35" spans="1:32" ht="15.75" customHeight="1" x14ac:dyDescent="0.25">
      <c r="A35" s="6" t="s">
        <v>1669</v>
      </c>
      <c r="B35" s="6" t="s">
        <v>1670</v>
      </c>
      <c r="C35" s="285"/>
      <c r="D35" s="16">
        <v>-119540.38</v>
      </c>
      <c r="E35" s="32">
        <f>D35*'[1]2019 Adjustments'!$A$2</f>
        <v>0</v>
      </c>
      <c r="F35" s="32">
        <f>D35*'[1]2019 Adjustments'!$B$2</f>
        <v>0</v>
      </c>
      <c r="G35" s="32">
        <f>(D35*'[1]2019 Adjustments'!$A$3)*'[1]2019 Adjustments'!$B$3</f>
        <v>0</v>
      </c>
      <c r="H35" s="33">
        <f t="shared" ref="H35:H36" si="10">IFERROR(((Q35-G35)/G35),0)</f>
        <v>0</v>
      </c>
      <c r="I35" s="16">
        <f>Q35-G35</f>
        <v>-135000</v>
      </c>
      <c r="J35" s="109"/>
      <c r="K35" s="285"/>
      <c r="L35" s="176">
        <v>-115279.53</v>
      </c>
      <c r="M35" s="176">
        <v>-130076.03</v>
      </c>
      <c r="N35" s="176">
        <v>-138000</v>
      </c>
      <c r="O35" s="176">
        <v>-142921.06</v>
      </c>
      <c r="P35" s="438">
        <f>O35</f>
        <v>-142921.06</v>
      </c>
      <c r="Q35" s="140">
        <v>-135000</v>
      </c>
      <c r="R35" s="176">
        <v>-135000</v>
      </c>
      <c r="S35" s="176">
        <f>R35-Q35</f>
        <v>0</v>
      </c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</row>
    <row r="36" spans="1:32" ht="15.75" customHeight="1" x14ac:dyDescent="0.25">
      <c r="A36" s="11" t="s">
        <v>189</v>
      </c>
      <c r="B36" s="11"/>
      <c r="C36" s="282"/>
      <c r="D36" s="50">
        <f t="shared" ref="D36:G36" si="11">SUM(D34:D35)</f>
        <v>-119540.38</v>
      </c>
      <c r="E36" s="50">
        <f t="shared" si="11"/>
        <v>0</v>
      </c>
      <c r="F36" s="50">
        <f t="shared" si="11"/>
        <v>0</v>
      </c>
      <c r="G36" s="50">
        <f t="shared" si="11"/>
        <v>0</v>
      </c>
      <c r="H36" s="42">
        <f t="shared" si="10"/>
        <v>0</v>
      </c>
      <c r="I36" s="50">
        <f t="shared" ref="I36:J36" si="12">SUM(I34:I35)</f>
        <v>-135000</v>
      </c>
      <c r="J36" s="50">
        <f t="shared" si="12"/>
        <v>0</v>
      </c>
      <c r="K36" s="282"/>
      <c r="L36" s="110">
        <f t="shared" ref="L36:S36" si="13">SUM(L34:L35)</f>
        <v>-115279.53</v>
      </c>
      <c r="M36" s="110">
        <f t="shared" si="13"/>
        <v>-130076.03</v>
      </c>
      <c r="N36" s="110">
        <f t="shared" si="13"/>
        <v>-138000</v>
      </c>
      <c r="O36" s="110">
        <f t="shared" si="13"/>
        <v>-142921.06</v>
      </c>
      <c r="P36" s="111">
        <f t="shared" si="13"/>
        <v>-142921.06</v>
      </c>
      <c r="Q36" s="111">
        <f t="shared" si="13"/>
        <v>-135000</v>
      </c>
      <c r="R36" s="110">
        <f t="shared" si="13"/>
        <v>-135000</v>
      </c>
      <c r="S36" s="110">
        <f t="shared" si="13"/>
        <v>0</v>
      </c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</row>
    <row r="37" spans="1:32" ht="15.75" customHeight="1" x14ac:dyDescent="0.25">
      <c r="A37" s="5"/>
      <c r="B37" s="5"/>
      <c r="C37" s="284"/>
      <c r="D37" s="18"/>
      <c r="E37" s="18"/>
      <c r="F37" s="18"/>
      <c r="G37" s="18"/>
      <c r="H37" s="18"/>
      <c r="I37" s="18"/>
      <c r="J37" s="18"/>
      <c r="K37" s="284"/>
      <c r="L37" s="176"/>
      <c r="M37" s="176"/>
      <c r="N37" s="176"/>
      <c r="O37" s="176"/>
      <c r="P37" s="176"/>
      <c r="Q37" s="176"/>
      <c r="R37" s="176"/>
      <c r="S37" s="176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</row>
    <row r="38" spans="1:32" ht="15.75" customHeight="1" x14ac:dyDescent="0.25">
      <c r="A38" s="11" t="s">
        <v>190</v>
      </c>
      <c r="B38" s="5"/>
      <c r="C38" s="282"/>
      <c r="D38" s="50">
        <f t="shared" ref="D38:G38" si="14">D36+D32</f>
        <v>35820.619999999995</v>
      </c>
      <c r="E38" s="50" t="e">
        <f t="shared" si="14"/>
        <v>#REF!</v>
      </c>
      <c r="F38" s="50" t="e">
        <f t="shared" si="14"/>
        <v>#REF!</v>
      </c>
      <c r="G38" s="50" t="e">
        <f t="shared" si="14"/>
        <v>#REF!</v>
      </c>
      <c r="H38" s="42">
        <f>IFERROR(((Q38-G38)/G38),0)</f>
        <v>0</v>
      </c>
      <c r="I38" s="113" t="e">
        <f>Q38-G38</f>
        <v>#REF!</v>
      </c>
      <c r="J38" s="50">
        <f>SUM(J37)</f>
        <v>0</v>
      </c>
      <c r="K38" s="282"/>
      <c r="L38" s="110">
        <f t="shared" ref="L38:S38" si="15">L36+L32</f>
        <v>65064.47</v>
      </c>
      <c r="M38" s="110">
        <f t="shared" si="15"/>
        <v>85984.210000000021</v>
      </c>
      <c r="N38" s="110">
        <f t="shared" si="15"/>
        <v>146360</v>
      </c>
      <c r="O38" s="110">
        <f t="shared" si="15"/>
        <v>51271.97</v>
      </c>
      <c r="P38" s="111">
        <f t="shared" si="15"/>
        <v>79869.38</v>
      </c>
      <c r="Q38" s="111">
        <f t="shared" si="15"/>
        <v>156080</v>
      </c>
      <c r="R38" s="110">
        <f t="shared" si="15"/>
        <v>156080</v>
      </c>
      <c r="S38" s="110">
        <f t="shared" si="15"/>
        <v>0</v>
      </c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</row>
    <row r="39" spans="1:32" ht="15.75" customHeight="1" x14ac:dyDescent="0.25">
      <c r="A39" s="5"/>
      <c r="B39" s="5"/>
      <c r="C39" s="284"/>
      <c r="D39" s="18"/>
      <c r="E39" s="18"/>
      <c r="F39" s="18"/>
      <c r="G39" s="18"/>
      <c r="H39" s="18"/>
      <c r="I39" s="18"/>
      <c r="J39" s="18"/>
      <c r="K39" s="284"/>
      <c r="L39" s="176"/>
      <c r="M39" s="176"/>
      <c r="N39" s="176"/>
      <c r="O39" s="176"/>
      <c r="P39" s="176"/>
      <c r="Q39" s="176"/>
      <c r="R39" s="176"/>
      <c r="S39" s="176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</row>
    <row r="40" spans="1:32" ht="15.75" customHeight="1" x14ac:dyDescent="0.2">
      <c r="A40" s="5"/>
      <c r="B40" s="5"/>
      <c r="C40" s="284"/>
      <c r="D40" s="18"/>
      <c r="E40" s="18"/>
      <c r="F40" s="18"/>
      <c r="G40" s="18"/>
      <c r="H40" s="18"/>
      <c r="I40" s="18"/>
      <c r="J40" s="18"/>
      <c r="K40" s="284"/>
      <c r="L40" s="345" t="s">
        <v>102</v>
      </c>
      <c r="M40" s="346" t="s">
        <v>59</v>
      </c>
      <c r="N40" s="345" t="s">
        <v>60</v>
      </c>
      <c r="O40" s="345" t="s">
        <v>61</v>
      </c>
      <c r="P40" s="345" t="s">
        <v>62</v>
      </c>
      <c r="Q40" s="345" t="s">
        <v>63</v>
      </c>
      <c r="R40" s="345" t="s">
        <v>64</v>
      </c>
      <c r="S40" s="345" t="s">
        <v>65</v>
      </c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</row>
    <row r="41" spans="1:32" ht="15.75" customHeight="1" x14ac:dyDescent="0.2">
      <c r="A41" s="5"/>
      <c r="B41" s="269"/>
      <c r="C41" s="434"/>
      <c r="D41" s="435"/>
      <c r="E41" s="435"/>
      <c r="F41" s="18"/>
      <c r="G41" s="18"/>
      <c r="H41" s="18"/>
      <c r="I41" s="18"/>
      <c r="J41" s="18"/>
      <c r="K41" s="284"/>
      <c r="L41" s="436" t="s">
        <v>103</v>
      </c>
      <c r="M41" s="179">
        <f t="shared" ref="M41:S41" si="16">L32</f>
        <v>180344</v>
      </c>
      <c r="N41" s="179">
        <f t="shared" si="16"/>
        <v>216060.24000000002</v>
      </c>
      <c r="O41" s="179">
        <f t="shared" si="16"/>
        <v>284360</v>
      </c>
      <c r="P41" s="179">
        <f t="shared" si="16"/>
        <v>194193.03</v>
      </c>
      <c r="Q41" s="179">
        <f t="shared" si="16"/>
        <v>222790.44</v>
      </c>
      <c r="R41" s="179">
        <f t="shared" si="16"/>
        <v>291080</v>
      </c>
      <c r="S41" s="179">
        <f t="shared" si="16"/>
        <v>291080</v>
      </c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</row>
    <row r="42" spans="1:32" ht="15.75" customHeight="1" x14ac:dyDescent="0.25">
      <c r="A42" s="5"/>
      <c r="B42" s="115"/>
      <c r="C42" s="284"/>
      <c r="D42" s="18"/>
      <c r="E42" s="18"/>
      <c r="F42" s="18"/>
      <c r="G42" s="18"/>
      <c r="H42" s="18"/>
      <c r="I42" s="18"/>
      <c r="J42" s="18"/>
      <c r="K42" s="284"/>
      <c r="L42" s="176"/>
      <c r="M42" s="176"/>
      <c r="N42" s="176"/>
      <c r="O42" s="176"/>
      <c r="P42" s="372"/>
      <c r="Q42" s="176"/>
      <c r="R42" s="176"/>
      <c r="S42" s="176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</row>
    <row r="43" spans="1:32" ht="15.75" customHeight="1" x14ac:dyDescent="0.25">
      <c r="A43" s="5"/>
      <c r="B43" s="5"/>
      <c r="C43" s="284"/>
      <c r="D43" s="18"/>
      <c r="E43" s="18"/>
      <c r="F43" s="18"/>
      <c r="G43" s="18"/>
      <c r="H43" s="18"/>
      <c r="I43" s="18"/>
      <c r="J43" s="18"/>
      <c r="K43" s="284"/>
      <c r="L43" s="176"/>
      <c r="M43" s="176"/>
      <c r="N43" s="176"/>
      <c r="O43" s="176"/>
      <c r="P43" s="176"/>
      <c r="Q43" s="176"/>
      <c r="R43" s="176"/>
      <c r="S43" s="176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</row>
    <row r="44" spans="1:32" ht="15.75" customHeight="1" x14ac:dyDescent="0.25">
      <c r="A44" s="5"/>
      <c r="B44" s="5"/>
      <c r="C44" s="284"/>
      <c r="D44" s="18"/>
      <c r="E44" s="18"/>
      <c r="F44" s="18"/>
      <c r="G44" s="18"/>
      <c r="H44" s="18"/>
      <c r="I44" s="18"/>
      <c r="J44" s="18"/>
      <c r="K44" s="284"/>
      <c r="L44" s="176"/>
      <c r="M44" s="176"/>
      <c r="N44" s="176"/>
      <c r="O44" s="176"/>
      <c r="P44" s="176"/>
      <c r="Q44" s="176"/>
      <c r="R44" s="176"/>
      <c r="S44" s="176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</row>
    <row r="45" spans="1:32" ht="15.75" customHeight="1" x14ac:dyDescent="0.25">
      <c r="A45" s="5"/>
      <c r="B45" s="5"/>
      <c r="C45" s="284"/>
      <c r="D45" s="18"/>
      <c r="E45" s="18"/>
      <c r="F45" s="18"/>
      <c r="G45" s="18"/>
      <c r="H45" s="18"/>
      <c r="I45" s="18"/>
      <c r="J45" s="18"/>
      <c r="K45" s="284"/>
      <c r="L45" s="176"/>
      <c r="M45" s="176"/>
      <c r="N45" s="176"/>
      <c r="O45" s="176"/>
      <c r="P45" s="176"/>
      <c r="Q45" s="176"/>
      <c r="R45" s="176"/>
      <c r="S45" s="176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</row>
    <row r="46" spans="1:32" ht="15.75" customHeight="1" x14ac:dyDescent="0.25">
      <c r="A46" s="5"/>
      <c r="B46" s="5"/>
      <c r="C46" s="284"/>
      <c r="D46" s="18"/>
      <c r="E46" s="18"/>
      <c r="F46" s="18"/>
      <c r="G46" s="18"/>
      <c r="H46" s="18"/>
      <c r="I46" s="18"/>
      <c r="J46" s="18"/>
      <c r="K46" s="284"/>
      <c r="L46" s="176"/>
      <c r="M46" s="176"/>
      <c r="N46" s="176"/>
      <c r="O46" s="176"/>
      <c r="P46" s="176"/>
      <c r="Q46" s="176"/>
      <c r="R46" s="176"/>
      <c r="S46" s="176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</row>
    <row r="47" spans="1:32" ht="15.75" customHeight="1" x14ac:dyDescent="0.25">
      <c r="A47" s="5"/>
      <c r="B47" s="5"/>
      <c r="C47" s="284"/>
      <c r="D47" s="18"/>
      <c r="E47" s="18"/>
      <c r="F47" s="18"/>
      <c r="G47" s="18"/>
      <c r="H47" s="18"/>
      <c r="I47" s="18"/>
      <c r="J47" s="18"/>
      <c r="K47" s="284"/>
      <c r="L47" s="176"/>
      <c r="M47" s="176"/>
      <c r="N47" s="176"/>
      <c r="O47" s="176"/>
      <c r="P47" s="176"/>
      <c r="Q47" s="176"/>
      <c r="R47" s="176"/>
      <c r="S47" s="176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</row>
    <row r="48" spans="1:32" ht="15.75" customHeight="1" x14ac:dyDescent="0.25">
      <c r="A48" s="5"/>
      <c r="B48" s="5"/>
      <c r="C48" s="284"/>
      <c r="D48" s="18"/>
      <c r="E48" s="18"/>
      <c r="F48" s="18"/>
      <c r="G48" s="18"/>
      <c r="H48" s="18"/>
      <c r="I48" s="18"/>
      <c r="J48" s="18"/>
      <c r="K48" s="284"/>
      <c r="L48" s="176"/>
      <c r="M48" s="176"/>
      <c r="N48" s="176"/>
      <c r="O48" s="176"/>
      <c r="P48" s="176"/>
      <c r="Q48" s="176"/>
      <c r="R48" s="176"/>
      <c r="S48" s="176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</row>
    <row r="49" spans="1:32" ht="15.75" customHeight="1" x14ac:dyDescent="0.25">
      <c r="A49" s="5"/>
      <c r="B49" s="5"/>
      <c r="C49" s="284"/>
      <c r="D49" s="18"/>
      <c r="E49" s="18"/>
      <c r="F49" s="18"/>
      <c r="G49" s="18"/>
      <c r="H49" s="18"/>
      <c r="I49" s="18"/>
      <c r="J49" s="18"/>
      <c r="K49" s="284"/>
      <c r="L49" s="176"/>
      <c r="M49" s="176"/>
      <c r="N49" s="176"/>
      <c r="O49" s="176"/>
      <c r="P49" s="176"/>
      <c r="Q49" s="176"/>
      <c r="R49" s="176"/>
      <c r="S49" s="176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</row>
    <row r="50" spans="1:32" ht="15.75" customHeight="1" x14ac:dyDescent="0.25">
      <c r="A50" s="5"/>
      <c r="B50" s="5"/>
      <c r="C50" s="284"/>
      <c r="D50" s="18"/>
      <c r="E50" s="18"/>
      <c r="F50" s="18"/>
      <c r="G50" s="18"/>
      <c r="H50" s="18"/>
      <c r="I50" s="18"/>
      <c r="J50" s="18"/>
      <c r="K50" s="284"/>
      <c r="L50" s="176"/>
      <c r="M50" s="176"/>
      <c r="N50" s="176"/>
      <c r="O50" s="176"/>
      <c r="P50" s="176"/>
      <c r="Q50" s="176"/>
      <c r="R50" s="176"/>
      <c r="S50" s="176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</row>
    <row r="51" spans="1:32" ht="15.75" customHeight="1" x14ac:dyDescent="0.25">
      <c r="A51" s="5"/>
      <c r="B51" s="5"/>
      <c r="C51" s="284"/>
      <c r="D51" s="18"/>
      <c r="E51" s="18"/>
      <c r="F51" s="18"/>
      <c r="G51" s="18"/>
      <c r="H51" s="18"/>
      <c r="I51" s="18"/>
      <c r="J51" s="18"/>
      <c r="K51" s="284"/>
      <c r="L51" s="176"/>
      <c r="M51" s="176"/>
      <c r="N51" s="176"/>
      <c r="O51" s="176"/>
      <c r="P51" s="176"/>
      <c r="Q51" s="176"/>
      <c r="R51" s="176"/>
      <c r="S51" s="176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</row>
    <row r="52" spans="1:32" ht="15.75" customHeight="1" x14ac:dyDescent="0.25">
      <c r="A52" s="5"/>
      <c r="B52" s="5"/>
      <c r="C52" s="284"/>
      <c r="D52" s="18"/>
      <c r="E52" s="18"/>
      <c r="F52" s="18"/>
      <c r="G52" s="18"/>
      <c r="H52" s="18"/>
      <c r="I52" s="18"/>
      <c r="J52" s="18"/>
      <c r="K52" s="284"/>
      <c r="L52" s="176"/>
      <c r="M52" s="176"/>
      <c r="N52" s="176"/>
      <c r="O52" s="176"/>
      <c r="P52" s="176"/>
      <c r="Q52" s="176"/>
      <c r="R52" s="176"/>
      <c r="S52" s="176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</row>
    <row r="53" spans="1:32" ht="15.75" customHeight="1" x14ac:dyDescent="0.25">
      <c r="A53" s="5"/>
      <c r="B53" s="5"/>
      <c r="C53" s="284"/>
      <c r="D53" s="18"/>
      <c r="E53" s="18"/>
      <c r="F53" s="18"/>
      <c r="G53" s="18"/>
      <c r="H53" s="18"/>
      <c r="I53" s="18"/>
      <c r="J53" s="18"/>
      <c r="K53" s="284"/>
      <c r="L53" s="176"/>
      <c r="M53" s="176"/>
      <c r="N53" s="176"/>
      <c r="O53" s="176"/>
      <c r="P53" s="176"/>
      <c r="Q53" s="176"/>
      <c r="R53" s="176"/>
      <c r="S53" s="176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</row>
    <row r="54" spans="1:32" ht="15.75" customHeight="1" x14ac:dyDescent="0.25">
      <c r="A54" s="5"/>
      <c r="B54" s="5"/>
      <c r="C54" s="284"/>
      <c r="D54" s="18"/>
      <c r="E54" s="18"/>
      <c r="F54" s="18"/>
      <c r="G54" s="18"/>
      <c r="H54" s="18"/>
      <c r="I54" s="18"/>
      <c r="J54" s="18"/>
      <c r="K54" s="284"/>
      <c r="L54" s="176"/>
      <c r="M54" s="176"/>
      <c r="N54" s="176"/>
      <c r="O54" s="176"/>
      <c r="P54" s="176"/>
      <c r="Q54" s="176"/>
      <c r="R54" s="176"/>
      <c r="S54" s="176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</row>
    <row r="55" spans="1:32" ht="15.75" customHeight="1" x14ac:dyDescent="0.25">
      <c r="A55" s="5"/>
      <c r="B55" s="5"/>
      <c r="C55" s="284"/>
      <c r="D55" s="18"/>
      <c r="E55" s="18"/>
      <c r="F55" s="18"/>
      <c r="G55" s="18"/>
      <c r="H55" s="18"/>
      <c r="I55" s="18"/>
      <c r="J55" s="18"/>
      <c r="K55" s="284"/>
      <c r="L55" s="176"/>
      <c r="M55" s="176"/>
      <c r="N55" s="176"/>
      <c r="O55" s="176"/>
      <c r="P55" s="176"/>
      <c r="Q55" s="176"/>
      <c r="R55" s="176"/>
      <c r="S55" s="176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</row>
    <row r="56" spans="1:32" ht="15.75" customHeight="1" x14ac:dyDescent="0.25">
      <c r="A56" s="5"/>
      <c r="B56" s="5"/>
      <c r="C56" s="284"/>
      <c r="D56" s="18"/>
      <c r="E56" s="18"/>
      <c r="F56" s="18"/>
      <c r="G56" s="18"/>
      <c r="H56" s="18"/>
      <c r="I56" s="18"/>
      <c r="J56" s="18"/>
      <c r="K56" s="284"/>
      <c r="L56" s="176"/>
      <c r="M56" s="176"/>
      <c r="N56" s="176"/>
      <c r="O56" s="176"/>
      <c r="P56" s="176"/>
      <c r="Q56" s="176"/>
      <c r="R56" s="176"/>
      <c r="S56" s="176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</row>
    <row r="57" spans="1:32" ht="15.75" customHeight="1" x14ac:dyDescent="0.25">
      <c r="A57" s="5"/>
      <c r="B57" s="5"/>
      <c r="C57" s="284"/>
      <c r="D57" s="18"/>
      <c r="E57" s="18"/>
      <c r="F57" s="18"/>
      <c r="G57" s="18"/>
      <c r="H57" s="18"/>
      <c r="I57" s="18"/>
      <c r="J57" s="18"/>
      <c r="K57" s="284"/>
      <c r="L57" s="176"/>
      <c r="M57" s="176"/>
      <c r="N57" s="176"/>
      <c r="O57" s="176"/>
      <c r="P57" s="176"/>
      <c r="Q57" s="176"/>
      <c r="R57" s="176"/>
      <c r="S57" s="176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</row>
    <row r="58" spans="1:32" ht="15.75" customHeight="1" x14ac:dyDescent="0.25">
      <c r="A58" s="5"/>
      <c r="B58" s="5"/>
      <c r="C58" s="284"/>
      <c r="D58" s="18"/>
      <c r="E58" s="18"/>
      <c r="F58" s="18"/>
      <c r="G58" s="18"/>
      <c r="H58" s="18"/>
      <c r="I58" s="18"/>
      <c r="J58" s="18"/>
      <c r="K58" s="284"/>
      <c r="L58" s="176"/>
      <c r="M58" s="176"/>
      <c r="N58" s="176"/>
      <c r="O58" s="176"/>
      <c r="P58" s="176"/>
      <c r="Q58" s="176"/>
      <c r="R58" s="176"/>
      <c r="S58" s="176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</row>
    <row r="59" spans="1:32" ht="15.75" customHeight="1" x14ac:dyDescent="0.25">
      <c r="A59" s="5"/>
      <c r="B59" s="5"/>
      <c r="C59" s="284"/>
      <c r="D59" s="18"/>
      <c r="E59" s="18"/>
      <c r="F59" s="18"/>
      <c r="G59" s="18"/>
      <c r="H59" s="18"/>
      <c r="I59" s="18"/>
      <c r="J59" s="18"/>
      <c r="K59" s="284"/>
      <c r="L59" s="176"/>
      <c r="M59" s="176"/>
      <c r="N59" s="176"/>
      <c r="O59" s="176"/>
      <c r="P59" s="176"/>
      <c r="Q59" s="176"/>
      <c r="R59" s="176"/>
      <c r="S59" s="176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</row>
    <row r="60" spans="1:32" ht="15.75" customHeight="1" x14ac:dyDescent="0.25">
      <c r="A60" s="5"/>
      <c r="B60" s="5"/>
      <c r="C60" s="284"/>
      <c r="D60" s="18"/>
      <c r="E60" s="18"/>
      <c r="F60" s="18"/>
      <c r="G60" s="18"/>
      <c r="H60" s="18"/>
      <c r="I60" s="18"/>
      <c r="J60" s="18"/>
      <c r="K60" s="284"/>
      <c r="L60" s="176"/>
      <c r="M60" s="176"/>
      <c r="N60" s="176"/>
      <c r="O60" s="176"/>
      <c r="P60" s="176"/>
      <c r="Q60" s="176"/>
      <c r="R60" s="176"/>
      <c r="S60" s="176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</row>
    <row r="61" spans="1:32" ht="15.75" customHeight="1" x14ac:dyDescent="0.25">
      <c r="A61" s="5"/>
      <c r="B61" s="5"/>
      <c r="C61" s="284"/>
      <c r="D61" s="18"/>
      <c r="E61" s="18"/>
      <c r="F61" s="18"/>
      <c r="G61" s="18"/>
      <c r="H61" s="18"/>
      <c r="I61" s="18"/>
      <c r="J61" s="18"/>
      <c r="K61" s="284"/>
      <c r="L61" s="176"/>
      <c r="M61" s="176"/>
      <c r="N61" s="176"/>
      <c r="O61" s="176"/>
      <c r="P61" s="176"/>
      <c r="Q61" s="176"/>
      <c r="R61" s="176"/>
      <c r="S61" s="176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</row>
    <row r="62" spans="1:32" ht="15.75" customHeight="1" x14ac:dyDescent="0.25">
      <c r="A62" s="5"/>
      <c r="B62" s="5"/>
      <c r="C62" s="284"/>
      <c r="D62" s="18"/>
      <c r="E62" s="18"/>
      <c r="F62" s="18"/>
      <c r="G62" s="18"/>
      <c r="H62" s="18"/>
      <c r="I62" s="18"/>
      <c r="J62" s="18"/>
      <c r="K62" s="284"/>
      <c r="L62" s="176"/>
      <c r="M62" s="176"/>
      <c r="N62" s="176"/>
      <c r="O62" s="176"/>
      <c r="P62" s="176"/>
      <c r="Q62" s="176"/>
      <c r="R62" s="176"/>
      <c r="S62" s="176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</row>
    <row r="63" spans="1:32" ht="15.75" customHeight="1" x14ac:dyDescent="0.25">
      <c r="A63" s="5"/>
      <c r="B63" s="5"/>
      <c r="C63" s="284"/>
      <c r="D63" s="18"/>
      <c r="E63" s="18"/>
      <c r="F63" s="18"/>
      <c r="G63" s="18"/>
      <c r="H63" s="18"/>
      <c r="I63" s="18"/>
      <c r="J63" s="18"/>
      <c r="K63" s="284"/>
      <c r="L63" s="176"/>
      <c r="M63" s="176"/>
      <c r="N63" s="176"/>
      <c r="O63" s="176"/>
      <c r="P63" s="176"/>
      <c r="Q63" s="176"/>
      <c r="R63" s="176"/>
      <c r="S63" s="176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</row>
    <row r="64" spans="1:32" ht="15.75" customHeight="1" x14ac:dyDescent="0.25">
      <c r="A64" s="5"/>
      <c r="B64" s="5"/>
      <c r="C64" s="284"/>
      <c r="D64" s="18"/>
      <c r="E64" s="18"/>
      <c r="F64" s="18"/>
      <c r="G64" s="18"/>
      <c r="H64" s="18"/>
      <c r="I64" s="18"/>
      <c r="J64" s="18"/>
      <c r="K64" s="284"/>
      <c r="L64" s="176"/>
      <c r="M64" s="176"/>
      <c r="N64" s="176"/>
      <c r="O64" s="176"/>
      <c r="P64" s="176"/>
      <c r="Q64" s="176"/>
      <c r="R64" s="176"/>
      <c r="S64" s="176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</row>
    <row r="65" spans="1:32" ht="15.75" customHeight="1" x14ac:dyDescent="0.25">
      <c r="A65" s="5"/>
      <c r="B65" s="5"/>
      <c r="C65" s="284"/>
      <c r="D65" s="18"/>
      <c r="E65" s="18"/>
      <c r="F65" s="18"/>
      <c r="G65" s="18"/>
      <c r="H65" s="18"/>
      <c r="I65" s="18"/>
      <c r="J65" s="18"/>
      <c r="K65" s="284"/>
      <c r="L65" s="176"/>
      <c r="M65" s="176"/>
      <c r="N65" s="176"/>
      <c r="O65" s="176"/>
      <c r="P65" s="176"/>
      <c r="Q65" s="176"/>
      <c r="R65" s="176"/>
      <c r="S65" s="176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</row>
    <row r="66" spans="1:32" ht="15.75" customHeight="1" x14ac:dyDescent="0.25">
      <c r="A66" s="5"/>
      <c r="B66" s="5"/>
      <c r="C66" s="284"/>
      <c r="D66" s="18"/>
      <c r="E66" s="18"/>
      <c r="F66" s="18"/>
      <c r="G66" s="18"/>
      <c r="H66" s="18"/>
      <c r="I66" s="18"/>
      <c r="J66" s="18"/>
      <c r="K66" s="284"/>
      <c r="L66" s="176"/>
      <c r="M66" s="176"/>
      <c r="N66" s="176"/>
      <c r="O66" s="176"/>
      <c r="P66" s="176"/>
      <c r="Q66" s="176"/>
      <c r="R66" s="176"/>
      <c r="S66" s="176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</row>
    <row r="67" spans="1:32" ht="15.75" customHeight="1" x14ac:dyDescent="0.25">
      <c r="A67" s="5"/>
      <c r="B67" s="5"/>
      <c r="C67" s="284"/>
      <c r="D67" s="18"/>
      <c r="E67" s="18"/>
      <c r="F67" s="18"/>
      <c r="G67" s="18"/>
      <c r="H67" s="18"/>
      <c r="I67" s="18"/>
      <c r="J67" s="18"/>
      <c r="K67" s="284"/>
      <c r="L67" s="176"/>
      <c r="M67" s="176"/>
      <c r="N67" s="176"/>
      <c r="O67" s="176"/>
      <c r="P67" s="176"/>
      <c r="Q67" s="176"/>
      <c r="R67" s="176"/>
      <c r="S67" s="176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</row>
    <row r="68" spans="1:32" ht="15.75" customHeight="1" x14ac:dyDescent="0.25">
      <c r="A68" s="5"/>
      <c r="B68" s="5"/>
      <c r="C68" s="284"/>
      <c r="D68" s="18"/>
      <c r="E68" s="18"/>
      <c r="F68" s="18"/>
      <c r="G68" s="18"/>
      <c r="H68" s="18"/>
      <c r="I68" s="18"/>
      <c r="J68" s="18"/>
      <c r="K68" s="284"/>
      <c r="L68" s="176"/>
      <c r="M68" s="176"/>
      <c r="N68" s="176"/>
      <c r="O68" s="176"/>
      <c r="P68" s="176"/>
      <c r="Q68" s="176"/>
      <c r="R68" s="176"/>
      <c r="S68" s="176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</row>
    <row r="69" spans="1:32" ht="15.75" customHeight="1" x14ac:dyDescent="0.25">
      <c r="A69" s="5"/>
      <c r="B69" s="5"/>
      <c r="C69" s="284"/>
      <c r="D69" s="18"/>
      <c r="E69" s="18"/>
      <c r="F69" s="18"/>
      <c r="G69" s="18"/>
      <c r="H69" s="18"/>
      <c r="I69" s="18"/>
      <c r="J69" s="18"/>
      <c r="K69" s="284"/>
      <c r="L69" s="176"/>
      <c r="M69" s="176"/>
      <c r="N69" s="176"/>
      <c r="O69" s="176"/>
      <c r="P69" s="176"/>
      <c r="Q69" s="176"/>
      <c r="R69" s="176"/>
      <c r="S69" s="176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</row>
    <row r="70" spans="1:32" ht="15.75" customHeight="1" x14ac:dyDescent="0.25">
      <c r="A70" s="5"/>
      <c r="B70" s="5"/>
      <c r="C70" s="284"/>
      <c r="D70" s="18"/>
      <c r="E70" s="18"/>
      <c r="F70" s="18"/>
      <c r="G70" s="18"/>
      <c r="H70" s="18"/>
      <c r="I70" s="18"/>
      <c r="J70" s="18"/>
      <c r="K70" s="284"/>
      <c r="L70" s="176"/>
      <c r="M70" s="176"/>
      <c r="N70" s="176"/>
      <c r="O70" s="176"/>
      <c r="P70" s="176"/>
      <c r="Q70" s="176"/>
      <c r="R70" s="176"/>
      <c r="S70" s="176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</row>
    <row r="71" spans="1:32" ht="15.75" customHeight="1" x14ac:dyDescent="0.25">
      <c r="A71" s="5"/>
      <c r="B71" s="5"/>
      <c r="C71" s="284"/>
      <c r="D71" s="18"/>
      <c r="E71" s="18"/>
      <c r="F71" s="18"/>
      <c r="G71" s="18"/>
      <c r="H71" s="18"/>
      <c r="I71" s="18"/>
      <c r="J71" s="18"/>
      <c r="K71" s="284"/>
      <c r="L71" s="176"/>
      <c r="M71" s="176"/>
      <c r="N71" s="176"/>
      <c r="O71" s="176"/>
      <c r="P71" s="176"/>
      <c r="Q71" s="176"/>
      <c r="R71" s="176"/>
      <c r="S71" s="176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</row>
    <row r="72" spans="1:32" ht="15.75" customHeight="1" x14ac:dyDescent="0.25">
      <c r="A72" s="5"/>
      <c r="B72" s="5"/>
      <c r="C72" s="284"/>
      <c r="D72" s="18"/>
      <c r="E72" s="18"/>
      <c r="F72" s="18"/>
      <c r="G72" s="18"/>
      <c r="H72" s="18"/>
      <c r="I72" s="18"/>
      <c r="J72" s="18"/>
      <c r="K72" s="284"/>
      <c r="L72" s="176"/>
      <c r="M72" s="176"/>
      <c r="N72" s="176"/>
      <c r="O72" s="176"/>
      <c r="P72" s="176"/>
      <c r="Q72" s="176"/>
      <c r="R72" s="176"/>
      <c r="S72" s="176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</row>
    <row r="73" spans="1:32" ht="15.75" customHeight="1" x14ac:dyDescent="0.25">
      <c r="A73" s="5"/>
      <c r="B73" s="5"/>
      <c r="C73" s="284"/>
      <c r="D73" s="18"/>
      <c r="E73" s="18"/>
      <c r="F73" s="18"/>
      <c r="G73" s="18"/>
      <c r="H73" s="18"/>
      <c r="I73" s="18"/>
      <c r="J73" s="18"/>
      <c r="K73" s="284"/>
      <c r="L73" s="176"/>
      <c r="M73" s="176"/>
      <c r="N73" s="176"/>
      <c r="O73" s="176"/>
      <c r="P73" s="176"/>
      <c r="Q73" s="176"/>
      <c r="R73" s="176"/>
      <c r="S73" s="176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</row>
    <row r="74" spans="1:32" ht="15.75" customHeight="1" x14ac:dyDescent="0.25">
      <c r="A74" s="5"/>
      <c r="B74" s="5"/>
      <c r="C74" s="284"/>
      <c r="D74" s="18"/>
      <c r="E74" s="18"/>
      <c r="F74" s="18"/>
      <c r="G74" s="18"/>
      <c r="H74" s="18"/>
      <c r="I74" s="18"/>
      <c r="J74" s="18"/>
      <c r="K74" s="284"/>
      <c r="L74" s="176"/>
      <c r="M74" s="176"/>
      <c r="N74" s="176"/>
      <c r="O74" s="176"/>
      <c r="P74" s="176"/>
      <c r="Q74" s="176"/>
      <c r="R74" s="176"/>
      <c r="S74" s="176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</row>
    <row r="75" spans="1:32" ht="15.75" customHeight="1" x14ac:dyDescent="0.25">
      <c r="A75" s="5"/>
      <c r="B75" s="5"/>
      <c r="C75" s="284"/>
      <c r="D75" s="18"/>
      <c r="E75" s="18"/>
      <c r="F75" s="18"/>
      <c r="G75" s="18"/>
      <c r="H75" s="18"/>
      <c r="I75" s="18"/>
      <c r="J75" s="18"/>
      <c r="K75" s="284"/>
      <c r="L75" s="176"/>
      <c r="M75" s="176"/>
      <c r="N75" s="176"/>
      <c r="O75" s="176"/>
      <c r="P75" s="176"/>
      <c r="Q75" s="176"/>
      <c r="R75" s="176"/>
      <c r="S75" s="176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</row>
    <row r="76" spans="1:32" ht="15.75" customHeight="1" x14ac:dyDescent="0.25">
      <c r="A76" s="5"/>
      <c r="B76" s="5"/>
      <c r="C76" s="284"/>
      <c r="D76" s="18"/>
      <c r="E76" s="18"/>
      <c r="F76" s="18"/>
      <c r="G76" s="18"/>
      <c r="H76" s="18"/>
      <c r="I76" s="18"/>
      <c r="J76" s="18"/>
      <c r="K76" s="284"/>
      <c r="L76" s="176"/>
      <c r="M76" s="176"/>
      <c r="N76" s="176"/>
      <c r="O76" s="176"/>
      <c r="P76" s="176"/>
      <c r="Q76" s="176"/>
      <c r="R76" s="176"/>
      <c r="S76" s="176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</row>
    <row r="77" spans="1:32" ht="15.75" customHeight="1" x14ac:dyDescent="0.25">
      <c r="A77" s="5"/>
      <c r="B77" s="5"/>
      <c r="C77" s="284"/>
      <c r="D77" s="18"/>
      <c r="E77" s="18"/>
      <c r="F77" s="18"/>
      <c r="G77" s="18"/>
      <c r="H77" s="18"/>
      <c r="I77" s="18"/>
      <c r="J77" s="18"/>
      <c r="K77" s="284"/>
      <c r="L77" s="176"/>
      <c r="M77" s="176"/>
      <c r="N77" s="176"/>
      <c r="O77" s="176"/>
      <c r="P77" s="176"/>
      <c r="Q77" s="176"/>
      <c r="R77" s="176"/>
      <c r="S77" s="176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</row>
    <row r="78" spans="1:32" ht="15.75" customHeight="1" x14ac:dyDescent="0.25">
      <c r="A78" s="5"/>
      <c r="B78" s="5"/>
      <c r="C78" s="284"/>
      <c r="D78" s="18"/>
      <c r="E78" s="18"/>
      <c r="F78" s="18"/>
      <c r="G78" s="18"/>
      <c r="H78" s="18"/>
      <c r="I78" s="18"/>
      <c r="J78" s="18"/>
      <c r="K78" s="284"/>
      <c r="L78" s="176"/>
      <c r="M78" s="176"/>
      <c r="N78" s="176"/>
      <c r="O78" s="176"/>
      <c r="P78" s="176"/>
      <c r="Q78" s="176"/>
      <c r="R78" s="176"/>
      <c r="S78" s="176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</row>
    <row r="79" spans="1:32" ht="15.75" customHeight="1" x14ac:dyDescent="0.25">
      <c r="A79" s="5"/>
      <c r="B79" s="5"/>
      <c r="C79" s="284"/>
      <c r="D79" s="18"/>
      <c r="E79" s="18"/>
      <c r="F79" s="18"/>
      <c r="G79" s="18"/>
      <c r="H79" s="18"/>
      <c r="I79" s="18"/>
      <c r="J79" s="18"/>
      <c r="K79" s="284"/>
      <c r="L79" s="176"/>
      <c r="M79" s="176"/>
      <c r="N79" s="176"/>
      <c r="O79" s="176"/>
      <c r="P79" s="176"/>
      <c r="Q79" s="176"/>
      <c r="R79" s="176"/>
      <c r="S79" s="176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</row>
    <row r="80" spans="1:32" ht="15.75" customHeight="1" x14ac:dyDescent="0.25">
      <c r="A80" s="5"/>
      <c r="B80" s="5"/>
      <c r="C80" s="284"/>
      <c r="D80" s="18"/>
      <c r="E80" s="18"/>
      <c r="F80" s="18"/>
      <c r="G80" s="18"/>
      <c r="H80" s="18"/>
      <c r="I80" s="18"/>
      <c r="J80" s="18"/>
      <c r="K80" s="284"/>
      <c r="L80" s="176"/>
      <c r="M80" s="176"/>
      <c r="N80" s="176"/>
      <c r="O80" s="176"/>
      <c r="P80" s="176"/>
      <c r="Q80" s="176"/>
      <c r="R80" s="176"/>
      <c r="S80" s="176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</row>
    <row r="81" spans="1:32" ht="15.75" customHeight="1" x14ac:dyDescent="0.25">
      <c r="A81" s="5"/>
      <c r="B81" s="5"/>
      <c r="C81" s="284"/>
      <c r="D81" s="18"/>
      <c r="E81" s="18"/>
      <c r="F81" s="18"/>
      <c r="G81" s="18"/>
      <c r="H81" s="18"/>
      <c r="I81" s="18"/>
      <c r="J81" s="18"/>
      <c r="K81" s="284"/>
      <c r="L81" s="176"/>
      <c r="M81" s="176"/>
      <c r="N81" s="176"/>
      <c r="O81" s="176"/>
      <c r="P81" s="176"/>
      <c r="Q81" s="176"/>
      <c r="R81" s="176"/>
      <c r="S81" s="176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</row>
    <row r="82" spans="1:32" ht="15.75" customHeight="1" x14ac:dyDescent="0.25">
      <c r="A82" s="5"/>
      <c r="B82" s="5"/>
      <c r="C82" s="284"/>
      <c r="D82" s="18"/>
      <c r="E82" s="18"/>
      <c r="F82" s="18"/>
      <c r="G82" s="18"/>
      <c r="H82" s="18"/>
      <c r="I82" s="18"/>
      <c r="J82" s="18"/>
      <c r="K82" s="284"/>
      <c r="L82" s="176"/>
      <c r="M82" s="176"/>
      <c r="N82" s="176"/>
      <c r="O82" s="176"/>
      <c r="P82" s="176"/>
      <c r="Q82" s="176"/>
      <c r="R82" s="176"/>
      <c r="S82" s="176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</row>
    <row r="83" spans="1:32" ht="15.75" customHeight="1" x14ac:dyDescent="0.25">
      <c r="A83" s="5"/>
      <c r="B83" s="5"/>
      <c r="C83" s="284"/>
      <c r="D83" s="18"/>
      <c r="E83" s="18"/>
      <c r="F83" s="18"/>
      <c r="G83" s="18"/>
      <c r="H83" s="18"/>
      <c r="I83" s="18"/>
      <c r="J83" s="18"/>
      <c r="K83" s="284"/>
      <c r="L83" s="176"/>
      <c r="M83" s="176"/>
      <c r="N83" s="176"/>
      <c r="O83" s="176"/>
      <c r="P83" s="176"/>
      <c r="Q83" s="176"/>
      <c r="R83" s="176"/>
      <c r="S83" s="176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</row>
    <row r="84" spans="1:32" ht="15.75" customHeight="1" x14ac:dyDescent="0.25">
      <c r="A84" s="5"/>
      <c r="B84" s="5"/>
      <c r="C84" s="284"/>
      <c r="D84" s="18"/>
      <c r="E84" s="18"/>
      <c r="F84" s="18"/>
      <c r="G84" s="18"/>
      <c r="H84" s="18"/>
      <c r="I84" s="18"/>
      <c r="J84" s="18"/>
      <c r="K84" s="284"/>
      <c r="L84" s="176"/>
      <c r="M84" s="176"/>
      <c r="N84" s="176"/>
      <c r="O84" s="176"/>
      <c r="P84" s="176"/>
      <c r="Q84" s="176"/>
      <c r="R84" s="176"/>
      <c r="S84" s="176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</row>
    <row r="85" spans="1:32" ht="15.75" customHeight="1" x14ac:dyDescent="0.25">
      <c r="A85" s="5"/>
      <c r="B85" s="5"/>
      <c r="C85" s="284"/>
      <c r="D85" s="18"/>
      <c r="E85" s="18"/>
      <c r="F85" s="18"/>
      <c r="G85" s="18"/>
      <c r="H85" s="18"/>
      <c r="I85" s="18"/>
      <c r="J85" s="18"/>
      <c r="K85" s="284"/>
      <c r="L85" s="176"/>
      <c r="M85" s="176"/>
      <c r="N85" s="176"/>
      <c r="O85" s="176"/>
      <c r="P85" s="176"/>
      <c r="Q85" s="176"/>
      <c r="R85" s="176"/>
      <c r="S85" s="176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</row>
    <row r="86" spans="1:32" ht="15.75" customHeight="1" x14ac:dyDescent="0.25">
      <c r="A86" s="5"/>
      <c r="B86" s="5"/>
      <c r="C86" s="284"/>
      <c r="D86" s="18"/>
      <c r="E86" s="18"/>
      <c r="F86" s="18"/>
      <c r="G86" s="18"/>
      <c r="H86" s="18"/>
      <c r="I86" s="18"/>
      <c r="J86" s="18"/>
      <c r="K86" s="284"/>
      <c r="L86" s="176"/>
      <c r="M86" s="176"/>
      <c r="N86" s="176"/>
      <c r="O86" s="176"/>
      <c r="P86" s="176"/>
      <c r="Q86" s="176"/>
      <c r="R86" s="176"/>
      <c r="S86" s="176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</row>
    <row r="87" spans="1:32" ht="15.75" customHeight="1" x14ac:dyDescent="0.25">
      <c r="A87" s="5"/>
      <c r="B87" s="5"/>
      <c r="C87" s="284"/>
      <c r="D87" s="18"/>
      <c r="E87" s="209"/>
      <c r="F87" s="209"/>
      <c r="G87" s="18"/>
      <c r="H87" s="18"/>
      <c r="I87" s="18"/>
      <c r="J87" s="18"/>
      <c r="K87" s="284"/>
      <c r="L87" s="176"/>
      <c r="M87" s="176"/>
      <c r="N87" s="176"/>
      <c r="O87" s="176"/>
      <c r="P87" s="176"/>
      <c r="Q87" s="176"/>
      <c r="R87" s="176"/>
      <c r="S87" s="176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</row>
    <row r="88" spans="1:32" ht="15.75" customHeight="1" x14ac:dyDescent="0.25">
      <c r="A88" s="5"/>
      <c r="B88" s="5"/>
      <c r="C88" s="284"/>
      <c r="D88" s="18"/>
      <c r="E88" s="209"/>
      <c r="F88" s="209"/>
      <c r="G88" s="18"/>
      <c r="H88" s="18"/>
      <c r="I88" s="18"/>
      <c r="J88" s="18"/>
      <c r="K88" s="284"/>
      <c r="L88" s="176"/>
      <c r="M88" s="176"/>
      <c r="N88" s="176"/>
      <c r="O88" s="176"/>
      <c r="P88" s="176"/>
      <c r="Q88" s="176"/>
      <c r="R88" s="176"/>
      <c r="S88" s="176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</row>
    <row r="89" spans="1:32" ht="15.75" customHeight="1" x14ac:dyDescent="0.25">
      <c r="A89" s="5"/>
      <c r="B89" s="5"/>
      <c r="C89" s="284"/>
      <c r="D89" s="18"/>
      <c r="E89" s="209" t="s">
        <v>48</v>
      </c>
      <c r="F89" s="209" t="s">
        <v>34</v>
      </c>
      <c r="G89" s="18"/>
      <c r="H89" s="18"/>
      <c r="I89" s="18"/>
      <c r="J89" s="18"/>
      <c r="K89" s="284"/>
      <c r="L89" s="176"/>
      <c r="M89" s="176"/>
      <c r="N89" s="176"/>
      <c r="O89" s="176"/>
      <c r="P89" s="176"/>
      <c r="Q89" s="176"/>
      <c r="R89" s="176"/>
      <c r="S89" s="176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</row>
    <row r="90" spans="1:32" ht="15.75" customHeight="1" x14ac:dyDescent="0.25">
      <c r="A90" s="5"/>
      <c r="B90" s="5"/>
      <c r="C90" s="284"/>
      <c r="D90" s="18"/>
      <c r="E90" s="18" t="s">
        <v>157</v>
      </c>
      <c r="F90" s="18"/>
      <c r="G90" s="18"/>
      <c r="H90" s="18"/>
      <c r="I90" s="18"/>
      <c r="J90" s="18"/>
      <c r="K90" s="284"/>
      <c r="L90" s="176"/>
      <c r="M90" s="176"/>
      <c r="N90" s="176"/>
      <c r="O90" s="176"/>
      <c r="P90" s="176"/>
      <c r="Q90" s="176"/>
      <c r="R90" s="176"/>
      <c r="S90" s="176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</row>
    <row r="91" spans="1:32" ht="15.75" customHeight="1" x14ac:dyDescent="0.25">
      <c r="A91" s="5"/>
      <c r="B91" s="5"/>
      <c r="C91" s="284"/>
      <c r="D91" s="18"/>
      <c r="E91" s="18"/>
      <c r="F91" s="18"/>
      <c r="G91" s="18"/>
      <c r="H91" s="18"/>
      <c r="I91" s="18"/>
      <c r="J91" s="18"/>
      <c r="K91" s="284"/>
      <c r="L91" s="176"/>
      <c r="M91" s="176"/>
      <c r="N91" s="176"/>
      <c r="O91" s="176"/>
      <c r="P91" s="176"/>
      <c r="Q91" s="176"/>
      <c r="R91" s="176"/>
      <c r="S91" s="176"/>
      <c r="T91" s="5"/>
      <c r="U91" s="5"/>
      <c r="V91" s="5"/>
      <c r="W91" s="230"/>
      <c r="X91" s="216"/>
      <c r="Y91" s="5"/>
      <c r="Z91" s="5"/>
      <c r="AA91" s="5"/>
      <c r="AB91" s="5"/>
      <c r="AC91" s="5"/>
      <c r="AD91" s="5"/>
      <c r="AE91" s="5"/>
      <c r="AF91" s="5"/>
    </row>
    <row r="92" spans="1:32" ht="15.75" customHeight="1" x14ac:dyDescent="0.25">
      <c r="A92" s="3" t="s">
        <v>50</v>
      </c>
      <c r="B92" s="3" t="s">
        <v>51</v>
      </c>
      <c r="C92" s="292"/>
      <c r="D92" s="99" t="s">
        <v>52</v>
      </c>
      <c r="E92" s="439" t="s">
        <v>53</v>
      </c>
      <c r="F92" s="439" t="s">
        <v>54</v>
      </c>
      <c r="G92" s="439" t="s">
        <v>55</v>
      </c>
      <c r="H92" s="24" t="s">
        <v>56</v>
      </c>
      <c r="I92" s="24" t="s">
        <v>57</v>
      </c>
      <c r="J92" s="101" t="s">
        <v>58</v>
      </c>
      <c r="K92" s="292"/>
      <c r="L92" s="27" t="s">
        <v>59</v>
      </c>
      <c r="M92" s="27" t="s">
        <v>60</v>
      </c>
      <c r="N92" s="27" t="s">
        <v>61</v>
      </c>
      <c r="O92" s="27" t="s">
        <v>62</v>
      </c>
      <c r="P92" s="27" t="s">
        <v>63</v>
      </c>
      <c r="Q92" s="27" t="s">
        <v>64</v>
      </c>
      <c r="R92" s="27" t="s">
        <v>65</v>
      </c>
      <c r="S92" s="27" t="s">
        <v>586</v>
      </c>
      <c r="T92" s="5"/>
      <c r="U92" s="5"/>
      <c r="V92" s="5"/>
      <c r="W92" s="230"/>
      <c r="X92" s="5"/>
      <c r="Y92" s="333"/>
      <c r="Z92" s="5"/>
      <c r="AA92" s="5"/>
      <c r="AB92" s="5"/>
      <c r="AC92" s="5"/>
      <c r="AD92" s="5"/>
      <c r="AE92" s="5"/>
      <c r="AF92" s="5"/>
    </row>
    <row r="93" spans="1:32" ht="15.75" customHeight="1" x14ac:dyDescent="0.25">
      <c r="A93" s="102" t="s">
        <v>1671</v>
      </c>
      <c r="B93" s="103"/>
      <c r="C93" s="324"/>
      <c r="D93" s="105"/>
      <c r="E93" s="105"/>
      <c r="F93" s="105"/>
      <c r="G93" s="105"/>
      <c r="H93" s="33"/>
      <c r="I93" s="18"/>
      <c r="J93" s="18"/>
      <c r="K93" s="324"/>
      <c r="L93" s="265"/>
      <c r="M93" s="265"/>
      <c r="N93" s="265"/>
      <c r="O93" s="265"/>
      <c r="P93" s="266"/>
      <c r="Q93" s="266"/>
      <c r="R93" s="176"/>
      <c r="S93" s="176"/>
      <c r="T93" s="5"/>
      <c r="U93" s="5"/>
      <c r="V93" s="5"/>
      <c r="W93" s="6"/>
      <c r="X93" s="203"/>
      <c r="Y93" s="5"/>
      <c r="Z93" s="5"/>
      <c r="AA93" s="5"/>
      <c r="AB93" s="5"/>
      <c r="AC93" s="5"/>
      <c r="AD93" s="5"/>
      <c r="AE93" s="5"/>
      <c r="AF93" s="5"/>
    </row>
    <row r="94" spans="1:32" ht="15.75" customHeight="1" x14ac:dyDescent="0.25">
      <c r="A94" s="103" t="s">
        <v>1672</v>
      </c>
      <c r="B94" s="103" t="s">
        <v>70</v>
      </c>
      <c r="C94" s="280"/>
      <c r="D94" s="142">
        <v>497</v>
      </c>
      <c r="E94" s="32" t="e">
        <v>#REF!</v>
      </c>
      <c r="F94" s="32" t="e">
        <v>#REF!</v>
      </c>
      <c r="G94" s="32" t="e">
        <v>#REF!</v>
      </c>
      <c r="H94" s="33">
        <f t="shared" ref="H94:H114" si="17">IFERROR(((Q94-G94)/G94),0)</f>
        <v>0</v>
      </c>
      <c r="I94" s="16" t="e">
        <f t="shared" ref="I94:I113" si="18">Q94-G94</f>
        <v>#REF!</v>
      </c>
      <c r="J94" s="18"/>
      <c r="K94" s="280"/>
      <c r="L94" s="216">
        <v>315</v>
      </c>
      <c r="M94" s="216">
        <v>0</v>
      </c>
      <c r="N94" s="216">
        <v>1000</v>
      </c>
      <c r="O94" s="216">
        <v>0</v>
      </c>
      <c r="P94" s="142">
        <f t="shared" ref="P94:P96" si="19">O94/20*26</f>
        <v>0</v>
      </c>
      <c r="Q94" s="142">
        <v>1000</v>
      </c>
      <c r="R94" s="265">
        <v>1000</v>
      </c>
      <c r="S94" s="176">
        <f t="shared" ref="S94:S113" si="20">R94-Q94</f>
        <v>0</v>
      </c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</row>
    <row r="95" spans="1:32" ht="15.75" customHeight="1" x14ac:dyDescent="0.25">
      <c r="A95" s="103" t="s">
        <v>1673</v>
      </c>
      <c r="B95" s="103" t="s">
        <v>108</v>
      </c>
      <c r="C95" s="280"/>
      <c r="D95" s="142">
        <v>2113</v>
      </c>
      <c r="E95" s="32" t="e">
        <v>#REF!</v>
      </c>
      <c r="F95" s="32" t="e">
        <v>#REF!</v>
      </c>
      <c r="G95" s="32" t="e">
        <v>#REF!</v>
      </c>
      <c r="H95" s="33">
        <f t="shared" si="17"/>
        <v>0</v>
      </c>
      <c r="I95" s="16" t="e">
        <f t="shared" si="18"/>
        <v>#REF!</v>
      </c>
      <c r="J95" s="18"/>
      <c r="K95" s="280"/>
      <c r="L95" s="216">
        <v>4001</v>
      </c>
      <c r="M95" s="216">
        <v>2322.06</v>
      </c>
      <c r="N95" s="216">
        <v>7200</v>
      </c>
      <c r="O95" s="216">
        <v>3082.72</v>
      </c>
      <c r="P95" s="142">
        <f t="shared" si="19"/>
        <v>4007.5360000000001</v>
      </c>
      <c r="Q95" s="142">
        <v>7200</v>
      </c>
      <c r="R95" s="265">
        <v>7200</v>
      </c>
      <c r="S95" s="176">
        <f t="shared" si="20"/>
        <v>0</v>
      </c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</row>
    <row r="96" spans="1:32" ht="15.75" customHeight="1" x14ac:dyDescent="0.25">
      <c r="A96" s="103" t="s">
        <v>1674</v>
      </c>
      <c r="B96" s="103" t="s">
        <v>72</v>
      </c>
      <c r="C96" s="280"/>
      <c r="D96" s="142">
        <v>435</v>
      </c>
      <c r="E96" s="32" t="e">
        <v>#REF!</v>
      </c>
      <c r="F96" s="32" t="e">
        <v>#REF!</v>
      </c>
      <c r="G96" s="32" t="e">
        <v>#REF!</v>
      </c>
      <c r="H96" s="33">
        <f t="shared" si="17"/>
        <v>0</v>
      </c>
      <c r="I96" s="16" t="e">
        <f t="shared" si="18"/>
        <v>#REF!</v>
      </c>
      <c r="J96" s="18"/>
      <c r="K96" s="280"/>
      <c r="L96" s="216">
        <v>1114</v>
      </c>
      <c r="M96" s="216">
        <v>211.33</v>
      </c>
      <c r="N96" s="216">
        <v>4000</v>
      </c>
      <c r="O96" s="216">
        <v>250.3</v>
      </c>
      <c r="P96" s="142">
        <f t="shared" si="19"/>
        <v>325.39</v>
      </c>
      <c r="Q96" s="142">
        <v>800</v>
      </c>
      <c r="R96" s="265">
        <v>800</v>
      </c>
      <c r="S96" s="176">
        <f t="shared" si="20"/>
        <v>0</v>
      </c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</row>
    <row r="97" spans="1:32" ht="15.75" customHeight="1" x14ac:dyDescent="0.25">
      <c r="A97" s="103" t="s">
        <v>1675</v>
      </c>
      <c r="B97" s="103" t="s">
        <v>74</v>
      </c>
      <c r="C97" s="280"/>
      <c r="D97" s="142">
        <v>1450</v>
      </c>
      <c r="E97" s="32" t="e">
        <v>#REF!</v>
      </c>
      <c r="F97" s="32" t="e">
        <v>#REF!</v>
      </c>
      <c r="G97" s="32" t="e">
        <v>#REF!</v>
      </c>
      <c r="H97" s="33">
        <f t="shared" si="17"/>
        <v>0</v>
      </c>
      <c r="I97" s="16" t="e">
        <f t="shared" si="18"/>
        <v>#REF!</v>
      </c>
      <c r="J97" s="18"/>
      <c r="K97" s="280"/>
      <c r="L97" s="216">
        <v>2850</v>
      </c>
      <c r="M97" s="216">
        <v>1500</v>
      </c>
      <c r="N97" s="216">
        <v>1650</v>
      </c>
      <c r="O97" s="216">
        <v>3180</v>
      </c>
      <c r="P97" s="272">
        <f t="shared" ref="P97:P98" si="21">O97</f>
        <v>3180</v>
      </c>
      <c r="Q97" s="142">
        <v>6520</v>
      </c>
      <c r="R97" s="265">
        <v>6520</v>
      </c>
      <c r="S97" s="176">
        <f t="shared" si="20"/>
        <v>0</v>
      </c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</row>
    <row r="98" spans="1:32" ht="15.75" customHeight="1" x14ac:dyDescent="0.25">
      <c r="A98" s="103" t="s">
        <v>1676</v>
      </c>
      <c r="B98" s="103" t="s">
        <v>1578</v>
      </c>
      <c r="C98" s="280"/>
      <c r="D98" s="142">
        <v>5636</v>
      </c>
      <c r="E98" s="32" t="e">
        <v>#REF!</v>
      </c>
      <c r="F98" s="32" t="e">
        <v>#REF!</v>
      </c>
      <c r="G98" s="32" t="e">
        <v>#REF!</v>
      </c>
      <c r="H98" s="33">
        <f t="shared" si="17"/>
        <v>0</v>
      </c>
      <c r="I98" s="16" t="e">
        <f t="shared" si="18"/>
        <v>#REF!</v>
      </c>
      <c r="J98" s="18"/>
      <c r="K98" s="280"/>
      <c r="L98" s="216">
        <v>12929</v>
      </c>
      <c r="M98" s="216">
        <v>10322.77</v>
      </c>
      <c r="N98" s="216">
        <v>19460</v>
      </c>
      <c r="O98" s="216">
        <v>27962.12</v>
      </c>
      <c r="P98" s="272">
        <f t="shared" si="21"/>
        <v>27962.12</v>
      </c>
      <c r="Q98" s="142">
        <v>19806</v>
      </c>
      <c r="R98" s="265">
        <v>19806</v>
      </c>
      <c r="S98" s="176">
        <f t="shared" si="20"/>
        <v>0</v>
      </c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</row>
    <row r="99" spans="1:32" ht="15.75" customHeight="1" x14ac:dyDescent="0.25">
      <c r="A99" s="103" t="s">
        <v>1677</v>
      </c>
      <c r="B99" s="103" t="s">
        <v>76</v>
      </c>
      <c r="C99" s="280"/>
      <c r="D99" s="142">
        <v>1834</v>
      </c>
      <c r="E99" s="32" t="e">
        <v>#REF!</v>
      </c>
      <c r="F99" s="32" t="e">
        <v>#REF!</v>
      </c>
      <c r="G99" s="32" t="e">
        <v>#REF!</v>
      </c>
      <c r="H99" s="33">
        <f t="shared" si="17"/>
        <v>0</v>
      </c>
      <c r="I99" s="16" t="e">
        <f t="shared" si="18"/>
        <v>#REF!</v>
      </c>
      <c r="J99" s="18"/>
      <c r="K99" s="280"/>
      <c r="L99" s="216">
        <v>6738</v>
      </c>
      <c r="M99" s="216">
        <v>15896.14</v>
      </c>
      <c r="N99" s="216">
        <v>32000</v>
      </c>
      <c r="O99" s="216">
        <v>5485.58</v>
      </c>
      <c r="P99" s="142">
        <f t="shared" ref="P99:P106" si="22">O99/9*12</f>
        <v>7314.1066666666666</v>
      </c>
      <c r="Q99" s="142">
        <v>33700</v>
      </c>
      <c r="R99" s="265">
        <v>33700</v>
      </c>
      <c r="S99" s="176">
        <f t="shared" si="20"/>
        <v>0</v>
      </c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</row>
    <row r="100" spans="1:32" ht="15.75" customHeight="1" x14ac:dyDescent="0.25">
      <c r="A100" s="103" t="s">
        <v>1678</v>
      </c>
      <c r="B100" s="103" t="s">
        <v>80</v>
      </c>
      <c r="C100" s="280"/>
      <c r="D100" s="142">
        <v>2108</v>
      </c>
      <c r="E100" s="32" t="e">
        <v>#REF!</v>
      </c>
      <c r="F100" s="32" t="e">
        <v>#REF!</v>
      </c>
      <c r="G100" s="32" t="e">
        <v>#REF!</v>
      </c>
      <c r="H100" s="33">
        <f t="shared" si="17"/>
        <v>0</v>
      </c>
      <c r="I100" s="16" t="e">
        <f t="shared" si="18"/>
        <v>#REF!</v>
      </c>
      <c r="J100" s="18"/>
      <c r="K100" s="280"/>
      <c r="L100" s="216">
        <v>992</v>
      </c>
      <c r="M100" s="216">
        <v>2535.2399999999998</v>
      </c>
      <c r="N100" s="216">
        <v>12850</v>
      </c>
      <c r="O100" s="216">
        <v>3596.63</v>
      </c>
      <c r="P100" s="142">
        <f t="shared" si="22"/>
        <v>4795.5066666666671</v>
      </c>
      <c r="Q100" s="142">
        <v>5600</v>
      </c>
      <c r="R100" s="265">
        <v>5600</v>
      </c>
      <c r="S100" s="176">
        <f t="shared" si="20"/>
        <v>0</v>
      </c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</row>
    <row r="101" spans="1:32" ht="15.75" customHeight="1" x14ac:dyDescent="0.25">
      <c r="A101" s="103" t="s">
        <v>1679</v>
      </c>
      <c r="B101" s="103" t="s">
        <v>82</v>
      </c>
      <c r="C101" s="280"/>
      <c r="D101" s="142">
        <v>1419</v>
      </c>
      <c r="E101" s="32" t="e">
        <v>#REF!</v>
      </c>
      <c r="F101" s="32" t="e">
        <v>#REF!</v>
      </c>
      <c r="G101" s="32" t="e">
        <v>#REF!</v>
      </c>
      <c r="H101" s="33">
        <f t="shared" si="17"/>
        <v>0</v>
      </c>
      <c r="I101" s="16" t="e">
        <f t="shared" si="18"/>
        <v>#REF!</v>
      </c>
      <c r="J101" s="18"/>
      <c r="K101" s="280"/>
      <c r="L101" s="216">
        <v>167</v>
      </c>
      <c r="M101" s="216">
        <v>1023</v>
      </c>
      <c r="N101" s="216">
        <v>0</v>
      </c>
      <c r="O101" s="216">
        <v>91.72</v>
      </c>
      <c r="P101" s="142">
        <f t="shared" si="22"/>
        <v>122.29333333333332</v>
      </c>
      <c r="Q101" s="142">
        <v>17500</v>
      </c>
      <c r="R101" s="265">
        <v>17500</v>
      </c>
      <c r="S101" s="176">
        <f t="shared" si="20"/>
        <v>0</v>
      </c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</row>
    <row r="102" spans="1:32" ht="15.75" customHeight="1" x14ac:dyDescent="0.25">
      <c r="A102" s="103" t="s">
        <v>1680</v>
      </c>
      <c r="B102" s="103" t="s">
        <v>115</v>
      </c>
      <c r="C102" s="280"/>
      <c r="D102" s="142">
        <v>0</v>
      </c>
      <c r="E102" s="32" t="e">
        <v>#REF!</v>
      </c>
      <c r="F102" s="32" t="e">
        <v>#REF!</v>
      </c>
      <c r="G102" s="32" t="e">
        <v>#REF!</v>
      </c>
      <c r="H102" s="33">
        <f t="shared" si="17"/>
        <v>0</v>
      </c>
      <c r="I102" s="16" t="e">
        <f t="shared" si="18"/>
        <v>#REF!</v>
      </c>
      <c r="J102" s="18"/>
      <c r="K102" s="280"/>
      <c r="L102" s="216">
        <v>0</v>
      </c>
      <c r="M102" s="216">
        <v>0</v>
      </c>
      <c r="N102" s="216">
        <v>800</v>
      </c>
      <c r="O102" s="216">
        <v>0</v>
      </c>
      <c r="P102" s="142">
        <f t="shared" si="22"/>
        <v>0</v>
      </c>
      <c r="Q102" s="142">
        <v>1000</v>
      </c>
      <c r="R102" s="265">
        <v>1000</v>
      </c>
      <c r="S102" s="176">
        <f t="shared" si="20"/>
        <v>0</v>
      </c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</row>
    <row r="103" spans="1:32" ht="15.75" customHeight="1" x14ac:dyDescent="0.25">
      <c r="A103" s="103" t="s">
        <v>1681</v>
      </c>
      <c r="B103" s="103" t="s">
        <v>210</v>
      </c>
      <c r="C103" s="280"/>
      <c r="D103" s="142">
        <v>0</v>
      </c>
      <c r="E103" s="32">
        <v>0</v>
      </c>
      <c r="F103" s="32">
        <v>0</v>
      </c>
      <c r="G103" s="32">
        <v>0</v>
      </c>
      <c r="H103" s="33">
        <f t="shared" si="17"/>
        <v>0</v>
      </c>
      <c r="I103" s="16">
        <f t="shared" si="18"/>
        <v>1200</v>
      </c>
      <c r="J103" s="18"/>
      <c r="K103" s="280"/>
      <c r="L103" s="216">
        <v>0</v>
      </c>
      <c r="M103" s="216">
        <v>0</v>
      </c>
      <c r="N103" s="216">
        <v>500</v>
      </c>
      <c r="O103" s="216">
        <v>0</v>
      </c>
      <c r="P103" s="142">
        <f t="shared" si="22"/>
        <v>0</v>
      </c>
      <c r="Q103" s="142">
        <v>1200</v>
      </c>
      <c r="R103" s="265">
        <v>1200</v>
      </c>
      <c r="S103" s="176">
        <f t="shared" si="20"/>
        <v>0</v>
      </c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</row>
    <row r="104" spans="1:32" ht="15.75" customHeight="1" x14ac:dyDescent="0.25">
      <c r="A104" s="103" t="s">
        <v>1682</v>
      </c>
      <c r="B104" s="103" t="s">
        <v>86</v>
      </c>
      <c r="C104" s="280"/>
      <c r="D104" s="142">
        <v>0</v>
      </c>
      <c r="E104" s="32" t="e">
        <v>#REF!</v>
      </c>
      <c r="F104" s="32" t="e">
        <v>#REF!</v>
      </c>
      <c r="G104" s="32" t="e">
        <v>#REF!</v>
      </c>
      <c r="H104" s="33">
        <f t="shared" si="17"/>
        <v>0</v>
      </c>
      <c r="I104" s="16" t="e">
        <f t="shared" si="18"/>
        <v>#REF!</v>
      </c>
      <c r="J104" s="18"/>
      <c r="K104" s="280"/>
      <c r="L104" s="216">
        <v>0</v>
      </c>
      <c r="M104" s="216">
        <v>0</v>
      </c>
      <c r="N104" s="216">
        <v>4000</v>
      </c>
      <c r="O104" s="216">
        <v>0</v>
      </c>
      <c r="P104" s="142">
        <f t="shared" si="22"/>
        <v>0</v>
      </c>
      <c r="Q104" s="142">
        <v>11275</v>
      </c>
      <c r="R104" s="265">
        <v>11275</v>
      </c>
      <c r="S104" s="176">
        <f t="shared" si="20"/>
        <v>0</v>
      </c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</row>
    <row r="105" spans="1:32" ht="15.75" customHeight="1" x14ac:dyDescent="0.25">
      <c r="A105" s="103" t="s">
        <v>1683</v>
      </c>
      <c r="B105" s="103" t="s">
        <v>1684</v>
      </c>
      <c r="C105" s="280"/>
      <c r="D105" s="142">
        <v>2265</v>
      </c>
      <c r="E105" s="32" t="e">
        <v>#REF!</v>
      </c>
      <c r="F105" s="32" t="e">
        <v>#REF!</v>
      </c>
      <c r="G105" s="32" t="e">
        <v>#REF!</v>
      </c>
      <c r="H105" s="33">
        <f t="shared" si="17"/>
        <v>0</v>
      </c>
      <c r="I105" s="16" t="e">
        <f t="shared" si="18"/>
        <v>#REF!</v>
      </c>
      <c r="J105" s="18"/>
      <c r="K105" s="280"/>
      <c r="L105" s="216">
        <v>4650</v>
      </c>
      <c r="M105" s="216">
        <v>4200</v>
      </c>
      <c r="N105" s="216">
        <v>0</v>
      </c>
      <c r="O105" s="216">
        <v>0</v>
      </c>
      <c r="P105" s="142">
        <f t="shared" si="22"/>
        <v>0</v>
      </c>
      <c r="Q105" s="142">
        <v>4620</v>
      </c>
      <c r="R105" s="265">
        <v>4620</v>
      </c>
      <c r="S105" s="176">
        <f t="shared" si="20"/>
        <v>0</v>
      </c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</row>
    <row r="106" spans="1:32" ht="15.75" customHeight="1" x14ac:dyDescent="0.25">
      <c r="A106" s="103" t="s">
        <v>1685</v>
      </c>
      <c r="B106" s="103" t="s">
        <v>1686</v>
      </c>
      <c r="C106" s="280"/>
      <c r="D106" s="142">
        <v>1497</v>
      </c>
      <c r="E106" s="32" t="e">
        <v>#REF!</v>
      </c>
      <c r="F106" s="32" t="e">
        <v>#REF!</v>
      </c>
      <c r="G106" s="32" t="e">
        <v>#REF!</v>
      </c>
      <c r="H106" s="33">
        <f t="shared" si="17"/>
        <v>0</v>
      </c>
      <c r="I106" s="16" t="e">
        <f t="shared" si="18"/>
        <v>#REF!</v>
      </c>
      <c r="J106" s="18"/>
      <c r="K106" s="280"/>
      <c r="L106" s="216">
        <v>3144</v>
      </c>
      <c r="M106" s="216">
        <v>1333.49</v>
      </c>
      <c r="N106" s="216">
        <v>7200</v>
      </c>
      <c r="O106" s="216">
        <v>2699.3</v>
      </c>
      <c r="P106" s="142">
        <f t="shared" si="22"/>
        <v>3599.0666666666666</v>
      </c>
      <c r="Q106" s="142">
        <v>3250</v>
      </c>
      <c r="R106" s="265">
        <v>3250</v>
      </c>
      <c r="S106" s="176">
        <f t="shared" si="20"/>
        <v>0</v>
      </c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</row>
    <row r="107" spans="1:32" ht="15.75" customHeight="1" x14ac:dyDescent="0.25">
      <c r="A107" s="103" t="s">
        <v>1687</v>
      </c>
      <c r="B107" s="103" t="s">
        <v>1688</v>
      </c>
      <c r="C107" s="280"/>
      <c r="D107" s="142">
        <v>60000</v>
      </c>
      <c r="E107" s="32" t="e">
        <v>#REF!</v>
      </c>
      <c r="F107" s="32" t="e">
        <v>#REF!</v>
      </c>
      <c r="G107" s="32" t="e">
        <v>#REF!</v>
      </c>
      <c r="H107" s="33">
        <f t="shared" si="17"/>
        <v>0</v>
      </c>
      <c r="I107" s="16" t="e">
        <f t="shared" si="18"/>
        <v>#REF!</v>
      </c>
      <c r="J107" s="18"/>
      <c r="K107" s="280"/>
      <c r="L107" s="216">
        <v>116000</v>
      </c>
      <c r="M107" s="216">
        <v>129752</v>
      </c>
      <c r="N107" s="216">
        <v>142000</v>
      </c>
      <c r="O107" s="216">
        <v>136281.06</v>
      </c>
      <c r="P107" s="272">
        <f>O107</f>
        <v>136281.06</v>
      </c>
      <c r="Q107" s="142">
        <v>148000</v>
      </c>
      <c r="R107" s="265">
        <v>148000</v>
      </c>
      <c r="S107" s="176">
        <f t="shared" si="20"/>
        <v>0</v>
      </c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</row>
    <row r="108" spans="1:32" ht="15.75" customHeight="1" x14ac:dyDescent="0.25">
      <c r="A108" s="103" t="s">
        <v>1689</v>
      </c>
      <c r="B108" s="103" t="s">
        <v>468</v>
      </c>
      <c r="C108" s="280"/>
      <c r="D108" s="142">
        <v>0</v>
      </c>
      <c r="E108" s="32" t="e">
        <v>#REF!</v>
      </c>
      <c r="F108" s="32" t="e">
        <v>#REF!</v>
      </c>
      <c r="G108" s="32" t="e">
        <v>#REF!</v>
      </c>
      <c r="H108" s="33">
        <f t="shared" si="17"/>
        <v>0</v>
      </c>
      <c r="I108" s="16" t="e">
        <f t="shared" si="18"/>
        <v>#REF!</v>
      </c>
      <c r="J108" s="18"/>
      <c r="K108" s="280"/>
      <c r="L108" s="216">
        <v>0</v>
      </c>
      <c r="M108" s="216">
        <v>0</v>
      </c>
      <c r="N108" s="216">
        <v>1000</v>
      </c>
      <c r="O108" s="216">
        <v>90</v>
      </c>
      <c r="P108" s="142">
        <f t="shared" ref="P108:P109" si="23">O108/9*12</f>
        <v>120</v>
      </c>
      <c r="Q108" s="142">
        <v>1500</v>
      </c>
      <c r="R108" s="265">
        <v>1500</v>
      </c>
      <c r="S108" s="176">
        <f t="shared" si="20"/>
        <v>0</v>
      </c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</row>
    <row r="109" spans="1:32" ht="15.75" customHeight="1" x14ac:dyDescent="0.25">
      <c r="A109" s="103" t="s">
        <v>1690</v>
      </c>
      <c r="B109" s="103" t="s">
        <v>92</v>
      </c>
      <c r="C109" s="323"/>
      <c r="D109" s="320">
        <v>0</v>
      </c>
      <c r="E109" s="32" t="e">
        <v>#REF!</v>
      </c>
      <c r="F109" s="32" t="e">
        <v>#REF!</v>
      </c>
      <c r="G109" s="32" t="e">
        <v>#REF!</v>
      </c>
      <c r="H109" s="33">
        <f t="shared" si="17"/>
        <v>0</v>
      </c>
      <c r="I109" s="16" t="e">
        <f t="shared" si="18"/>
        <v>#REF!</v>
      </c>
      <c r="J109" s="18"/>
      <c r="K109" s="280"/>
      <c r="L109" s="216">
        <v>52</v>
      </c>
      <c r="M109" s="216">
        <v>53.92</v>
      </c>
      <c r="N109" s="216">
        <v>100</v>
      </c>
      <c r="O109" s="216">
        <v>77.459999999999994</v>
      </c>
      <c r="P109" s="142">
        <f t="shared" si="23"/>
        <v>103.27999999999999</v>
      </c>
      <c r="Q109" s="142">
        <v>175</v>
      </c>
      <c r="R109" s="265">
        <v>175</v>
      </c>
      <c r="S109" s="176">
        <f t="shared" si="20"/>
        <v>0</v>
      </c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</row>
    <row r="110" spans="1:32" ht="15.75" customHeight="1" x14ac:dyDescent="0.25">
      <c r="A110" s="103" t="s">
        <v>1691</v>
      </c>
      <c r="B110" s="103" t="s">
        <v>94</v>
      </c>
      <c r="C110" s="280"/>
      <c r="D110" s="142">
        <v>2841</v>
      </c>
      <c r="E110" s="32" t="e">
        <v>#REF!</v>
      </c>
      <c r="F110" s="32" t="e">
        <v>#REF!</v>
      </c>
      <c r="G110" s="32" t="e">
        <v>#REF!</v>
      </c>
      <c r="H110" s="33">
        <f t="shared" si="17"/>
        <v>0</v>
      </c>
      <c r="I110" s="16" t="e">
        <f t="shared" si="18"/>
        <v>#REF!</v>
      </c>
      <c r="J110" s="18"/>
      <c r="K110" s="280"/>
      <c r="L110" s="216">
        <v>8658</v>
      </c>
      <c r="M110" s="216">
        <v>7550.46</v>
      </c>
      <c r="N110" s="216">
        <v>7850</v>
      </c>
      <c r="O110" s="216">
        <v>10180.75</v>
      </c>
      <c r="P110" s="272">
        <f t="shared" ref="P110:P112" si="24">O110</f>
        <v>10180.75</v>
      </c>
      <c r="Q110" s="142">
        <v>15000</v>
      </c>
      <c r="R110" s="265">
        <v>15000</v>
      </c>
      <c r="S110" s="176">
        <f t="shared" si="20"/>
        <v>0</v>
      </c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</row>
    <row r="111" spans="1:32" ht="15.75" customHeight="1" x14ac:dyDescent="0.25">
      <c r="A111" s="103" t="s">
        <v>1692</v>
      </c>
      <c r="B111" s="103" t="s">
        <v>1693</v>
      </c>
      <c r="C111" s="280"/>
      <c r="D111" s="142">
        <v>71900</v>
      </c>
      <c r="E111" s="32" t="e">
        <v>#REF!</v>
      </c>
      <c r="F111" s="32" t="e">
        <v>#REF!</v>
      </c>
      <c r="G111" s="32" t="e">
        <v>#REF!</v>
      </c>
      <c r="H111" s="33">
        <f t="shared" si="17"/>
        <v>0</v>
      </c>
      <c r="I111" s="16" t="e">
        <f t="shared" si="18"/>
        <v>#REF!</v>
      </c>
      <c r="J111" s="18"/>
      <c r="K111" s="280"/>
      <c r="L111" s="216">
        <v>122990</v>
      </c>
      <c r="M111" s="216">
        <v>136685</v>
      </c>
      <c r="N111" s="216">
        <v>161300</v>
      </c>
      <c r="O111" s="216">
        <v>142610</v>
      </c>
      <c r="P111" s="272">
        <f t="shared" si="24"/>
        <v>142610</v>
      </c>
      <c r="Q111" s="142">
        <v>163300</v>
      </c>
      <c r="R111" s="265">
        <v>163300</v>
      </c>
      <c r="S111" s="176">
        <f t="shared" si="20"/>
        <v>0</v>
      </c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</row>
    <row r="112" spans="1:32" ht="15.75" customHeight="1" x14ac:dyDescent="0.25">
      <c r="A112" s="103" t="s">
        <v>1694</v>
      </c>
      <c r="B112" s="103" t="s">
        <v>1695</v>
      </c>
      <c r="C112" s="280"/>
      <c r="D112" s="142">
        <v>4500</v>
      </c>
      <c r="E112" s="32" t="e">
        <v>#REF!</v>
      </c>
      <c r="F112" s="32" t="e">
        <v>#REF!</v>
      </c>
      <c r="G112" s="32" t="e">
        <v>#REF!</v>
      </c>
      <c r="H112" s="33">
        <f t="shared" si="17"/>
        <v>0</v>
      </c>
      <c r="I112" s="16" t="e">
        <f t="shared" si="18"/>
        <v>#REF!</v>
      </c>
      <c r="J112" s="18"/>
      <c r="K112" s="280"/>
      <c r="L112" s="216">
        <v>6000</v>
      </c>
      <c r="M112" s="216">
        <v>6723.75</v>
      </c>
      <c r="N112" s="216">
        <v>6300</v>
      </c>
      <c r="O112" s="216">
        <v>6150</v>
      </c>
      <c r="P112" s="272">
        <f t="shared" si="24"/>
        <v>6150</v>
      </c>
      <c r="Q112" s="142">
        <v>6615</v>
      </c>
      <c r="R112" s="265">
        <v>6615</v>
      </c>
      <c r="S112" s="176">
        <f t="shared" si="20"/>
        <v>0</v>
      </c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</row>
    <row r="113" spans="1:32" ht="15.75" customHeight="1" x14ac:dyDescent="0.25">
      <c r="A113" s="103" t="s">
        <v>1696</v>
      </c>
      <c r="B113" s="103" t="s">
        <v>1697</v>
      </c>
      <c r="C113" s="280"/>
      <c r="D113" s="142">
        <v>4842</v>
      </c>
      <c r="E113" s="32" t="e">
        <v>#REF!</v>
      </c>
      <c r="F113" s="32" t="e">
        <v>#REF!</v>
      </c>
      <c r="G113" s="32" t="e">
        <v>#REF!</v>
      </c>
      <c r="H113" s="33">
        <f t="shared" si="17"/>
        <v>0</v>
      </c>
      <c r="I113" s="16" t="e">
        <f t="shared" si="18"/>
        <v>#REF!</v>
      </c>
      <c r="J113" s="18"/>
      <c r="K113" s="280"/>
      <c r="L113" s="216">
        <v>19800</v>
      </c>
      <c r="M113" s="216">
        <v>18200</v>
      </c>
      <c r="N113" s="216">
        <v>22000</v>
      </c>
      <c r="O113" s="216">
        <v>18600</v>
      </c>
      <c r="P113" s="272">
        <f>N113</f>
        <v>22000</v>
      </c>
      <c r="Q113" s="142">
        <v>12000</v>
      </c>
      <c r="R113" s="265">
        <v>12000</v>
      </c>
      <c r="S113" s="176">
        <f t="shared" si="20"/>
        <v>0</v>
      </c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 customHeight="1" x14ac:dyDescent="0.25">
      <c r="A114" s="47" t="s">
        <v>1698</v>
      </c>
      <c r="B114" s="48"/>
      <c r="C114" s="325"/>
      <c r="D114" s="113">
        <f t="shared" ref="D114:G114" si="25">SUM(D93:D113)</f>
        <v>163337</v>
      </c>
      <c r="E114" s="113" t="e">
        <f t="shared" si="25"/>
        <v>#REF!</v>
      </c>
      <c r="F114" s="113" t="e">
        <f t="shared" si="25"/>
        <v>#REF!</v>
      </c>
      <c r="G114" s="113" t="e">
        <f t="shared" si="25"/>
        <v>#REF!</v>
      </c>
      <c r="H114" s="42">
        <f t="shared" si="17"/>
        <v>0</v>
      </c>
      <c r="I114" s="50" t="e">
        <f t="shared" ref="I114:J114" si="26">SUM(I94:I113)</f>
        <v>#REF!</v>
      </c>
      <c r="J114" s="283">
        <f t="shared" si="26"/>
        <v>0</v>
      </c>
      <c r="K114" s="325"/>
      <c r="L114" s="110">
        <f t="shared" ref="L114:S114" si="27">SUM(L93:L113)</f>
        <v>310400</v>
      </c>
      <c r="M114" s="110">
        <f t="shared" si="27"/>
        <v>338309.16000000003</v>
      </c>
      <c r="N114" s="110">
        <f t="shared" si="27"/>
        <v>431210</v>
      </c>
      <c r="O114" s="110">
        <f t="shared" si="27"/>
        <v>360337.64</v>
      </c>
      <c r="P114" s="111">
        <f t="shared" si="27"/>
        <v>368751.10933333333</v>
      </c>
      <c r="Q114" s="111">
        <f t="shared" si="27"/>
        <v>460061</v>
      </c>
      <c r="R114" s="110">
        <f t="shared" si="27"/>
        <v>460061</v>
      </c>
      <c r="S114" s="110">
        <f t="shared" si="27"/>
        <v>0</v>
      </c>
      <c r="T114" s="5"/>
      <c r="U114" s="5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5"/>
    </row>
    <row r="115" spans="1:32" ht="15.75" customHeight="1" x14ac:dyDescent="0.25">
      <c r="A115" s="5"/>
      <c r="B115" s="5"/>
      <c r="C115" s="284"/>
      <c r="D115" s="18"/>
      <c r="E115" s="18"/>
      <c r="F115" s="18"/>
      <c r="G115" s="18"/>
      <c r="H115" s="18"/>
      <c r="I115" s="18"/>
      <c r="J115" s="18"/>
      <c r="K115" s="284"/>
      <c r="L115" s="176"/>
      <c r="M115" s="176"/>
      <c r="N115" s="176"/>
      <c r="O115" s="176"/>
      <c r="P115" s="176"/>
      <c r="Q115" s="176"/>
      <c r="R115" s="176"/>
      <c r="S115" s="176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</row>
    <row r="116" spans="1:32" ht="15.75" customHeight="1" x14ac:dyDescent="0.25">
      <c r="A116" s="6" t="s">
        <v>184</v>
      </c>
      <c r="B116" s="5"/>
      <c r="C116" s="284"/>
      <c r="D116" s="18"/>
      <c r="E116" s="18"/>
      <c r="F116" s="18"/>
      <c r="G116" s="18"/>
      <c r="H116" s="18"/>
      <c r="I116" s="18"/>
      <c r="J116" s="18"/>
      <c r="K116" s="284"/>
      <c r="L116" s="176"/>
      <c r="M116" s="176"/>
      <c r="N116" s="176"/>
      <c r="O116" s="176"/>
      <c r="P116" s="176"/>
      <c r="Q116" s="176"/>
      <c r="R116" s="176"/>
      <c r="S116" s="176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</row>
    <row r="117" spans="1:32" ht="15.75" customHeight="1" x14ac:dyDescent="0.25">
      <c r="A117" s="6" t="s">
        <v>1699</v>
      </c>
      <c r="B117" s="6" t="s">
        <v>1700</v>
      </c>
      <c r="C117" s="285"/>
      <c r="D117" s="16">
        <v>-52666.25</v>
      </c>
      <c r="E117" s="32" t="e">
        <v>#REF!</v>
      </c>
      <c r="F117" s="32" t="e">
        <v>#REF!</v>
      </c>
      <c r="G117" s="32" t="e">
        <v>#REF!</v>
      </c>
      <c r="H117" s="33"/>
      <c r="I117" s="18"/>
      <c r="J117" s="109"/>
      <c r="K117" s="285"/>
      <c r="L117" s="176">
        <v>-93975</v>
      </c>
      <c r="M117" s="176">
        <v>-117000</v>
      </c>
      <c r="N117" s="176">
        <v>-97000</v>
      </c>
      <c r="O117" s="176">
        <v>-127675</v>
      </c>
      <c r="P117" s="438">
        <f t="shared" ref="P117:P119" si="28">O117</f>
        <v>-127675</v>
      </c>
      <c r="Q117" s="140">
        <v>-120000</v>
      </c>
      <c r="R117" s="176">
        <v>-120000</v>
      </c>
      <c r="S117" s="176">
        <f t="shared" ref="S117:S119" si="29">R117-Q117</f>
        <v>0</v>
      </c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</row>
    <row r="118" spans="1:32" ht="15.75" customHeight="1" x14ac:dyDescent="0.25">
      <c r="A118" s="6" t="s">
        <v>1701</v>
      </c>
      <c r="B118" s="6" t="s">
        <v>1702</v>
      </c>
      <c r="C118" s="285"/>
      <c r="D118" s="16">
        <v>-140732.24</v>
      </c>
      <c r="E118" s="32" t="e">
        <v>#REF!</v>
      </c>
      <c r="F118" s="32" t="e">
        <v>#REF!</v>
      </c>
      <c r="G118" s="32" t="e">
        <v>#REF!</v>
      </c>
      <c r="H118" s="33"/>
      <c r="I118" s="18"/>
      <c r="J118" s="109"/>
      <c r="K118" s="285"/>
      <c r="L118" s="176">
        <v>-209353.35</v>
      </c>
      <c r="M118" s="176">
        <v>-248503.93</v>
      </c>
      <c r="N118" s="176">
        <v>-285000</v>
      </c>
      <c r="O118" s="176">
        <v>-256263.96</v>
      </c>
      <c r="P118" s="438">
        <f t="shared" si="28"/>
        <v>-256263.96</v>
      </c>
      <c r="Q118" s="140">
        <v>-250000</v>
      </c>
      <c r="R118" s="176">
        <v>-250000</v>
      </c>
      <c r="S118" s="176">
        <f t="shared" si="29"/>
        <v>0</v>
      </c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</row>
    <row r="119" spans="1:32" ht="15.75" customHeight="1" x14ac:dyDescent="0.25">
      <c r="A119" s="6" t="s">
        <v>1703</v>
      </c>
      <c r="B119" s="6" t="s">
        <v>1704</v>
      </c>
      <c r="C119" s="285"/>
      <c r="D119" s="16">
        <v>-4645</v>
      </c>
      <c r="E119" s="32" t="e">
        <v>#REF!</v>
      </c>
      <c r="F119" s="32" t="e">
        <v>#REF!</v>
      </c>
      <c r="G119" s="32" t="e">
        <v>#REF!</v>
      </c>
      <c r="H119" s="33">
        <f t="shared" ref="H119:H120" si="30">IFERROR(((Q119-G119)/G119),0)</f>
        <v>0</v>
      </c>
      <c r="I119" s="16" t="e">
        <f>Q119-G119</f>
        <v>#REF!</v>
      </c>
      <c r="J119" s="109"/>
      <c r="K119" s="285"/>
      <c r="L119" s="176">
        <v>-615</v>
      </c>
      <c r="M119" s="176">
        <v>-310</v>
      </c>
      <c r="N119" s="176">
        <v>-15500</v>
      </c>
      <c r="O119" s="176">
        <v>-919.9</v>
      </c>
      <c r="P119" s="438">
        <f t="shared" si="28"/>
        <v>-919.9</v>
      </c>
      <c r="Q119" s="140">
        <v>-800</v>
      </c>
      <c r="R119" s="176">
        <v>-800</v>
      </c>
      <c r="S119" s="176">
        <f t="shared" si="29"/>
        <v>0</v>
      </c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</row>
    <row r="120" spans="1:32" ht="15.75" customHeight="1" x14ac:dyDescent="0.25">
      <c r="A120" s="11" t="s">
        <v>189</v>
      </c>
      <c r="B120" s="11"/>
      <c r="C120" s="282"/>
      <c r="D120" s="50">
        <f t="shared" ref="D120:G120" si="31">SUM(D116:D119)</f>
        <v>-198043.49</v>
      </c>
      <c r="E120" s="50" t="e">
        <f t="shared" si="31"/>
        <v>#REF!</v>
      </c>
      <c r="F120" s="50" t="e">
        <f t="shared" si="31"/>
        <v>#REF!</v>
      </c>
      <c r="G120" s="50" t="e">
        <f t="shared" si="31"/>
        <v>#REF!</v>
      </c>
      <c r="H120" s="42">
        <f t="shared" si="30"/>
        <v>0</v>
      </c>
      <c r="I120" s="50" t="e">
        <f t="shared" ref="I120:J120" si="32">SUM(I116:I119)</f>
        <v>#REF!</v>
      </c>
      <c r="J120" s="50">
        <f t="shared" si="32"/>
        <v>0</v>
      </c>
      <c r="K120" s="282"/>
      <c r="L120" s="110">
        <f t="shared" ref="L120:S120" si="33">SUM(L116:L119)</f>
        <v>-303943.34999999998</v>
      </c>
      <c r="M120" s="110">
        <f t="shared" si="33"/>
        <v>-365813.93</v>
      </c>
      <c r="N120" s="110">
        <f t="shared" si="33"/>
        <v>-397500</v>
      </c>
      <c r="O120" s="110">
        <f t="shared" si="33"/>
        <v>-384858.86</v>
      </c>
      <c r="P120" s="111">
        <f t="shared" si="33"/>
        <v>-384858.86</v>
      </c>
      <c r="Q120" s="111">
        <f t="shared" si="33"/>
        <v>-370800</v>
      </c>
      <c r="R120" s="110">
        <f t="shared" si="33"/>
        <v>-370800</v>
      </c>
      <c r="S120" s="110">
        <f t="shared" si="33"/>
        <v>0</v>
      </c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</row>
    <row r="121" spans="1:32" ht="15.75" customHeight="1" x14ac:dyDescent="0.25">
      <c r="A121" s="5"/>
      <c r="B121" s="5"/>
      <c r="C121" s="284"/>
      <c r="D121" s="18"/>
      <c r="E121" s="18"/>
      <c r="F121" s="18"/>
      <c r="G121" s="18"/>
      <c r="H121" s="18"/>
      <c r="I121" s="18"/>
      <c r="J121" s="18"/>
      <c r="K121" s="284"/>
      <c r="L121" s="176"/>
      <c r="M121" s="176"/>
      <c r="N121" s="176"/>
      <c r="O121" s="176"/>
      <c r="P121" s="176"/>
      <c r="Q121" s="176"/>
      <c r="R121" s="176"/>
      <c r="S121" s="176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</row>
    <row r="122" spans="1:32" ht="15.75" customHeight="1" x14ac:dyDescent="0.25">
      <c r="A122" s="11" t="s">
        <v>190</v>
      </c>
      <c r="B122" s="5"/>
      <c r="C122" s="282"/>
      <c r="D122" s="50">
        <f t="shared" ref="D122:G122" si="34">D120+D114</f>
        <v>-34706.489999999991</v>
      </c>
      <c r="E122" s="50" t="e">
        <f t="shared" si="34"/>
        <v>#REF!</v>
      </c>
      <c r="F122" s="50" t="e">
        <f t="shared" si="34"/>
        <v>#REF!</v>
      </c>
      <c r="G122" s="50" t="e">
        <f t="shared" si="34"/>
        <v>#REF!</v>
      </c>
      <c r="H122" s="42">
        <f>IFERROR(((Q122-G122)/G122),0)</f>
        <v>0</v>
      </c>
      <c r="I122" s="113" t="e">
        <f>Q122-G122</f>
        <v>#REF!</v>
      </c>
      <c r="J122" s="50">
        <f>SUM(J121)</f>
        <v>0</v>
      </c>
      <c r="K122" s="282"/>
      <c r="L122" s="110">
        <f t="shared" ref="L122:S122" si="35">L120+L114</f>
        <v>6456.6500000000233</v>
      </c>
      <c r="M122" s="110">
        <f t="shared" si="35"/>
        <v>-27504.76999999996</v>
      </c>
      <c r="N122" s="110">
        <f t="shared" si="35"/>
        <v>33710</v>
      </c>
      <c r="O122" s="110">
        <f t="shared" si="35"/>
        <v>-24521.219999999972</v>
      </c>
      <c r="P122" s="111">
        <f t="shared" si="35"/>
        <v>-16107.75066666666</v>
      </c>
      <c r="Q122" s="111">
        <f t="shared" si="35"/>
        <v>89261</v>
      </c>
      <c r="R122" s="110">
        <f t="shared" si="35"/>
        <v>89261</v>
      </c>
      <c r="S122" s="110">
        <f t="shared" si="35"/>
        <v>0</v>
      </c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</row>
    <row r="123" spans="1:32" ht="15.75" customHeight="1" x14ac:dyDescent="0.25">
      <c r="A123" s="5"/>
      <c r="B123" s="5"/>
      <c r="C123" s="284"/>
      <c r="D123" s="5"/>
      <c r="E123" s="5"/>
      <c r="F123" s="5"/>
      <c r="G123" s="5"/>
      <c r="H123" s="5"/>
      <c r="I123" s="5"/>
      <c r="J123" s="5"/>
      <c r="K123" s="284"/>
      <c r="L123" s="176"/>
      <c r="M123" s="176"/>
      <c r="N123" s="176"/>
      <c r="O123" s="176"/>
      <c r="P123" s="176"/>
      <c r="Q123" s="176"/>
      <c r="R123" s="176"/>
      <c r="S123" s="176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</row>
    <row r="124" spans="1:32" ht="15.75" customHeight="1" x14ac:dyDescent="0.2">
      <c r="A124" s="5"/>
      <c r="B124" s="5"/>
      <c r="C124" s="284"/>
      <c r="D124" s="5"/>
      <c r="E124" s="5"/>
      <c r="F124" s="5"/>
      <c r="G124" s="5"/>
      <c r="H124" s="5"/>
      <c r="I124" s="5"/>
      <c r="J124" s="5"/>
      <c r="K124" s="284"/>
      <c r="L124" s="345" t="s">
        <v>102</v>
      </c>
      <c r="M124" s="346" t="s">
        <v>59</v>
      </c>
      <c r="N124" s="345" t="s">
        <v>60</v>
      </c>
      <c r="O124" s="345" t="s">
        <v>61</v>
      </c>
      <c r="P124" s="345" t="s">
        <v>62</v>
      </c>
      <c r="Q124" s="345" t="s">
        <v>63</v>
      </c>
      <c r="R124" s="345" t="s">
        <v>64</v>
      </c>
      <c r="S124" s="346" t="s">
        <v>65</v>
      </c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</row>
    <row r="125" spans="1:32" ht="15.75" customHeight="1" x14ac:dyDescent="0.2">
      <c r="A125" s="5"/>
      <c r="B125" s="269"/>
      <c r="C125" s="434"/>
      <c r="D125" s="269"/>
      <c r="E125" s="269"/>
      <c r="F125" s="5"/>
      <c r="G125" s="5"/>
      <c r="H125" s="5"/>
      <c r="I125" s="5"/>
      <c r="J125" s="5"/>
      <c r="K125" s="284"/>
      <c r="L125" s="436" t="s">
        <v>103</v>
      </c>
      <c r="M125" s="179">
        <f t="shared" ref="M125:S125" si="36">L114</f>
        <v>310400</v>
      </c>
      <c r="N125" s="179">
        <f t="shared" si="36"/>
        <v>338309.16000000003</v>
      </c>
      <c r="O125" s="179">
        <f t="shared" si="36"/>
        <v>431210</v>
      </c>
      <c r="P125" s="179">
        <f t="shared" si="36"/>
        <v>360337.64</v>
      </c>
      <c r="Q125" s="179">
        <f t="shared" si="36"/>
        <v>368751.10933333333</v>
      </c>
      <c r="R125" s="179">
        <f t="shared" si="36"/>
        <v>460061</v>
      </c>
      <c r="S125" s="179">
        <f t="shared" si="36"/>
        <v>460061</v>
      </c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</row>
    <row r="126" spans="1:32" ht="15.75" customHeight="1" x14ac:dyDescent="0.25">
      <c r="A126" s="5"/>
      <c r="B126" s="115"/>
      <c r="C126" s="284"/>
      <c r="D126" s="5"/>
      <c r="E126" s="5"/>
      <c r="F126" s="5"/>
      <c r="G126" s="5"/>
      <c r="H126" s="5"/>
      <c r="I126" s="5"/>
      <c r="J126" s="5"/>
      <c r="K126" s="284"/>
      <c r="L126" s="176"/>
      <c r="M126" s="176"/>
      <c r="N126" s="176"/>
      <c r="O126" s="176"/>
      <c r="P126" s="372"/>
      <c r="Q126" s="176"/>
      <c r="R126" s="176"/>
      <c r="S126" s="176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</row>
    <row r="127" spans="1:32" ht="15.75" customHeight="1" x14ac:dyDescent="0.25">
      <c r="A127" s="5"/>
      <c r="B127" s="5"/>
      <c r="C127" s="284"/>
      <c r="D127" s="5"/>
      <c r="E127" s="5"/>
      <c r="F127" s="5"/>
      <c r="G127" s="5"/>
      <c r="H127" s="5"/>
      <c r="I127" s="5"/>
      <c r="J127" s="5"/>
      <c r="K127" s="284"/>
      <c r="L127" s="176"/>
      <c r="M127" s="176"/>
      <c r="N127" s="176"/>
      <c r="O127" s="176"/>
      <c r="P127" s="176"/>
      <c r="Q127" s="176"/>
      <c r="R127" s="176"/>
      <c r="S127" s="176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</row>
    <row r="128" spans="1:32" ht="15.75" customHeight="1" x14ac:dyDescent="0.25">
      <c r="A128" s="5"/>
      <c r="B128" s="5"/>
      <c r="C128" s="284"/>
      <c r="D128" s="5"/>
      <c r="E128" s="5"/>
      <c r="F128" s="5"/>
      <c r="G128" s="5"/>
      <c r="H128" s="5"/>
      <c r="I128" s="5"/>
      <c r="J128" s="5"/>
      <c r="K128" s="284"/>
      <c r="L128" s="176"/>
      <c r="M128" s="176"/>
      <c r="N128" s="176"/>
      <c r="O128" s="176"/>
      <c r="P128" s="176"/>
      <c r="Q128" s="176"/>
      <c r="R128" s="176"/>
      <c r="S128" s="176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</row>
    <row r="129" spans="1:32" ht="15.75" customHeight="1" x14ac:dyDescent="0.25">
      <c r="A129" s="5"/>
      <c r="B129" s="5"/>
      <c r="C129" s="284"/>
      <c r="D129" s="5"/>
      <c r="E129" s="5"/>
      <c r="F129" s="5"/>
      <c r="G129" s="5"/>
      <c r="H129" s="5"/>
      <c r="I129" s="5"/>
      <c r="J129" s="5"/>
      <c r="K129" s="284"/>
      <c r="L129" s="176"/>
      <c r="M129" s="176"/>
      <c r="N129" s="176"/>
      <c r="O129" s="176"/>
      <c r="P129" s="176"/>
      <c r="Q129" s="176"/>
      <c r="R129" s="176"/>
      <c r="S129" s="176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</row>
    <row r="130" spans="1:32" ht="15.75" customHeight="1" x14ac:dyDescent="0.25">
      <c r="A130" s="5"/>
      <c r="B130" s="5"/>
      <c r="C130" s="284"/>
      <c r="D130" s="5"/>
      <c r="E130" s="5"/>
      <c r="F130" s="5"/>
      <c r="G130" s="5"/>
      <c r="H130" s="5"/>
      <c r="I130" s="5"/>
      <c r="J130" s="5"/>
      <c r="K130" s="284"/>
      <c r="L130" s="176"/>
      <c r="M130" s="176"/>
      <c r="N130" s="176"/>
      <c r="O130" s="176"/>
      <c r="P130" s="176"/>
      <c r="Q130" s="176"/>
      <c r="R130" s="176"/>
      <c r="S130" s="176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</row>
    <row r="131" spans="1:32" ht="15.75" customHeight="1" x14ac:dyDescent="0.25">
      <c r="A131" s="5"/>
      <c r="B131" s="5"/>
      <c r="C131" s="284"/>
      <c r="D131" s="5"/>
      <c r="E131" s="5"/>
      <c r="F131" s="5"/>
      <c r="G131" s="5"/>
      <c r="H131" s="5"/>
      <c r="I131" s="5"/>
      <c r="J131" s="5"/>
      <c r="K131" s="284"/>
      <c r="L131" s="176"/>
      <c r="M131" s="176"/>
      <c r="N131" s="176"/>
      <c r="O131" s="176"/>
      <c r="P131" s="176"/>
      <c r="Q131" s="176"/>
      <c r="R131" s="176"/>
      <c r="S131" s="176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</row>
    <row r="132" spans="1:32" ht="15.75" customHeight="1" x14ac:dyDescent="0.25">
      <c r="A132" s="5"/>
      <c r="B132" s="5"/>
      <c r="C132" s="284"/>
      <c r="D132" s="5"/>
      <c r="E132" s="5"/>
      <c r="F132" s="5"/>
      <c r="G132" s="5"/>
      <c r="H132" s="5"/>
      <c r="I132" s="5"/>
      <c r="J132" s="5"/>
      <c r="K132" s="284"/>
      <c r="L132" s="176"/>
      <c r="M132" s="176"/>
      <c r="N132" s="176"/>
      <c r="O132" s="176"/>
      <c r="P132" s="176"/>
      <c r="Q132" s="176"/>
      <c r="R132" s="176"/>
      <c r="S132" s="176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</row>
    <row r="133" spans="1:32" ht="15.75" customHeight="1" x14ac:dyDescent="0.25">
      <c r="A133" s="5"/>
      <c r="B133" s="5"/>
      <c r="C133" s="284"/>
      <c r="D133" s="5"/>
      <c r="E133" s="5"/>
      <c r="F133" s="5"/>
      <c r="G133" s="5"/>
      <c r="H133" s="5"/>
      <c r="I133" s="5"/>
      <c r="J133" s="5"/>
      <c r="K133" s="284"/>
      <c r="L133" s="176"/>
      <c r="M133" s="176"/>
      <c r="N133" s="176"/>
      <c r="O133" s="176"/>
      <c r="P133" s="176"/>
      <c r="Q133" s="176"/>
      <c r="R133" s="176"/>
      <c r="S133" s="176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 customHeight="1" x14ac:dyDescent="0.25">
      <c r="A134" s="5"/>
      <c r="B134" s="5"/>
      <c r="C134" s="284"/>
      <c r="D134" s="5"/>
      <c r="E134" s="5"/>
      <c r="F134" s="5"/>
      <c r="G134" s="5"/>
      <c r="H134" s="5"/>
      <c r="I134" s="5"/>
      <c r="J134" s="5"/>
      <c r="K134" s="284"/>
      <c r="L134" s="176"/>
      <c r="M134" s="176"/>
      <c r="N134" s="176"/>
      <c r="O134" s="176"/>
      <c r="P134" s="176"/>
      <c r="Q134" s="176"/>
      <c r="R134" s="176"/>
      <c r="S134" s="176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</row>
    <row r="135" spans="1:32" ht="15.75" customHeight="1" x14ac:dyDescent="0.25">
      <c r="A135" s="5"/>
      <c r="B135" s="5"/>
      <c r="C135" s="284"/>
      <c r="D135" s="5"/>
      <c r="E135" s="5"/>
      <c r="F135" s="5"/>
      <c r="G135" s="5"/>
      <c r="H135" s="5"/>
      <c r="I135" s="5"/>
      <c r="J135" s="5"/>
      <c r="K135" s="284"/>
      <c r="L135" s="176"/>
      <c r="M135" s="176"/>
      <c r="N135" s="176"/>
      <c r="O135" s="176"/>
      <c r="P135" s="176"/>
      <c r="Q135" s="176"/>
      <c r="R135" s="176"/>
      <c r="S135" s="176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</row>
    <row r="136" spans="1:32" ht="15.75" customHeight="1" x14ac:dyDescent="0.25">
      <c r="A136" s="5"/>
      <c r="B136" s="5"/>
      <c r="C136" s="284"/>
      <c r="D136" s="5"/>
      <c r="E136" s="5"/>
      <c r="F136" s="5"/>
      <c r="G136" s="5"/>
      <c r="H136" s="5"/>
      <c r="I136" s="5"/>
      <c r="J136" s="5"/>
      <c r="K136" s="284"/>
      <c r="L136" s="176"/>
      <c r="M136" s="176"/>
      <c r="N136" s="176"/>
      <c r="O136" s="176"/>
      <c r="P136" s="176"/>
      <c r="Q136" s="176"/>
      <c r="R136" s="176"/>
      <c r="S136" s="176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</row>
    <row r="137" spans="1:32" ht="15.75" customHeight="1" x14ac:dyDescent="0.25">
      <c r="A137" s="5"/>
      <c r="B137" s="5"/>
      <c r="C137" s="284"/>
      <c r="D137" s="5"/>
      <c r="E137" s="5"/>
      <c r="F137" s="5"/>
      <c r="G137" s="5"/>
      <c r="H137" s="5"/>
      <c r="I137" s="5"/>
      <c r="J137" s="5"/>
      <c r="K137" s="284"/>
      <c r="L137" s="176"/>
      <c r="M137" s="176"/>
      <c r="N137" s="176"/>
      <c r="O137" s="176"/>
      <c r="P137" s="176"/>
      <c r="Q137" s="176"/>
      <c r="R137" s="176"/>
      <c r="S137" s="176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</row>
    <row r="138" spans="1:32" ht="15.75" customHeight="1" x14ac:dyDescent="0.25">
      <c r="A138" s="5"/>
      <c r="B138" s="5"/>
      <c r="C138" s="284"/>
      <c r="D138" s="5"/>
      <c r="E138" s="5"/>
      <c r="F138" s="5"/>
      <c r="G138" s="5"/>
      <c r="H138" s="5"/>
      <c r="I138" s="5"/>
      <c r="J138" s="5"/>
      <c r="K138" s="284"/>
      <c r="L138" s="176"/>
      <c r="M138" s="176"/>
      <c r="N138" s="176"/>
      <c r="O138" s="176"/>
      <c r="P138" s="176"/>
      <c r="Q138" s="176"/>
      <c r="R138" s="176"/>
      <c r="S138" s="176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</row>
    <row r="139" spans="1:32" ht="15.75" customHeight="1" x14ac:dyDescent="0.25">
      <c r="A139" s="5"/>
      <c r="B139" s="5"/>
      <c r="C139" s="284"/>
      <c r="D139" s="5"/>
      <c r="E139" s="5"/>
      <c r="F139" s="5"/>
      <c r="G139" s="5"/>
      <c r="H139" s="5"/>
      <c r="I139" s="5"/>
      <c r="J139" s="5"/>
      <c r="K139" s="284"/>
      <c r="L139" s="176"/>
      <c r="M139" s="176"/>
      <c r="N139" s="176"/>
      <c r="O139" s="176"/>
      <c r="P139" s="176"/>
      <c r="Q139" s="176"/>
      <c r="R139" s="176"/>
      <c r="S139" s="176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</row>
    <row r="140" spans="1:32" ht="15.75" customHeight="1" x14ac:dyDescent="0.25">
      <c r="A140" s="5"/>
      <c r="B140" s="5"/>
      <c r="C140" s="284"/>
      <c r="D140" s="5"/>
      <c r="E140" s="5"/>
      <c r="F140" s="5"/>
      <c r="G140" s="5"/>
      <c r="H140" s="5"/>
      <c r="I140" s="5"/>
      <c r="J140" s="5"/>
      <c r="K140" s="284"/>
      <c r="L140" s="176"/>
      <c r="M140" s="176"/>
      <c r="N140" s="176"/>
      <c r="O140" s="176"/>
      <c r="P140" s="176"/>
      <c r="Q140" s="176"/>
      <c r="R140" s="176"/>
      <c r="S140" s="176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</row>
    <row r="141" spans="1:32" ht="15.75" customHeight="1" x14ac:dyDescent="0.25">
      <c r="A141" s="5"/>
      <c r="B141" s="5"/>
      <c r="C141" s="284"/>
      <c r="D141" s="5"/>
      <c r="E141" s="5"/>
      <c r="F141" s="5"/>
      <c r="G141" s="5"/>
      <c r="H141" s="5"/>
      <c r="I141" s="5"/>
      <c r="J141" s="5"/>
      <c r="K141" s="284"/>
      <c r="L141" s="176"/>
      <c r="M141" s="176"/>
      <c r="N141" s="176"/>
      <c r="O141" s="176"/>
      <c r="P141" s="176"/>
      <c r="Q141" s="176"/>
      <c r="R141" s="176"/>
      <c r="S141" s="176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 customHeight="1" x14ac:dyDescent="0.25">
      <c r="A142" s="5"/>
      <c r="B142" s="5"/>
      <c r="C142" s="284"/>
      <c r="D142" s="5"/>
      <c r="E142" s="5"/>
      <c r="F142" s="5"/>
      <c r="G142" s="5"/>
      <c r="H142" s="5"/>
      <c r="I142" s="5"/>
      <c r="J142" s="5"/>
      <c r="K142" s="284"/>
      <c r="L142" s="176"/>
      <c r="M142" s="176"/>
      <c r="N142" s="176"/>
      <c r="O142" s="176"/>
      <c r="P142" s="176"/>
      <c r="Q142" s="176"/>
      <c r="R142" s="176"/>
      <c r="S142" s="176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</row>
    <row r="143" spans="1:32" ht="15.75" customHeight="1" x14ac:dyDescent="0.25">
      <c r="A143" s="5"/>
      <c r="B143" s="5"/>
      <c r="C143" s="284"/>
      <c r="D143" s="5"/>
      <c r="E143" s="5"/>
      <c r="F143" s="5"/>
      <c r="G143" s="5"/>
      <c r="H143" s="5"/>
      <c r="I143" s="5"/>
      <c r="J143" s="5"/>
      <c r="K143" s="284"/>
      <c r="L143" s="176"/>
      <c r="M143" s="176"/>
      <c r="N143" s="176"/>
      <c r="O143" s="176"/>
      <c r="P143" s="176"/>
      <c r="Q143" s="176"/>
      <c r="R143" s="176"/>
      <c r="S143" s="176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</row>
    <row r="144" spans="1:32" ht="15.75" customHeight="1" x14ac:dyDescent="0.25">
      <c r="A144" s="5"/>
      <c r="B144" s="5"/>
      <c r="C144" s="284"/>
      <c r="D144" s="5"/>
      <c r="E144" s="5"/>
      <c r="F144" s="5"/>
      <c r="G144" s="5"/>
      <c r="H144" s="5"/>
      <c r="I144" s="5"/>
      <c r="J144" s="5"/>
      <c r="K144" s="284"/>
      <c r="L144" s="176"/>
      <c r="M144" s="176"/>
      <c r="N144" s="176"/>
      <c r="O144" s="176"/>
      <c r="P144" s="176"/>
      <c r="Q144" s="176"/>
      <c r="R144" s="176"/>
      <c r="S144" s="176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</row>
    <row r="145" spans="1:32" ht="15.75" customHeight="1" x14ac:dyDescent="0.25">
      <c r="A145" s="5"/>
      <c r="B145" s="5"/>
      <c r="C145" s="284"/>
      <c r="D145" s="5"/>
      <c r="E145" s="5"/>
      <c r="F145" s="5"/>
      <c r="G145" s="5"/>
      <c r="H145" s="5"/>
      <c r="I145" s="5"/>
      <c r="J145" s="5"/>
      <c r="K145" s="284"/>
      <c r="L145" s="176"/>
      <c r="M145" s="176"/>
      <c r="N145" s="176"/>
      <c r="O145" s="176"/>
      <c r="P145" s="176"/>
      <c r="Q145" s="176"/>
      <c r="R145" s="176"/>
      <c r="S145" s="176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</row>
    <row r="146" spans="1:32" ht="15.75" customHeight="1" x14ac:dyDescent="0.25">
      <c r="A146" s="5"/>
      <c r="B146" s="5"/>
      <c r="C146" s="284"/>
      <c r="D146" s="5"/>
      <c r="E146" s="5"/>
      <c r="F146" s="5"/>
      <c r="G146" s="5"/>
      <c r="H146" s="5"/>
      <c r="I146" s="5"/>
      <c r="J146" s="5"/>
      <c r="K146" s="284"/>
      <c r="L146" s="176"/>
      <c r="M146" s="176"/>
      <c r="N146" s="176"/>
      <c r="O146" s="176"/>
      <c r="P146" s="176"/>
      <c r="Q146" s="176"/>
      <c r="R146" s="176"/>
      <c r="S146" s="176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</row>
    <row r="147" spans="1:32" ht="15.75" customHeight="1" x14ac:dyDescent="0.25">
      <c r="A147" s="5"/>
      <c r="B147" s="5"/>
      <c r="C147" s="284"/>
      <c r="D147" s="5"/>
      <c r="E147" s="5"/>
      <c r="F147" s="5"/>
      <c r="G147" s="5"/>
      <c r="H147" s="5"/>
      <c r="I147" s="5"/>
      <c r="J147" s="5"/>
      <c r="K147" s="284"/>
      <c r="L147" s="176"/>
      <c r="M147" s="176"/>
      <c r="N147" s="176"/>
      <c r="O147" s="176"/>
      <c r="P147" s="176"/>
      <c r="Q147" s="176"/>
      <c r="R147" s="176"/>
      <c r="S147" s="176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</row>
    <row r="148" spans="1:32" ht="15.75" customHeight="1" x14ac:dyDescent="0.25">
      <c r="A148" s="5"/>
      <c r="B148" s="5"/>
      <c r="C148" s="284"/>
      <c r="D148" s="5"/>
      <c r="E148" s="5"/>
      <c r="F148" s="5"/>
      <c r="G148" s="5"/>
      <c r="H148" s="5"/>
      <c r="I148" s="5"/>
      <c r="J148" s="5"/>
      <c r="K148" s="284"/>
      <c r="L148" s="176"/>
      <c r="M148" s="176"/>
      <c r="N148" s="176"/>
      <c r="O148" s="176"/>
      <c r="P148" s="176"/>
      <c r="Q148" s="176"/>
      <c r="R148" s="176"/>
      <c r="S148" s="176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</row>
    <row r="149" spans="1:32" ht="15.75" customHeight="1" x14ac:dyDescent="0.25">
      <c r="A149" s="5"/>
      <c r="B149" s="5"/>
      <c r="C149" s="284"/>
      <c r="D149" s="5"/>
      <c r="E149" s="5"/>
      <c r="F149" s="5"/>
      <c r="G149" s="5"/>
      <c r="H149" s="5"/>
      <c r="I149" s="5"/>
      <c r="J149" s="5"/>
      <c r="K149" s="284"/>
      <c r="L149" s="176"/>
      <c r="M149" s="176"/>
      <c r="N149" s="176"/>
      <c r="O149" s="176"/>
      <c r="P149" s="176"/>
      <c r="Q149" s="176"/>
      <c r="R149" s="176"/>
      <c r="S149" s="176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</row>
    <row r="150" spans="1:32" ht="15.75" customHeight="1" x14ac:dyDescent="0.25">
      <c r="A150" s="5"/>
      <c r="B150" s="5"/>
      <c r="C150" s="284"/>
      <c r="D150" s="5"/>
      <c r="E150" s="5"/>
      <c r="F150" s="5"/>
      <c r="G150" s="5"/>
      <c r="H150" s="5"/>
      <c r="I150" s="5"/>
      <c r="J150" s="5"/>
      <c r="K150" s="284"/>
      <c r="L150" s="176"/>
      <c r="M150" s="176"/>
      <c r="N150" s="176"/>
      <c r="O150" s="176"/>
      <c r="P150" s="176"/>
      <c r="Q150" s="176"/>
      <c r="R150" s="176"/>
      <c r="S150" s="176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</row>
    <row r="151" spans="1:32" ht="15.75" customHeight="1" x14ac:dyDescent="0.25">
      <c r="A151" s="5"/>
      <c r="B151" s="5"/>
      <c r="C151" s="284"/>
      <c r="D151" s="5"/>
      <c r="E151" s="5"/>
      <c r="F151" s="5"/>
      <c r="G151" s="5"/>
      <c r="H151" s="5"/>
      <c r="I151" s="5"/>
      <c r="J151" s="5"/>
      <c r="K151" s="284"/>
      <c r="L151" s="176"/>
      <c r="M151" s="176"/>
      <c r="N151" s="176"/>
      <c r="O151" s="176"/>
      <c r="P151" s="176"/>
      <c r="Q151" s="176"/>
      <c r="R151" s="176"/>
      <c r="S151" s="176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</row>
    <row r="152" spans="1:32" ht="15.75" customHeight="1" x14ac:dyDescent="0.25">
      <c r="A152" s="5"/>
      <c r="B152" s="5"/>
      <c r="C152" s="284"/>
      <c r="D152" s="5"/>
      <c r="E152" s="5"/>
      <c r="F152" s="5"/>
      <c r="G152" s="5"/>
      <c r="H152" s="5"/>
      <c r="I152" s="5"/>
      <c r="J152" s="5"/>
      <c r="K152" s="284"/>
      <c r="L152" s="176"/>
      <c r="M152" s="176"/>
      <c r="N152" s="176"/>
      <c r="O152" s="176"/>
      <c r="P152" s="176"/>
      <c r="Q152" s="176"/>
      <c r="R152" s="176"/>
      <c r="S152" s="176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</row>
    <row r="153" spans="1:32" ht="15.75" customHeight="1" x14ac:dyDescent="0.25">
      <c r="A153" s="5"/>
      <c r="B153" s="5"/>
      <c r="C153" s="284"/>
      <c r="D153" s="5"/>
      <c r="E153" s="5"/>
      <c r="F153" s="5"/>
      <c r="G153" s="5"/>
      <c r="H153" s="5"/>
      <c r="I153" s="5"/>
      <c r="J153" s="5"/>
      <c r="K153" s="284"/>
      <c r="L153" s="176"/>
      <c r="M153" s="176"/>
      <c r="N153" s="176"/>
      <c r="O153" s="176"/>
      <c r="P153" s="176"/>
      <c r="Q153" s="176"/>
      <c r="R153" s="176"/>
      <c r="S153" s="176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</row>
    <row r="154" spans="1:32" ht="14.25" customHeight="1" x14ac:dyDescent="0.25">
      <c r="A154" s="5"/>
      <c r="B154" s="5"/>
      <c r="C154" s="284"/>
      <c r="D154" s="5"/>
      <c r="E154" s="5"/>
      <c r="F154" s="5"/>
      <c r="G154" s="5"/>
      <c r="H154" s="5"/>
      <c r="I154" s="5"/>
      <c r="J154" s="5"/>
      <c r="K154" s="284"/>
      <c r="L154" s="176"/>
      <c r="M154" s="176"/>
      <c r="N154" s="176"/>
      <c r="O154" s="176"/>
      <c r="P154" s="176"/>
      <c r="Q154" s="176"/>
      <c r="R154" s="176"/>
      <c r="S154" s="176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</row>
    <row r="155" spans="1:32" ht="15.75" customHeight="1" x14ac:dyDescent="0.25">
      <c r="A155" s="5"/>
      <c r="B155" s="5"/>
      <c r="C155" s="284"/>
      <c r="D155" s="5"/>
      <c r="E155" s="5"/>
      <c r="F155" s="5"/>
      <c r="G155" s="5"/>
      <c r="H155" s="5"/>
      <c r="I155" s="5"/>
      <c r="J155" s="5"/>
      <c r="K155" s="284"/>
      <c r="L155" s="176"/>
      <c r="M155" s="176"/>
      <c r="N155" s="176"/>
      <c r="O155" s="176"/>
      <c r="P155" s="176"/>
      <c r="Q155" s="176"/>
      <c r="R155" s="176"/>
      <c r="S155" s="176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</row>
    <row r="156" spans="1:32" ht="15.75" customHeight="1" x14ac:dyDescent="0.25">
      <c r="A156" s="5"/>
      <c r="B156" s="5"/>
      <c r="C156" s="284"/>
      <c r="D156" s="5"/>
      <c r="E156" s="5"/>
      <c r="F156" s="5"/>
      <c r="G156" s="5"/>
      <c r="H156" s="5"/>
      <c r="I156" s="5"/>
      <c r="J156" s="5"/>
      <c r="K156" s="284"/>
      <c r="L156" s="176"/>
      <c r="M156" s="176"/>
      <c r="N156" s="176"/>
      <c r="O156" s="176"/>
      <c r="P156" s="176"/>
      <c r="Q156" s="176"/>
      <c r="R156" s="176"/>
      <c r="S156" s="176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</row>
    <row r="157" spans="1:32" ht="15.75" customHeight="1" x14ac:dyDescent="0.25">
      <c r="A157" s="5"/>
      <c r="B157" s="5"/>
      <c r="C157" s="284"/>
      <c r="D157" s="5"/>
      <c r="E157" s="5"/>
      <c r="F157" s="5"/>
      <c r="G157" s="5"/>
      <c r="H157" s="5"/>
      <c r="I157" s="5"/>
      <c r="J157" s="5"/>
      <c r="K157" s="284"/>
      <c r="L157" s="176"/>
      <c r="M157" s="176"/>
      <c r="N157" s="176"/>
      <c r="O157" s="176"/>
      <c r="P157" s="176"/>
      <c r="Q157" s="176"/>
      <c r="R157" s="176"/>
      <c r="S157" s="176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</row>
    <row r="158" spans="1:32" ht="15.75" customHeight="1" x14ac:dyDescent="0.25">
      <c r="A158" s="5"/>
      <c r="B158" s="5"/>
      <c r="C158" s="284"/>
      <c r="D158" s="5"/>
      <c r="E158" s="5"/>
      <c r="F158" s="5"/>
      <c r="G158" s="5"/>
      <c r="H158" s="5"/>
      <c r="I158" s="5"/>
      <c r="J158" s="5"/>
      <c r="K158" s="284"/>
      <c r="L158" s="176"/>
      <c r="M158" s="176"/>
      <c r="N158" s="176"/>
      <c r="O158" s="176"/>
      <c r="P158" s="176"/>
      <c r="Q158" s="176"/>
      <c r="R158" s="176"/>
      <c r="S158" s="176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</row>
    <row r="159" spans="1:32" ht="15.75" customHeight="1" x14ac:dyDescent="0.25">
      <c r="A159" s="5"/>
      <c r="B159" s="5"/>
      <c r="C159" s="284"/>
      <c r="D159" s="5"/>
      <c r="E159" s="5"/>
      <c r="F159" s="5"/>
      <c r="G159" s="5"/>
      <c r="H159" s="5"/>
      <c r="I159" s="5"/>
      <c r="J159" s="5"/>
      <c r="K159" s="284"/>
      <c r="L159" s="176"/>
      <c r="M159" s="176"/>
      <c r="N159" s="176"/>
      <c r="O159" s="176"/>
      <c r="P159" s="176"/>
      <c r="Q159" s="176"/>
      <c r="R159" s="176"/>
      <c r="S159" s="176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</row>
    <row r="160" spans="1:32" ht="15.75" customHeight="1" x14ac:dyDescent="0.25">
      <c r="A160" s="5"/>
      <c r="B160" s="5"/>
      <c r="C160" s="284"/>
      <c r="D160" s="5"/>
      <c r="E160" s="5"/>
      <c r="F160" s="5"/>
      <c r="G160" s="5"/>
      <c r="H160" s="5"/>
      <c r="I160" s="5"/>
      <c r="J160" s="5"/>
      <c r="K160" s="284"/>
      <c r="L160" s="176"/>
      <c r="M160" s="176"/>
      <c r="N160" s="176"/>
      <c r="O160" s="176"/>
      <c r="P160" s="176"/>
      <c r="Q160" s="176"/>
      <c r="R160" s="176"/>
      <c r="S160" s="176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</row>
    <row r="161" spans="1:32" ht="15.75" customHeight="1" x14ac:dyDescent="0.25">
      <c r="A161" s="5"/>
      <c r="B161" s="5"/>
      <c r="C161" s="284"/>
      <c r="D161" s="5"/>
      <c r="E161" s="5"/>
      <c r="F161" s="5"/>
      <c r="G161" s="5"/>
      <c r="H161" s="5"/>
      <c r="I161" s="5"/>
      <c r="J161" s="5"/>
      <c r="K161" s="284"/>
      <c r="L161" s="176"/>
      <c r="M161" s="176"/>
      <c r="N161" s="176"/>
      <c r="O161" s="176"/>
      <c r="P161" s="176"/>
      <c r="Q161" s="176"/>
      <c r="R161" s="176"/>
      <c r="S161" s="176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</row>
    <row r="162" spans="1:32" ht="15.75" customHeight="1" x14ac:dyDescent="0.25">
      <c r="A162" s="5"/>
      <c r="B162" s="5"/>
      <c r="C162" s="284"/>
      <c r="D162" s="5"/>
      <c r="E162" s="5"/>
      <c r="F162" s="5"/>
      <c r="G162" s="5"/>
      <c r="H162" s="5"/>
      <c r="I162" s="5"/>
      <c r="J162" s="5"/>
      <c r="K162" s="284"/>
      <c r="L162" s="176"/>
      <c r="M162" s="176"/>
      <c r="N162" s="176"/>
      <c r="O162" s="176"/>
      <c r="P162" s="176"/>
      <c r="Q162" s="176"/>
      <c r="R162" s="176"/>
      <c r="S162" s="176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</row>
    <row r="163" spans="1:32" ht="15.75" customHeight="1" x14ac:dyDescent="0.25">
      <c r="A163" s="5"/>
      <c r="B163" s="5"/>
      <c r="C163" s="284"/>
      <c r="D163" s="5"/>
      <c r="E163" s="5"/>
      <c r="F163" s="5"/>
      <c r="G163" s="5"/>
      <c r="H163" s="5"/>
      <c r="I163" s="5"/>
      <c r="J163" s="5"/>
      <c r="K163" s="284"/>
      <c r="L163" s="176"/>
      <c r="M163" s="176"/>
      <c r="N163" s="176"/>
      <c r="O163" s="176"/>
      <c r="P163" s="176"/>
      <c r="Q163" s="176"/>
      <c r="R163" s="176"/>
      <c r="S163" s="176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</row>
    <row r="164" spans="1:32" ht="15.75" customHeight="1" x14ac:dyDescent="0.25">
      <c r="A164" s="5"/>
      <c r="B164" s="5"/>
      <c r="C164" s="284"/>
      <c r="D164" s="5"/>
      <c r="E164" s="5"/>
      <c r="F164" s="5"/>
      <c r="G164" s="5"/>
      <c r="H164" s="5"/>
      <c r="I164" s="5"/>
      <c r="J164" s="5"/>
      <c r="K164" s="284"/>
      <c r="L164" s="176"/>
      <c r="M164" s="176"/>
      <c r="N164" s="176"/>
      <c r="O164" s="176"/>
      <c r="P164" s="176"/>
      <c r="Q164" s="176"/>
      <c r="R164" s="176"/>
      <c r="S164" s="176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</row>
    <row r="165" spans="1:32" ht="15.75" customHeight="1" x14ac:dyDescent="0.25">
      <c r="A165" s="5"/>
      <c r="B165" s="5"/>
      <c r="C165" s="284"/>
      <c r="D165" s="5"/>
      <c r="E165" s="5"/>
      <c r="F165" s="5"/>
      <c r="G165" s="5"/>
      <c r="H165" s="5"/>
      <c r="I165" s="5"/>
      <c r="J165" s="5"/>
      <c r="K165" s="284"/>
      <c r="L165" s="176"/>
      <c r="M165" s="176"/>
      <c r="N165" s="176"/>
      <c r="O165" s="176"/>
      <c r="P165" s="176"/>
      <c r="Q165" s="176"/>
      <c r="R165" s="176"/>
      <c r="S165" s="176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</row>
    <row r="166" spans="1:32" ht="15.75" customHeight="1" x14ac:dyDescent="0.25">
      <c r="A166" s="5"/>
      <c r="B166" s="5"/>
      <c r="C166" s="284"/>
      <c r="D166" s="5"/>
      <c r="E166" s="5"/>
      <c r="F166" s="5"/>
      <c r="G166" s="5"/>
      <c r="H166" s="5"/>
      <c r="I166" s="5"/>
      <c r="J166" s="5"/>
      <c r="K166" s="284"/>
      <c r="L166" s="176"/>
      <c r="M166" s="176"/>
      <c r="N166" s="176"/>
      <c r="O166" s="176"/>
      <c r="P166" s="176"/>
      <c r="Q166" s="176"/>
      <c r="R166" s="176"/>
      <c r="S166" s="176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</row>
    <row r="167" spans="1:32" ht="15.75" customHeight="1" x14ac:dyDescent="0.25">
      <c r="A167" s="5"/>
      <c r="B167" s="5"/>
      <c r="C167" s="284"/>
      <c r="D167" s="5"/>
      <c r="E167" s="5"/>
      <c r="F167" s="5"/>
      <c r="G167" s="5"/>
      <c r="H167" s="5"/>
      <c r="I167" s="5"/>
      <c r="J167" s="5"/>
      <c r="K167" s="284"/>
      <c r="L167" s="176"/>
      <c r="M167" s="176"/>
      <c r="N167" s="176"/>
      <c r="O167" s="176"/>
      <c r="P167" s="176"/>
      <c r="Q167" s="176"/>
      <c r="R167" s="176"/>
      <c r="S167" s="176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</row>
    <row r="168" spans="1:32" ht="15.75" customHeight="1" x14ac:dyDescent="0.25">
      <c r="A168" s="5"/>
      <c r="B168" s="5"/>
      <c r="C168" s="284"/>
      <c r="D168" s="5"/>
      <c r="E168" s="5"/>
      <c r="F168" s="5"/>
      <c r="G168" s="5"/>
      <c r="H168" s="5"/>
      <c r="I168" s="5"/>
      <c r="J168" s="5"/>
      <c r="K168" s="284"/>
      <c r="L168" s="176"/>
      <c r="M168" s="176"/>
      <c r="N168" s="176"/>
      <c r="O168" s="176"/>
      <c r="P168" s="176"/>
      <c r="Q168" s="176"/>
      <c r="R168" s="176"/>
      <c r="S168" s="176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</row>
    <row r="169" spans="1:32" ht="15.75" customHeight="1" x14ac:dyDescent="0.25">
      <c r="A169" s="5"/>
      <c r="B169" s="5"/>
      <c r="C169" s="284"/>
      <c r="D169" s="5"/>
      <c r="E169" s="5"/>
      <c r="F169" s="5"/>
      <c r="G169" s="5"/>
      <c r="H169" s="5"/>
      <c r="I169" s="5"/>
      <c r="J169" s="5"/>
      <c r="K169" s="284"/>
      <c r="L169" s="176"/>
      <c r="M169" s="176"/>
      <c r="N169" s="176"/>
      <c r="O169" s="176"/>
      <c r="P169" s="176"/>
      <c r="Q169" s="176"/>
      <c r="R169" s="176"/>
      <c r="S169" s="176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</row>
    <row r="170" spans="1:32" ht="15.75" customHeight="1" x14ac:dyDescent="0.25">
      <c r="A170" s="5"/>
      <c r="B170" s="5"/>
      <c r="C170" s="284"/>
      <c r="D170" s="5"/>
      <c r="E170" s="5"/>
      <c r="F170" s="5"/>
      <c r="G170" s="5"/>
      <c r="H170" s="5"/>
      <c r="I170" s="5"/>
      <c r="J170" s="5"/>
      <c r="K170" s="284"/>
      <c r="L170" s="176"/>
      <c r="M170" s="176"/>
      <c r="N170" s="176"/>
      <c r="O170" s="176"/>
      <c r="P170" s="176"/>
      <c r="Q170" s="176"/>
      <c r="R170" s="176"/>
      <c r="S170" s="176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</row>
    <row r="171" spans="1:32" ht="15.75" customHeight="1" x14ac:dyDescent="0.25">
      <c r="A171" s="5"/>
      <c r="B171" s="5"/>
      <c r="C171" s="284"/>
      <c r="D171" s="5"/>
      <c r="E171" s="5"/>
      <c r="F171" s="5"/>
      <c r="G171" s="5"/>
      <c r="H171" s="5"/>
      <c r="I171" s="5"/>
      <c r="J171" s="5"/>
      <c r="K171" s="284"/>
      <c r="L171" s="176"/>
      <c r="M171" s="176"/>
      <c r="N171" s="176"/>
      <c r="O171" s="176"/>
      <c r="P171" s="176"/>
      <c r="Q171" s="176"/>
      <c r="R171" s="176"/>
      <c r="S171" s="176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</row>
    <row r="172" spans="1:32" ht="15.75" customHeight="1" x14ac:dyDescent="0.25">
      <c r="A172" s="5"/>
      <c r="B172" s="5"/>
      <c r="C172" s="284"/>
      <c r="D172" s="5"/>
      <c r="E172" s="5"/>
      <c r="F172" s="5"/>
      <c r="G172" s="5"/>
      <c r="H172" s="5"/>
      <c r="I172" s="5"/>
      <c r="J172" s="5"/>
      <c r="K172" s="284"/>
      <c r="L172" s="176"/>
      <c r="M172" s="176"/>
      <c r="N172" s="176"/>
      <c r="O172" s="176"/>
      <c r="P172" s="176"/>
      <c r="Q172" s="176"/>
      <c r="R172" s="176"/>
      <c r="S172" s="176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</row>
    <row r="173" spans="1:32" ht="15.75" customHeight="1" x14ac:dyDescent="0.25">
      <c r="A173" s="5"/>
      <c r="B173" s="5"/>
      <c r="C173" s="284"/>
      <c r="D173" s="5"/>
      <c r="E173" s="5"/>
      <c r="F173" s="5"/>
      <c r="G173" s="5"/>
      <c r="H173" s="5"/>
      <c r="I173" s="5"/>
      <c r="J173" s="5"/>
      <c r="K173" s="284"/>
      <c r="L173" s="176"/>
      <c r="M173" s="176"/>
      <c r="N173" s="176"/>
      <c r="O173" s="176"/>
      <c r="P173" s="176"/>
      <c r="Q173" s="176"/>
      <c r="R173" s="176"/>
      <c r="S173" s="176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</row>
    <row r="174" spans="1:32" ht="15.75" customHeight="1" x14ac:dyDescent="0.25">
      <c r="A174" s="5"/>
      <c r="B174" s="5"/>
      <c r="C174" s="284"/>
      <c r="D174" s="5"/>
      <c r="E174" s="5"/>
      <c r="F174" s="5"/>
      <c r="G174" s="5"/>
      <c r="H174" s="5"/>
      <c r="I174" s="5"/>
      <c r="J174" s="5"/>
      <c r="K174" s="284"/>
      <c r="L174" s="176"/>
      <c r="M174" s="176"/>
      <c r="N174" s="176"/>
      <c r="O174" s="176"/>
      <c r="P174" s="176"/>
      <c r="Q174" s="176"/>
      <c r="R174" s="176"/>
      <c r="S174" s="176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</row>
    <row r="175" spans="1:32" ht="15.75" customHeight="1" x14ac:dyDescent="0.25">
      <c r="A175" s="5"/>
      <c r="B175" s="5"/>
      <c r="C175" s="284"/>
      <c r="D175" s="5"/>
      <c r="E175" s="5"/>
      <c r="F175" s="5"/>
      <c r="G175" s="5"/>
      <c r="H175" s="5"/>
      <c r="I175" s="5"/>
      <c r="J175" s="5"/>
      <c r="K175" s="284"/>
      <c r="L175" s="176"/>
      <c r="M175" s="176"/>
      <c r="N175" s="176"/>
      <c r="O175" s="176"/>
      <c r="P175" s="176"/>
      <c r="Q175" s="176"/>
      <c r="R175" s="176"/>
      <c r="S175" s="176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</row>
    <row r="176" spans="1:32" ht="15.75" customHeight="1" x14ac:dyDescent="0.25">
      <c r="A176" s="5"/>
      <c r="B176" s="5"/>
      <c r="C176" s="284"/>
      <c r="D176" s="5"/>
      <c r="E176" s="5"/>
      <c r="F176" s="5"/>
      <c r="G176" s="5"/>
      <c r="H176" s="5"/>
      <c r="I176" s="5"/>
      <c r="J176" s="5"/>
      <c r="K176" s="284"/>
      <c r="L176" s="176"/>
      <c r="M176" s="176"/>
      <c r="N176" s="176"/>
      <c r="O176" s="176"/>
      <c r="P176" s="176"/>
      <c r="Q176" s="176"/>
      <c r="R176" s="176"/>
      <c r="S176" s="176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</row>
    <row r="177" spans="1:32" ht="15.75" customHeight="1" x14ac:dyDescent="0.25">
      <c r="A177" s="5"/>
      <c r="B177" s="5"/>
      <c r="C177" s="284"/>
      <c r="D177" s="5"/>
      <c r="E177" s="5"/>
      <c r="F177" s="5"/>
      <c r="G177" s="5"/>
      <c r="H177" s="5"/>
      <c r="I177" s="5"/>
      <c r="J177" s="5"/>
      <c r="K177" s="284"/>
      <c r="L177" s="176"/>
      <c r="M177" s="176"/>
      <c r="N177" s="176"/>
      <c r="O177" s="176"/>
      <c r="P177" s="176"/>
      <c r="Q177" s="176"/>
      <c r="R177" s="176"/>
      <c r="S177" s="176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</row>
    <row r="178" spans="1:32" ht="15.75" customHeight="1" x14ac:dyDescent="0.25">
      <c r="A178" s="5"/>
      <c r="B178" s="5"/>
      <c r="C178" s="284"/>
      <c r="D178" s="5"/>
      <c r="E178" s="5"/>
      <c r="F178" s="5"/>
      <c r="G178" s="5"/>
      <c r="H178" s="5"/>
      <c r="I178" s="5"/>
      <c r="J178" s="5"/>
      <c r="K178" s="284"/>
      <c r="L178" s="176"/>
      <c r="M178" s="176"/>
      <c r="N178" s="176"/>
      <c r="O178" s="176"/>
      <c r="P178" s="176"/>
      <c r="Q178" s="176"/>
      <c r="R178" s="176"/>
      <c r="S178" s="176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</row>
    <row r="179" spans="1:32" ht="15.75" customHeight="1" x14ac:dyDescent="0.25">
      <c r="A179" s="5"/>
      <c r="B179" s="5"/>
      <c r="C179" s="284"/>
      <c r="D179" s="5"/>
      <c r="E179" s="5"/>
      <c r="F179" s="5"/>
      <c r="G179" s="5"/>
      <c r="H179" s="5"/>
      <c r="I179" s="5"/>
      <c r="J179" s="5"/>
      <c r="K179" s="284"/>
      <c r="L179" s="176"/>
      <c r="M179" s="176"/>
      <c r="N179" s="176"/>
      <c r="O179" s="176"/>
      <c r="P179" s="176"/>
      <c r="Q179" s="176"/>
      <c r="R179" s="176"/>
      <c r="S179" s="176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</row>
    <row r="180" spans="1:32" ht="15.75" customHeight="1" x14ac:dyDescent="0.25">
      <c r="A180" s="5"/>
      <c r="B180" s="5"/>
      <c r="C180" s="284"/>
      <c r="D180" s="5"/>
      <c r="E180" s="5"/>
      <c r="F180" s="5"/>
      <c r="G180" s="5"/>
      <c r="H180" s="5"/>
      <c r="I180" s="5"/>
      <c r="J180" s="5"/>
      <c r="K180" s="284"/>
      <c r="L180" s="176"/>
      <c r="M180" s="176"/>
      <c r="N180" s="176"/>
      <c r="O180" s="176"/>
      <c r="P180" s="176"/>
      <c r="Q180" s="176"/>
      <c r="R180" s="176"/>
      <c r="S180" s="176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</row>
    <row r="181" spans="1:32" ht="15.75" customHeight="1" x14ac:dyDescent="0.25">
      <c r="A181" s="5"/>
      <c r="B181" s="5"/>
      <c r="C181" s="284"/>
      <c r="D181" s="5"/>
      <c r="E181" s="5"/>
      <c r="F181" s="5"/>
      <c r="G181" s="5"/>
      <c r="H181" s="5"/>
      <c r="I181" s="5"/>
      <c r="J181" s="5"/>
      <c r="K181" s="284"/>
      <c r="L181" s="176"/>
      <c r="M181" s="176"/>
      <c r="N181" s="176"/>
      <c r="O181" s="176"/>
      <c r="P181" s="176"/>
      <c r="Q181" s="176"/>
      <c r="R181" s="176"/>
      <c r="S181" s="176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</row>
    <row r="182" spans="1:32" ht="15.75" customHeight="1" x14ac:dyDescent="0.25">
      <c r="A182" s="5"/>
      <c r="B182" s="5"/>
      <c r="C182" s="284"/>
      <c r="D182" s="5"/>
      <c r="E182" s="5"/>
      <c r="F182" s="5"/>
      <c r="G182" s="5"/>
      <c r="H182" s="5"/>
      <c r="I182" s="5"/>
      <c r="J182" s="5"/>
      <c r="K182" s="284"/>
      <c r="L182" s="176"/>
      <c r="M182" s="176"/>
      <c r="N182" s="176"/>
      <c r="O182" s="176"/>
      <c r="P182" s="176"/>
      <c r="Q182" s="176"/>
      <c r="R182" s="176"/>
      <c r="S182" s="176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</row>
    <row r="183" spans="1:32" ht="15.75" customHeight="1" x14ac:dyDescent="0.25">
      <c r="A183" s="5"/>
      <c r="B183" s="5"/>
      <c r="C183" s="284"/>
      <c r="D183" s="5"/>
      <c r="E183" s="5"/>
      <c r="F183" s="5"/>
      <c r="G183" s="5"/>
      <c r="H183" s="5"/>
      <c r="I183" s="5"/>
      <c r="J183" s="5"/>
      <c r="K183" s="284"/>
      <c r="L183" s="176"/>
      <c r="M183" s="176"/>
      <c r="N183" s="176"/>
      <c r="O183" s="176"/>
      <c r="P183" s="176"/>
      <c r="Q183" s="176"/>
      <c r="R183" s="176"/>
      <c r="S183" s="176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</row>
    <row r="184" spans="1:32" ht="15.75" customHeight="1" x14ac:dyDescent="0.25">
      <c r="A184" s="5"/>
      <c r="B184" s="5"/>
      <c r="C184" s="284"/>
      <c r="D184" s="5"/>
      <c r="E184" s="5"/>
      <c r="F184" s="5"/>
      <c r="G184" s="5"/>
      <c r="H184" s="5"/>
      <c r="I184" s="5"/>
      <c r="J184" s="5"/>
      <c r="K184" s="284"/>
      <c r="L184" s="176"/>
      <c r="M184" s="176"/>
      <c r="N184" s="176"/>
      <c r="O184" s="176"/>
      <c r="P184" s="176"/>
      <c r="Q184" s="176"/>
      <c r="R184" s="176"/>
      <c r="S184" s="176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</row>
    <row r="185" spans="1:32" ht="15.75" customHeight="1" x14ac:dyDescent="0.25">
      <c r="A185" s="5"/>
      <c r="B185" s="5"/>
      <c r="C185" s="284"/>
      <c r="D185" s="5"/>
      <c r="E185" s="5"/>
      <c r="F185" s="5"/>
      <c r="G185" s="5"/>
      <c r="H185" s="5"/>
      <c r="I185" s="5"/>
      <c r="J185" s="5"/>
      <c r="K185" s="284"/>
      <c r="L185" s="176"/>
      <c r="M185" s="176"/>
      <c r="N185" s="176"/>
      <c r="O185" s="176"/>
      <c r="P185" s="176"/>
      <c r="Q185" s="176"/>
      <c r="R185" s="176"/>
      <c r="S185" s="176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</row>
    <row r="186" spans="1:32" ht="15.75" customHeight="1" x14ac:dyDescent="0.25">
      <c r="A186" s="5"/>
      <c r="B186" s="5"/>
      <c r="C186" s="284"/>
      <c r="D186" s="5"/>
      <c r="E186" s="5"/>
      <c r="F186" s="5"/>
      <c r="G186" s="5"/>
      <c r="H186" s="5"/>
      <c r="I186" s="5"/>
      <c r="J186" s="5"/>
      <c r="K186" s="284"/>
      <c r="L186" s="176"/>
      <c r="M186" s="176"/>
      <c r="N186" s="176"/>
      <c r="O186" s="176"/>
      <c r="P186" s="176"/>
      <c r="Q186" s="176"/>
      <c r="R186" s="176"/>
      <c r="S186" s="176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</row>
    <row r="187" spans="1:32" ht="15.75" customHeight="1" x14ac:dyDescent="0.25">
      <c r="A187" s="5"/>
      <c r="B187" s="5"/>
      <c r="C187" s="284"/>
      <c r="D187" s="5"/>
      <c r="E187" s="5"/>
      <c r="F187" s="5"/>
      <c r="G187" s="5"/>
      <c r="H187" s="5"/>
      <c r="I187" s="5"/>
      <c r="J187" s="5"/>
      <c r="K187" s="284"/>
      <c r="L187" s="176"/>
      <c r="M187" s="176"/>
      <c r="N187" s="176"/>
      <c r="O187" s="176"/>
      <c r="P187" s="176"/>
      <c r="Q187" s="176"/>
      <c r="R187" s="176"/>
      <c r="S187" s="176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</row>
    <row r="188" spans="1:32" ht="15.75" customHeight="1" x14ac:dyDescent="0.25">
      <c r="A188" s="5"/>
      <c r="B188" s="5"/>
      <c r="C188" s="284"/>
      <c r="D188" s="5"/>
      <c r="E188" s="5"/>
      <c r="F188" s="5"/>
      <c r="G188" s="5"/>
      <c r="H188" s="5"/>
      <c r="I188" s="5"/>
      <c r="J188" s="5"/>
      <c r="K188" s="284"/>
      <c r="L188" s="176"/>
      <c r="M188" s="176"/>
      <c r="N188" s="176"/>
      <c r="O188" s="176"/>
      <c r="P188" s="176"/>
      <c r="Q188" s="176"/>
      <c r="R188" s="176"/>
      <c r="S188" s="176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</row>
    <row r="189" spans="1:32" ht="15.75" customHeight="1" x14ac:dyDescent="0.25">
      <c r="A189" s="5"/>
      <c r="B189" s="5"/>
      <c r="C189" s="284"/>
      <c r="D189" s="5"/>
      <c r="E189" s="5"/>
      <c r="F189" s="5"/>
      <c r="G189" s="5"/>
      <c r="H189" s="5"/>
      <c r="I189" s="5"/>
      <c r="J189" s="5"/>
      <c r="K189" s="284"/>
      <c r="L189" s="176"/>
      <c r="M189" s="176"/>
      <c r="N189" s="176"/>
      <c r="O189" s="176"/>
      <c r="P189" s="176"/>
      <c r="Q189" s="176"/>
      <c r="R189" s="176"/>
      <c r="S189" s="176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</row>
    <row r="190" spans="1:32" ht="15.75" customHeight="1" x14ac:dyDescent="0.25">
      <c r="A190" s="5"/>
      <c r="B190" s="5"/>
      <c r="C190" s="284"/>
      <c r="D190" s="5"/>
      <c r="E190" s="5"/>
      <c r="F190" s="5"/>
      <c r="G190" s="5"/>
      <c r="H190" s="5"/>
      <c r="I190" s="5"/>
      <c r="J190" s="5"/>
      <c r="K190" s="284"/>
      <c r="L190" s="176"/>
      <c r="M190" s="176"/>
      <c r="N190" s="176"/>
      <c r="O190" s="176"/>
      <c r="P190" s="176"/>
      <c r="Q190" s="176"/>
      <c r="R190" s="176"/>
      <c r="S190" s="176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</row>
    <row r="191" spans="1:32" ht="15.75" customHeight="1" x14ac:dyDescent="0.25">
      <c r="A191" s="5"/>
      <c r="B191" s="5"/>
      <c r="C191" s="284"/>
      <c r="D191" s="5"/>
      <c r="E191" s="5"/>
      <c r="F191" s="5"/>
      <c r="G191" s="5"/>
      <c r="H191" s="5"/>
      <c r="I191" s="5"/>
      <c r="J191" s="5"/>
      <c r="K191" s="284"/>
      <c r="L191" s="176"/>
      <c r="M191" s="176"/>
      <c r="N191" s="176"/>
      <c r="O191" s="176"/>
      <c r="P191" s="176"/>
      <c r="Q191" s="176"/>
      <c r="R191" s="176"/>
      <c r="S191" s="176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</row>
    <row r="192" spans="1:32" ht="15.75" customHeight="1" x14ac:dyDescent="0.25">
      <c r="A192" s="5"/>
      <c r="B192" s="5"/>
      <c r="C192" s="284"/>
      <c r="D192" s="5"/>
      <c r="E192" s="5"/>
      <c r="F192" s="5"/>
      <c r="G192" s="5"/>
      <c r="H192" s="5"/>
      <c r="I192" s="5"/>
      <c r="J192" s="5"/>
      <c r="K192" s="284"/>
      <c r="L192" s="176"/>
      <c r="M192" s="176"/>
      <c r="N192" s="176"/>
      <c r="O192" s="176"/>
      <c r="P192" s="176"/>
      <c r="Q192" s="176"/>
      <c r="R192" s="176"/>
      <c r="S192" s="176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</row>
    <row r="193" spans="1:32" ht="15.75" customHeight="1" x14ac:dyDescent="0.25">
      <c r="A193" s="5"/>
      <c r="B193" s="5"/>
      <c r="C193" s="284"/>
      <c r="D193" s="5"/>
      <c r="E193" s="5"/>
      <c r="F193" s="5"/>
      <c r="G193" s="5"/>
      <c r="H193" s="5"/>
      <c r="I193" s="5"/>
      <c r="J193" s="5"/>
      <c r="K193" s="284"/>
      <c r="L193" s="176"/>
      <c r="M193" s="176"/>
      <c r="N193" s="176"/>
      <c r="O193" s="176"/>
      <c r="P193" s="176"/>
      <c r="Q193" s="176"/>
      <c r="R193" s="176"/>
      <c r="S193" s="176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</row>
    <row r="194" spans="1:32" ht="15.75" customHeight="1" x14ac:dyDescent="0.25">
      <c r="A194" s="5"/>
      <c r="B194" s="5"/>
      <c r="C194" s="284"/>
      <c r="D194" s="5"/>
      <c r="E194" s="5"/>
      <c r="F194" s="5"/>
      <c r="G194" s="5"/>
      <c r="H194" s="5"/>
      <c r="I194" s="5"/>
      <c r="J194" s="5"/>
      <c r="K194" s="284"/>
      <c r="L194" s="176"/>
      <c r="M194" s="176"/>
      <c r="N194" s="176"/>
      <c r="O194" s="176"/>
      <c r="P194" s="176"/>
      <c r="Q194" s="176"/>
      <c r="R194" s="176"/>
      <c r="S194" s="176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</row>
    <row r="195" spans="1:32" ht="15.75" customHeight="1" x14ac:dyDescent="0.25">
      <c r="A195" s="5"/>
      <c r="B195" s="5"/>
      <c r="C195" s="284"/>
      <c r="D195" s="5"/>
      <c r="E195" s="5"/>
      <c r="F195" s="5"/>
      <c r="G195" s="5"/>
      <c r="H195" s="5"/>
      <c r="I195" s="5"/>
      <c r="J195" s="5"/>
      <c r="K195" s="284"/>
      <c r="L195" s="176"/>
      <c r="M195" s="176"/>
      <c r="N195" s="176"/>
      <c r="O195" s="176"/>
      <c r="P195" s="176"/>
      <c r="Q195" s="176"/>
      <c r="R195" s="176"/>
      <c r="S195" s="176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</row>
    <row r="196" spans="1:32" ht="15.75" customHeight="1" x14ac:dyDescent="0.25">
      <c r="A196" s="5"/>
      <c r="B196" s="5"/>
      <c r="C196" s="284"/>
      <c r="D196" s="5"/>
      <c r="E196" s="5"/>
      <c r="F196" s="5"/>
      <c r="G196" s="5"/>
      <c r="H196" s="5"/>
      <c r="I196" s="5"/>
      <c r="J196" s="5"/>
      <c r="K196" s="284"/>
      <c r="L196" s="176"/>
      <c r="M196" s="176"/>
      <c r="N196" s="176"/>
      <c r="O196" s="176"/>
      <c r="P196" s="176"/>
      <c r="Q196" s="176"/>
      <c r="R196" s="176"/>
      <c r="S196" s="176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</row>
    <row r="197" spans="1:32" ht="15.75" customHeight="1" x14ac:dyDescent="0.25">
      <c r="A197" s="5"/>
      <c r="B197" s="5"/>
      <c r="C197" s="284"/>
      <c r="D197" s="5"/>
      <c r="E197" s="5"/>
      <c r="F197" s="5"/>
      <c r="G197" s="5"/>
      <c r="H197" s="5"/>
      <c r="I197" s="5"/>
      <c r="J197" s="5"/>
      <c r="K197" s="284"/>
      <c r="L197" s="176"/>
      <c r="M197" s="176"/>
      <c r="N197" s="176"/>
      <c r="O197" s="176"/>
      <c r="P197" s="176"/>
      <c r="Q197" s="176"/>
      <c r="R197" s="176"/>
      <c r="S197" s="176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</row>
    <row r="198" spans="1:32" ht="15.75" customHeight="1" x14ac:dyDescent="0.25">
      <c r="A198" s="5"/>
      <c r="B198" s="5"/>
      <c r="C198" s="284"/>
      <c r="D198" s="5"/>
      <c r="E198" s="5"/>
      <c r="F198" s="5"/>
      <c r="G198" s="5"/>
      <c r="H198" s="5"/>
      <c r="I198" s="5"/>
      <c r="J198" s="5"/>
      <c r="K198" s="284"/>
      <c r="L198" s="176"/>
      <c r="M198" s="176"/>
      <c r="N198" s="176"/>
      <c r="O198" s="176"/>
      <c r="P198" s="176"/>
      <c r="Q198" s="176"/>
      <c r="R198" s="176"/>
      <c r="S198" s="176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</row>
    <row r="199" spans="1:32" ht="15.75" customHeight="1" x14ac:dyDescent="0.25">
      <c r="A199" s="5"/>
      <c r="B199" s="5"/>
      <c r="C199" s="284"/>
      <c r="D199" s="5"/>
      <c r="E199" s="5"/>
      <c r="F199" s="5"/>
      <c r="G199" s="5"/>
      <c r="H199" s="5"/>
      <c r="I199" s="5"/>
      <c r="J199" s="5"/>
      <c r="K199" s="284"/>
      <c r="L199" s="176"/>
      <c r="M199" s="176"/>
      <c r="N199" s="176"/>
      <c r="O199" s="176"/>
      <c r="P199" s="176"/>
      <c r="Q199" s="176"/>
      <c r="R199" s="176"/>
      <c r="S199" s="176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</row>
    <row r="200" spans="1:32" ht="15.75" customHeight="1" x14ac:dyDescent="0.25">
      <c r="A200" s="5"/>
      <c r="B200" s="5"/>
      <c r="C200" s="284"/>
      <c r="D200" s="5"/>
      <c r="E200" s="5"/>
      <c r="F200" s="5"/>
      <c r="G200" s="5"/>
      <c r="H200" s="5"/>
      <c r="I200" s="5"/>
      <c r="J200" s="5"/>
      <c r="K200" s="284"/>
      <c r="L200" s="176"/>
      <c r="M200" s="176"/>
      <c r="N200" s="176"/>
      <c r="O200" s="176"/>
      <c r="P200" s="176"/>
      <c r="Q200" s="176"/>
      <c r="R200" s="176"/>
      <c r="S200" s="176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</row>
    <row r="201" spans="1:32" ht="15.75" customHeight="1" x14ac:dyDescent="0.25">
      <c r="A201" s="5"/>
      <c r="B201" s="5"/>
      <c r="C201" s="284"/>
      <c r="D201" s="5"/>
      <c r="E201" s="5"/>
      <c r="F201" s="5"/>
      <c r="G201" s="5"/>
      <c r="H201" s="5"/>
      <c r="I201" s="5"/>
      <c r="J201" s="5"/>
      <c r="K201" s="284"/>
      <c r="L201" s="176"/>
      <c r="M201" s="176"/>
      <c r="N201" s="176"/>
      <c r="O201" s="176"/>
      <c r="P201" s="176"/>
      <c r="Q201" s="176"/>
      <c r="R201" s="176"/>
      <c r="S201" s="176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</row>
    <row r="202" spans="1:32" ht="15.75" customHeight="1" x14ac:dyDescent="0.25">
      <c r="A202" s="5"/>
      <c r="B202" s="5"/>
      <c r="C202" s="284"/>
      <c r="D202" s="5"/>
      <c r="E202" s="5"/>
      <c r="F202" s="5"/>
      <c r="G202" s="5"/>
      <c r="H202" s="5"/>
      <c r="I202" s="5"/>
      <c r="J202" s="5"/>
      <c r="K202" s="284"/>
      <c r="L202" s="176"/>
      <c r="M202" s="176"/>
      <c r="N202" s="176"/>
      <c r="O202" s="176"/>
      <c r="P202" s="176"/>
      <c r="Q202" s="176"/>
      <c r="R202" s="176"/>
      <c r="S202" s="176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</row>
    <row r="203" spans="1:32" ht="15.75" customHeight="1" x14ac:dyDescent="0.25">
      <c r="A203" s="5"/>
      <c r="B203" s="5"/>
      <c r="C203" s="284"/>
      <c r="D203" s="5"/>
      <c r="E203" s="5"/>
      <c r="F203" s="5"/>
      <c r="G203" s="5"/>
      <c r="H203" s="5"/>
      <c r="I203" s="5"/>
      <c r="J203" s="5"/>
      <c r="K203" s="284"/>
      <c r="L203" s="176"/>
      <c r="M203" s="176"/>
      <c r="N203" s="176"/>
      <c r="O203" s="176"/>
      <c r="P203" s="176"/>
      <c r="Q203" s="176"/>
      <c r="R203" s="176"/>
      <c r="S203" s="176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</row>
    <row r="204" spans="1:32" ht="15.75" customHeight="1" x14ac:dyDescent="0.25">
      <c r="A204" s="5"/>
      <c r="B204" s="5"/>
      <c r="C204" s="284"/>
      <c r="D204" s="5"/>
      <c r="E204" s="5"/>
      <c r="F204" s="5"/>
      <c r="G204" s="5"/>
      <c r="H204" s="5"/>
      <c r="I204" s="5"/>
      <c r="J204" s="5"/>
      <c r="K204" s="284"/>
      <c r="L204" s="176"/>
      <c r="M204" s="176"/>
      <c r="N204" s="176"/>
      <c r="O204" s="176"/>
      <c r="P204" s="176"/>
      <c r="Q204" s="176"/>
      <c r="R204" s="176"/>
      <c r="S204" s="176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</row>
    <row r="205" spans="1:32" ht="15.75" customHeight="1" x14ac:dyDescent="0.25">
      <c r="A205" s="5"/>
      <c r="B205" s="5"/>
      <c r="C205" s="284"/>
      <c r="D205" s="5"/>
      <c r="E205" s="5"/>
      <c r="F205" s="5"/>
      <c r="G205" s="5"/>
      <c r="H205" s="5"/>
      <c r="I205" s="5"/>
      <c r="J205" s="5"/>
      <c r="K205" s="284"/>
      <c r="L205" s="176"/>
      <c r="M205" s="176"/>
      <c r="N205" s="176"/>
      <c r="O205" s="176"/>
      <c r="P205" s="176"/>
      <c r="Q205" s="176"/>
      <c r="R205" s="176"/>
      <c r="S205" s="176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</row>
    <row r="206" spans="1:32" ht="15.75" customHeight="1" x14ac:dyDescent="0.25">
      <c r="A206" s="5"/>
      <c r="B206" s="5"/>
      <c r="C206" s="284"/>
      <c r="D206" s="5"/>
      <c r="E206" s="5"/>
      <c r="F206" s="5"/>
      <c r="G206" s="5"/>
      <c r="H206" s="5"/>
      <c r="I206" s="5"/>
      <c r="J206" s="5"/>
      <c r="K206" s="284"/>
      <c r="L206" s="176"/>
      <c r="M206" s="176"/>
      <c r="N206" s="176"/>
      <c r="O206" s="176"/>
      <c r="P206" s="176"/>
      <c r="Q206" s="176"/>
      <c r="R206" s="176"/>
      <c r="S206" s="176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</row>
    <row r="207" spans="1:32" ht="15.75" customHeight="1" x14ac:dyDescent="0.25">
      <c r="A207" s="5"/>
      <c r="B207" s="5"/>
      <c r="C207" s="284"/>
      <c r="D207" s="5"/>
      <c r="E207" s="5"/>
      <c r="F207" s="5"/>
      <c r="G207" s="5"/>
      <c r="H207" s="5"/>
      <c r="I207" s="5"/>
      <c r="J207" s="5"/>
      <c r="K207" s="284"/>
      <c r="L207" s="176"/>
      <c r="M207" s="176"/>
      <c r="N207" s="176"/>
      <c r="O207" s="176"/>
      <c r="P207" s="176"/>
      <c r="Q207" s="176"/>
      <c r="R207" s="176"/>
      <c r="S207" s="176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</row>
    <row r="208" spans="1:32" ht="15.75" customHeight="1" x14ac:dyDescent="0.25">
      <c r="A208" s="5"/>
      <c r="B208" s="5"/>
      <c r="C208" s="284"/>
      <c r="D208" s="5"/>
      <c r="E208" s="5"/>
      <c r="F208" s="5"/>
      <c r="G208" s="5"/>
      <c r="H208" s="5"/>
      <c r="I208" s="5"/>
      <c r="J208" s="5"/>
      <c r="K208" s="284"/>
      <c r="L208" s="176"/>
      <c r="M208" s="176"/>
      <c r="N208" s="176"/>
      <c r="O208" s="176"/>
      <c r="P208" s="176"/>
      <c r="Q208" s="176"/>
      <c r="R208" s="176"/>
      <c r="S208" s="176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</row>
    <row r="209" spans="1:32" ht="15.75" customHeight="1" x14ac:dyDescent="0.25">
      <c r="A209" s="5"/>
      <c r="B209" s="5"/>
      <c r="C209" s="284"/>
      <c r="D209" s="5"/>
      <c r="E209" s="5"/>
      <c r="F209" s="5"/>
      <c r="G209" s="5"/>
      <c r="H209" s="5"/>
      <c r="I209" s="5"/>
      <c r="J209" s="5"/>
      <c r="K209" s="284"/>
      <c r="L209" s="176"/>
      <c r="M209" s="176"/>
      <c r="N209" s="176"/>
      <c r="O209" s="176"/>
      <c r="P209" s="176"/>
      <c r="Q209" s="176"/>
      <c r="R209" s="176"/>
      <c r="S209" s="176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</row>
    <row r="210" spans="1:32" ht="15.75" customHeight="1" x14ac:dyDescent="0.25">
      <c r="A210" s="5"/>
      <c r="B210" s="5"/>
      <c r="C210" s="284"/>
      <c r="D210" s="5"/>
      <c r="E210" s="5"/>
      <c r="F210" s="5"/>
      <c r="G210" s="5"/>
      <c r="H210" s="5"/>
      <c r="I210" s="5"/>
      <c r="J210" s="5"/>
      <c r="K210" s="284"/>
      <c r="L210" s="176"/>
      <c r="M210" s="176"/>
      <c r="N210" s="176"/>
      <c r="O210" s="176"/>
      <c r="P210" s="176"/>
      <c r="Q210" s="176"/>
      <c r="R210" s="176"/>
      <c r="S210" s="176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</row>
    <row r="211" spans="1:32" ht="15.75" customHeight="1" x14ac:dyDescent="0.25">
      <c r="A211" s="5"/>
      <c r="B211" s="5"/>
      <c r="C211" s="284"/>
      <c r="D211" s="5"/>
      <c r="E211" s="5"/>
      <c r="F211" s="5"/>
      <c r="G211" s="5"/>
      <c r="H211" s="5"/>
      <c r="I211" s="5"/>
      <c r="J211" s="5"/>
      <c r="K211" s="284"/>
      <c r="L211" s="176"/>
      <c r="M211" s="176"/>
      <c r="N211" s="176"/>
      <c r="O211" s="176"/>
      <c r="P211" s="176"/>
      <c r="Q211" s="176"/>
      <c r="R211" s="176"/>
      <c r="S211" s="176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</row>
    <row r="212" spans="1:32" ht="15.75" customHeight="1" x14ac:dyDescent="0.25">
      <c r="A212" s="5"/>
      <c r="B212" s="5"/>
      <c r="C212" s="284"/>
      <c r="D212" s="5"/>
      <c r="E212" s="5"/>
      <c r="F212" s="5"/>
      <c r="G212" s="5"/>
      <c r="H212" s="5"/>
      <c r="I212" s="5"/>
      <c r="J212" s="5"/>
      <c r="K212" s="284"/>
      <c r="L212" s="176"/>
      <c r="M212" s="176"/>
      <c r="N212" s="176"/>
      <c r="O212" s="176"/>
      <c r="P212" s="176"/>
      <c r="Q212" s="176"/>
      <c r="R212" s="176"/>
      <c r="S212" s="176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</row>
    <row r="213" spans="1:32" ht="15.75" customHeight="1" x14ac:dyDescent="0.25">
      <c r="A213" s="5"/>
      <c r="B213" s="5"/>
      <c r="C213" s="284"/>
      <c r="D213" s="5"/>
      <c r="E213" s="5"/>
      <c r="F213" s="5"/>
      <c r="G213" s="5"/>
      <c r="H213" s="5"/>
      <c r="I213" s="5"/>
      <c r="J213" s="5"/>
      <c r="K213" s="284"/>
      <c r="L213" s="176"/>
      <c r="M213" s="176"/>
      <c r="N213" s="176"/>
      <c r="O213" s="176"/>
      <c r="P213" s="176"/>
      <c r="Q213" s="176"/>
      <c r="R213" s="176"/>
      <c r="S213" s="176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</row>
    <row r="214" spans="1:32" ht="15.75" customHeight="1" x14ac:dyDescent="0.25">
      <c r="A214" s="5"/>
      <c r="B214" s="5"/>
      <c r="C214" s="284"/>
      <c r="D214" s="5"/>
      <c r="E214" s="5"/>
      <c r="F214" s="5"/>
      <c r="G214" s="5"/>
      <c r="H214" s="5"/>
      <c r="I214" s="5"/>
      <c r="J214" s="5"/>
      <c r="K214" s="284"/>
      <c r="L214" s="176"/>
      <c r="M214" s="176"/>
      <c r="N214" s="176"/>
      <c r="O214" s="176"/>
      <c r="P214" s="176"/>
      <c r="Q214" s="176"/>
      <c r="R214" s="176"/>
      <c r="S214" s="176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</row>
    <row r="215" spans="1:32" ht="15.75" customHeight="1" x14ac:dyDescent="0.25">
      <c r="A215" s="5"/>
      <c r="B215" s="5"/>
      <c r="C215" s="284"/>
      <c r="D215" s="5"/>
      <c r="E215" s="5"/>
      <c r="F215" s="5"/>
      <c r="G215" s="5"/>
      <c r="H215" s="5"/>
      <c r="I215" s="5"/>
      <c r="J215" s="5"/>
      <c r="K215" s="284"/>
      <c r="L215" s="176"/>
      <c r="M215" s="176"/>
      <c r="N215" s="176"/>
      <c r="O215" s="176"/>
      <c r="P215" s="176"/>
      <c r="Q215" s="176"/>
      <c r="R215" s="176"/>
      <c r="S215" s="176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</row>
    <row r="216" spans="1:32" ht="15.75" customHeight="1" x14ac:dyDescent="0.25">
      <c r="A216" s="5"/>
      <c r="B216" s="5"/>
      <c r="C216" s="284"/>
      <c r="D216" s="5"/>
      <c r="E216" s="5"/>
      <c r="F216" s="5"/>
      <c r="G216" s="5"/>
      <c r="H216" s="5"/>
      <c r="I216" s="5"/>
      <c r="J216" s="5"/>
      <c r="K216" s="284"/>
      <c r="L216" s="176"/>
      <c r="M216" s="176"/>
      <c r="N216" s="176"/>
      <c r="O216" s="176"/>
      <c r="P216" s="176"/>
      <c r="Q216" s="176"/>
      <c r="R216" s="176"/>
      <c r="S216" s="176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</row>
    <row r="217" spans="1:32" ht="15.75" customHeight="1" x14ac:dyDescent="0.25">
      <c r="A217" s="5"/>
      <c r="B217" s="5"/>
      <c r="C217" s="284"/>
      <c r="D217" s="5"/>
      <c r="E217" s="5"/>
      <c r="F217" s="5"/>
      <c r="G217" s="5"/>
      <c r="H217" s="5"/>
      <c r="I217" s="5"/>
      <c r="J217" s="5"/>
      <c r="K217" s="284"/>
      <c r="L217" s="176"/>
      <c r="M217" s="176"/>
      <c r="N217" s="176"/>
      <c r="O217" s="176"/>
      <c r="P217" s="176"/>
      <c r="Q217" s="176"/>
      <c r="R217" s="176"/>
      <c r="S217" s="176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</row>
    <row r="218" spans="1:32" ht="15.75" customHeight="1" x14ac:dyDescent="0.25">
      <c r="A218" s="5"/>
      <c r="B218" s="5"/>
      <c r="C218" s="284"/>
      <c r="D218" s="5"/>
      <c r="E218" s="5"/>
      <c r="F218" s="5"/>
      <c r="G218" s="5"/>
      <c r="H218" s="5"/>
      <c r="I218" s="5"/>
      <c r="J218" s="5"/>
      <c r="K218" s="284"/>
      <c r="L218" s="176"/>
      <c r="M218" s="176"/>
      <c r="N218" s="176"/>
      <c r="O218" s="176"/>
      <c r="P218" s="176"/>
      <c r="Q218" s="176"/>
      <c r="R218" s="176"/>
      <c r="S218" s="176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</row>
    <row r="219" spans="1:32" ht="15.75" customHeight="1" x14ac:dyDescent="0.25">
      <c r="A219" s="5"/>
      <c r="B219" s="5"/>
      <c r="C219" s="284"/>
      <c r="D219" s="5"/>
      <c r="E219" s="5"/>
      <c r="F219" s="5"/>
      <c r="G219" s="5"/>
      <c r="H219" s="5"/>
      <c r="I219" s="5"/>
      <c r="J219" s="5"/>
      <c r="K219" s="284"/>
      <c r="L219" s="176"/>
      <c r="M219" s="176"/>
      <c r="N219" s="176"/>
      <c r="O219" s="176"/>
      <c r="P219" s="176"/>
      <c r="Q219" s="176"/>
      <c r="R219" s="176"/>
      <c r="S219" s="176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</row>
    <row r="220" spans="1:32" ht="15.75" customHeight="1" x14ac:dyDescent="0.25">
      <c r="A220" s="5"/>
      <c r="B220" s="5"/>
      <c r="C220" s="284"/>
      <c r="D220" s="5"/>
      <c r="E220" s="5"/>
      <c r="F220" s="5"/>
      <c r="G220" s="5"/>
      <c r="H220" s="5"/>
      <c r="I220" s="5"/>
      <c r="J220" s="5"/>
      <c r="K220" s="284"/>
      <c r="L220" s="176"/>
      <c r="M220" s="176"/>
      <c r="N220" s="176"/>
      <c r="O220" s="176"/>
      <c r="P220" s="176"/>
      <c r="Q220" s="176"/>
      <c r="R220" s="176"/>
      <c r="S220" s="176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</row>
    <row r="221" spans="1:32" ht="15.75" customHeight="1" x14ac:dyDescent="0.25">
      <c r="A221" s="5"/>
      <c r="B221" s="5"/>
      <c r="C221" s="284"/>
      <c r="D221" s="5"/>
      <c r="E221" s="5"/>
      <c r="F221" s="5"/>
      <c r="G221" s="5"/>
      <c r="H221" s="5"/>
      <c r="I221" s="5"/>
      <c r="J221" s="5"/>
      <c r="K221" s="284"/>
      <c r="L221" s="176"/>
      <c r="M221" s="176"/>
      <c r="N221" s="176"/>
      <c r="O221" s="176"/>
      <c r="P221" s="176"/>
      <c r="Q221" s="176"/>
      <c r="R221" s="176"/>
      <c r="S221" s="176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</row>
    <row r="222" spans="1:32" ht="15.75" customHeight="1" x14ac:dyDescent="0.25">
      <c r="A222" s="5"/>
      <c r="B222" s="5"/>
      <c r="C222" s="284"/>
      <c r="D222" s="5"/>
      <c r="E222" s="5"/>
      <c r="F222" s="5"/>
      <c r="G222" s="5"/>
      <c r="H222" s="5"/>
      <c r="I222" s="5"/>
      <c r="J222" s="5"/>
      <c r="K222" s="284"/>
      <c r="L222" s="176"/>
      <c r="M222" s="176"/>
      <c r="N222" s="176"/>
      <c r="O222" s="176"/>
      <c r="P222" s="176"/>
      <c r="Q222" s="176"/>
      <c r="R222" s="176"/>
      <c r="S222" s="176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</row>
    <row r="223" spans="1:32" ht="15.75" customHeight="1" x14ac:dyDescent="0.25">
      <c r="A223" s="5"/>
      <c r="B223" s="5"/>
      <c r="C223" s="284"/>
      <c r="D223" s="5"/>
      <c r="E223" s="5"/>
      <c r="F223" s="5"/>
      <c r="G223" s="5"/>
      <c r="H223" s="5"/>
      <c r="I223" s="5"/>
      <c r="J223" s="5"/>
      <c r="K223" s="284"/>
      <c r="L223" s="176"/>
      <c r="M223" s="176"/>
      <c r="N223" s="176"/>
      <c r="O223" s="176"/>
      <c r="P223" s="176"/>
      <c r="Q223" s="176"/>
      <c r="R223" s="176"/>
      <c r="S223" s="176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</row>
    <row r="224" spans="1:32" ht="15.75" customHeight="1" x14ac:dyDescent="0.25">
      <c r="A224" s="5"/>
      <c r="B224" s="5"/>
      <c r="C224" s="284"/>
      <c r="D224" s="5"/>
      <c r="E224" s="5"/>
      <c r="F224" s="5"/>
      <c r="G224" s="5"/>
      <c r="H224" s="5"/>
      <c r="I224" s="5"/>
      <c r="J224" s="5"/>
      <c r="K224" s="284"/>
      <c r="L224" s="176"/>
      <c r="M224" s="176"/>
      <c r="N224" s="176"/>
      <c r="O224" s="176"/>
      <c r="P224" s="176"/>
      <c r="Q224" s="176"/>
      <c r="R224" s="176"/>
      <c r="S224" s="176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</row>
    <row r="225" spans="1:32" ht="15.75" customHeight="1" x14ac:dyDescent="0.25">
      <c r="A225" s="5"/>
      <c r="B225" s="5"/>
      <c r="C225" s="284"/>
      <c r="D225" s="5"/>
      <c r="E225" s="5"/>
      <c r="F225" s="5"/>
      <c r="G225" s="5"/>
      <c r="H225" s="5"/>
      <c r="I225" s="5"/>
      <c r="J225" s="5"/>
      <c r="K225" s="284"/>
      <c r="L225" s="176"/>
      <c r="M225" s="176"/>
      <c r="N225" s="176"/>
      <c r="O225" s="176"/>
      <c r="P225" s="176"/>
      <c r="Q225" s="176"/>
      <c r="R225" s="176"/>
      <c r="S225" s="176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</row>
    <row r="226" spans="1:32" ht="15.75" customHeight="1" x14ac:dyDescent="0.25">
      <c r="A226" s="5"/>
      <c r="B226" s="5"/>
      <c r="C226" s="284"/>
      <c r="D226" s="5"/>
      <c r="E226" s="5"/>
      <c r="F226" s="5"/>
      <c r="G226" s="5"/>
      <c r="H226" s="5"/>
      <c r="I226" s="5"/>
      <c r="J226" s="5"/>
      <c r="K226" s="284"/>
      <c r="L226" s="176"/>
      <c r="M226" s="176"/>
      <c r="N226" s="176"/>
      <c r="O226" s="176"/>
      <c r="P226" s="176"/>
      <c r="Q226" s="176"/>
      <c r="R226" s="176"/>
      <c r="S226" s="176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</row>
    <row r="227" spans="1:32" ht="15.75" customHeight="1" x14ac:dyDescent="0.25">
      <c r="A227" s="5"/>
      <c r="B227" s="5"/>
      <c r="C227" s="284"/>
      <c r="D227" s="5"/>
      <c r="E227" s="5"/>
      <c r="F227" s="5"/>
      <c r="G227" s="5"/>
      <c r="H227" s="5"/>
      <c r="I227" s="5"/>
      <c r="J227" s="5"/>
      <c r="K227" s="284"/>
      <c r="L227" s="176"/>
      <c r="M227" s="176"/>
      <c r="N227" s="176"/>
      <c r="O227" s="176"/>
      <c r="P227" s="176"/>
      <c r="Q227" s="176"/>
      <c r="R227" s="176"/>
      <c r="S227" s="176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</row>
    <row r="228" spans="1:32" ht="15.75" customHeight="1" x14ac:dyDescent="0.25">
      <c r="A228" s="5"/>
      <c r="B228" s="5"/>
      <c r="C228" s="284"/>
      <c r="D228" s="5"/>
      <c r="E228" s="5"/>
      <c r="F228" s="5"/>
      <c r="G228" s="5"/>
      <c r="H228" s="5"/>
      <c r="I228" s="5"/>
      <c r="J228" s="5"/>
      <c r="K228" s="284"/>
      <c r="L228" s="176"/>
      <c r="M228" s="176"/>
      <c r="N228" s="176"/>
      <c r="O228" s="176"/>
      <c r="P228" s="176"/>
      <c r="Q228" s="176"/>
      <c r="R228" s="176"/>
      <c r="S228" s="176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</row>
    <row r="229" spans="1:32" ht="15.75" customHeight="1" x14ac:dyDescent="0.25">
      <c r="A229" s="5"/>
      <c r="B229" s="5"/>
      <c r="C229" s="284"/>
      <c r="D229" s="5"/>
      <c r="E229" s="5"/>
      <c r="F229" s="5"/>
      <c r="G229" s="5"/>
      <c r="H229" s="5"/>
      <c r="I229" s="5"/>
      <c r="J229" s="5"/>
      <c r="K229" s="284"/>
      <c r="L229" s="176"/>
      <c r="M229" s="176"/>
      <c r="N229" s="176"/>
      <c r="O229" s="176"/>
      <c r="P229" s="176"/>
      <c r="Q229" s="176"/>
      <c r="R229" s="176"/>
      <c r="S229" s="176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</row>
    <row r="230" spans="1:32" ht="15.75" customHeight="1" x14ac:dyDescent="0.25">
      <c r="A230" s="5"/>
      <c r="B230" s="5"/>
      <c r="C230" s="284"/>
      <c r="D230" s="5"/>
      <c r="E230" s="5"/>
      <c r="F230" s="5"/>
      <c r="G230" s="5"/>
      <c r="H230" s="5"/>
      <c r="I230" s="5"/>
      <c r="J230" s="5"/>
      <c r="K230" s="284"/>
      <c r="L230" s="176"/>
      <c r="M230" s="176"/>
      <c r="N230" s="176"/>
      <c r="O230" s="176"/>
      <c r="P230" s="176"/>
      <c r="Q230" s="176"/>
      <c r="R230" s="176"/>
      <c r="S230" s="176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</row>
    <row r="231" spans="1:32" ht="15.75" customHeight="1" x14ac:dyDescent="0.25">
      <c r="A231" s="5"/>
      <c r="B231" s="5"/>
      <c r="C231" s="284"/>
      <c r="D231" s="5"/>
      <c r="E231" s="5"/>
      <c r="F231" s="5"/>
      <c r="G231" s="5"/>
      <c r="H231" s="5"/>
      <c r="I231" s="5"/>
      <c r="J231" s="5"/>
      <c r="K231" s="284"/>
      <c r="L231" s="176"/>
      <c r="M231" s="176"/>
      <c r="N231" s="176"/>
      <c r="O231" s="176"/>
      <c r="P231" s="176"/>
      <c r="Q231" s="176"/>
      <c r="R231" s="176"/>
      <c r="S231" s="176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</row>
    <row r="232" spans="1:32" ht="15.75" customHeight="1" x14ac:dyDescent="0.25">
      <c r="A232" s="5"/>
      <c r="B232" s="5"/>
      <c r="C232" s="284"/>
      <c r="D232" s="5"/>
      <c r="E232" s="5"/>
      <c r="F232" s="5"/>
      <c r="G232" s="5"/>
      <c r="H232" s="5"/>
      <c r="I232" s="5"/>
      <c r="J232" s="5"/>
      <c r="K232" s="284"/>
      <c r="L232" s="176"/>
      <c r="M232" s="176"/>
      <c r="N232" s="176"/>
      <c r="O232" s="176"/>
      <c r="P232" s="176"/>
      <c r="Q232" s="176"/>
      <c r="R232" s="176"/>
      <c r="S232" s="176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</row>
    <row r="233" spans="1:32" ht="15.75" customHeight="1" x14ac:dyDescent="0.25">
      <c r="A233" s="5"/>
      <c r="B233" s="5"/>
      <c r="C233" s="284"/>
      <c r="D233" s="5"/>
      <c r="E233" s="5"/>
      <c r="F233" s="5"/>
      <c r="G233" s="5"/>
      <c r="H233" s="5"/>
      <c r="I233" s="5"/>
      <c r="J233" s="5"/>
      <c r="K233" s="284"/>
      <c r="L233" s="176"/>
      <c r="M233" s="176"/>
      <c r="N233" s="176"/>
      <c r="O233" s="176"/>
      <c r="P233" s="176"/>
      <c r="Q233" s="176"/>
      <c r="R233" s="176"/>
      <c r="S233" s="176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</row>
    <row r="234" spans="1:32" ht="15.75" customHeight="1" x14ac:dyDescent="0.25">
      <c r="A234" s="5"/>
      <c r="B234" s="5"/>
      <c r="C234" s="284"/>
      <c r="D234" s="5"/>
      <c r="E234" s="5"/>
      <c r="F234" s="5"/>
      <c r="G234" s="5"/>
      <c r="H234" s="5"/>
      <c r="I234" s="5"/>
      <c r="J234" s="5"/>
      <c r="K234" s="284"/>
      <c r="L234" s="176"/>
      <c r="M234" s="176"/>
      <c r="N234" s="176"/>
      <c r="O234" s="176"/>
      <c r="P234" s="176"/>
      <c r="Q234" s="176"/>
      <c r="R234" s="176"/>
      <c r="S234" s="176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</row>
    <row r="235" spans="1:32" ht="15.75" customHeight="1" x14ac:dyDescent="0.25">
      <c r="A235" s="5"/>
      <c r="B235" s="5"/>
      <c r="C235" s="284"/>
      <c r="D235" s="5"/>
      <c r="E235" s="5"/>
      <c r="F235" s="5"/>
      <c r="G235" s="5"/>
      <c r="H235" s="5"/>
      <c r="I235" s="5"/>
      <c r="J235" s="5"/>
      <c r="K235" s="284"/>
      <c r="L235" s="176"/>
      <c r="M235" s="176"/>
      <c r="N235" s="176"/>
      <c r="O235" s="176"/>
      <c r="P235" s="176"/>
      <c r="Q235" s="176"/>
      <c r="R235" s="176"/>
      <c r="S235" s="176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</row>
    <row r="236" spans="1:32" ht="15.75" customHeight="1" x14ac:dyDescent="0.25">
      <c r="A236" s="5"/>
      <c r="B236" s="5"/>
      <c r="C236" s="284"/>
      <c r="D236" s="5"/>
      <c r="E236" s="5"/>
      <c r="F236" s="5"/>
      <c r="G236" s="5"/>
      <c r="H236" s="5"/>
      <c r="I236" s="5"/>
      <c r="J236" s="5"/>
      <c r="K236" s="284"/>
      <c r="L236" s="176"/>
      <c r="M236" s="176"/>
      <c r="N236" s="176"/>
      <c r="O236" s="176"/>
      <c r="P236" s="176"/>
      <c r="Q236" s="176"/>
      <c r="R236" s="176"/>
      <c r="S236" s="176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</row>
    <row r="237" spans="1:32" ht="15.75" customHeight="1" x14ac:dyDescent="0.25">
      <c r="A237" s="5"/>
      <c r="B237" s="5"/>
      <c r="C237" s="284"/>
      <c r="D237" s="5"/>
      <c r="E237" s="5"/>
      <c r="F237" s="5"/>
      <c r="G237" s="5"/>
      <c r="H237" s="5"/>
      <c r="I237" s="5"/>
      <c r="J237" s="5"/>
      <c r="K237" s="284"/>
      <c r="L237" s="176"/>
      <c r="M237" s="176"/>
      <c r="N237" s="176"/>
      <c r="O237" s="176"/>
      <c r="P237" s="176"/>
      <c r="Q237" s="176"/>
      <c r="R237" s="176"/>
      <c r="S237" s="176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</row>
    <row r="238" spans="1:32" ht="15.75" customHeight="1" x14ac:dyDescent="0.25">
      <c r="A238" s="5"/>
      <c r="B238" s="5"/>
      <c r="C238" s="284"/>
      <c r="D238" s="5"/>
      <c r="E238" s="5"/>
      <c r="F238" s="5"/>
      <c r="G238" s="5"/>
      <c r="H238" s="5"/>
      <c r="I238" s="5"/>
      <c r="J238" s="5"/>
      <c r="K238" s="284"/>
      <c r="L238" s="176"/>
      <c r="M238" s="176"/>
      <c r="N238" s="176"/>
      <c r="O238" s="176"/>
      <c r="P238" s="176"/>
      <c r="Q238" s="176"/>
      <c r="R238" s="176"/>
      <c r="S238" s="176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</row>
    <row r="239" spans="1:32" ht="15.75" customHeight="1" x14ac:dyDescent="0.25">
      <c r="A239" s="5"/>
      <c r="B239" s="5"/>
      <c r="C239" s="284"/>
      <c r="D239" s="5"/>
      <c r="E239" s="5"/>
      <c r="F239" s="5"/>
      <c r="G239" s="5"/>
      <c r="H239" s="5"/>
      <c r="I239" s="5"/>
      <c r="J239" s="5"/>
      <c r="K239" s="284"/>
      <c r="L239" s="176"/>
      <c r="M239" s="176"/>
      <c r="N239" s="176"/>
      <c r="O239" s="176"/>
      <c r="P239" s="176"/>
      <c r="Q239" s="176"/>
      <c r="R239" s="176"/>
      <c r="S239" s="176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</row>
    <row r="240" spans="1:32" ht="15.75" customHeight="1" x14ac:dyDescent="0.25">
      <c r="A240" s="5"/>
      <c r="B240" s="5"/>
      <c r="C240" s="284"/>
      <c r="D240" s="5"/>
      <c r="E240" s="5"/>
      <c r="F240" s="5"/>
      <c r="G240" s="5"/>
      <c r="H240" s="5"/>
      <c r="I240" s="5"/>
      <c r="J240" s="5"/>
      <c r="K240" s="284"/>
      <c r="L240" s="176"/>
      <c r="M240" s="176"/>
      <c r="N240" s="176"/>
      <c r="O240" s="176"/>
      <c r="P240" s="176"/>
      <c r="Q240" s="176"/>
      <c r="R240" s="176"/>
      <c r="S240" s="176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</row>
    <row r="241" spans="1:32" ht="15.75" customHeight="1" x14ac:dyDescent="0.25">
      <c r="A241" s="5"/>
      <c r="B241" s="5"/>
      <c r="C241" s="284"/>
      <c r="D241" s="5"/>
      <c r="E241" s="5"/>
      <c r="F241" s="5"/>
      <c r="G241" s="5"/>
      <c r="H241" s="5"/>
      <c r="I241" s="5"/>
      <c r="J241" s="5"/>
      <c r="K241" s="284"/>
      <c r="L241" s="176"/>
      <c r="M241" s="176"/>
      <c r="N241" s="176"/>
      <c r="O241" s="176"/>
      <c r="P241" s="176"/>
      <c r="Q241" s="176"/>
      <c r="R241" s="176"/>
      <c r="S241" s="176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</row>
    <row r="242" spans="1:32" ht="15.75" customHeight="1" x14ac:dyDescent="0.25">
      <c r="A242" s="5"/>
      <c r="B242" s="5"/>
      <c r="C242" s="284"/>
      <c r="D242" s="5"/>
      <c r="E242" s="5"/>
      <c r="F242" s="5"/>
      <c r="G242" s="5"/>
      <c r="H242" s="5"/>
      <c r="I242" s="5"/>
      <c r="J242" s="5"/>
      <c r="K242" s="284"/>
      <c r="L242" s="176"/>
      <c r="M242" s="176"/>
      <c r="N242" s="176"/>
      <c r="O242" s="176"/>
      <c r="P242" s="176"/>
      <c r="Q242" s="176"/>
      <c r="R242" s="176"/>
      <c r="S242" s="176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</row>
    <row r="243" spans="1:32" ht="15.75" customHeight="1" x14ac:dyDescent="0.25">
      <c r="A243" s="5"/>
      <c r="B243" s="5"/>
      <c r="C243" s="284"/>
      <c r="D243" s="5"/>
      <c r="E243" s="5"/>
      <c r="F243" s="5"/>
      <c r="G243" s="5"/>
      <c r="H243" s="5"/>
      <c r="I243" s="5"/>
      <c r="J243" s="5"/>
      <c r="K243" s="284"/>
      <c r="L243" s="176"/>
      <c r="M243" s="176"/>
      <c r="N243" s="176"/>
      <c r="O243" s="176"/>
      <c r="P243" s="176"/>
      <c r="Q243" s="176"/>
      <c r="R243" s="176"/>
      <c r="S243" s="176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</row>
    <row r="244" spans="1:32" ht="15.75" customHeight="1" x14ac:dyDescent="0.25">
      <c r="A244" s="5"/>
      <c r="B244" s="5"/>
      <c r="C244" s="284"/>
      <c r="D244" s="5"/>
      <c r="E244" s="5"/>
      <c r="F244" s="5"/>
      <c r="G244" s="5"/>
      <c r="H244" s="5"/>
      <c r="I244" s="5"/>
      <c r="J244" s="5"/>
      <c r="K244" s="284"/>
      <c r="L244" s="176"/>
      <c r="M244" s="176"/>
      <c r="N244" s="176"/>
      <c r="O244" s="176"/>
      <c r="P244" s="176"/>
      <c r="Q244" s="176"/>
      <c r="R244" s="176"/>
      <c r="S244" s="176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</row>
    <row r="245" spans="1:32" ht="15.75" customHeight="1" x14ac:dyDescent="0.25">
      <c r="A245" s="5"/>
      <c r="B245" s="5"/>
      <c r="C245" s="284"/>
      <c r="D245" s="5"/>
      <c r="E245" s="5"/>
      <c r="F245" s="5"/>
      <c r="G245" s="5"/>
      <c r="H245" s="5"/>
      <c r="I245" s="5"/>
      <c r="J245" s="5"/>
      <c r="K245" s="284"/>
      <c r="L245" s="176"/>
      <c r="M245" s="176"/>
      <c r="N245" s="176"/>
      <c r="O245" s="176"/>
      <c r="P245" s="176"/>
      <c r="Q245" s="176"/>
      <c r="R245" s="176"/>
      <c r="S245" s="176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</row>
    <row r="246" spans="1:32" ht="15.75" customHeight="1" x14ac:dyDescent="0.25">
      <c r="A246" s="5"/>
      <c r="B246" s="5"/>
      <c r="C246" s="284"/>
      <c r="D246" s="5"/>
      <c r="E246" s="5"/>
      <c r="F246" s="5"/>
      <c r="G246" s="5"/>
      <c r="H246" s="5"/>
      <c r="I246" s="5"/>
      <c r="J246" s="5"/>
      <c r="K246" s="284"/>
      <c r="L246" s="176"/>
      <c r="M246" s="176"/>
      <c r="N246" s="176"/>
      <c r="O246" s="176"/>
      <c r="P246" s="176"/>
      <c r="Q246" s="176"/>
      <c r="R246" s="176"/>
      <c r="S246" s="176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</row>
    <row r="247" spans="1:32" ht="15.75" customHeight="1" x14ac:dyDescent="0.25">
      <c r="A247" s="5"/>
      <c r="B247" s="5"/>
      <c r="C247" s="284"/>
      <c r="D247" s="5"/>
      <c r="E247" s="5"/>
      <c r="F247" s="5"/>
      <c r="G247" s="5"/>
      <c r="H247" s="5"/>
      <c r="I247" s="5"/>
      <c r="J247" s="5"/>
      <c r="K247" s="284"/>
      <c r="L247" s="176"/>
      <c r="M247" s="176"/>
      <c r="N247" s="176"/>
      <c r="O247" s="176"/>
      <c r="P247" s="176"/>
      <c r="Q247" s="176"/>
      <c r="R247" s="176"/>
      <c r="S247" s="176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</row>
    <row r="248" spans="1:32" ht="15.75" customHeight="1" x14ac:dyDescent="0.25">
      <c r="A248" s="5"/>
      <c r="B248" s="5"/>
      <c r="C248" s="284"/>
      <c r="D248" s="5"/>
      <c r="E248" s="5"/>
      <c r="F248" s="5"/>
      <c r="G248" s="5"/>
      <c r="H248" s="5"/>
      <c r="I248" s="5"/>
      <c r="J248" s="5"/>
      <c r="K248" s="284"/>
      <c r="L248" s="176"/>
      <c r="M248" s="176"/>
      <c r="N248" s="176"/>
      <c r="O248" s="176"/>
      <c r="P248" s="176"/>
      <c r="Q248" s="176"/>
      <c r="R248" s="176"/>
      <c r="S248" s="176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</row>
    <row r="249" spans="1:32" ht="15.75" customHeight="1" x14ac:dyDescent="0.25">
      <c r="A249" s="5"/>
      <c r="B249" s="5"/>
      <c r="C249" s="284"/>
      <c r="D249" s="5"/>
      <c r="E249" s="5"/>
      <c r="F249" s="5"/>
      <c r="G249" s="5"/>
      <c r="H249" s="5"/>
      <c r="I249" s="5"/>
      <c r="J249" s="5"/>
      <c r="K249" s="284"/>
      <c r="L249" s="176"/>
      <c r="M249" s="176"/>
      <c r="N249" s="176"/>
      <c r="O249" s="176"/>
      <c r="P249" s="176"/>
      <c r="Q249" s="176"/>
      <c r="R249" s="176"/>
      <c r="S249" s="176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</row>
    <row r="250" spans="1:32" ht="15.75" customHeight="1" x14ac:dyDescent="0.25">
      <c r="A250" s="5"/>
      <c r="B250" s="5"/>
      <c r="C250" s="284"/>
      <c r="D250" s="5"/>
      <c r="E250" s="5"/>
      <c r="F250" s="5"/>
      <c r="G250" s="5"/>
      <c r="H250" s="5"/>
      <c r="I250" s="5"/>
      <c r="J250" s="5"/>
      <c r="K250" s="284"/>
      <c r="L250" s="176"/>
      <c r="M250" s="176"/>
      <c r="N250" s="176"/>
      <c r="O250" s="176"/>
      <c r="P250" s="176"/>
      <c r="Q250" s="176"/>
      <c r="R250" s="176"/>
      <c r="S250" s="176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</row>
    <row r="251" spans="1:32" ht="15.75" customHeight="1" x14ac:dyDescent="0.25">
      <c r="A251" s="5"/>
      <c r="B251" s="5"/>
      <c r="C251" s="284"/>
      <c r="D251" s="5"/>
      <c r="E251" s="5"/>
      <c r="F251" s="5"/>
      <c r="G251" s="5"/>
      <c r="H251" s="5"/>
      <c r="I251" s="5"/>
      <c r="J251" s="5"/>
      <c r="K251" s="284"/>
      <c r="L251" s="176"/>
      <c r="M251" s="176"/>
      <c r="N251" s="176"/>
      <c r="O251" s="176"/>
      <c r="P251" s="176"/>
      <c r="Q251" s="176"/>
      <c r="R251" s="176"/>
      <c r="S251" s="176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</row>
    <row r="252" spans="1:32" ht="15.75" customHeight="1" x14ac:dyDescent="0.25">
      <c r="A252" s="5"/>
      <c r="B252" s="5"/>
      <c r="C252" s="284"/>
      <c r="D252" s="5"/>
      <c r="E252" s="5"/>
      <c r="F252" s="5"/>
      <c r="G252" s="5"/>
      <c r="H252" s="5"/>
      <c r="I252" s="5"/>
      <c r="J252" s="5"/>
      <c r="K252" s="284"/>
      <c r="L252" s="176"/>
      <c r="M252" s="176"/>
      <c r="N252" s="176"/>
      <c r="O252" s="176"/>
      <c r="P252" s="176"/>
      <c r="Q252" s="176"/>
      <c r="R252" s="176"/>
      <c r="S252" s="176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</row>
    <row r="253" spans="1:32" ht="15.75" customHeight="1" x14ac:dyDescent="0.25">
      <c r="A253" s="5"/>
      <c r="B253" s="5"/>
      <c r="C253" s="284"/>
      <c r="D253" s="5"/>
      <c r="E253" s="5"/>
      <c r="F253" s="5"/>
      <c r="G253" s="5"/>
      <c r="H253" s="5"/>
      <c r="I253" s="5"/>
      <c r="J253" s="5"/>
      <c r="K253" s="284"/>
      <c r="L253" s="176"/>
      <c r="M253" s="176"/>
      <c r="N253" s="176"/>
      <c r="O253" s="176"/>
      <c r="P253" s="176"/>
      <c r="Q253" s="176"/>
      <c r="R253" s="176"/>
      <c r="S253" s="176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</row>
    <row r="254" spans="1:32" ht="15.75" customHeight="1" x14ac:dyDescent="0.25">
      <c r="A254" s="5"/>
      <c r="B254" s="5"/>
      <c r="C254" s="284"/>
      <c r="D254" s="5"/>
      <c r="E254" s="5"/>
      <c r="F254" s="5"/>
      <c r="G254" s="5"/>
      <c r="H254" s="5"/>
      <c r="I254" s="5"/>
      <c r="J254" s="5"/>
      <c r="K254" s="284"/>
      <c r="L254" s="176"/>
      <c r="M254" s="176"/>
      <c r="N254" s="176"/>
      <c r="O254" s="176"/>
      <c r="P254" s="176"/>
      <c r="Q254" s="176"/>
      <c r="R254" s="176"/>
      <c r="S254" s="176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</row>
    <row r="255" spans="1:32" ht="15.75" customHeight="1" x14ac:dyDescent="0.25">
      <c r="A255" s="5"/>
      <c r="B255" s="5"/>
      <c r="C255" s="284"/>
      <c r="D255" s="5"/>
      <c r="E255" s="5"/>
      <c r="F255" s="5"/>
      <c r="G255" s="5"/>
      <c r="H255" s="5"/>
      <c r="I255" s="5"/>
      <c r="J255" s="5"/>
      <c r="K255" s="284"/>
      <c r="L255" s="176"/>
      <c r="M255" s="176"/>
      <c r="N255" s="176"/>
      <c r="O255" s="176"/>
      <c r="P255" s="176"/>
      <c r="Q255" s="176"/>
      <c r="R255" s="176"/>
      <c r="S255" s="176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</row>
    <row r="256" spans="1:32" ht="15.75" customHeight="1" x14ac:dyDescent="0.25">
      <c r="A256" s="5"/>
      <c r="B256" s="5"/>
      <c r="C256" s="284"/>
      <c r="D256" s="5"/>
      <c r="E256" s="5"/>
      <c r="F256" s="5"/>
      <c r="G256" s="5"/>
      <c r="H256" s="5"/>
      <c r="I256" s="5"/>
      <c r="J256" s="5"/>
      <c r="K256" s="284"/>
      <c r="L256" s="176"/>
      <c r="M256" s="176"/>
      <c r="N256" s="176"/>
      <c r="O256" s="176"/>
      <c r="P256" s="176"/>
      <c r="Q256" s="176"/>
      <c r="R256" s="176"/>
      <c r="S256" s="176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</row>
    <row r="257" spans="1:32" ht="15.75" customHeight="1" x14ac:dyDescent="0.25">
      <c r="A257" s="5"/>
      <c r="B257" s="5"/>
      <c r="C257" s="284"/>
      <c r="D257" s="5"/>
      <c r="E257" s="5"/>
      <c r="F257" s="5"/>
      <c r="G257" s="5"/>
      <c r="H257" s="5"/>
      <c r="I257" s="5"/>
      <c r="J257" s="5"/>
      <c r="K257" s="284"/>
      <c r="L257" s="176"/>
      <c r="M257" s="176"/>
      <c r="N257" s="176"/>
      <c r="O257" s="176"/>
      <c r="P257" s="176"/>
      <c r="Q257" s="176"/>
      <c r="R257" s="176"/>
      <c r="S257" s="176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</row>
    <row r="258" spans="1:32" ht="15.75" customHeight="1" x14ac:dyDescent="0.25">
      <c r="A258" s="5"/>
      <c r="B258" s="5"/>
      <c r="C258" s="284"/>
      <c r="D258" s="5"/>
      <c r="E258" s="5"/>
      <c r="F258" s="5"/>
      <c r="G258" s="5"/>
      <c r="H258" s="5"/>
      <c r="I258" s="5"/>
      <c r="J258" s="5"/>
      <c r="K258" s="284"/>
      <c r="L258" s="176"/>
      <c r="M258" s="176"/>
      <c r="N258" s="176"/>
      <c r="O258" s="176"/>
      <c r="P258" s="176"/>
      <c r="Q258" s="176"/>
      <c r="R258" s="176"/>
      <c r="S258" s="176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</row>
    <row r="259" spans="1:32" ht="15.75" customHeight="1" x14ac:dyDescent="0.25">
      <c r="A259" s="5"/>
      <c r="B259" s="5"/>
      <c r="C259" s="284"/>
      <c r="D259" s="5"/>
      <c r="E259" s="5"/>
      <c r="F259" s="5"/>
      <c r="G259" s="5"/>
      <c r="H259" s="5"/>
      <c r="I259" s="5"/>
      <c r="J259" s="5"/>
      <c r="K259" s="284"/>
      <c r="L259" s="176"/>
      <c r="M259" s="176"/>
      <c r="N259" s="176"/>
      <c r="O259" s="176"/>
      <c r="P259" s="176"/>
      <c r="Q259" s="176"/>
      <c r="R259" s="176"/>
      <c r="S259" s="176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</row>
    <row r="260" spans="1:32" ht="15.75" customHeight="1" x14ac:dyDescent="0.25">
      <c r="A260" s="5"/>
      <c r="B260" s="5"/>
      <c r="C260" s="284"/>
      <c r="D260" s="5"/>
      <c r="E260" s="5"/>
      <c r="F260" s="5"/>
      <c r="G260" s="5"/>
      <c r="H260" s="5"/>
      <c r="I260" s="5"/>
      <c r="J260" s="5"/>
      <c r="K260" s="284"/>
      <c r="L260" s="176"/>
      <c r="M260" s="176"/>
      <c r="N260" s="176"/>
      <c r="O260" s="176"/>
      <c r="P260" s="176"/>
      <c r="Q260" s="176"/>
      <c r="R260" s="176"/>
      <c r="S260" s="176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</row>
    <row r="261" spans="1:32" ht="15.75" customHeight="1" x14ac:dyDescent="0.25">
      <c r="A261" s="5"/>
      <c r="B261" s="5"/>
      <c r="C261" s="284"/>
      <c r="D261" s="5"/>
      <c r="E261" s="5"/>
      <c r="F261" s="5"/>
      <c r="G261" s="5"/>
      <c r="H261" s="5"/>
      <c r="I261" s="5"/>
      <c r="J261" s="5"/>
      <c r="K261" s="284"/>
      <c r="L261" s="176"/>
      <c r="M261" s="176"/>
      <c r="N261" s="176"/>
      <c r="O261" s="176"/>
      <c r="P261" s="176"/>
      <c r="Q261" s="176"/>
      <c r="R261" s="176"/>
      <c r="S261" s="176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</row>
    <row r="262" spans="1:32" ht="15.75" customHeight="1" x14ac:dyDescent="0.25">
      <c r="A262" s="5"/>
      <c r="B262" s="5"/>
      <c r="C262" s="284"/>
      <c r="D262" s="5"/>
      <c r="E262" s="5"/>
      <c r="F262" s="5"/>
      <c r="G262" s="5"/>
      <c r="H262" s="5"/>
      <c r="I262" s="5"/>
      <c r="J262" s="5"/>
      <c r="K262" s="284"/>
      <c r="L262" s="176"/>
      <c r="M262" s="176"/>
      <c r="N262" s="176"/>
      <c r="O262" s="176"/>
      <c r="P262" s="176"/>
      <c r="Q262" s="176"/>
      <c r="R262" s="176"/>
      <c r="S262" s="176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</row>
    <row r="263" spans="1:32" ht="15.75" customHeight="1" x14ac:dyDescent="0.25">
      <c r="A263" s="5"/>
      <c r="B263" s="5"/>
      <c r="C263" s="284"/>
      <c r="D263" s="5"/>
      <c r="E263" s="5"/>
      <c r="F263" s="5"/>
      <c r="G263" s="5"/>
      <c r="H263" s="5"/>
      <c r="I263" s="5"/>
      <c r="J263" s="5"/>
      <c r="K263" s="284"/>
      <c r="L263" s="176"/>
      <c r="M263" s="176"/>
      <c r="N263" s="176"/>
      <c r="O263" s="176"/>
      <c r="P263" s="176"/>
      <c r="Q263" s="176"/>
      <c r="R263" s="176"/>
      <c r="S263" s="176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</row>
    <row r="264" spans="1:32" ht="15.75" customHeight="1" x14ac:dyDescent="0.25">
      <c r="A264" s="5"/>
      <c r="B264" s="5"/>
      <c r="C264" s="284"/>
      <c r="D264" s="5"/>
      <c r="E264" s="5"/>
      <c r="F264" s="5"/>
      <c r="G264" s="5"/>
      <c r="H264" s="5"/>
      <c r="I264" s="5"/>
      <c r="J264" s="5"/>
      <c r="K264" s="284"/>
      <c r="L264" s="176"/>
      <c r="M264" s="176"/>
      <c r="N264" s="176"/>
      <c r="O264" s="176"/>
      <c r="P264" s="176"/>
      <c r="Q264" s="176"/>
      <c r="R264" s="176"/>
      <c r="S264" s="176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</row>
    <row r="265" spans="1:32" ht="15.75" customHeight="1" x14ac:dyDescent="0.25">
      <c r="A265" s="5"/>
      <c r="B265" s="5"/>
      <c r="C265" s="284"/>
      <c r="D265" s="5"/>
      <c r="E265" s="5"/>
      <c r="F265" s="5"/>
      <c r="G265" s="5"/>
      <c r="H265" s="5"/>
      <c r="I265" s="5"/>
      <c r="J265" s="5"/>
      <c r="K265" s="284"/>
      <c r="L265" s="176"/>
      <c r="M265" s="176"/>
      <c r="N265" s="176"/>
      <c r="O265" s="176"/>
      <c r="P265" s="176"/>
      <c r="Q265" s="176"/>
      <c r="R265" s="176"/>
      <c r="S265" s="176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</row>
    <row r="266" spans="1:32" ht="15.75" customHeight="1" x14ac:dyDescent="0.25">
      <c r="A266" s="5"/>
      <c r="B266" s="5"/>
      <c r="C266" s="284"/>
      <c r="D266" s="5"/>
      <c r="E266" s="5"/>
      <c r="F266" s="5"/>
      <c r="G266" s="5"/>
      <c r="H266" s="5"/>
      <c r="I266" s="5"/>
      <c r="J266" s="5"/>
      <c r="K266" s="284"/>
      <c r="L266" s="176"/>
      <c r="M266" s="176"/>
      <c r="N266" s="176"/>
      <c r="O266" s="176"/>
      <c r="P266" s="176"/>
      <c r="Q266" s="176"/>
      <c r="R266" s="176"/>
      <c r="S266" s="176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</row>
    <row r="267" spans="1:32" ht="15.75" customHeight="1" x14ac:dyDescent="0.25">
      <c r="A267" s="5"/>
      <c r="B267" s="5"/>
      <c r="C267" s="284"/>
      <c r="D267" s="5"/>
      <c r="E267" s="5"/>
      <c r="F267" s="5"/>
      <c r="G267" s="5"/>
      <c r="H267" s="5"/>
      <c r="I267" s="5"/>
      <c r="J267" s="5"/>
      <c r="K267" s="284"/>
      <c r="L267" s="176"/>
      <c r="M267" s="176"/>
      <c r="N267" s="176"/>
      <c r="O267" s="176"/>
      <c r="P267" s="176"/>
      <c r="Q267" s="176"/>
      <c r="R267" s="176"/>
      <c r="S267" s="176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</row>
    <row r="268" spans="1:32" ht="15.75" customHeight="1" x14ac:dyDescent="0.25">
      <c r="A268" s="5"/>
      <c r="B268" s="5"/>
      <c r="C268" s="284"/>
      <c r="D268" s="5"/>
      <c r="E268" s="5"/>
      <c r="F268" s="5"/>
      <c r="G268" s="5"/>
      <c r="H268" s="5"/>
      <c r="I268" s="5"/>
      <c r="J268" s="5"/>
      <c r="K268" s="284"/>
      <c r="L268" s="176"/>
      <c r="M268" s="176"/>
      <c r="N268" s="176"/>
      <c r="O268" s="176"/>
      <c r="P268" s="176"/>
      <c r="Q268" s="176"/>
      <c r="R268" s="176"/>
      <c r="S268" s="176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</row>
    <row r="269" spans="1:32" ht="15.75" customHeight="1" x14ac:dyDescent="0.25">
      <c r="A269" s="5"/>
      <c r="B269" s="5"/>
      <c r="C269" s="284"/>
      <c r="D269" s="5"/>
      <c r="E269" s="5"/>
      <c r="F269" s="5"/>
      <c r="G269" s="5"/>
      <c r="H269" s="5"/>
      <c r="I269" s="5"/>
      <c r="J269" s="5"/>
      <c r="K269" s="284"/>
      <c r="L269" s="176"/>
      <c r="M269" s="176"/>
      <c r="N269" s="176"/>
      <c r="O269" s="176"/>
      <c r="P269" s="176"/>
      <c r="Q269" s="176"/>
      <c r="R269" s="176"/>
      <c r="S269" s="176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</row>
    <row r="270" spans="1:32" ht="15.75" customHeight="1" x14ac:dyDescent="0.25">
      <c r="A270" s="5"/>
      <c r="B270" s="5"/>
      <c r="C270" s="284"/>
      <c r="D270" s="5"/>
      <c r="E270" s="5"/>
      <c r="F270" s="5"/>
      <c r="G270" s="5"/>
      <c r="H270" s="5"/>
      <c r="I270" s="5"/>
      <c r="J270" s="5"/>
      <c r="K270" s="284"/>
      <c r="L270" s="176"/>
      <c r="M270" s="176"/>
      <c r="N270" s="176"/>
      <c r="O270" s="176"/>
      <c r="P270" s="176"/>
      <c r="Q270" s="176"/>
      <c r="R270" s="176"/>
      <c r="S270" s="176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</row>
    <row r="271" spans="1:32" ht="15.75" customHeight="1" x14ac:dyDescent="0.25">
      <c r="A271" s="5"/>
      <c r="B271" s="5"/>
      <c r="C271" s="284"/>
      <c r="D271" s="5"/>
      <c r="E271" s="5"/>
      <c r="F271" s="5"/>
      <c r="G271" s="5"/>
      <c r="H271" s="5"/>
      <c r="I271" s="5"/>
      <c r="J271" s="5"/>
      <c r="K271" s="284"/>
      <c r="L271" s="176"/>
      <c r="M271" s="176"/>
      <c r="N271" s="176"/>
      <c r="O271" s="176"/>
      <c r="P271" s="176"/>
      <c r="Q271" s="176"/>
      <c r="R271" s="176"/>
      <c r="S271" s="176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</row>
    <row r="272" spans="1:32" ht="15.75" customHeight="1" x14ac:dyDescent="0.25">
      <c r="A272" s="5"/>
      <c r="B272" s="5"/>
      <c r="C272" s="284"/>
      <c r="D272" s="5"/>
      <c r="E272" s="5"/>
      <c r="F272" s="5"/>
      <c r="G272" s="5"/>
      <c r="H272" s="5"/>
      <c r="I272" s="5"/>
      <c r="J272" s="5"/>
      <c r="K272" s="284"/>
      <c r="L272" s="176"/>
      <c r="M272" s="176"/>
      <c r="N272" s="176"/>
      <c r="O272" s="176"/>
      <c r="P272" s="176"/>
      <c r="Q272" s="176"/>
      <c r="R272" s="176"/>
      <c r="S272" s="176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</row>
    <row r="273" spans="1:32" ht="15.75" customHeight="1" x14ac:dyDescent="0.25">
      <c r="A273" s="5"/>
      <c r="B273" s="5"/>
      <c r="C273" s="284"/>
      <c r="D273" s="5"/>
      <c r="E273" s="5"/>
      <c r="F273" s="5"/>
      <c r="G273" s="5"/>
      <c r="H273" s="5"/>
      <c r="I273" s="5"/>
      <c r="J273" s="5"/>
      <c r="K273" s="284"/>
      <c r="L273" s="176"/>
      <c r="M273" s="176"/>
      <c r="N273" s="176"/>
      <c r="O273" s="176"/>
      <c r="P273" s="176"/>
      <c r="Q273" s="176"/>
      <c r="R273" s="176"/>
      <c r="S273" s="176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</row>
    <row r="274" spans="1:32" ht="15.75" customHeight="1" x14ac:dyDescent="0.25">
      <c r="A274" s="5"/>
      <c r="B274" s="5"/>
      <c r="C274" s="284"/>
      <c r="D274" s="5"/>
      <c r="E274" s="5"/>
      <c r="F274" s="5"/>
      <c r="G274" s="5"/>
      <c r="H274" s="5"/>
      <c r="I274" s="5"/>
      <c r="J274" s="5"/>
      <c r="K274" s="284"/>
      <c r="L274" s="176"/>
      <c r="M274" s="176"/>
      <c r="N274" s="176"/>
      <c r="O274" s="176"/>
      <c r="P274" s="176"/>
      <c r="Q274" s="176"/>
      <c r="R274" s="176"/>
      <c r="S274" s="176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</row>
    <row r="275" spans="1:32" ht="15.75" customHeight="1" x14ac:dyDescent="0.25">
      <c r="A275" s="5"/>
      <c r="B275" s="5"/>
      <c r="C275" s="284"/>
      <c r="D275" s="5"/>
      <c r="E275" s="5"/>
      <c r="F275" s="5"/>
      <c r="G275" s="5"/>
      <c r="H275" s="5"/>
      <c r="I275" s="5"/>
      <c r="J275" s="5"/>
      <c r="K275" s="284"/>
      <c r="L275" s="176"/>
      <c r="M275" s="176"/>
      <c r="N275" s="176"/>
      <c r="O275" s="176"/>
      <c r="P275" s="176"/>
      <c r="Q275" s="176"/>
      <c r="R275" s="176"/>
      <c r="S275" s="176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</row>
    <row r="276" spans="1:32" ht="15.75" customHeight="1" x14ac:dyDescent="0.25">
      <c r="A276" s="5"/>
      <c r="B276" s="5"/>
      <c r="C276" s="284"/>
      <c r="D276" s="5"/>
      <c r="E276" s="5"/>
      <c r="F276" s="5"/>
      <c r="G276" s="5"/>
      <c r="H276" s="5"/>
      <c r="I276" s="5"/>
      <c r="J276" s="5"/>
      <c r="K276" s="284"/>
      <c r="L276" s="176"/>
      <c r="M276" s="176"/>
      <c r="N276" s="176"/>
      <c r="O276" s="176"/>
      <c r="P276" s="176"/>
      <c r="Q276" s="176"/>
      <c r="R276" s="176"/>
      <c r="S276" s="176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</row>
    <row r="277" spans="1:32" ht="15.75" customHeight="1" x14ac:dyDescent="0.25">
      <c r="A277" s="5"/>
      <c r="B277" s="5"/>
      <c r="C277" s="284"/>
      <c r="D277" s="5"/>
      <c r="E277" s="5"/>
      <c r="F277" s="5"/>
      <c r="G277" s="5"/>
      <c r="H277" s="5"/>
      <c r="I277" s="5"/>
      <c r="J277" s="5"/>
      <c r="K277" s="284"/>
      <c r="L277" s="176"/>
      <c r="M277" s="176"/>
      <c r="N277" s="176"/>
      <c r="O277" s="176"/>
      <c r="P277" s="176"/>
      <c r="Q277" s="176"/>
      <c r="R277" s="176"/>
      <c r="S277" s="176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</row>
    <row r="278" spans="1:32" ht="15.75" customHeight="1" x14ac:dyDescent="0.25">
      <c r="A278" s="5"/>
      <c r="B278" s="5"/>
      <c r="C278" s="284"/>
      <c r="D278" s="5"/>
      <c r="E278" s="5"/>
      <c r="F278" s="5"/>
      <c r="G278" s="5"/>
      <c r="H278" s="5"/>
      <c r="I278" s="5"/>
      <c r="J278" s="5"/>
      <c r="K278" s="284"/>
      <c r="L278" s="176"/>
      <c r="M278" s="176"/>
      <c r="N278" s="176"/>
      <c r="O278" s="176"/>
      <c r="P278" s="176"/>
      <c r="Q278" s="176"/>
      <c r="R278" s="176"/>
      <c r="S278" s="176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</row>
    <row r="279" spans="1:32" ht="15.75" customHeight="1" x14ac:dyDescent="0.25">
      <c r="A279" s="5"/>
      <c r="B279" s="5"/>
      <c r="C279" s="284"/>
      <c r="D279" s="5"/>
      <c r="E279" s="5"/>
      <c r="F279" s="5"/>
      <c r="G279" s="5"/>
      <c r="H279" s="5"/>
      <c r="I279" s="5"/>
      <c r="J279" s="5"/>
      <c r="K279" s="284"/>
      <c r="L279" s="176"/>
      <c r="M279" s="176"/>
      <c r="N279" s="176"/>
      <c r="O279" s="176"/>
      <c r="P279" s="176"/>
      <c r="Q279" s="176"/>
      <c r="R279" s="176"/>
      <c r="S279" s="176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</row>
    <row r="280" spans="1:32" ht="15.75" customHeight="1" x14ac:dyDescent="0.25">
      <c r="A280" s="5"/>
      <c r="B280" s="5"/>
      <c r="C280" s="284"/>
      <c r="D280" s="5"/>
      <c r="E280" s="5"/>
      <c r="F280" s="5"/>
      <c r="G280" s="5"/>
      <c r="H280" s="5"/>
      <c r="I280" s="5"/>
      <c r="J280" s="5"/>
      <c r="K280" s="284"/>
      <c r="L280" s="176"/>
      <c r="M280" s="176"/>
      <c r="N280" s="176"/>
      <c r="O280" s="176"/>
      <c r="P280" s="176"/>
      <c r="Q280" s="176"/>
      <c r="R280" s="176"/>
      <c r="S280" s="176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</row>
    <row r="281" spans="1:32" ht="15.75" customHeight="1" x14ac:dyDescent="0.25">
      <c r="A281" s="5"/>
      <c r="B281" s="5"/>
      <c r="C281" s="284"/>
      <c r="D281" s="5"/>
      <c r="E281" s="5"/>
      <c r="F281" s="5"/>
      <c r="G281" s="5"/>
      <c r="H281" s="5"/>
      <c r="I281" s="5"/>
      <c r="J281" s="5"/>
      <c r="K281" s="284"/>
      <c r="L281" s="176"/>
      <c r="M281" s="176"/>
      <c r="N281" s="176"/>
      <c r="O281" s="176"/>
      <c r="P281" s="176"/>
      <c r="Q281" s="176"/>
      <c r="R281" s="176"/>
      <c r="S281" s="176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</row>
    <row r="282" spans="1:32" ht="15.75" customHeight="1" x14ac:dyDescent="0.25">
      <c r="A282" s="5"/>
      <c r="B282" s="5"/>
      <c r="C282" s="284"/>
      <c r="D282" s="5"/>
      <c r="E282" s="5"/>
      <c r="F282" s="5"/>
      <c r="G282" s="5"/>
      <c r="H282" s="5"/>
      <c r="I282" s="5"/>
      <c r="J282" s="5"/>
      <c r="K282" s="284"/>
      <c r="L282" s="176"/>
      <c r="M282" s="176"/>
      <c r="N282" s="176"/>
      <c r="O282" s="176"/>
      <c r="P282" s="176"/>
      <c r="Q282" s="176"/>
      <c r="R282" s="176"/>
      <c r="S282" s="176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</row>
    <row r="283" spans="1:32" ht="15.75" customHeight="1" x14ac:dyDescent="0.25">
      <c r="A283" s="5"/>
      <c r="B283" s="5"/>
      <c r="C283" s="284"/>
      <c r="D283" s="5"/>
      <c r="E283" s="5"/>
      <c r="F283" s="5"/>
      <c r="G283" s="5"/>
      <c r="H283" s="5"/>
      <c r="I283" s="5"/>
      <c r="J283" s="5"/>
      <c r="K283" s="284"/>
      <c r="L283" s="176"/>
      <c r="M283" s="176"/>
      <c r="N283" s="176"/>
      <c r="O283" s="176"/>
      <c r="P283" s="176"/>
      <c r="Q283" s="176"/>
      <c r="R283" s="176"/>
      <c r="S283" s="176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</row>
    <row r="284" spans="1:32" ht="15.75" customHeight="1" x14ac:dyDescent="0.25">
      <c r="A284" s="5"/>
      <c r="B284" s="5"/>
      <c r="C284" s="284"/>
      <c r="D284" s="5"/>
      <c r="E284" s="5"/>
      <c r="F284" s="5"/>
      <c r="G284" s="5"/>
      <c r="H284" s="5"/>
      <c r="I284" s="5"/>
      <c r="J284" s="5"/>
      <c r="K284" s="284"/>
      <c r="L284" s="176"/>
      <c r="M284" s="176"/>
      <c r="N284" s="176"/>
      <c r="O284" s="176"/>
      <c r="P284" s="176"/>
      <c r="Q284" s="176"/>
      <c r="R284" s="176"/>
      <c r="S284" s="176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</row>
    <row r="285" spans="1:32" ht="15.75" customHeight="1" x14ac:dyDescent="0.25">
      <c r="A285" s="5"/>
      <c r="B285" s="5"/>
      <c r="C285" s="284"/>
      <c r="D285" s="5"/>
      <c r="E285" s="5"/>
      <c r="F285" s="5"/>
      <c r="G285" s="5"/>
      <c r="H285" s="5"/>
      <c r="I285" s="5"/>
      <c r="J285" s="5"/>
      <c r="K285" s="284"/>
      <c r="L285" s="176"/>
      <c r="M285" s="176"/>
      <c r="N285" s="176"/>
      <c r="O285" s="176"/>
      <c r="P285" s="176"/>
      <c r="Q285" s="176"/>
      <c r="R285" s="176"/>
      <c r="S285" s="176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</row>
    <row r="286" spans="1:32" ht="15.75" customHeight="1" x14ac:dyDescent="0.25">
      <c r="A286" s="5"/>
      <c r="B286" s="5"/>
      <c r="C286" s="284"/>
      <c r="D286" s="5"/>
      <c r="E286" s="5"/>
      <c r="F286" s="5"/>
      <c r="G286" s="5"/>
      <c r="H286" s="5"/>
      <c r="I286" s="5"/>
      <c r="J286" s="5"/>
      <c r="K286" s="284"/>
      <c r="L286" s="176"/>
      <c r="M286" s="176"/>
      <c r="N286" s="176"/>
      <c r="O286" s="176"/>
      <c r="P286" s="176"/>
      <c r="Q286" s="176"/>
      <c r="R286" s="176"/>
      <c r="S286" s="176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</row>
    <row r="287" spans="1:32" ht="15.75" customHeight="1" x14ac:dyDescent="0.25">
      <c r="A287" s="5"/>
      <c r="B287" s="5"/>
      <c r="C287" s="284"/>
      <c r="D287" s="5"/>
      <c r="E287" s="5"/>
      <c r="F287" s="5"/>
      <c r="G287" s="5"/>
      <c r="H287" s="5"/>
      <c r="I287" s="5"/>
      <c r="J287" s="5"/>
      <c r="K287" s="284"/>
      <c r="L287" s="176"/>
      <c r="M287" s="176"/>
      <c r="N287" s="176"/>
      <c r="O287" s="176"/>
      <c r="P287" s="176"/>
      <c r="Q287" s="176"/>
      <c r="R287" s="176"/>
      <c r="S287" s="176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</row>
    <row r="288" spans="1:32" ht="15.75" customHeight="1" x14ac:dyDescent="0.25">
      <c r="A288" s="5"/>
      <c r="B288" s="5"/>
      <c r="C288" s="284"/>
      <c r="D288" s="5"/>
      <c r="E288" s="5"/>
      <c r="F288" s="5"/>
      <c r="G288" s="5"/>
      <c r="H288" s="5"/>
      <c r="I288" s="5"/>
      <c r="J288" s="5"/>
      <c r="K288" s="284"/>
      <c r="L288" s="176"/>
      <c r="M288" s="176"/>
      <c r="N288" s="176"/>
      <c r="O288" s="176"/>
      <c r="P288" s="176"/>
      <c r="Q288" s="176"/>
      <c r="R288" s="176"/>
      <c r="S288" s="176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</row>
    <row r="289" spans="1:32" ht="15.75" customHeight="1" x14ac:dyDescent="0.25">
      <c r="A289" s="5"/>
      <c r="B289" s="5"/>
      <c r="C289" s="284"/>
      <c r="D289" s="5"/>
      <c r="E289" s="5"/>
      <c r="F289" s="5"/>
      <c r="G289" s="5"/>
      <c r="H289" s="5"/>
      <c r="I289" s="5"/>
      <c r="J289" s="5"/>
      <c r="K289" s="284"/>
      <c r="L289" s="176"/>
      <c r="M289" s="176"/>
      <c r="N289" s="176"/>
      <c r="O289" s="176"/>
      <c r="P289" s="176"/>
      <c r="Q289" s="176"/>
      <c r="R289" s="176"/>
      <c r="S289" s="176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</row>
    <row r="290" spans="1:32" ht="15.75" customHeight="1" x14ac:dyDescent="0.25">
      <c r="A290" s="5"/>
      <c r="B290" s="5"/>
      <c r="C290" s="284"/>
      <c r="D290" s="5"/>
      <c r="E290" s="5"/>
      <c r="F290" s="5"/>
      <c r="G290" s="5"/>
      <c r="H290" s="5"/>
      <c r="I290" s="5"/>
      <c r="J290" s="5"/>
      <c r="K290" s="284"/>
      <c r="L290" s="176"/>
      <c r="M290" s="176"/>
      <c r="N290" s="176"/>
      <c r="O290" s="176"/>
      <c r="P290" s="176"/>
      <c r="Q290" s="176"/>
      <c r="R290" s="176"/>
      <c r="S290" s="176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</row>
    <row r="291" spans="1:32" ht="15.75" customHeight="1" x14ac:dyDescent="0.25">
      <c r="A291" s="5"/>
      <c r="B291" s="5"/>
      <c r="C291" s="284"/>
      <c r="D291" s="5"/>
      <c r="E291" s="5"/>
      <c r="F291" s="5"/>
      <c r="G291" s="5"/>
      <c r="H291" s="5"/>
      <c r="I291" s="5"/>
      <c r="J291" s="5"/>
      <c r="K291" s="284"/>
      <c r="L291" s="176"/>
      <c r="M291" s="176"/>
      <c r="N291" s="176"/>
      <c r="O291" s="176"/>
      <c r="P291" s="176"/>
      <c r="Q291" s="176"/>
      <c r="R291" s="176"/>
      <c r="S291" s="176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</row>
    <row r="292" spans="1:32" ht="15.75" customHeight="1" x14ac:dyDescent="0.25">
      <c r="A292" s="5"/>
      <c r="B292" s="5"/>
      <c r="C292" s="284"/>
      <c r="D292" s="5"/>
      <c r="E292" s="5"/>
      <c r="F292" s="5"/>
      <c r="G292" s="5"/>
      <c r="H292" s="5"/>
      <c r="I292" s="5"/>
      <c r="J292" s="5"/>
      <c r="K292" s="284"/>
      <c r="L292" s="176"/>
      <c r="M292" s="176"/>
      <c r="N292" s="176"/>
      <c r="O292" s="176"/>
      <c r="P292" s="176"/>
      <c r="Q292" s="176"/>
      <c r="R292" s="176"/>
      <c r="S292" s="176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</row>
    <row r="293" spans="1:32" ht="15.75" customHeight="1" x14ac:dyDescent="0.25">
      <c r="A293" s="5"/>
      <c r="B293" s="5"/>
      <c r="C293" s="284"/>
      <c r="D293" s="5"/>
      <c r="E293" s="5"/>
      <c r="F293" s="5"/>
      <c r="G293" s="5"/>
      <c r="H293" s="5"/>
      <c r="I293" s="5"/>
      <c r="J293" s="5"/>
      <c r="K293" s="284"/>
      <c r="L293" s="176"/>
      <c r="M293" s="176"/>
      <c r="N293" s="176"/>
      <c r="O293" s="176"/>
      <c r="P293" s="176"/>
      <c r="Q293" s="176"/>
      <c r="R293" s="176"/>
      <c r="S293" s="176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</row>
    <row r="294" spans="1:32" ht="15.75" customHeight="1" x14ac:dyDescent="0.25">
      <c r="A294" s="5"/>
      <c r="B294" s="5"/>
      <c r="C294" s="284"/>
      <c r="D294" s="5"/>
      <c r="E294" s="5"/>
      <c r="F294" s="5"/>
      <c r="G294" s="5"/>
      <c r="H294" s="5"/>
      <c r="I294" s="5"/>
      <c r="J294" s="5"/>
      <c r="K294" s="284"/>
      <c r="L294" s="176"/>
      <c r="M294" s="176"/>
      <c r="N294" s="176"/>
      <c r="O294" s="176"/>
      <c r="P294" s="176"/>
      <c r="Q294" s="176"/>
      <c r="R294" s="176"/>
      <c r="S294" s="176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</row>
    <row r="295" spans="1:32" ht="15.75" customHeight="1" x14ac:dyDescent="0.25">
      <c r="A295" s="5"/>
      <c r="B295" s="5"/>
      <c r="C295" s="284"/>
      <c r="D295" s="5"/>
      <c r="E295" s="5"/>
      <c r="F295" s="5"/>
      <c r="G295" s="5"/>
      <c r="H295" s="5"/>
      <c r="I295" s="5"/>
      <c r="J295" s="5"/>
      <c r="K295" s="284"/>
      <c r="L295" s="176"/>
      <c r="M295" s="176"/>
      <c r="N295" s="176"/>
      <c r="O295" s="176"/>
      <c r="P295" s="176"/>
      <c r="Q295" s="176"/>
      <c r="R295" s="176"/>
      <c r="S295" s="176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</row>
    <row r="296" spans="1:32" ht="15.75" customHeight="1" x14ac:dyDescent="0.25">
      <c r="A296" s="5"/>
      <c r="B296" s="5"/>
      <c r="C296" s="284"/>
      <c r="D296" s="5"/>
      <c r="E296" s="5"/>
      <c r="F296" s="5"/>
      <c r="G296" s="5"/>
      <c r="H296" s="5"/>
      <c r="I296" s="5"/>
      <c r="J296" s="5"/>
      <c r="K296" s="284"/>
      <c r="L296" s="176"/>
      <c r="M296" s="176"/>
      <c r="N296" s="176"/>
      <c r="O296" s="176"/>
      <c r="P296" s="176"/>
      <c r="Q296" s="176"/>
      <c r="R296" s="176"/>
      <c r="S296" s="176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</row>
    <row r="297" spans="1:32" ht="15.75" customHeight="1" x14ac:dyDescent="0.25">
      <c r="A297" s="5"/>
      <c r="B297" s="5"/>
      <c r="C297" s="284"/>
      <c r="D297" s="5"/>
      <c r="E297" s="5"/>
      <c r="F297" s="5"/>
      <c r="G297" s="5"/>
      <c r="H297" s="5"/>
      <c r="I297" s="5"/>
      <c r="J297" s="5"/>
      <c r="K297" s="284"/>
      <c r="L297" s="176"/>
      <c r="M297" s="176"/>
      <c r="N297" s="176"/>
      <c r="O297" s="176"/>
      <c r="P297" s="176"/>
      <c r="Q297" s="176"/>
      <c r="R297" s="176"/>
      <c r="S297" s="176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</row>
    <row r="298" spans="1:32" ht="15.75" customHeight="1" x14ac:dyDescent="0.25">
      <c r="A298" s="5"/>
      <c r="B298" s="5"/>
      <c r="C298" s="284"/>
      <c r="D298" s="5"/>
      <c r="E298" s="5"/>
      <c r="F298" s="5"/>
      <c r="G298" s="5"/>
      <c r="H298" s="5"/>
      <c r="I298" s="5"/>
      <c r="J298" s="5"/>
      <c r="K298" s="284"/>
      <c r="L298" s="176"/>
      <c r="M298" s="176"/>
      <c r="N298" s="176"/>
      <c r="O298" s="176"/>
      <c r="P298" s="176"/>
      <c r="Q298" s="176"/>
      <c r="R298" s="176"/>
      <c r="S298" s="176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</row>
    <row r="299" spans="1:32" ht="15.75" customHeight="1" x14ac:dyDescent="0.25">
      <c r="A299" s="5"/>
      <c r="B299" s="5"/>
      <c r="C299" s="284"/>
      <c r="D299" s="5"/>
      <c r="E299" s="5"/>
      <c r="F299" s="5"/>
      <c r="G299" s="5"/>
      <c r="H299" s="5"/>
      <c r="I299" s="5"/>
      <c r="J299" s="5"/>
      <c r="K299" s="284"/>
      <c r="L299" s="176"/>
      <c r="M299" s="176"/>
      <c r="N299" s="176"/>
      <c r="O299" s="176"/>
      <c r="P299" s="176"/>
      <c r="Q299" s="176"/>
      <c r="R299" s="176"/>
      <c r="S299" s="176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</row>
    <row r="300" spans="1:32" ht="15.75" customHeight="1" x14ac:dyDescent="0.25">
      <c r="A300" s="5"/>
      <c r="B300" s="5"/>
      <c r="C300" s="284"/>
      <c r="D300" s="5"/>
      <c r="E300" s="5"/>
      <c r="F300" s="5"/>
      <c r="G300" s="5"/>
      <c r="H300" s="5"/>
      <c r="I300" s="5"/>
      <c r="J300" s="5"/>
      <c r="K300" s="284"/>
      <c r="L300" s="176"/>
      <c r="M300" s="176"/>
      <c r="N300" s="176"/>
      <c r="O300" s="176"/>
      <c r="P300" s="176"/>
      <c r="Q300" s="176"/>
      <c r="R300" s="176"/>
      <c r="S300" s="176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</row>
    <row r="301" spans="1:32" ht="15.75" customHeight="1" x14ac:dyDescent="0.25">
      <c r="A301" s="5"/>
      <c r="B301" s="5"/>
      <c r="C301" s="284"/>
      <c r="D301" s="5"/>
      <c r="E301" s="5"/>
      <c r="F301" s="5"/>
      <c r="G301" s="5"/>
      <c r="H301" s="5"/>
      <c r="I301" s="5"/>
      <c r="J301" s="5"/>
      <c r="K301" s="284"/>
      <c r="L301" s="176"/>
      <c r="M301" s="176"/>
      <c r="N301" s="176"/>
      <c r="O301" s="176"/>
      <c r="P301" s="176"/>
      <c r="Q301" s="176"/>
      <c r="R301" s="176"/>
      <c r="S301" s="176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</row>
    <row r="302" spans="1:32" ht="15.75" customHeight="1" x14ac:dyDescent="0.25">
      <c r="A302" s="5"/>
      <c r="B302" s="5"/>
      <c r="C302" s="284"/>
      <c r="D302" s="5"/>
      <c r="E302" s="5"/>
      <c r="F302" s="5"/>
      <c r="G302" s="5"/>
      <c r="H302" s="5"/>
      <c r="I302" s="5"/>
      <c r="J302" s="5"/>
      <c r="K302" s="284"/>
      <c r="L302" s="176"/>
      <c r="M302" s="176"/>
      <c r="N302" s="176"/>
      <c r="O302" s="176"/>
      <c r="P302" s="176"/>
      <c r="Q302" s="176"/>
      <c r="R302" s="176"/>
      <c r="S302" s="176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</row>
    <row r="303" spans="1:32" ht="15.75" customHeight="1" x14ac:dyDescent="0.25">
      <c r="A303" s="5"/>
      <c r="B303" s="5"/>
      <c r="C303" s="284"/>
      <c r="D303" s="5"/>
      <c r="E303" s="5"/>
      <c r="F303" s="5"/>
      <c r="G303" s="5"/>
      <c r="H303" s="5"/>
      <c r="I303" s="5"/>
      <c r="J303" s="5"/>
      <c r="K303" s="284"/>
      <c r="L303" s="176"/>
      <c r="M303" s="176"/>
      <c r="N303" s="176"/>
      <c r="O303" s="176"/>
      <c r="P303" s="176"/>
      <c r="Q303" s="176"/>
      <c r="R303" s="176"/>
      <c r="S303" s="176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</row>
    <row r="304" spans="1:32" ht="15.75" customHeight="1" x14ac:dyDescent="0.25">
      <c r="A304" s="5"/>
      <c r="B304" s="5"/>
      <c r="C304" s="284"/>
      <c r="D304" s="5"/>
      <c r="E304" s="5"/>
      <c r="F304" s="5"/>
      <c r="G304" s="5"/>
      <c r="H304" s="5"/>
      <c r="I304" s="5"/>
      <c r="J304" s="5"/>
      <c r="K304" s="284"/>
      <c r="L304" s="176"/>
      <c r="M304" s="176"/>
      <c r="N304" s="176"/>
      <c r="O304" s="176"/>
      <c r="P304" s="176"/>
      <c r="Q304" s="176"/>
      <c r="R304" s="176"/>
      <c r="S304" s="176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</row>
    <row r="305" spans="1:32" ht="15.75" customHeight="1" x14ac:dyDescent="0.25">
      <c r="A305" s="5"/>
      <c r="B305" s="5"/>
      <c r="C305" s="284"/>
      <c r="D305" s="5"/>
      <c r="E305" s="5"/>
      <c r="F305" s="5"/>
      <c r="G305" s="5"/>
      <c r="H305" s="5"/>
      <c r="I305" s="5"/>
      <c r="J305" s="5"/>
      <c r="K305" s="284"/>
      <c r="L305" s="176"/>
      <c r="M305" s="176"/>
      <c r="N305" s="176"/>
      <c r="O305" s="176"/>
      <c r="P305" s="176"/>
      <c r="Q305" s="176"/>
      <c r="R305" s="176"/>
      <c r="S305" s="176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</row>
    <row r="306" spans="1:32" ht="15.75" customHeight="1" x14ac:dyDescent="0.25">
      <c r="A306" s="5"/>
      <c r="B306" s="5"/>
      <c r="C306" s="284"/>
      <c r="D306" s="5"/>
      <c r="E306" s="5"/>
      <c r="F306" s="5"/>
      <c r="G306" s="5"/>
      <c r="H306" s="5"/>
      <c r="I306" s="5"/>
      <c r="J306" s="5"/>
      <c r="K306" s="284"/>
      <c r="L306" s="176"/>
      <c r="M306" s="176"/>
      <c r="N306" s="176"/>
      <c r="O306" s="176"/>
      <c r="P306" s="176"/>
      <c r="Q306" s="176"/>
      <c r="R306" s="176"/>
      <c r="S306" s="176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</row>
    <row r="307" spans="1:32" ht="15.75" customHeight="1" x14ac:dyDescent="0.25">
      <c r="A307" s="5"/>
      <c r="B307" s="5"/>
      <c r="C307" s="284"/>
      <c r="D307" s="5"/>
      <c r="E307" s="5"/>
      <c r="F307" s="5"/>
      <c r="G307" s="5"/>
      <c r="H307" s="5"/>
      <c r="I307" s="5"/>
      <c r="J307" s="5"/>
      <c r="K307" s="284"/>
      <c r="L307" s="176"/>
      <c r="M307" s="176"/>
      <c r="N307" s="176"/>
      <c r="O307" s="176"/>
      <c r="P307" s="176"/>
      <c r="Q307" s="176"/>
      <c r="R307" s="176"/>
      <c r="S307" s="176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</row>
    <row r="308" spans="1:32" ht="15.75" customHeight="1" x14ac:dyDescent="0.25">
      <c r="A308" s="5"/>
      <c r="B308" s="5"/>
      <c r="C308" s="284"/>
      <c r="D308" s="5"/>
      <c r="E308" s="5"/>
      <c r="F308" s="5"/>
      <c r="G308" s="5"/>
      <c r="H308" s="5"/>
      <c r="I308" s="5"/>
      <c r="J308" s="5"/>
      <c r="K308" s="284"/>
      <c r="L308" s="176"/>
      <c r="M308" s="176"/>
      <c r="N308" s="176"/>
      <c r="O308" s="176"/>
      <c r="P308" s="176"/>
      <c r="Q308" s="176"/>
      <c r="R308" s="176"/>
      <c r="S308" s="176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</row>
    <row r="309" spans="1:32" ht="15.75" customHeight="1" x14ac:dyDescent="0.25">
      <c r="A309" s="5"/>
      <c r="B309" s="5"/>
      <c r="C309" s="284"/>
      <c r="D309" s="5"/>
      <c r="E309" s="5"/>
      <c r="F309" s="5"/>
      <c r="G309" s="5"/>
      <c r="H309" s="5"/>
      <c r="I309" s="5"/>
      <c r="J309" s="5"/>
      <c r="K309" s="284"/>
      <c r="L309" s="176"/>
      <c r="M309" s="176"/>
      <c r="N309" s="176"/>
      <c r="O309" s="176"/>
      <c r="P309" s="176"/>
      <c r="Q309" s="176"/>
      <c r="R309" s="176"/>
      <c r="S309" s="176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</row>
    <row r="310" spans="1:32" ht="15.75" customHeight="1" x14ac:dyDescent="0.25">
      <c r="A310" s="5"/>
      <c r="B310" s="5"/>
      <c r="C310" s="284"/>
      <c r="D310" s="5"/>
      <c r="E310" s="5"/>
      <c r="F310" s="5"/>
      <c r="G310" s="5"/>
      <c r="H310" s="5"/>
      <c r="I310" s="5"/>
      <c r="J310" s="5"/>
      <c r="K310" s="284"/>
      <c r="L310" s="176"/>
      <c r="M310" s="176"/>
      <c r="N310" s="176"/>
      <c r="O310" s="176"/>
      <c r="P310" s="176"/>
      <c r="Q310" s="176"/>
      <c r="R310" s="176"/>
      <c r="S310" s="176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</row>
    <row r="311" spans="1:32" ht="15.75" customHeight="1" x14ac:dyDescent="0.25">
      <c r="A311" s="5"/>
      <c r="B311" s="5"/>
      <c r="C311" s="284"/>
      <c r="D311" s="5"/>
      <c r="E311" s="5"/>
      <c r="F311" s="5"/>
      <c r="G311" s="5"/>
      <c r="H311" s="5"/>
      <c r="I311" s="5"/>
      <c r="J311" s="5"/>
      <c r="K311" s="284"/>
      <c r="L311" s="176"/>
      <c r="M311" s="176"/>
      <c r="N311" s="176"/>
      <c r="O311" s="176"/>
      <c r="P311" s="176"/>
      <c r="Q311" s="176"/>
      <c r="R311" s="176"/>
      <c r="S311" s="176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</row>
    <row r="312" spans="1:32" ht="15.75" customHeight="1" x14ac:dyDescent="0.25">
      <c r="A312" s="5"/>
      <c r="B312" s="5"/>
      <c r="C312" s="284"/>
      <c r="D312" s="5"/>
      <c r="E312" s="5"/>
      <c r="F312" s="5"/>
      <c r="G312" s="5"/>
      <c r="H312" s="5"/>
      <c r="I312" s="5"/>
      <c r="J312" s="5"/>
      <c r="K312" s="284"/>
      <c r="L312" s="176"/>
      <c r="M312" s="176"/>
      <c r="N312" s="176"/>
      <c r="O312" s="176"/>
      <c r="P312" s="176"/>
      <c r="Q312" s="176"/>
      <c r="R312" s="176"/>
      <c r="S312" s="176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</row>
    <row r="313" spans="1:32" ht="15.75" customHeight="1" x14ac:dyDescent="0.25">
      <c r="A313" s="5"/>
      <c r="B313" s="5"/>
      <c r="C313" s="284"/>
      <c r="D313" s="5"/>
      <c r="E313" s="5"/>
      <c r="F313" s="5"/>
      <c r="G313" s="5"/>
      <c r="H313" s="5"/>
      <c r="I313" s="5"/>
      <c r="J313" s="5"/>
      <c r="K313" s="284"/>
      <c r="L313" s="176"/>
      <c r="M313" s="176"/>
      <c r="N313" s="176"/>
      <c r="O313" s="176"/>
      <c r="P313" s="176"/>
      <c r="Q313" s="176"/>
      <c r="R313" s="176"/>
      <c r="S313" s="176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</row>
    <row r="314" spans="1:32" ht="15.75" customHeight="1" x14ac:dyDescent="0.25">
      <c r="A314" s="5"/>
      <c r="B314" s="5"/>
      <c r="C314" s="284"/>
      <c r="D314" s="5"/>
      <c r="E314" s="5"/>
      <c r="F314" s="5"/>
      <c r="G314" s="5"/>
      <c r="H314" s="5"/>
      <c r="I314" s="5"/>
      <c r="J314" s="5"/>
      <c r="K314" s="284"/>
      <c r="L314" s="176"/>
      <c r="M314" s="176"/>
      <c r="N314" s="176"/>
      <c r="O314" s="176"/>
      <c r="P314" s="176"/>
      <c r="Q314" s="176"/>
      <c r="R314" s="176"/>
      <c r="S314" s="176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</row>
    <row r="315" spans="1:32" ht="15.75" customHeight="1" x14ac:dyDescent="0.25">
      <c r="A315" s="5"/>
      <c r="B315" s="5"/>
      <c r="C315" s="284"/>
      <c r="D315" s="5"/>
      <c r="E315" s="5"/>
      <c r="F315" s="5"/>
      <c r="G315" s="5"/>
      <c r="H315" s="5"/>
      <c r="I315" s="5"/>
      <c r="J315" s="5"/>
      <c r="K315" s="284"/>
      <c r="L315" s="176"/>
      <c r="M315" s="176"/>
      <c r="N315" s="176"/>
      <c r="O315" s="176"/>
      <c r="P315" s="176"/>
      <c r="Q315" s="176"/>
      <c r="R315" s="176"/>
      <c r="S315" s="176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</row>
    <row r="316" spans="1:32" ht="15.75" customHeight="1" x14ac:dyDescent="0.25">
      <c r="A316" s="5"/>
      <c r="B316" s="5"/>
      <c r="C316" s="284"/>
      <c r="D316" s="5"/>
      <c r="E316" s="5"/>
      <c r="F316" s="5"/>
      <c r="G316" s="5"/>
      <c r="H316" s="5"/>
      <c r="I316" s="5"/>
      <c r="J316" s="5"/>
      <c r="K316" s="284"/>
      <c r="L316" s="176"/>
      <c r="M316" s="176"/>
      <c r="N316" s="176"/>
      <c r="O316" s="176"/>
      <c r="P316" s="176"/>
      <c r="Q316" s="176"/>
      <c r="R316" s="176"/>
      <c r="S316" s="176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</row>
    <row r="317" spans="1:32" ht="15.75" customHeight="1" x14ac:dyDescent="0.25">
      <c r="A317" s="5"/>
      <c r="B317" s="5"/>
      <c r="C317" s="284"/>
      <c r="D317" s="5"/>
      <c r="E317" s="5"/>
      <c r="F317" s="5"/>
      <c r="G317" s="5"/>
      <c r="H317" s="5"/>
      <c r="I317" s="5"/>
      <c r="J317" s="5"/>
      <c r="K317" s="284"/>
      <c r="L317" s="176"/>
      <c r="M317" s="176"/>
      <c r="N317" s="176"/>
      <c r="O317" s="176"/>
      <c r="P317" s="176"/>
      <c r="Q317" s="176"/>
      <c r="R317" s="176"/>
      <c r="S317" s="176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</row>
    <row r="318" spans="1:32" ht="15.75" customHeight="1" x14ac:dyDescent="0.25">
      <c r="A318" s="5"/>
      <c r="B318" s="5"/>
      <c r="C318" s="284"/>
      <c r="D318" s="5"/>
      <c r="E318" s="5"/>
      <c r="F318" s="5"/>
      <c r="G318" s="5"/>
      <c r="H318" s="5"/>
      <c r="I318" s="5"/>
      <c r="J318" s="5"/>
      <c r="K318" s="284"/>
      <c r="L318" s="176"/>
      <c r="M318" s="176"/>
      <c r="N318" s="176"/>
      <c r="O318" s="176"/>
      <c r="P318" s="176"/>
      <c r="Q318" s="176"/>
      <c r="R318" s="176"/>
      <c r="S318" s="176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</row>
    <row r="319" spans="1:32" ht="15.75" customHeight="1" x14ac:dyDescent="0.25">
      <c r="A319" s="5"/>
      <c r="B319" s="5"/>
      <c r="C319" s="284"/>
      <c r="D319" s="5"/>
      <c r="E319" s="5"/>
      <c r="F319" s="5"/>
      <c r="G319" s="5"/>
      <c r="H319" s="5"/>
      <c r="I319" s="5"/>
      <c r="J319" s="5"/>
      <c r="K319" s="284"/>
      <c r="L319" s="176"/>
      <c r="M319" s="176"/>
      <c r="N319" s="176"/>
      <c r="O319" s="176"/>
      <c r="P319" s="176"/>
      <c r="Q319" s="176"/>
      <c r="R319" s="176"/>
      <c r="S319" s="176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</row>
    <row r="320" spans="1:32" ht="15.75" customHeight="1" x14ac:dyDescent="0.25">
      <c r="A320" s="5"/>
      <c r="B320" s="5"/>
      <c r="C320" s="284"/>
      <c r="D320" s="5"/>
      <c r="E320" s="5"/>
      <c r="F320" s="5"/>
      <c r="G320" s="5"/>
      <c r="H320" s="5"/>
      <c r="I320" s="5"/>
      <c r="J320" s="5"/>
      <c r="K320" s="284"/>
      <c r="L320" s="176"/>
      <c r="M320" s="176"/>
      <c r="N320" s="176"/>
      <c r="O320" s="176"/>
      <c r="P320" s="176"/>
      <c r="Q320" s="176"/>
      <c r="R320" s="176"/>
      <c r="S320" s="176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</row>
    <row r="321" spans="1:32" ht="15.75" customHeight="1" x14ac:dyDescent="0.25">
      <c r="A321" s="5"/>
      <c r="B321" s="5"/>
      <c r="C321" s="284"/>
      <c r="D321" s="5"/>
      <c r="E321" s="5"/>
      <c r="F321" s="5"/>
      <c r="G321" s="5"/>
      <c r="H321" s="5"/>
      <c r="I321" s="5"/>
      <c r="J321" s="5"/>
      <c r="K321" s="284"/>
      <c r="L321" s="176"/>
      <c r="M321" s="176"/>
      <c r="N321" s="176"/>
      <c r="O321" s="176"/>
      <c r="P321" s="176"/>
      <c r="Q321" s="176"/>
      <c r="R321" s="176"/>
      <c r="S321" s="176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</row>
    <row r="322" spans="1:32" ht="15.75" customHeight="1" x14ac:dyDescent="0.25">
      <c r="A322" s="5"/>
      <c r="B322" s="5"/>
      <c r="C322" s="284"/>
      <c r="D322" s="5"/>
      <c r="E322" s="5"/>
      <c r="F322" s="5"/>
      <c r="G322" s="5"/>
      <c r="H322" s="5"/>
      <c r="I322" s="5"/>
      <c r="J322" s="5"/>
      <c r="K322" s="284"/>
      <c r="L322" s="176"/>
      <c r="M322" s="176"/>
      <c r="N322" s="176"/>
      <c r="O322" s="176"/>
      <c r="P322" s="176"/>
      <c r="Q322" s="176"/>
      <c r="R322" s="176"/>
      <c r="S322" s="176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</row>
    <row r="323" spans="1:32" ht="15.75" customHeight="1" x14ac:dyDescent="0.25">
      <c r="A323" s="5"/>
      <c r="B323" s="5"/>
      <c r="C323" s="284"/>
      <c r="D323" s="5"/>
      <c r="E323" s="5"/>
      <c r="F323" s="5"/>
      <c r="G323" s="5"/>
      <c r="H323" s="5"/>
      <c r="I323" s="5"/>
      <c r="J323" s="5"/>
      <c r="K323" s="284"/>
      <c r="L323" s="176"/>
      <c r="M323" s="176"/>
      <c r="N323" s="176"/>
      <c r="O323" s="176"/>
      <c r="P323" s="176"/>
      <c r="Q323" s="176"/>
      <c r="R323" s="176"/>
      <c r="S323" s="176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</row>
    <row r="324" spans="1:32" ht="15.75" customHeight="1" x14ac:dyDescent="0.25">
      <c r="A324" s="5"/>
      <c r="B324" s="5"/>
      <c r="C324" s="284"/>
      <c r="D324" s="5"/>
      <c r="E324" s="5"/>
      <c r="F324" s="5"/>
      <c r="G324" s="5"/>
      <c r="H324" s="5"/>
      <c r="I324" s="5"/>
      <c r="J324" s="5"/>
      <c r="K324" s="284"/>
      <c r="L324" s="176"/>
      <c r="M324" s="176"/>
      <c r="N324" s="176"/>
      <c r="O324" s="176"/>
      <c r="P324" s="176"/>
      <c r="Q324" s="176"/>
      <c r="R324" s="176"/>
      <c r="S324" s="176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</row>
    <row r="325" spans="1:32" ht="15.75" customHeight="1" x14ac:dyDescent="0.25">
      <c r="A325" s="5"/>
      <c r="B325" s="5"/>
      <c r="C325" s="284"/>
      <c r="D325" s="5"/>
      <c r="E325" s="5"/>
      <c r="F325" s="5"/>
      <c r="G325" s="5"/>
      <c r="H325" s="5"/>
      <c r="I325" s="5"/>
      <c r="J325" s="5"/>
      <c r="K325" s="284"/>
      <c r="L325" s="176"/>
      <c r="M325" s="176"/>
      <c r="N325" s="176"/>
      <c r="O325" s="176"/>
      <c r="P325" s="176"/>
      <c r="Q325" s="176"/>
      <c r="R325" s="176"/>
      <c r="S325" s="176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</row>
    <row r="326" spans="1:32" ht="15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</row>
    <row r="327" spans="1:32" ht="15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</row>
    <row r="328" spans="1:32" ht="15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</row>
    <row r="329" spans="1:32" ht="15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</row>
    <row r="330" spans="1:32" ht="15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</row>
    <row r="331" spans="1:32" ht="15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</row>
    <row r="332" spans="1:32" ht="15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</row>
    <row r="333" spans="1:32" ht="15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</row>
    <row r="334" spans="1:32" ht="15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</row>
    <row r="335" spans="1:32" ht="15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</row>
    <row r="336" spans="1:32" ht="15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</row>
    <row r="337" spans="1:31" ht="15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</row>
    <row r="338" spans="1:31" ht="15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</row>
    <row r="339" spans="1:31" ht="15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</row>
    <row r="340" spans="1:31" ht="15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</row>
    <row r="341" spans="1:31" ht="15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</row>
    <row r="342" spans="1:31" ht="15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</row>
    <row r="343" spans="1:31" ht="15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</row>
    <row r="344" spans="1:31" ht="15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</row>
    <row r="345" spans="1:31" ht="15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</row>
    <row r="346" spans="1:31" ht="15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</row>
    <row r="347" spans="1:31" ht="15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</row>
    <row r="348" spans="1:31" ht="15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</row>
    <row r="349" spans="1:31" ht="15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</row>
    <row r="350" spans="1:31" ht="15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</row>
    <row r="351" spans="1:31" ht="15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</row>
    <row r="352" spans="1:31" ht="15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</row>
    <row r="353" spans="1:31" ht="15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</row>
    <row r="354" spans="1:31" ht="15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</row>
    <row r="355" spans="1:31" ht="15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</row>
    <row r="356" spans="1:31" ht="15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</row>
    <row r="357" spans="1:31" ht="15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</row>
    <row r="358" spans="1:31" ht="15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</row>
    <row r="359" spans="1:31" ht="15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</row>
    <row r="360" spans="1:31" ht="15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</row>
    <row r="361" spans="1:31" ht="15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</row>
    <row r="362" spans="1:31" ht="15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</row>
    <row r="363" spans="1:31" ht="15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</row>
    <row r="364" spans="1:31" ht="15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</row>
    <row r="365" spans="1:31" ht="15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</row>
    <row r="366" spans="1:31" ht="15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</row>
    <row r="367" spans="1:31" ht="15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</row>
    <row r="368" spans="1:31" ht="15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</row>
    <row r="369" spans="1:31" ht="15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</row>
    <row r="370" spans="1:31" ht="15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</row>
    <row r="371" spans="1:31" ht="15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</row>
    <row r="372" spans="1:31" ht="15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</row>
    <row r="373" spans="1:31" ht="15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</row>
    <row r="374" spans="1:31" ht="15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</row>
    <row r="375" spans="1:31" ht="15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</row>
    <row r="376" spans="1:31" ht="15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</row>
    <row r="377" spans="1:31" ht="15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</row>
    <row r="378" spans="1:31" ht="15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</row>
    <row r="379" spans="1:31" ht="15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</row>
    <row r="380" spans="1:31" ht="15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</row>
    <row r="381" spans="1:31" ht="15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</row>
    <row r="382" spans="1:31" ht="15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</row>
    <row r="383" spans="1:31" ht="15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</row>
    <row r="384" spans="1:31" ht="15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</row>
    <row r="385" spans="1:31" ht="15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</row>
    <row r="386" spans="1:31" ht="15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</row>
    <row r="387" spans="1:31" ht="15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</row>
    <row r="388" spans="1:31" ht="15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</row>
    <row r="389" spans="1:31" ht="15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</row>
    <row r="390" spans="1:31" ht="15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</row>
    <row r="391" spans="1:31" ht="15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</row>
    <row r="392" spans="1:31" ht="15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</row>
    <row r="393" spans="1:31" ht="15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</row>
    <row r="394" spans="1:31" ht="15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</row>
    <row r="395" spans="1:31" ht="15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</row>
    <row r="396" spans="1:31" ht="15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</row>
    <row r="397" spans="1:31" ht="15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</row>
    <row r="398" spans="1:31" ht="15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</row>
    <row r="399" spans="1:31" ht="15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</row>
    <row r="400" spans="1:31" ht="15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</row>
    <row r="401" spans="1:31" ht="15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</row>
    <row r="402" spans="1:31" ht="15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</row>
    <row r="403" spans="1:31" ht="15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</row>
    <row r="404" spans="1:31" ht="15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</row>
    <row r="405" spans="1:31" ht="15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</row>
    <row r="406" spans="1:31" ht="15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</row>
    <row r="407" spans="1:31" ht="15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</row>
    <row r="408" spans="1:31" ht="15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</row>
    <row r="409" spans="1:31" ht="15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</row>
    <row r="410" spans="1:31" ht="15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</row>
    <row r="411" spans="1:31" ht="15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</row>
    <row r="412" spans="1:31" ht="15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</row>
    <row r="413" spans="1:31" ht="15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</row>
    <row r="414" spans="1:31" ht="15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</row>
    <row r="415" spans="1:31" ht="15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</row>
    <row r="416" spans="1:31" ht="15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</row>
    <row r="417" spans="1:31" ht="15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</row>
    <row r="418" spans="1:31" ht="15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</row>
    <row r="419" spans="1:31" ht="15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</row>
    <row r="420" spans="1:31" ht="15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</row>
    <row r="421" spans="1:31" ht="15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</row>
    <row r="422" spans="1:31" ht="15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</row>
    <row r="423" spans="1:31" ht="15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</row>
    <row r="424" spans="1:31" ht="15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</row>
    <row r="425" spans="1:31" ht="15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</row>
    <row r="426" spans="1:31" ht="15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</row>
    <row r="427" spans="1:31" ht="15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</row>
    <row r="428" spans="1:31" ht="15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</row>
    <row r="429" spans="1:31" ht="15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</row>
    <row r="430" spans="1:31" ht="15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</row>
    <row r="431" spans="1:31" ht="15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</row>
    <row r="432" spans="1:31" ht="15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</row>
    <row r="433" spans="1:31" ht="15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</row>
    <row r="434" spans="1:31" ht="15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</row>
    <row r="435" spans="1:31" ht="15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</row>
    <row r="436" spans="1:31" ht="15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</row>
    <row r="437" spans="1:31" ht="15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</row>
    <row r="438" spans="1:31" ht="15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</row>
    <row r="439" spans="1:31" ht="15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</row>
    <row r="440" spans="1:31" ht="15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</row>
    <row r="441" spans="1:31" ht="15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</row>
    <row r="442" spans="1:31" ht="15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</row>
    <row r="443" spans="1:31" ht="15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</row>
    <row r="444" spans="1:31" ht="15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</row>
    <row r="445" spans="1:31" ht="15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</row>
    <row r="446" spans="1:31" ht="15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</row>
    <row r="447" spans="1:31" ht="15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</row>
    <row r="448" spans="1:31" ht="15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</row>
    <row r="449" spans="1:31" ht="15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</row>
    <row r="450" spans="1:31" ht="15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</row>
    <row r="451" spans="1:31" ht="15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</row>
    <row r="452" spans="1:31" ht="15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</row>
    <row r="453" spans="1:31" ht="15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</row>
    <row r="454" spans="1:31" ht="15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</row>
    <row r="455" spans="1:31" ht="15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</row>
    <row r="456" spans="1:31" ht="15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</row>
    <row r="457" spans="1:31" ht="15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</row>
    <row r="458" spans="1:31" ht="15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</row>
    <row r="459" spans="1:31" ht="15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</row>
    <row r="460" spans="1:31" ht="15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</row>
    <row r="461" spans="1:31" ht="15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</row>
    <row r="462" spans="1:31" ht="15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</row>
    <row r="463" spans="1:31" ht="15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</row>
    <row r="464" spans="1:31" ht="15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</row>
    <row r="465" spans="1:31" ht="15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</row>
    <row r="466" spans="1:31" ht="15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</row>
    <row r="467" spans="1:31" ht="15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</row>
    <row r="468" spans="1:31" ht="15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</row>
    <row r="469" spans="1:31" ht="15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</row>
    <row r="470" spans="1:31" ht="15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</row>
    <row r="471" spans="1:31" ht="15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</row>
    <row r="472" spans="1:31" ht="15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</row>
    <row r="473" spans="1:31" ht="15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</row>
    <row r="474" spans="1:31" ht="15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</row>
    <row r="475" spans="1:31" ht="15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</row>
    <row r="476" spans="1:31" ht="15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</row>
    <row r="477" spans="1:31" ht="15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</row>
    <row r="478" spans="1:31" ht="15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</row>
    <row r="479" spans="1:31" ht="15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</row>
    <row r="480" spans="1:31" ht="15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</row>
    <row r="481" spans="1:31" ht="15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</row>
    <row r="482" spans="1:31" ht="15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</row>
    <row r="483" spans="1:31" ht="15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</row>
    <row r="484" spans="1:31" ht="15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</row>
    <row r="485" spans="1:31" ht="15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</row>
    <row r="486" spans="1:31" ht="15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</row>
    <row r="487" spans="1:31" ht="15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</row>
    <row r="488" spans="1:31" ht="15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</row>
    <row r="489" spans="1:31" ht="15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</row>
    <row r="490" spans="1:31" ht="15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</row>
    <row r="491" spans="1:31" ht="15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</row>
    <row r="492" spans="1:31" ht="15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</row>
    <row r="493" spans="1:31" ht="15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</row>
    <row r="494" spans="1:31" ht="15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</row>
    <row r="495" spans="1:31" ht="15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</row>
    <row r="496" spans="1:31" ht="15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</row>
    <row r="497" spans="1:31" ht="15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</row>
    <row r="498" spans="1:31" ht="15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</row>
    <row r="499" spans="1:31" ht="15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</row>
    <row r="500" spans="1:31" ht="15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</row>
    <row r="501" spans="1:31" ht="15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</row>
    <row r="502" spans="1:31" ht="15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</row>
    <row r="503" spans="1:31" ht="15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</row>
    <row r="504" spans="1:31" ht="15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</row>
    <row r="505" spans="1:31" ht="15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</row>
    <row r="506" spans="1:31" ht="15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</row>
    <row r="507" spans="1:31" ht="15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</row>
    <row r="508" spans="1:31" ht="15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</row>
    <row r="509" spans="1:31" ht="15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</row>
    <row r="510" spans="1:31" ht="15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</row>
    <row r="511" spans="1:31" ht="15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</row>
    <row r="512" spans="1:31" ht="15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</row>
    <row r="513" spans="1:31" ht="15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</row>
    <row r="514" spans="1:31" ht="15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</row>
    <row r="515" spans="1:31" ht="15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</row>
    <row r="516" spans="1:31" ht="15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</row>
    <row r="517" spans="1:31" ht="15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</row>
    <row r="518" spans="1:31" ht="15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</row>
    <row r="519" spans="1:31" ht="15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</row>
    <row r="520" spans="1:31" ht="15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</row>
    <row r="521" spans="1:31" ht="15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</row>
    <row r="522" spans="1:31" ht="15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</row>
    <row r="523" spans="1:31" ht="15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</row>
    <row r="524" spans="1:31" ht="15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</row>
    <row r="525" spans="1:31" ht="15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</row>
    <row r="526" spans="1:31" ht="15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</row>
    <row r="527" spans="1:31" ht="15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</row>
    <row r="528" spans="1:31" ht="15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</row>
    <row r="529" spans="1:31" ht="15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</row>
    <row r="530" spans="1:31" ht="15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</row>
    <row r="531" spans="1:31" ht="15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</row>
    <row r="532" spans="1:31" ht="15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</row>
    <row r="533" spans="1:31" ht="15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</row>
    <row r="534" spans="1:31" ht="15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</row>
    <row r="535" spans="1:31" ht="15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</row>
    <row r="536" spans="1:31" ht="15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</row>
    <row r="537" spans="1:31" ht="15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</row>
    <row r="538" spans="1:31" ht="15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</row>
    <row r="539" spans="1:31" ht="15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</row>
    <row r="540" spans="1:31" ht="15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</row>
    <row r="541" spans="1:31" ht="15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</row>
    <row r="542" spans="1:31" ht="15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</row>
    <row r="543" spans="1:31" ht="15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</row>
    <row r="544" spans="1:31" ht="15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</row>
    <row r="545" spans="1:31" ht="15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</row>
    <row r="546" spans="1:31" ht="15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</row>
    <row r="547" spans="1:31" ht="15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</row>
    <row r="548" spans="1:31" ht="15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</row>
    <row r="549" spans="1:31" ht="15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</row>
    <row r="550" spans="1:31" ht="15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</row>
    <row r="551" spans="1:31" ht="15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</row>
    <row r="552" spans="1:31" ht="15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</row>
    <row r="553" spans="1:31" ht="15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</row>
    <row r="554" spans="1:31" ht="15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</row>
    <row r="555" spans="1:31" ht="15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</row>
    <row r="556" spans="1:31" ht="15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</row>
    <row r="557" spans="1:31" ht="15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</row>
    <row r="558" spans="1:31" ht="15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</row>
    <row r="559" spans="1:31" ht="15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</row>
    <row r="560" spans="1:31" ht="15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</row>
    <row r="561" spans="1:31" ht="15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</row>
    <row r="562" spans="1:31" ht="15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</row>
    <row r="563" spans="1:31" ht="15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</row>
    <row r="564" spans="1:31" ht="15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</row>
    <row r="565" spans="1:31" ht="15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</row>
    <row r="566" spans="1:31" ht="15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</row>
    <row r="567" spans="1:31" ht="15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</row>
    <row r="568" spans="1:31" ht="15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</row>
    <row r="569" spans="1:31" ht="15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</row>
    <row r="570" spans="1:31" ht="15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</row>
    <row r="571" spans="1:31" ht="15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</row>
    <row r="572" spans="1:31" ht="15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</row>
    <row r="573" spans="1:31" ht="15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</row>
    <row r="574" spans="1:31" ht="15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</row>
    <row r="575" spans="1:31" ht="15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</row>
    <row r="576" spans="1:31" ht="15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</row>
    <row r="577" spans="1:31" ht="15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</row>
    <row r="578" spans="1:31" ht="15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</row>
    <row r="579" spans="1:31" ht="15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</row>
    <row r="580" spans="1:31" ht="15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</row>
    <row r="581" spans="1:31" ht="15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</row>
    <row r="582" spans="1:31" ht="15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</row>
    <row r="583" spans="1:31" ht="15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</row>
    <row r="584" spans="1:31" ht="15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</row>
    <row r="585" spans="1:31" ht="15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</row>
    <row r="586" spans="1:31" ht="15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</row>
    <row r="587" spans="1:31" ht="15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</row>
    <row r="588" spans="1:31" ht="15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</row>
    <row r="589" spans="1:31" ht="15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</row>
    <row r="590" spans="1:31" ht="15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</row>
    <row r="591" spans="1:31" ht="15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</row>
    <row r="592" spans="1:31" ht="15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</row>
    <row r="593" spans="1:31" ht="15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</row>
    <row r="594" spans="1:31" ht="15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</row>
    <row r="595" spans="1:31" ht="15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</row>
    <row r="596" spans="1:31" ht="15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</row>
    <row r="597" spans="1:31" ht="15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</row>
    <row r="598" spans="1:31" ht="15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</row>
    <row r="599" spans="1:31" ht="15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</row>
    <row r="600" spans="1:31" ht="15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</row>
    <row r="601" spans="1:31" ht="15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</row>
    <row r="602" spans="1:31" ht="15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</row>
    <row r="603" spans="1:31" ht="15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</row>
    <row r="604" spans="1:31" ht="15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</row>
    <row r="605" spans="1:31" ht="15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</row>
    <row r="606" spans="1:31" ht="15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</row>
    <row r="607" spans="1:31" ht="15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</row>
    <row r="608" spans="1:31" ht="15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</row>
    <row r="609" spans="1:31" ht="15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</row>
    <row r="610" spans="1:31" ht="15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</row>
    <row r="611" spans="1:31" ht="15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</row>
    <row r="612" spans="1:31" ht="15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</row>
    <row r="613" spans="1:31" ht="15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</row>
    <row r="614" spans="1:31" ht="15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</row>
    <row r="615" spans="1:31" ht="15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</row>
    <row r="616" spans="1:31" ht="15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</row>
    <row r="617" spans="1:31" ht="15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</row>
    <row r="618" spans="1:31" ht="15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</row>
    <row r="619" spans="1:31" ht="15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</row>
    <row r="620" spans="1:31" ht="15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</row>
    <row r="621" spans="1:31" ht="15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</row>
    <row r="622" spans="1:31" ht="15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</row>
    <row r="623" spans="1:31" ht="15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</row>
    <row r="624" spans="1:31" ht="15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</row>
    <row r="625" spans="1:31" ht="15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</row>
    <row r="626" spans="1:31" ht="15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</row>
    <row r="627" spans="1:31" ht="15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</row>
    <row r="628" spans="1:31" ht="15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</row>
    <row r="629" spans="1:31" ht="15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</row>
    <row r="630" spans="1:31" ht="15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</row>
    <row r="631" spans="1:31" ht="15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</row>
    <row r="632" spans="1:31" ht="15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</row>
    <row r="633" spans="1:31" ht="15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</row>
    <row r="634" spans="1:31" ht="15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</row>
    <row r="635" spans="1:31" ht="15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</row>
    <row r="636" spans="1:31" ht="15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</row>
    <row r="637" spans="1:31" ht="15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</row>
    <row r="638" spans="1:31" ht="15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</row>
    <row r="639" spans="1:31" ht="15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</row>
    <row r="640" spans="1:31" ht="15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</row>
    <row r="641" spans="1:31" ht="15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</row>
    <row r="642" spans="1:31" ht="15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</row>
    <row r="643" spans="1:31" ht="15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</row>
    <row r="644" spans="1:31" ht="15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</row>
    <row r="645" spans="1:31" ht="15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</row>
    <row r="646" spans="1:31" ht="15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</row>
    <row r="647" spans="1:31" ht="15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</row>
    <row r="648" spans="1:31" ht="15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</row>
    <row r="649" spans="1:31" ht="15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</row>
    <row r="650" spans="1:31" ht="15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</row>
    <row r="651" spans="1:31" ht="15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</row>
    <row r="652" spans="1:31" ht="15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</row>
    <row r="653" spans="1:31" ht="15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</row>
    <row r="654" spans="1:31" ht="15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</row>
    <row r="655" spans="1:31" ht="15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</row>
    <row r="656" spans="1:31" ht="15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</row>
    <row r="657" spans="1:31" ht="15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</row>
    <row r="658" spans="1:31" ht="15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</row>
    <row r="659" spans="1:31" ht="15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</row>
    <row r="660" spans="1:31" ht="15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</row>
    <row r="661" spans="1:31" ht="15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</row>
    <row r="662" spans="1:31" ht="15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</row>
    <row r="663" spans="1:31" ht="15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</row>
    <row r="664" spans="1:31" ht="15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</row>
    <row r="665" spans="1:31" ht="15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</row>
    <row r="666" spans="1:31" ht="15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</row>
    <row r="667" spans="1:31" ht="15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</row>
    <row r="668" spans="1:31" ht="15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</row>
    <row r="669" spans="1:31" ht="15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</row>
    <row r="670" spans="1:31" ht="15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</row>
    <row r="671" spans="1:31" ht="15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</row>
    <row r="672" spans="1:31" ht="15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</row>
    <row r="673" spans="1:31" ht="15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</row>
    <row r="674" spans="1:31" ht="15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</row>
    <row r="675" spans="1:31" ht="15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</row>
    <row r="676" spans="1:31" ht="15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</row>
    <row r="677" spans="1:31" ht="15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</row>
    <row r="678" spans="1:31" ht="15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</row>
    <row r="679" spans="1:31" ht="15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</row>
    <row r="680" spans="1:31" ht="15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</row>
    <row r="681" spans="1:31" ht="15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</row>
    <row r="682" spans="1:31" ht="15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</row>
    <row r="683" spans="1:31" ht="15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</row>
    <row r="684" spans="1:31" ht="15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</row>
    <row r="685" spans="1:31" ht="15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</row>
    <row r="686" spans="1:31" ht="15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</row>
    <row r="687" spans="1:31" ht="15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</row>
    <row r="688" spans="1:31" ht="15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</row>
    <row r="689" spans="1:31" ht="15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</row>
    <row r="690" spans="1:31" ht="15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</row>
    <row r="691" spans="1:31" ht="15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</row>
    <row r="692" spans="1:31" ht="15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</row>
    <row r="693" spans="1:31" ht="15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</row>
    <row r="694" spans="1:31" ht="15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</row>
    <row r="695" spans="1:31" ht="15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</row>
    <row r="696" spans="1:31" ht="15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</row>
    <row r="697" spans="1:31" ht="15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</row>
    <row r="698" spans="1:31" ht="15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</row>
    <row r="699" spans="1:31" ht="15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</row>
    <row r="700" spans="1:31" ht="15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</row>
    <row r="701" spans="1:31" ht="15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</row>
    <row r="702" spans="1:31" ht="15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</row>
    <row r="703" spans="1:31" ht="15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</row>
    <row r="704" spans="1:31" ht="15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</row>
    <row r="705" spans="1:31" ht="15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</row>
    <row r="706" spans="1:31" ht="15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</row>
    <row r="707" spans="1:31" ht="15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</row>
    <row r="708" spans="1:31" ht="15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</row>
    <row r="709" spans="1:31" ht="15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</row>
    <row r="710" spans="1:31" ht="15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</row>
    <row r="711" spans="1:31" ht="15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</row>
    <row r="712" spans="1:31" ht="15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</row>
    <row r="713" spans="1:31" ht="15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</row>
    <row r="714" spans="1:31" ht="15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</row>
    <row r="715" spans="1:31" ht="15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</row>
    <row r="716" spans="1:31" ht="15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</row>
    <row r="717" spans="1:31" ht="15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</row>
    <row r="718" spans="1:31" ht="15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</row>
    <row r="719" spans="1:31" ht="15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</row>
    <row r="720" spans="1:31" ht="15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</row>
    <row r="721" spans="1:31" ht="15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</row>
    <row r="722" spans="1:31" ht="15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</row>
    <row r="723" spans="1:31" ht="15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</row>
    <row r="724" spans="1:31" ht="15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</row>
    <row r="725" spans="1:31" ht="15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</row>
    <row r="726" spans="1:31" ht="15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</row>
    <row r="727" spans="1:31" ht="15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</row>
    <row r="728" spans="1:31" ht="15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</row>
    <row r="729" spans="1:31" ht="15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</row>
    <row r="730" spans="1:31" ht="15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</row>
    <row r="731" spans="1:31" ht="15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</row>
    <row r="732" spans="1:31" ht="15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</row>
    <row r="733" spans="1:31" ht="15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</row>
    <row r="734" spans="1:31" ht="15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</row>
    <row r="735" spans="1:31" ht="15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</row>
    <row r="736" spans="1:31" ht="15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</row>
    <row r="737" spans="1:31" ht="15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</row>
    <row r="738" spans="1:31" ht="15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</row>
    <row r="739" spans="1:31" ht="15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</row>
    <row r="740" spans="1:31" ht="15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</row>
    <row r="741" spans="1:31" ht="15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</row>
    <row r="742" spans="1:31" ht="15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</row>
    <row r="743" spans="1:31" ht="15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</row>
    <row r="744" spans="1:31" ht="15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</row>
    <row r="745" spans="1:31" ht="15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</row>
    <row r="746" spans="1:31" ht="15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</row>
    <row r="747" spans="1:31" ht="15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</row>
    <row r="748" spans="1:31" ht="15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</row>
    <row r="749" spans="1:31" ht="15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</row>
    <row r="750" spans="1:31" ht="15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</row>
    <row r="751" spans="1:31" ht="15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</row>
    <row r="752" spans="1:31" ht="15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</row>
    <row r="753" spans="1:31" ht="15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</row>
    <row r="754" spans="1:31" ht="15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</row>
    <row r="755" spans="1:31" ht="15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</row>
    <row r="756" spans="1:31" ht="15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</row>
    <row r="757" spans="1:31" ht="15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</row>
    <row r="758" spans="1:31" ht="15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</row>
    <row r="759" spans="1:31" ht="15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</row>
    <row r="760" spans="1:31" ht="15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</row>
    <row r="761" spans="1:31" ht="15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</row>
    <row r="762" spans="1:31" ht="15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</row>
    <row r="763" spans="1:31" ht="15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</row>
    <row r="764" spans="1:31" ht="15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</row>
    <row r="765" spans="1:31" ht="15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</row>
    <row r="766" spans="1:31" ht="15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</row>
    <row r="767" spans="1:31" ht="15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</row>
    <row r="768" spans="1:31" ht="15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</row>
    <row r="769" spans="1:31" ht="15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</row>
    <row r="770" spans="1:31" ht="15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</row>
    <row r="771" spans="1:31" ht="15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</row>
    <row r="772" spans="1:31" ht="15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</row>
    <row r="773" spans="1:31" ht="15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</row>
    <row r="774" spans="1:31" ht="15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</row>
    <row r="775" spans="1:31" ht="15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</row>
    <row r="776" spans="1:31" ht="15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</row>
    <row r="777" spans="1:31" ht="15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</row>
    <row r="778" spans="1:31" ht="15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</row>
    <row r="779" spans="1:31" ht="15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</row>
    <row r="780" spans="1:31" ht="15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</row>
    <row r="781" spans="1:31" ht="15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</row>
    <row r="782" spans="1:31" ht="15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</row>
    <row r="783" spans="1:31" ht="15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</row>
    <row r="784" spans="1:31" ht="15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</row>
    <row r="785" spans="1:31" ht="15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</row>
    <row r="786" spans="1:31" ht="15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</row>
    <row r="787" spans="1:31" ht="15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</row>
    <row r="788" spans="1:31" ht="15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</row>
    <row r="789" spans="1:31" ht="15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</row>
    <row r="790" spans="1:31" ht="15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</row>
    <row r="791" spans="1:31" ht="15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</row>
    <row r="792" spans="1:31" ht="15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</row>
    <row r="793" spans="1:31" ht="15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</row>
    <row r="794" spans="1:31" ht="15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</row>
    <row r="795" spans="1:31" ht="15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</row>
    <row r="796" spans="1:31" ht="15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</row>
    <row r="797" spans="1:31" ht="15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</row>
    <row r="798" spans="1:31" ht="15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</row>
    <row r="799" spans="1:31" ht="15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</row>
    <row r="800" spans="1:31" ht="15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</row>
    <row r="801" spans="1:31" ht="15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</row>
    <row r="802" spans="1:31" ht="15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</row>
    <row r="803" spans="1:31" ht="15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</row>
    <row r="804" spans="1:31" ht="15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</row>
    <row r="805" spans="1:31" ht="15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</row>
    <row r="806" spans="1:31" ht="15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</row>
    <row r="807" spans="1:31" ht="15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</row>
    <row r="808" spans="1:31" ht="15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</row>
    <row r="809" spans="1:31" ht="15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</row>
    <row r="810" spans="1:31" ht="15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</row>
    <row r="811" spans="1:31" ht="15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</row>
    <row r="812" spans="1:31" ht="15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</row>
    <row r="813" spans="1:31" ht="15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</row>
    <row r="814" spans="1:31" ht="15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</row>
    <row r="815" spans="1:31" ht="15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</row>
    <row r="816" spans="1:31" ht="15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</row>
    <row r="817" spans="1:31" ht="15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</row>
    <row r="818" spans="1:31" ht="15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</row>
    <row r="819" spans="1:31" ht="15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</row>
    <row r="820" spans="1:31" ht="15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</row>
    <row r="821" spans="1:31" ht="15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</row>
    <row r="822" spans="1:31" ht="15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</row>
    <row r="823" spans="1:31" ht="15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</row>
    <row r="824" spans="1:31" ht="15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</row>
    <row r="825" spans="1:31" ht="15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</row>
    <row r="826" spans="1:31" ht="15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</row>
    <row r="827" spans="1:31" ht="15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</row>
    <row r="828" spans="1:31" ht="15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</row>
    <row r="829" spans="1:31" ht="15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</row>
    <row r="830" spans="1:31" ht="15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</row>
    <row r="831" spans="1:31" ht="15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</row>
    <row r="832" spans="1:31" ht="15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</row>
    <row r="833" spans="1:31" ht="15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</row>
    <row r="834" spans="1:31" ht="15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</row>
    <row r="835" spans="1:31" ht="15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</row>
    <row r="836" spans="1:31" ht="15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</row>
    <row r="837" spans="1:31" ht="15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</row>
    <row r="838" spans="1:31" ht="15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</row>
    <row r="839" spans="1:31" ht="15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</row>
    <row r="840" spans="1:31" ht="15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</row>
    <row r="841" spans="1:31" ht="15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</row>
    <row r="842" spans="1:31" ht="15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</row>
    <row r="843" spans="1:31" ht="15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</row>
    <row r="844" spans="1:31" ht="15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</row>
    <row r="845" spans="1:31" ht="15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</row>
    <row r="846" spans="1:31" ht="15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</row>
    <row r="847" spans="1:31" ht="15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</row>
    <row r="848" spans="1:31" ht="15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</row>
    <row r="849" spans="1:31" ht="15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</row>
    <row r="850" spans="1:31" ht="15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</row>
    <row r="851" spans="1:31" ht="15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</row>
    <row r="852" spans="1:31" ht="15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</row>
    <row r="853" spans="1:31" ht="15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</row>
    <row r="854" spans="1:31" ht="15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</row>
    <row r="855" spans="1:31" ht="15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</row>
    <row r="856" spans="1:31" ht="15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</row>
    <row r="857" spans="1:31" ht="15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</row>
    <row r="858" spans="1:31" ht="15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</row>
    <row r="859" spans="1:31" ht="15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</row>
    <row r="860" spans="1:31" ht="15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</row>
    <row r="861" spans="1:31" ht="15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</row>
    <row r="862" spans="1:31" ht="15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</row>
    <row r="863" spans="1:31" ht="15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</row>
    <row r="864" spans="1:31" ht="15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</row>
    <row r="865" spans="1:31" ht="15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</row>
    <row r="866" spans="1:31" ht="15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</row>
    <row r="867" spans="1:31" ht="15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</row>
    <row r="868" spans="1:31" ht="15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</row>
    <row r="869" spans="1:31" ht="15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</row>
    <row r="870" spans="1:31" ht="15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</row>
    <row r="871" spans="1:31" ht="15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</row>
    <row r="872" spans="1:31" ht="15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</row>
    <row r="873" spans="1:31" ht="15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</row>
    <row r="874" spans="1:31" ht="15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</row>
    <row r="875" spans="1:31" ht="15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</row>
    <row r="876" spans="1:31" ht="15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</row>
    <row r="877" spans="1:31" ht="15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</row>
    <row r="878" spans="1:31" ht="15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</row>
    <row r="879" spans="1:31" ht="15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</row>
    <row r="880" spans="1:31" ht="15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</row>
    <row r="881" spans="1:31" ht="15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</row>
    <row r="882" spans="1:31" ht="15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</row>
    <row r="883" spans="1:31" ht="15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</row>
    <row r="884" spans="1:31" ht="15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</row>
    <row r="885" spans="1:31" ht="15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</row>
    <row r="886" spans="1:31" ht="15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</row>
    <row r="887" spans="1:31" ht="15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</row>
    <row r="888" spans="1:31" ht="15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</row>
    <row r="889" spans="1:31" ht="15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</row>
    <row r="890" spans="1:31" ht="15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</row>
    <row r="891" spans="1:31" ht="15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</row>
    <row r="892" spans="1:31" ht="15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</row>
    <row r="893" spans="1:31" ht="15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</row>
    <row r="894" spans="1:31" ht="15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</row>
    <row r="895" spans="1:31" ht="15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</row>
    <row r="896" spans="1:31" ht="15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</row>
    <row r="897" spans="1:31" ht="15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</row>
    <row r="898" spans="1:31" ht="15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</row>
    <row r="899" spans="1:31" ht="15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</row>
    <row r="900" spans="1:31" ht="15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</row>
    <row r="901" spans="1:31" ht="15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</row>
    <row r="902" spans="1:31" ht="15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</row>
    <row r="903" spans="1:31" ht="15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</row>
    <row r="904" spans="1:31" ht="15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</row>
    <row r="905" spans="1:31" ht="15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</row>
    <row r="906" spans="1:31" ht="15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</row>
    <row r="907" spans="1:31" ht="15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</row>
    <row r="908" spans="1:31" ht="15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</row>
    <row r="909" spans="1:31" ht="15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</row>
    <row r="910" spans="1:31" ht="15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</row>
    <row r="911" spans="1:31" ht="15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</row>
    <row r="912" spans="1:31" ht="15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</row>
    <row r="913" spans="1:31" ht="15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</row>
    <row r="914" spans="1:31" ht="15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</row>
    <row r="915" spans="1:31" ht="15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</row>
    <row r="916" spans="1:31" ht="15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</row>
    <row r="917" spans="1:31" ht="15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</row>
    <row r="918" spans="1:31" ht="15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</row>
    <row r="919" spans="1:31" ht="15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</row>
    <row r="920" spans="1:31" ht="15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</row>
    <row r="921" spans="1:31" ht="15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</row>
    <row r="922" spans="1:31" ht="15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</row>
    <row r="923" spans="1:31" ht="15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</row>
    <row r="924" spans="1:31" ht="15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</row>
    <row r="925" spans="1:31" ht="15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</row>
    <row r="926" spans="1:31" ht="15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</row>
    <row r="927" spans="1:31" ht="15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</row>
    <row r="928" spans="1:31" ht="15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</row>
    <row r="929" spans="1:31" ht="15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</row>
    <row r="930" spans="1:31" ht="15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</row>
    <row r="931" spans="1:31" ht="15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</row>
    <row r="932" spans="1:31" ht="15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</row>
    <row r="933" spans="1:31" ht="15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</row>
    <row r="934" spans="1:31" ht="15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</row>
    <row r="935" spans="1:31" ht="15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</row>
    <row r="936" spans="1:31" ht="15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</row>
    <row r="937" spans="1:31" ht="15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</row>
    <row r="938" spans="1:31" ht="15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</row>
    <row r="939" spans="1:31" ht="15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</row>
    <row r="940" spans="1:31" ht="15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</row>
    <row r="941" spans="1:31" ht="15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</row>
    <row r="942" spans="1:31" ht="15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</row>
    <row r="943" spans="1:31" ht="15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</row>
    <row r="944" spans="1:31" ht="15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</row>
    <row r="945" spans="1:31" ht="15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</row>
    <row r="946" spans="1:31" ht="15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</row>
    <row r="947" spans="1:31" ht="15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</row>
    <row r="948" spans="1:31" ht="15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</row>
    <row r="949" spans="1:31" ht="15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</row>
    <row r="950" spans="1:31" ht="15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</row>
    <row r="951" spans="1:31" ht="15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</row>
    <row r="952" spans="1:31" ht="15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</row>
    <row r="953" spans="1:31" ht="15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</row>
    <row r="954" spans="1:31" ht="15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</row>
    <row r="955" spans="1:31" ht="15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</row>
    <row r="956" spans="1:31" ht="15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</row>
    <row r="957" spans="1:31" ht="15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</row>
    <row r="958" spans="1:31" ht="15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</row>
    <row r="959" spans="1:31" ht="15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</row>
    <row r="960" spans="1:31" ht="15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</row>
    <row r="961" spans="1:31" ht="15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</row>
    <row r="962" spans="1:31" ht="15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</row>
    <row r="963" spans="1:31" ht="15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</row>
    <row r="964" spans="1:31" ht="15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</row>
    <row r="965" spans="1:31" ht="15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</row>
    <row r="966" spans="1:31" ht="15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</row>
    <row r="967" spans="1:31" ht="15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</row>
    <row r="968" spans="1:31" ht="15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</row>
    <row r="969" spans="1:31" ht="15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</row>
    <row r="970" spans="1:31" ht="15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</row>
    <row r="971" spans="1:31" ht="15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</row>
    <row r="972" spans="1:31" ht="15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</row>
    <row r="973" spans="1:31" ht="15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</row>
    <row r="974" spans="1:31" ht="15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</row>
    <row r="975" spans="1:31" ht="15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</row>
    <row r="976" spans="1:31" ht="15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</row>
    <row r="977" spans="1:31" ht="15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</row>
    <row r="978" spans="1:31" ht="15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</row>
    <row r="979" spans="1:31" ht="15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</row>
    <row r="980" spans="1:31" ht="15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</row>
    <row r="981" spans="1:31" ht="15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</row>
    <row r="982" spans="1:31" ht="15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</row>
    <row r="983" spans="1:31" ht="15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</row>
    <row r="984" spans="1:31" ht="15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</row>
    <row r="985" spans="1:31" ht="15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</row>
    <row r="986" spans="1:31" ht="15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</row>
    <row r="987" spans="1:31" ht="15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</row>
    <row r="988" spans="1:31" ht="15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</row>
    <row r="989" spans="1:31" ht="15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</row>
    <row r="990" spans="1:31" ht="15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</row>
    <row r="991" spans="1:31" ht="15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</row>
    <row r="992" spans="1:31" ht="15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</row>
    <row r="993" spans="1:31" ht="15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</row>
    <row r="994" spans="1:31" ht="15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</row>
    <row r="995" spans="1:31" ht="15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</row>
    <row r="996" spans="1:31" ht="15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</row>
    <row r="997" spans="1:31" ht="15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</row>
    <row r="998" spans="1:31" ht="15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</row>
    <row r="999" spans="1:31" ht="15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</row>
    <row r="1000" spans="1:31" ht="15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</row>
  </sheetData>
  <conditionalFormatting sqref="H6:H32 H35:H36 H38 H94:H114 H117:H120 H122">
    <cfRule type="cellIs" dxfId="6" priority="1" operator="lessThan">
      <formula>0</formula>
    </cfRule>
  </conditionalFormatting>
  <printOptions horizontalCentered="1" verticalCentered="1"/>
  <pageMargins left="0.25" right="0.25" top="0.75" bottom="0.75" header="0.3" footer="0.3"/>
  <pageSetup fitToHeight="0" orientation="landscape" r:id="rId1"/>
  <headerFooter>
    <oddHeader>&amp;A</oddHeader>
    <oddFooter>Page &amp;P of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1"/>
  <sheetViews>
    <sheetView workbookViewId="0"/>
  </sheetViews>
  <sheetFormatPr defaultRowHeight="12.75" x14ac:dyDescent="0.2"/>
  <cols>
    <col min="1" max="1" width="13.42578125" customWidth="1"/>
    <col min="2" max="2" width="38.7109375" customWidth="1"/>
    <col min="3" max="10" width="0" hidden="1" customWidth="1"/>
    <col min="11" max="11" width="21.85546875" hidden="1" customWidth="1"/>
    <col min="12" max="19" width="12.7109375" customWidth="1"/>
  </cols>
  <sheetData>
    <row r="1" spans="1:25" s="545" customFormat="1" ht="25.9" customHeight="1" x14ac:dyDescent="0.35">
      <c r="A1" s="546" t="s">
        <v>1671</v>
      </c>
      <c r="B1" s="512"/>
      <c r="C1" s="547"/>
      <c r="D1" s="548"/>
      <c r="E1" s="548"/>
      <c r="F1" s="548"/>
      <c r="G1" s="548"/>
      <c r="H1" s="515"/>
      <c r="I1" s="507"/>
      <c r="J1" s="507"/>
      <c r="K1" s="547"/>
      <c r="L1" s="540"/>
      <c r="M1" s="540"/>
      <c r="N1" s="540"/>
      <c r="O1" s="540"/>
      <c r="P1" s="541"/>
      <c r="Q1" s="541"/>
      <c r="R1" s="462"/>
      <c r="S1" s="462"/>
      <c r="W1" s="51"/>
      <c r="X1" s="106"/>
    </row>
    <row r="2" spans="1:25" s="545" customFormat="1" ht="62.45" customHeight="1" x14ac:dyDescent="0.25">
      <c r="A2" s="508" t="s">
        <v>50</v>
      </c>
      <c r="B2" s="508" t="s">
        <v>51</v>
      </c>
      <c r="C2" s="535"/>
      <c r="D2" s="536" t="s">
        <v>52</v>
      </c>
      <c r="E2" s="549" t="s">
        <v>53</v>
      </c>
      <c r="F2" s="549" t="s">
        <v>54</v>
      </c>
      <c r="G2" s="549" t="s">
        <v>55</v>
      </c>
      <c r="H2" s="537" t="s">
        <v>56</v>
      </c>
      <c r="I2" s="537" t="s">
        <v>57</v>
      </c>
      <c r="J2" s="538" t="s">
        <v>58</v>
      </c>
      <c r="K2" s="535"/>
      <c r="L2" s="476" t="s">
        <v>59</v>
      </c>
      <c r="M2" s="476" t="s">
        <v>60</v>
      </c>
      <c r="N2" s="476" t="s">
        <v>61</v>
      </c>
      <c r="O2" s="476" t="s">
        <v>62</v>
      </c>
      <c r="P2" s="476" t="s">
        <v>63</v>
      </c>
      <c r="Q2" s="476" t="s">
        <v>64</v>
      </c>
      <c r="R2" s="476" t="s">
        <v>65</v>
      </c>
      <c r="S2" s="476" t="s">
        <v>66</v>
      </c>
      <c r="W2" s="19"/>
      <c r="Y2" s="29"/>
    </row>
    <row r="3" spans="1:25" s="545" customFormat="1" ht="15.75" customHeight="1" x14ac:dyDescent="0.25">
      <c r="A3" s="512" t="s">
        <v>1672</v>
      </c>
      <c r="B3" s="512" t="s">
        <v>70</v>
      </c>
      <c r="C3" s="513"/>
      <c r="D3" s="514">
        <v>497</v>
      </c>
      <c r="E3" s="466">
        <v>0</v>
      </c>
      <c r="F3" s="466">
        <v>0</v>
      </c>
      <c r="G3" s="466">
        <v>0</v>
      </c>
      <c r="H3" s="515">
        <f t="shared" ref="H3:H23" si="0">IFERROR(((Q3-G3)/G3),0)</f>
        <v>0</v>
      </c>
      <c r="I3" s="479">
        <f t="shared" ref="I3:I22" si="1">Q3-G3</f>
        <v>1000</v>
      </c>
      <c r="J3" s="507"/>
      <c r="K3" s="513"/>
      <c r="L3" s="516">
        <v>315</v>
      </c>
      <c r="M3" s="516">
        <v>0</v>
      </c>
      <c r="N3" s="516">
        <v>1000</v>
      </c>
      <c r="O3" s="516">
        <v>0</v>
      </c>
      <c r="P3" s="514">
        <f t="shared" ref="P3:P5" si="2">O3/20*26</f>
        <v>0</v>
      </c>
      <c r="Q3" s="514">
        <v>1000</v>
      </c>
      <c r="R3" s="540">
        <v>1000</v>
      </c>
      <c r="S3" s="462">
        <f t="shared" ref="S3:S22" si="3">R3-Q3</f>
        <v>0</v>
      </c>
    </row>
    <row r="4" spans="1:25" s="545" customFormat="1" ht="15.75" customHeight="1" x14ac:dyDescent="0.25">
      <c r="A4" s="512" t="s">
        <v>1673</v>
      </c>
      <c r="B4" s="512" t="s">
        <v>108</v>
      </c>
      <c r="C4" s="513"/>
      <c r="D4" s="514">
        <v>2113</v>
      </c>
      <c r="E4" s="466">
        <v>0</v>
      </c>
      <c r="F4" s="466">
        <v>0</v>
      </c>
      <c r="G4" s="466">
        <v>0</v>
      </c>
      <c r="H4" s="515">
        <f t="shared" si="0"/>
        <v>0</v>
      </c>
      <c r="I4" s="479">
        <f t="shared" si="1"/>
        <v>7200</v>
      </c>
      <c r="J4" s="507"/>
      <c r="K4" s="513"/>
      <c r="L4" s="516">
        <v>4001</v>
      </c>
      <c r="M4" s="516">
        <v>2322.06</v>
      </c>
      <c r="N4" s="516">
        <v>7200</v>
      </c>
      <c r="O4" s="516">
        <v>3082.72</v>
      </c>
      <c r="P4" s="514">
        <f t="shared" si="2"/>
        <v>4007.5360000000001</v>
      </c>
      <c r="Q4" s="514">
        <v>7200</v>
      </c>
      <c r="R4" s="540">
        <v>7200</v>
      </c>
      <c r="S4" s="462">
        <f t="shared" si="3"/>
        <v>0</v>
      </c>
    </row>
    <row r="5" spans="1:25" s="545" customFormat="1" ht="15.75" customHeight="1" x14ac:dyDescent="0.25">
      <c r="A5" s="512" t="s">
        <v>1674</v>
      </c>
      <c r="B5" s="512" t="s">
        <v>72</v>
      </c>
      <c r="C5" s="513"/>
      <c r="D5" s="514">
        <v>435</v>
      </c>
      <c r="E5" s="466">
        <v>0</v>
      </c>
      <c r="F5" s="466">
        <v>0</v>
      </c>
      <c r="G5" s="466">
        <v>0</v>
      </c>
      <c r="H5" s="515">
        <f t="shared" si="0"/>
        <v>0</v>
      </c>
      <c r="I5" s="479">
        <f t="shared" si="1"/>
        <v>800</v>
      </c>
      <c r="J5" s="507"/>
      <c r="K5" s="513"/>
      <c r="L5" s="516">
        <v>1114</v>
      </c>
      <c r="M5" s="516">
        <v>211.33</v>
      </c>
      <c r="N5" s="516">
        <v>4000</v>
      </c>
      <c r="O5" s="516">
        <v>250.3</v>
      </c>
      <c r="P5" s="514">
        <f t="shared" si="2"/>
        <v>325.39</v>
      </c>
      <c r="Q5" s="514">
        <v>800</v>
      </c>
      <c r="R5" s="540">
        <v>800</v>
      </c>
      <c r="S5" s="462">
        <f t="shared" si="3"/>
        <v>0</v>
      </c>
    </row>
    <row r="6" spans="1:25" s="545" customFormat="1" ht="15.75" customHeight="1" x14ac:dyDescent="0.25">
      <c r="A6" s="512" t="s">
        <v>1675</v>
      </c>
      <c r="B6" s="512" t="s">
        <v>74</v>
      </c>
      <c r="C6" s="513"/>
      <c r="D6" s="514">
        <v>1450</v>
      </c>
      <c r="E6" s="466">
        <v>0</v>
      </c>
      <c r="F6" s="466">
        <v>0</v>
      </c>
      <c r="G6" s="466">
        <v>0</v>
      </c>
      <c r="H6" s="515">
        <f t="shared" si="0"/>
        <v>0</v>
      </c>
      <c r="I6" s="479">
        <f t="shared" si="1"/>
        <v>6520</v>
      </c>
      <c r="J6" s="507"/>
      <c r="K6" s="513"/>
      <c r="L6" s="516">
        <v>2850</v>
      </c>
      <c r="M6" s="516">
        <v>1500</v>
      </c>
      <c r="N6" s="516">
        <v>1650</v>
      </c>
      <c r="O6" s="516">
        <v>3180</v>
      </c>
      <c r="P6" s="518">
        <f t="shared" ref="P6:P7" si="4">O6</f>
        <v>3180</v>
      </c>
      <c r="Q6" s="514">
        <v>6520</v>
      </c>
      <c r="R6" s="540">
        <v>6520</v>
      </c>
      <c r="S6" s="462">
        <f t="shared" si="3"/>
        <v>0</v>
      </c>
    </row>
    <row r="7" spans="1:25" s="545" customFormat="1" ht="15.75" customHeight="1" x14ac:dyDescent="0.25">
      <c r="A7" s="512" t="s">
        <v>1676</v>
      </c>
      <c r="B7" s="512" t="s">
        <v>1578</v>
      </c>
      <c r="C7" s="513"/>
      <c r="D7" s="514">
        <v>5636</v>
      </c>
      <c r="E7" s="466">
        <v>0</v>
      </c>
      <c r="F7" s="466">
        <v>0</v>
      </c>
      <c r="G7" s="466">
        <v>0</v>
      </c>
      <c r="H7" s="515">
        <f t="shared" si="0"/>
        <v>0</v>
      </c>
      <c r="I7" s="479">
        <f t="shared" si="1"/>
        <v>19806</v>
      </c>
      <c r="J7" s="507"/>
      <c r="K7" s="513"/>
      <c r="L7" s="516">
        <v>12929</v>
      </c>
      <c r="M7" s="516">
        <v>10322.77</v>
      </c>
      <c r="N7" s="516">
        <v>19460</v>
      </c>
      <c r="O7" s="516">
        <v>27962.12</v>
      </c>
      <c r="P7" s="518">
        <f t="shared" si="4"/>
        <v>27962.12</v>
      </c>
      <c r="Q7" s="514">
        <v>19806</v>
      </c>
      <c r="R7" s="540">
        <v>19806</v>
      </c>
      <c r="S7" s="462">
        <f t="shared" si="3"/>
        <v>0</v>
      </c>
    </row>
    <row r="8" spans="1:25" s="545" customFormat="1" ht="15.75" customHeight="1" x14ac:dyDescent="0.25">
      <c r="A8" s="512" t="s">
        <v>1677</v>
      </c>
      <c r="B8" s="512" t="s">
        <v>76</v>
      </c>
      <c r="C8" s="513"/>
      <c r="D8" s="514">
        <v>1834</v>
      </c>
      <c r="E8" s="466">
        <v>0</v>
      </c>
      <c r="F8" s="466">
        <v>0</v>
      </c>
      <c r="G8" s="466">
        <v>0</v>
      </c>
      <c r="H8" s="515">
        <f t="shared" si="0"/>
        <v>0</v>
      </c>
      <c r="I8" s="479">
        <f t="shared" si="1"/>
        <v>33700</v>
      </c>
      <c r="J8" s="507"/>
      <c r="K8" s="513"/>
      <c r="L8" s="516">
        <v>6738</v>
      </c>
      <c r="M8" s="516">
        <v>15896.14</v>
      </c>
      <c r="N8" s="516">
        <v>32000</v>
      </c>
      <c r="O8" s="516">
        <v>5485.58</v>
      </c>
      <c r="P8" s="514">
        <f t="shared" ref="P8:P15" si="5">O8/9*12</f>
        <v>7314.1066666666666</v>
      </c>
      <c r="Q8" s="514">
        <v>33700</v>
      </c>
      <c r="R8" s="540">
        <v>33700</v>
      </c>
      <c r="S8" s="462">
        <f t="shared" si="3"/>
        <v>0</v>
      </c>
    </row>
    <row r="9" spans="1:25" s="545" customFormat="1" ht="15.75" customHeight="1" x14ac:dyDescent="0.25">
      <c r="A9" s="512" t="s">
        <v>1678</v>
      </c>
      <c r="B9" s="512" t="s">
        <v>80</v>
      </c>
      <c r="C9" s="513"/>
      <c r="D9" s="514">
        <v>2108</v>
      </c>
      <c r="E9" s="466">
        <v>0</v>
      </c>
      <c r="F9" s="466">
        <v>0</v>
      </c>
      <c r="G9" s="466">
        <v>0</v>
      </c>
      <c r="H9" s="515">
        <f t="shared" si="0"/>
        <v>0</v>
      </c>
      <c r="I9" s="479">
        <f t="shared" si="1"/>
        <v>5600</v>
      </c>
      <c r="J9" s="507"/>
      <c r="K9" s="513"/>
      <c r="L9" s="516">
        <v>992</v>
      </c>
      <c r="M9" s="516">
        <v>2535.2399999999998</v>
      </c>
      <c r="N9" s="516">
        <v>12850</v>
      </c>
      <c r="O9" s="516">
        <v>3596.63</v>
      </c>
      <c r="P9" s="514">
        <f t="shared" si="5"/>
        <v>4795.5066666666671</v>
      </c>
      <c r="Q9" s="514">
        <v>5600</v>
      </c>
      <c r="R9" s="540">
        <v>5600</v>
      </c>
      <c r="S9" s="462">
        <f t="shared" si="3"/>
        <v>0</v>
      </c>
    </row>
    <row r="10" spans="1:25" s="545" customFormat="1" ht="15.75" customHeight="1" x14ac:dyDescent="0.25">
      <c r="A10" s="512" t="s">
        <v>1679</v>
      </c>
      <c r="B10" s="512" t="s">
        <v>82</v>
      </c>
      <c r="C10" s="513"/>
      <c r="D10" s="514">
        <v>1419</v>
      </c>
      <c r="E10" s="466">
        <v>0</v>
      </c>
      <c r="F10" s="466">
        <v>0</v>
      </c>
      <c r="G10" s="466">
        <v>0</v>
      </c>
      <c r="H10" s="515">
        <f t="shared" si="0"/>
        <v>0</v>
      </c>
      <c r="I10" s="479">
        <f t="shared" si="1"/>
        <v>17500</v>
      </c>
      <c r="J10" s="507"/>
      <c r="K10" s="513"/>
      <c r="L10" s="516">
        <v>167</v>
      </c>
      <c r="M10" s="516">
        <v>1023</v>
      </c>
      <c r="N10" s="516">
        <v>0</v>
      </c>
      <c r="O10" s="516">
        <v>91.72</v>
      </c>
      <c r="P10" s="514">
        <f t="shared" si="5"/>
        <v>122.29333333333332</v>
      </c>
      <c r="Q10" s="514">
        <v>17500</v>
      </c>
      <c r="R10" s="540">
        <v>17500</v>
      </c>
      <c r="S10" s="462">
        <f t="shared" si="3"/>
        <v>0</v>
      </c>
    </row>
    <row r="11" spans="1:25" s="545" customFormat="1" ht="15.75" customHeight="1" x14ac:dyDescent="0.25">
      <c r="A11" s="512" t="s">
        <v>1680</v>
      </c>
      <c r="B11" s="512" t="s">
        <v>115</v>
      </c>
      <c r="C11" s="513"/>
      <c r="D11" s="514">
        <v>0</v>
      </c>
      <c r="E11" s="466">
        <v>0</v>
      </c>
      <c r="F11" s="466">
        <v>0</v>
      </c>
      <c r="G11" s="466">
        <v>0</v>
      </c>
      <c r="H11" s="515">
        <f t="shared" si="0"/>
        <v>0</v>
      </c>
      <c r="I11" s="479">
        <f t="shared" si="1"/>
        <v>1000</v>
      </c>
      <c r="J11" s="507"/>
      <c r="K11" s="513"/>
      <c r="L11" s="516">
        <v>0</v>
      </c>
      <c r="M11" s="516">
        <v>0</v>
      </c>
      <c r="N11" s="516">
        <v>800</v>
      </c>
      <c r="O11" s="516">
        <v>0</v>
      </c>
      <c r="P11" s="514">
        <f t="shared" si="5"/>
        <v>0</v>
      </c>
      <c r="Q11" s="514">
        <v>1000</v>
      </c>
      <c r="R11" s="540">
        <v>1000</v>
      </c>
      <c r="S11" s="462">
        <f t="shared" si="3"/>
        <v>0</v>
      </c>
    </row>
    <row r="12" spans="1:25" s="545" customFormat="1" ht="15.75" customHeight="1" x14ac:dyDescent="0.25">
      <c r="A12" s="512" t="s">
        <v>1681</v>
      </c>
      <c r="B12" s="512" t="s">
        <v>210</v>
      </c>
      <c r="C12" s="513"/>
      <c r="D12" s="514">
        <v>0</v>
      </c>
      <c r="E12" s="466">
        <v>0</v>
      </c>
      <c r="F12" s="466">
        <v>0</v>
      </c>
      <c r="G12" s="466">
        <v>0</v>
      </c>
      <c r="H12" s="515">
        <f t="shared" si="0"/>
        <v>0</v>
      </c>
      <c r="I12" s="479">
        <f t="shared" si="1"/>
        <v>1200</v>
      </c>
      <c r="J12" s="507"/>
      <c r="K12" s="513"/>
      <c r="L12" s="516">
        <v>0</v>
      </c>
      <c r="M12" s="516">
        <v>0</v>
      </c>
      <c r="N12" s="516">
        <v>500</v>
      </c>
      <c r="O12" s="516">
        <v>0</v>
      </c>
      <c r="P12" s="514">
        <f t="shared" si="5"/>
        <v>0</v>
      </c>
      <c r="Q12" s="514">
        <v>1200</v>
      </c>
      <c r="R12" s="540">
        <v>1200</v>
      </c>
      <c r="S12" s="462">
        <f t="shared" si="3"/>
        <v>0</v>
      </c>
    </row>
    <row r="13" spans="1:25" s="545" customFormat="1" ht="15.75" customHeight="1" x14ac:dyDescent="0.25">
      <c r="A13" s="512" t="s">
        <v>1682</v>
      </c>
      <c r="B13" s="512" t="s">
        <v>86</v>
      </c>
      <c r="C13" s="513"/>
      <c r="D13" s="514">
        <v>0</v>
      </c>
      <c r="E13" s="466">
        <v>0</v>
      </c>
      <c r="F13" s="466">
        <v>0</v>
      </c>
      <c r="G13" s="466">
        <v>0</v>
      </c>
      <c r="H13" s="515">
        <f t="shared" si="0"/>
        <v>0</v>
      </c>
      <c r="I13" s="479">
        <f t="shared" si="1"/>
        <v>11275</v>
      </c>
      <c r="J13" s="507"/>
      <c r="K13" s="513"/>
      <c r="L13" s="516">
        <v>0</v>
      </c>
      <c r="M13" s="516">
        <v>0</v>
      </c>
      <c r="N13" s="516">
        <v>4000</v>
      </c>
      <c r="O13" s="516">
        <v>0</v>
      </c>
      <c r="P13" s="514">
        <f t="shared" si="5"/>
        <v>0</v>
      </c>
      <c r="Q13" s="514">
        <v>11275</v>
      </c>
      <c r="R13" s="540">
        <v>11275</v>
      </c>
      <c r="S13" s="462">
        <f t="shared" si="3"/>
        <v>0</v>
      </c>
    </row>
    <row r="14" spans="1:25" s="545" customFormat="1" ht="15.75" customHeight="1" x14ac:dyDescent="0.25">
      <c r="A14" s="512" t="s">
        <v>1683</v>
      </c>
      <c r="B14" s="512" t="s">
        <v>1684</v>
      </c>
      <c r="C14" s="513"/>
      <c r="D14" s="514">
        <v>2265</v>
      </c>
      <c r="E14" s="466">
        <v>0</v>
      </c>
      <c r="F14" s="466">
        <v>0</v>
      </c>
      <c r="G14" s="466">
        <v>0</v>
      </c>
      <c r="H14" s="515">
        <f t="shared" si="0"/>
        <v>0</v>
      </c>
      <c r="I14" s="479">
        <f t="shared" si="1"/>
        <v>4620</v>
      </c>
      <c r="J14" s="507"/>
      <c r="K14" s="513"/>
      <c r="L14" s="516">
        <v>4650</v>
      </c>
      <c r="M14" s="516">
        <v>4200</v>
      </c>
      <c r="N14" s="516">
        <v>0</v>
      </c>
      <c r="O14" s="516">
        <v>0</v>
      </c>
      <c r="P14" s="514">
        <f t="shared" si="5"/>
        <v>0</v>
      </c>
      <c r="Q14" s="514">
        <v>4620</v>
      </c>
      <c r="R14" s="540">
        <v>4620</v>
      </c>
      <c r="S14" s="462">
        <f t="shared" si="3"/>
        <v>0</v>
      </c>
    </row>
    <row r="15" spans="1:25" s="545" customFormat="1" ht="15.75" customHeight="1" x14ac:dyDescent="0.25">
      <c r="A15" s="512" t="s">
        <v>1685</v>
      </c>
      <c r="B15" s="512" t="s">
        <v>1686</v>
      </c>
      <c r="C15" s="513"/>
      <c r="D15" s="514">
        <v>1497</v>
      </c>
      <c r="E15" s="466">
        <v>0</v>
      </c>
      <c r="F15" s="466">
        <v>0</v>
      </c>
      <c r="G15" s="466">
        <v>0</v>
      </c>
      <c r="H15" s="515">
        <f t="shared" si="0"/>
        <v>0</v>
      </c>
      <c r="I15" s="479">
        <f t="shared" si="1"/>
        <v>3250</v>
      </c>
      <c r="J15" s="507"/>
      <c r="K15" s="513"/>
      <c r="L15" s="516">
        <v>3144</v>
      </c>
      <c r="M15" s="516">
        <v>1333.49</v>
      </c>
      <c r="N15" s="516">
        <v>7200</v>
      </c>
      <c r="O15" s="516">
        <v>2699.3</v>
      </c>
      <c r="P15" s="514">
        <f t="shared" si="5"/>
        <v>3599.0666666666666</v>
      </c>
      <c r="Q15" s="514">
        <v>3250</v>
      </c>
      <c r="R15" s="540">
        <v>3250</v>
      </c>
      <c r="S15" s="462">
        <f t="shared" si="3"/>
        <v>0</v>
      </c>
    </row>
    <row r="16" spans="1:25" s="545" customFormat="1" ht="15.75" customHeight="1" x14ac:dyDescent="0.25">
      <c r="A16" s="512" t="s">
        <v>1687</v>
      </c>
      <c r="B16" s="512" t="s">
        <v>1688</v>
      </c>
      <c r="C16" s="513"/>
      <c r="D16" s="514">
        <v>60000</v>
      </c>
      <c r="E16" s="466">
        <v>0</v>
      </c>
      <c r="F16" s="466">
        <v>0</v>
      </c>
      <c r="G16" s="466">
        <v>0</v>
      </c>
      <c r="H16" s="515">
        <f t="shared" si="0"/>
        <v>0</v>
      </c>
      <c r="I16" s="479">
        <f t="shared" si="1"/>
        <v>148000</v>
      </c>
      <c r="J16" s="507"/>
      <c r="K16" s="513"/>
      <c r="L16" s="516">
        <v>116000</v>
      </c>
      <c r="M16" s="516">
        <v>129752</v>
      </c>
      <c r="N16" s="516">
        <v>142000</v>
      </c>
      <c r="O16" s="516">
        <v>136281.06</v>
      </c>
      <c r="P16" s="518">
        <f>O16</f>
        <v>136281.06</v>
      </c>
      <c r="Q16" s="514">
        <v>148000</v>
      </c>
      <c r="R16" s="540">
        <v>148000</v>
      </c>
      <c r="S16" s="462">
        <f t="shared" si="3"/>
        <v>0</v>
      </c>
    </row>
    <row r="17" spans="1:31" s="545" customFormat="1" ht="15.75" customHeight="1" x14ac:dyDescent="0.25">
      <c r="A17" s="512" t="s">
        <v>1689</v>
      </c>
      <c r="B17" s="512" t="s">
        <v>468</v>
      </c>
      <c r="C17" s="513"/>
      <c r="D17" s="514">
        <v>0</v>
      </c>
      <c r="E17" s="466">
        <v>0</v>
      </c>
      <c r="F17" s="466">
        <v>0</v>
      </c>
      <c r="G17" s="466">
        <v>0</v>
      </c>
      <c r="H17" s="515">
        <f t="shared" si="0"/>
        <v>0</v>
      </c>
      <c r="I17" s="479">
        <f t="shared" si="1"/>
        <v>1500</v>
      </c>
      <c r="J17" s="507"/>
      <c r="K17" s="513"/>
      <c r="L17" s="516">
        <v>0</v>
      </c>
      <c r="M17" s="516">
        <v>0</v>
      </c>
      <c r="N17" s="516">
        <v>1000</v>
      </c>
      <c r="O17" s="516">
        <v>90</v>
      </c>
      <c r="P17" s="514">
        <f t="shared" ref="P17:P18" si="6">O17/9*12</f>
        <v>120</v>
      </c>
      <c r="Q17" s="514">
        <v>1500</v>
      </c>
      <c r="R17" s="540">
        <v>1500</v>
      </c>
      <c r="S17" s="462">
        <f t="shared" si="3"/>
        <v>0</v>
      </c>
    </row>
    <row r="18" spans="1:31" s="545" customFormat="1" ht="15.75" customHeight="1" x14ac:dyDescent="0.25">
      <c r="A18" s="512" t="s">
        <v>1690</v>
      </c>
      <c r="B18" s="512" t="s">
        <v>92</v>
      </c>
      <c r="C18" s="550"/>
      <c r="D18" s="551">
        <v>0</v>
      </c>
      <c r="E18" s="466">
        <v>0</v>
      </c>
      <c r="F18" s="466">
        <v>0</v>
      </c>
      <c r="G18" s="466">
        <v>0</v>
      </c>
      <c r="H18" s="515">
        <f t="shared" si="0"/>
        <v>0</v>
      </c>
      <c r="I18" s="479">
        <f t="shared" si="1"/>
        <v>175</v>
      </c>
      <c r="J18" s="507"/>
      <c r="K18" s="513"/>
      <c r="L18" s="516">
        <v>52</v>
      </c>
      <c r="M18" s="516">
        <v>53.92</v>
      </c>
      <c r="N18" s="516">
        <v>100</v>
      </c>
      <c r="O18" s="516">
        <v>77.459999999999994</v>
      </c>
      <c r="P18" s="514">
        <f t="shared" si="6"/>
        <v>103.27999999999999</v>
      </c>
      <c r="Q18" s="514">
        <v>175</v>
      </c>
      <c r="R18" s="540">
        <v>175</v>
      </c>
      <c r="S18" s="462">
        <f t="shared" si="3"/>
        <v>0</v>
      </c>
    </row>
    <row r="19" spans="1:31" s="545" customFormat="1" ht="15.75" customHeight="1" x14ac:dyDescent="0.25">
      <c r="A19" s="512" t="s">
        <v>1691</v>
      </c>
      <c r="B19" s="512" t="s">
        <v>94</v>
      </c>
      <c r="C19" s="513"/>
      <c r="D19" s="514">
        <v>2841</v>
      </c>
      <c r="E19" s="466">
        <v>0</v>
      </c>
      <c r="F19" s="466">
        <v>0</v>
      </c>
      <c r="G19" s="466">
        <v>0</v>
      </c>
      <c r="H19" s="515">
        <f t="shared" si="0"/>
        <v>0</v>
      </c>
      <c r="I19" s="479">
        <f t="shared" si="1"/>
        <v>15000</v>
      </c>
      <c r="J19" s="507"/>
      <c r="K19" s="513"/>
      <c r="L19" s="516">
        <v>8658</v>
      </c>
      <c r="M19" s="516">
        <v>7550.46</v>
      </c>
      <c r="N19" s="516">
        <v>7850</v>
      </c>
      <c r="O19" s="516">
        <v>10180.75</v>
      </c>
      <c r="P19" s="518">
        <f t="shared" ref="P19:P21" si="7">O19</f>
        <v>10180.75</v>
      </c>
      <c r="Q19" s="514">
        <v>15000</v>
      </c>
      <c r="R19" s="540">
        <v>15000</v>
      </c>
      <c r="S19" s="462">
        <f t="shared" si="3"/>
        <v>0</v>
      </c>
    </row>
    <row r="20" spans="1:31" s="545" customFormat="1" ht="15.75" customHeight="1" x14ac:dyDescent="0.25">
      <c r="A20" s="512" t="s">
        <v>1692</v>
      </c>
      <c r="B20" s="512" t="s">
        <v>1693</v>
      </c>
      <c r="C20" s="513"/>
      <c r="D20" s="514">
        <v>71900</v>
      </c>
      <c r="E20" s="466">
        <v>0</v>
      </c>
      <c r="F20" s="466">
        <v>0</v>
      </c>
      <c r="G20" s="466">
        <v>0</v>
      </c>
      <c r="H20" s="515">
        <f t="shared" si="0"/>
        <v>0</v>
      </c>
      <c r="I20" s="479">
        <f t="shared" si="1"/>
        <v>163300</v>
      </c>
      <c r="J20" s="507"/>
      <c r="K20" s="513"/>
      <c r="L20" s="516">
        <v>122990</v>
      </c>
      <c r="M20" s="516">
        <v>136685</v>
      </c>
      <c r="N20" s="516">
        <v>161300</v>
      </c>
      <c r="O20" s="516">
        <v>142610</v>
      </c>
      <c r="P20" s="518">
        <f t="shared" si="7"/>
        <v>142610</v>
      </c>
      <c r="Q20" s="514">
        <v>163300</v>
      </c>
      <c r="R20" s="540">
        <v>163300</v>
      </c>
      <c r="S20" s="462">
        <f t="shared" si="3"/>
        <v>0</v>
      </c>
    </row>
    <row r="21" spans="1:31" s="545" customFormat="1" ht="15.75" customHeight="1" x14ac:dyDescent="0.25">
      <c r="A21" s="512" t="s">
        <v>1694</v>
      </c>
      <c r="B21" s="512" t="s">
        <v>1695</v>
      </c>
      <c r="C21" s="513"/>
      <c r="D21" s="514">
        <v>4500</v>
      </c>
      <c r="E21" s="466">
        <v>0</v>
      </c>
      <c r="F21" s="466">
        <v>0</v>
      </c>
      <c r="G21" s="466">
        <v>0</v>
      </c>
      <c r="H21" s="515">
        <f t="shared" si="0"/>
        <v>0</v>
      </c>
      <c r="I21" s="479">
        <f t="shared" si="1"/>
        <v>6615</v>
      </c>
      <c r="J21" s="507"/>
      <c r="K21" s="513"/>
      <c r="L21" s="516">
        <v>6000</v>
      </c>
      <c r="M21" s="516">
        <v>6723.75</v>
      </c>
      <c r="N21" s="516">
        <v>6300</v>
      </c>
      <c r="O21" s="516">
        <v>6150</v>
      </c>
      <c r="P21" s="518">
        <f t="shared" si="7"/>
        <v>6150</v>
      </c>
      <c r="Q21" s="514">
        <v>6615</v>
      </c>
      <c r="R21" s="540">
        <v>6615</v>
      </c>
      <c r="S21" s="462">
        <f t="shared" si="3"/>
        <v>0</v>
      </c>
    </row>
    <row r="22" spans="1:31" s="545" customFormat="1" ht="15.75" customHeight="1" x14ac:dyDescent="0.25">
      <c r="A22" s="512" t="s">
        <v>1696</v>
      </c>
      <c r="B22" s="512" t="s">
        <v>1697</v>
      </c>
      <c r="C22" s="513"/>
      <c r="D22" s="514">
        <v>4842</v>
      </c>
      <c r="E22" s="466">
        <v>0</v>
      </c>
      <c r="F22" s="466">
        <v>0</v>
      </c>
      <c r="G22" s="466">
        <v>0</v>
      </c>
      <c r="H22" s="515">
        <f t="shared" si="0"/>
        <v>0</v>
      </c>
      <c r="I22" s="479">
        <f t="shared" si="1"/>
        <v>12000</v>
      </c>
      <c r="J22" s="507"/>
      <c r="K22" s="513"/>
      <c r="L22" s="516">
        <v>19800</v>
      </c>
      <c r="M22" s="516">
        <v>18200</v>
      </c>
      <c r="N22" s="516">
        <v>22000</v>
      </c>
      <c r="O22" s="516">
        <v>18600</v>
      </c>
      <c r="P22" s="518">
        <f>N22</f>
        <v>22000</v>
      </c>
      <c r="Q22" s="514">
        <v>12000</v>
      </c>
      <c r="R22" s="540">
        <v>12000</v>
      </c>
      <c r="S22" s="462">
        <f t="shared" si="3"/>
        <v>0</v>
      </c>
    </row>
    <row r="23" spans="1:31" s="545" customFormat="1" ht="15.75" customHeight="1" x14ac:dyDescent="0.25">
      <c r="A23" s="519" t="s">
        <v>1698</v>
      </c>
      <c r="B23" s="520"/>
      <c r="C23" s="552"/>
      <c r="D23" s="553">
        <f>SUM(D1:D22)</f>
        <v>163337</v>
      </c>
      <c r="E23" s="553">
        <f>SUM(E1:E22)</f>
        <v>0</v>
      </c>
      <c r="F23" s="553">
        <f>SUM(F1:F22)</f>
        <v>0</v>
      </c>
      <c r="G23" s="553">
        <f>SUM(G1:G22)</f>
        <v>0</v>
      </c>
      <c r="H23" s="523">
        <f t="shared" si="0"/>
        <v>0</v>
      </c>
      <c r="I23" s="522">
        <f t="shared" ref="I23:J23" si="8">SUM(I3:I22)</f>
        <v>460061</v>
      </c>
      <c r="J23" s="524">
        <f t="shared" si="8"/>
        <v>0</v>
      </c>
      <c r="K23" s="552"/>
      <c r="L23" s="491">
        <f t="shared" ref="L23:S23" si="9">SUM(L1:L22)</f>
        <v>310400</v>
      </c>
      <c r="M23" s="491">
        <f t="shared" si="9"/>
        <v>338309.16000000003</v>
      </c>
      <c r="N23" s="491">
        <f t="shared" si="9"/>
        <v>431210</v>
      </c>
      <c r="O23" s="491">
        <f t="shared" si="9"/>
        <v>360337.64</v>
      </c>
      <c r="P23" s="459">
        <f t="shared" si="9"/>
        <v>368751.10933333333</v>
      </c>
      <c r="Q23" s="459">
        <f t="shared" si="9"/>
        <v>460061</v>
      </c>
      <c r="R23" s="491">
        <f t="shared" si="9"/>
        <v>460061</v>
      </c>
      <c r="S23" s="491">
        <f t="shared" si="9"/>
        <v>0</v>
      </c>
      <c r="V23" s="44"/>
      <c r="W23" s="44"/>
      <c r="X23" s="44"/>
      <c r="Y23" s="44"/>
      <c r="Z23" s="44"/>
      <c r="AA23" s="44"/>
      <c r="AB23" s="44"/>
      <c r="AC23" s="44"/>
      <c r="AD23" s="44"/>
      <c r="AE23" s="44"/>
    </row>
    <row r="24" spans="1:31" s="545" customFormat="1" ht="15.75" customHeight="1" x14ac:dyDescent="0.25">
      <c r="A24" s="554"/>
      <c r="B24" s="554"/>
      <c r="C24" s="526"/>
      <c r="D24" s="507"/>
      <c r="E24" s="507"/>
      <c r="F24" s="507"/>
      <c r="G24" s="507"/>
      <c r="H24" s="507"/>
      <c r="I24" s="507"/>
      <c r="J24" s="507"/>
      <c r="K24" s="526"/>
      <c r="L24" s="462"/>
      <c r="M24" s="462"/>
      <c r="N24" s="462"/>
      <c r="O24" s="462"/>
      <c r="P24" s="462"/>
      <c r="Q24" s="462"/>
      <c r="R24" s="462"/>
      <c r="S24" s="462"/>
    </row>
    <row r="25" spans="1:31" s="545" customFormat="1" ht="15.75" customHeight="1" x14ac:dyDescent="0.25">
      <c r="A25" s="501" t="s">
        <v>184</v>
      </c>
      <c r="B25" s="554"/>
      <c r="C25" s="526"/>
      <c r="D25" s="507"/>
      <c r="E25" s="507"/>
      <c r="F25" s="507"/>
      <c r="G25" s="507"/>
      <c r="H25" s="507"/>
      <c r="I25" s="507"/>
      <c r="J25" s="507"/>
      <c r="K25" s="526"/>
      <c r="L25" s="462"/>
      <c r="M25" s="462"/>
      <c r="N25" s="462"/>
      <c r="O25" s="462"/>
      <c r="P25" s="462"/>
      <c r="Q25" s="462"/>
      <c r="R25" s="462"/>
      <c r="S25" s="462"/>
    </row>
    <row r="26" spans="1:31" s="545" customFormat="1" ht="15.75" customHeight="1" x14ac:dyDescent="0.25">
      <c r="A26" s="501" t="s">
        <v>1699</v>
      </c>
      <c r="B26" s="501" t="s">
        <v>1700</v>
      </c>
      <c r="C26" s="529"/>
      <c r="D26" s="479">
        <v>-52666.25</v>
      </c>
      <c r="E26" s="466">
        <v>0</v>
      </c>
      <c r="F26" s="466">
        <v>0</v>
      </c>
      <c r="G26" s="466">
        <v>0</v>
      </c>
      <c r="H26" s="515"/>
      <c r="I26" s="507"/>
      <c r="J26" s="555"/>
      <c r="K26" s="529"/>
      <c r="L26" s="462">
        <v>-93975</v>
      </c>
      <c r="M26" s="462">
        <v>-117000</v>
      </c>
      <c r="N26" s="462">
        <v>-97000</v>
      </c>
      <c r="O26" s="462">
        <v>-127675</v>
      </c>
      <c r="P26" s="556">
        <f t="shared" ref="P26:P28" si="10">O26</f>
        <v>-127675</v>
      </c>
      <c r="Q26" s="458">
        <v>-120000</v>
      </c>
      <c r="R26" s="462">
        <v>-120000</v>
      </c>
      <c r="S26" s="462">
        <f t="shared" ref="S26:S28" si="11">R26-Q26</f>
        <v>0</v>
      </c>
    </row>
    <row r="27" spans="1:31" s="545" customFormat="1" ht="15.75" customHeight="1" x14ac:dyDescent="0.25">
      <c r="A27" s="501" t="s">
        <v>1701</v>
      </c>
      <c r="B27" s="501" t="s">
        <v>1702</v>
      </c>
      <c r="C27" s="529"/>
      <c r="D27" s="479">
        <v>-140732.24</v>
      </c>
      <c r="E27" s="466">
        <v>0</v>
      </c>
      <c r="F27" s="466">
        <v>0</v>
      </c>
      <c r="G27" s="466">
        <v>0</v>
      </c>
      <c r="H27" s="515"/>
      <c r="I27" s="507"/>
      <c r="J27" s="555"/>
      <c r="K27" s="529"/>
      <c r="L27" s="462">
        <v>-209353.35</v>
      </c>
      <c r="M27" s="462">
        <v>-248503.93</v>
      </c>
      <c r="N27" s="462">
        <v>-285000</v>
      </c>
      <c r="O27" s="462">
        <v>-256263.96</v>
      </c>
      <c r="P27" s="556">
        <f t="shared" si="10"/>
        <v>-256263.96</v>
      </c>
      <c r="Q27" s="458">
        <v>-250000</v>
      </c>
      <c r="R27" s="462">
        <v>-250000</v>
      </c>
      <c r="S27" s="462">
        <f t="shared" si="11"/>
        <v>0</v>
      </c>
    </row>
    <row r="28" spans="1:31" s="545" customFormat="1" ht="15.75" customHeight="1" x14ac:dyDescent="0.25">
      <c r="A28" s="501" t="s">
        <v>1703</v>
      </c>
      <c r="B28" s="501" t="s">
        <v>1704</v>
      </c>
      <c r="C28" s="529"/>
      <c r="D28" s="479">
        <v>-4645</v>
      </c>
      <c r="E28" s="466">
        <v>0</v>
      </c>
      <c r="F28" s="466">
        <v>0</v>
      </c>
      <c r="G28" s="466">
        <v>0</v>
      </c>
      <c r="H28" s="515">
        <f t="shared" ref="H28:H29" si="12">IFERROR(((Q28-G28)/G28),0)</f>
        <v>0</v>
      </c>
      <c r="I28" s="479">
        <f>Q28-G28</f>
        <v>-800</v>
      </c>
      <c r="J28" s="555"/>
      <c r="K28" s="529"/>
      <c r="L28" s="462">
        <v>-615</v>
      </c>
      <c r="M28" s="462">
        <v>-310</v>
      </c>
      <c r="N28" s="462">
        <v>-15500</v>
      </c>
      <c r="O28" s="462">
        <v>-919.9</v>
      </c>
      <c r="P28" s="556">
        <f t="shared" si="10"/>
        <v>-919.9</v>
      </c>
      <c r="Q28" s="458">
        <v>-800</v>
      </c>
      <c r="R28" s="462">
        <v>-800</v>
      </c>
      <c r="S28" s="462">
        <f t="shared" si="11"/>
        <v>0</v>
      </c>
    </row>
    <row r="29" spans="1:31" s="545" customFormat="1" ht="15.75" customHeight="1" x14ac:dyDescent="0.25">
      <c r="A29" s="528" t="s">
        <v>189</v>
      </c>
      <c r="B29" s="528"/>
      <c r="C29" s="521"/>
      <c r="D29" s="522">
        <f t="shared" ref="D29:G29" si="13">SUM(D25:D28)</f>
        <v>-198043.49</v>
      </c>
      <c r="E29" s="522">
        <f t="shared" si="13"/>
        <v>0</v>
      </c>
      <c r="F29" s="522">
        <f t="shared" si="13"/>
        <v>0</v>
      </c>
      <c r="G29" s="522">
        <f t="shared" si="13"/>
        <v>0</v>
      </c>
      <c r="H29" s="523">
        <f t="shared" si="12"/>
        <v>0</v>
      </c>
      <c r="I29" s="522">
        <f t="shared" ref="I29:J29" si="14">SUM(I25:I28)</f>
        <v>-800</v>
      </c>
      <c r="J29" s="522">
        <f t="shared" si="14"/>
        <v>0</v>
      </c>
      <c r="K29" s="521"/>
      <c r="L29" s="491">
        <f t="shared" ref="L29:S29" si="15">SUM(L25:L28)</f>
        <v>-303943.34999999998</v>
      </c>
      <c r="M29" s="491">
        <f t="shared" si="15"/>
        <v>-365813.93</v>
      </c>
      <c r="N29" s="491">
        <f t="shared" si="15"/>
        <v>-397500</v>
      </c>
      <c r="O29" s="491">
        <f t="shared" si="15"/>
        <v>-384858.86</v>
      </c>
      <c r="P29" s="459">
        <f t="shared" si="15"/>
        <v>-384858.86</v>
      </c>
      <c r="Q29" s="459">
        <f t="shared" si="15"/>
        <v>-370800</v>
      </c>
      <c r="R29" s="491">
        <f t="shared" si="15"/>
        <v>-370800</v>
      </c>
      <c r="S29" s="491">
        <f t="shared" si="15"/>
        <v>0</v>
      </c>
    </row>
    <row r="30" spans="1:31" s="545" customFormat="1" ht="15.75" customHeight="1" x14ac:dyDescent="0.25">
      <c r="A30" s="554"/>
      <c r="B30" s="554"/>
      <c r="C30" s="526"/>
      <c r="D30" s="507"/>
      <c r="E30" s="507"/>
      <c r="F30" s="507"/>
      <c r="G30" s="507"/>
      <c r="H30" s="507"/>
      <c r="I30" s="507"/>
      <c r="J30" s="507"/>
      <c r="K30" s="526"/>
      <c r="L30" s="462"/>
      <c r="M30" s="462"/>
      <c r="N30" s="462"/>
      <c r="O30" s="462"/>
      <c r="P30" s="462"/>
      <c r="Q30" s="462"/>
      <c r="R30" s="462"/>
      <c r="S30" s="462"/>
    </row>
    <row r="31" spans="1:31" s="545" customFormat="1" ht="15.75" customHeight="1" x14ac:dyDescent="0.25">
      <c r="A31" s="528" t="s">
        <v>190</v>
      </c>
      <c r="B31" s="554"/>
      <c r="C31" s="521"/>
      <c r="D31" s="522">
        <f t="shared" ref="D31:G31" si="16">D29+D23</f>
        <v>-34706.489999999991</v>
      </c>
      <c r="E31" s="522">
        <f t="shared" si="16"/>
        <v>0</v>
      </c>
      <c r="F31" s="522">
        <f t="shared" si="16"/>
        <v>0</v>
      </c>
      <c r="G31" s="522">
        <f t="shared" si="16"/>
        <v>0</v>
      </c>
      <c r="H31" s="523">
        <f>IFERROR(((Q31-G31)/G31),0)</f>
        <v>0</v>
      </c>
      <c r="I31" s="553">
        <f>Q31-G31</f>
        <v>89261</v>
      </c>
      <c r="J31" s="522">
        <f>SUM(J30)</f>
        <v>0</v>
      </c>
      <c r="K31" s="521"/>
      <c r="L31" s="491">
        <f t="shared" ref="L31:S31" si="17">L29+L23</f>
        <v>6456.6500000000233</v>
      </c>
      <c r="M31" s="491">
        <f t="shared" si="17"/>
        <v>-27504.76999999996</v>
      </c>
      <c r="N31" s="491">
        <f t="shared" si="17"/>
        <v>33710</v>
      </c>
      <c r="O31" s="491">
        <f t="shared" si="17"/>
        <v>-24521.219999999972</v>
      </c>
      <c r="P31" s="459">
        <f t="shared" si="17"/>
        <v>-16107.75066666666</v>
      </c>
      <c r="Q31" s="459">
        <f t="shared" si="17"/>
        <v>89261</v>
      </c>
      <c r="R31" s="491">
        <f t="shared" si="17"/>
        <v>89261</v>
      </c>
      <c r="S31" s="491">
        <f t="shared" si="17"/>
        <v>0</v>
      </c>
    </row>
  </sheetData>
  <conditionalFormatting sqref="H3:H23 H26:H29 H31">
    <cfRule type="cellIs" dxfId="5" priority="1" operator="lessThan">
      <formula>0</formula>
    </cfRule>
  </conditionalFormatting>
  <printOptions horizontalCentered="1" verticalCentered="1"/>
  <pageMargins left="0.25" right="0.25" top="0.75" bottom="0.75" header="0.3" footer="0.3"/>
  <pageSetup scale="88" fitToHeight="0" orientation="landscape" r:id="rId1"/>
  <headerFooter>
    <oddHeader>&amp;A</oddHeader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E1001"/>
  <sheetViews>
    <sheetView topLeftCell="A4" workbookViewId="0"/>
  </sheetViews>
  <sheetFormatPr defaultColWidth="12.5703125" defaultRowHeight="15" customHeight="1" outlineLevelCol="1" x14ac:dyDescent="0.2"/>
  <cols>
    <col min="2" max="2" width="26" customWidth="1" collapsed="1"/>
    <col min="3" max="3" width="3.5703125" hidden="1" customWidth="1" outlineLevel="1"/>
    <col min="4" max="5" width="11.42578125" hidden="1" customWidth="1" outlineLevel="1"/>
    <col min="6" max="6" width="12.140625" hidden="1" customWidth="1" outlineLevel="1"/>
    <col min="7" max="7" width="11.28515625" hidden="1" customWidth="1" outlineLevel="1"/>
    <col min="8" max="10" width="11.140625" hidden="1" customWidth="1" outlineLevel="1"/>
    <col min="11" max="11" width="3.5703125" hidden="1" customWidth="1" outlineLevel="1"/>
    <col min="12" max="12" width="11.140625" customWidth="1"/>
    <col min="13" max="13" width="11" customWidth="1"/>
    <col min="14" max="14" width="11.42578125" customWidth="1"/>
    <col min="15" max="15" width="10.7109375" customWidth="1"/>
    <col min="16" max="17" width="11.42578125" customWidth="1"/>
    <col min="18" max="18" width="11.5703125" customWidth="1"/>
    <col min="19" max="19" width="13.85546875" customWidth="1"/>
    <col min="20" max="20" width="12.42578125" customWidth="1"/>
    <col min="21" max="21" width="10.5703125" customWidth="1"/>
    <col min="22" max="22" width="3.28515625" customWidth="1"/>
    <col min="24" max="24" width="11.42578125" customWidth="1"/>
  </cols>
  <sheetData>
    <row r="1" spans="1:31" ht="15.75" hidden="1" customHeight="1" x14ac:dyDescent="0.25">
      <c r="C1" s="60"/>
      <c r="D1" s="97"/>
      <c r="E1" s="98" t="s">
        <v>48</v>
      </c>
      <c r="F1" s="98" t="s">
        <v>104</v>
      </c>
      <c r="G1" s="97"/>
      <c r="H1" s="97"/>
      <c r="I1" s="97"/>
      <c r="J1" s="97"/>
      <c r="K1" s="60"/>
    </row>
    <row r="2" spans="1:31" ht="15.75" hidden="1" customHeight="1" x14ac:dyDescent="0.2">
      <c r="C2" s="60"/>
      <c r="D2" s="97"/>
      <c r="E2" s="97"/>
      <c r="F2" s="97"/>
      <c r="G2" s="97"/>
      <c r="H2" s="97"/>
      <c r="I2" s="97"/>
      <c r="J2" s="97"/>
      <c r="K2" s="60"/>
    </row>
    <row r="3" spans="1:31" ht="15.75" hidden="1" customHeight="1" x14ac:dyDescent="0.25">
      <c r="C3" s="60"/>
      <c r="D3" s="97"/>
      <c r="E3" s="97"/>
      <c r="F3" s="97"/>
      <c r="G3" s="97"/>
      <c r="H3" s="97"/>
      <c r="I3" s="97"/>
      <c r="J3" s="97"/>
      <c r="K3" s="60"/>
      <c r="W3" s="19"/>
      <c r="X3" s="20"/>
    </row>
    <row r="4" spans="1:31" ht="28.5" customHeight="1" x14ac:dyDescent="0.25">
      <c r="A4" s="1" t="s">
        <v>104</v>
      </c>
      <c r="B4" s="5"/>
      <c r="C4" s="15"/>
      <c r="D4" s="16"/>
      <c r="E4" s="16"/>
      <c r="F4" s="16"/>
      <c r="G4" s="16"/>
      <c r="H4" s="18"/>
      <c r="I4" s="16"/>
      <c r="J4" s="16"/>
      <c r="K4" s="15"/>
      <c r="L4" s="7"/>
      <c r="M4" s="7"/>
      <c r="N4" s="7"/>
      <c r="O4" s="7"/>
      <c r="P4" s="7"/>
      <c r="Q4" s="7"/>
      <c r="R4" s="7"/>
      <c r="S4" s="7"/>
      <c r="W4" s="19"/>
      <c r="X4" s="20"/>
    </row>
    <row r="5" spans="1:31" ht="54" customHeight="1" x14ac:dyDescent="0.2">
      <c r="A5" s="3" t="s">
        <v>50</v>
      </c>
      <c r="B5" s="3" t="s">
        <v>51</v>
      </c>
      <c r="C5" s="21"/>
      <c r="D5" s="99" t="s">
        <v>52</v>
      </c>
      <c r="E5" s="100" t="s">
        <v>53</v>
      </c>
      <c r="F5" s="100" t="s">
        <v>54</v>
      </c>
      <c r="G5" s="100" t="s">
        <v>55</v>
      </c>
      <c r="H5" s="24" t="s">
        <v>56</v>
      </c>
      <c r="I5" s="24" t="s">
        <v>57</v>
      </c>
      <c r="J5" s="101" t="s">
        <v>58</v>
      </c>
      <c r="K5" s="21"/>
      <c r="L5" s="27" t="s">
        <v>59</v>
      </c>
      <c r="M5" s="27" t="s">
        <v>60</v>
      </c>
      <c r="N5" s="27" t="s">
        <v>61</v>
      </c>
      <c r="O5" s="27" t="s">
        <v>62</v>
      </c>
      <c r="P5" s="27" t="s">
        <v>63</v>
      </c>
      <c r="Q5" s="27" t="s">
        <v>64</v>
      </c>
      <c r="R5" s="27" t="s">
        <v>65</v>
      </c>
      <c r="S5" s="27" t="s">
        <v>66</v>
      </c>
      <c r="T5" s="28"/>
      <c r="U5" s="28"/>
      <c r="V5" s="28"/>
      <c r="W5" s="19"/>
      <c r="X5" s="28"/>
      <c r="Y5" s="28"/>
      <c r="Z5" s="28"/>
      <c r="AA5" s="28"/>
      <c r="AB5" s="28"/>
      <c r="AC5" s="28"/>
      <c r="AD5" s="28"/>
      <c r="AE5" s="28"/>
    </row>
    <row r="6" spans="1:31" ht="15.75" customHeight="1" x14ac:dyDescent="0.25">
      <c r="A6" s="102" t="s">
        <v>104</v>
      </c>
      <c r="B6" s="103"/>
      <c r="C6" s="104"/>
      <c r="D6" s="105"/>
      <c r="E6" s="105"/>
      <c r="F6" s="105"/>
      <c r="G6" s="105"/>
      <c r="H6" s="33"/>
      <c r="I6" s="18"/>
      <c r="J6" s="18"/>
      <c r="K6" s="104"/>
      <c r="L6" s="103"/>
      <c r="M6" s="103"/>
      <c r="N6" s="103"/>
      <c r="O6" s="103"/>
      <c r="P6" s="105"/>
      <c r="Q6" s="105"/>
      <c r="R6" s="5"/>
      <c r="S6" s="5"/>
      <c r="W6" s="51"/>
      <c r="X6" s="106"/>
    </row>
    <row r="7" spans="1:31" ht="15.75" customHeight="1" x14ac:dyDescent="0.25">
      <c r="A7" s="30" t="s">
        <v>105</v>
      </c>
      <c r="B7" s="30" t="s">
        <v>68</v>
      </c>
      <c r="C7" s="31"/>
      <c r="D7" s="32">
        <v>144859</v>
      </c>
      <c r="E7" s="32" t="e">
        <f>D7*#REF!</f>
        <v>#REF!</v>
      </c>
      <c r="F7" s="32" t="e">
        <f>D7*#REF!</f>
        <v>#REF!</v>
      </c>
      <c r="G7" s="32" t="e">
        <f>(D7*#REF!)*#REF!</f>
        <v>#REF!</v>
      </c>
      <c r="H7" s="33">
        <f t="shared" ref="H7:H23" si="0">IFERROR(((Q7-G7)/G7),0)</f>
        <v>0</v>
      </c>
      <c r="I7" s="34" t="e">
        <f t="shared" ref="I7:I22" si="1">Q7-G7</f>
        <v>#REF!</v>
      </c>
      <c r="J7" s="107">
        <v>-136680</v>
      </c>
      <c r="K7" s="31"/>
      <c r="L7" s="35">
        <v>326591</v>
      </c>
      <c r="M7" s="35">
        <v>391507.97</v>
      </c>
      <c r="N7" s="35">
        <v>400082</v>
      </c>
      <c r="O7" s="35">
        <v>360337.03</v>
      </c>
      <c r="P7" s="32">
        <f t="shared" ref="P7:P10" si="2">O7/20*26</f>
        <v>468438.13900000002</v>
      </c>
      <c r="Q7" s="32">
        <v>492000</v>
      </c>
      <c r="R7" s="108">
        <v>273900</v>
      </c>
      <c r="S7" s="35">
        <f t="shared" ref="S7:S22" si="3">R7-Q7</f>
        <v>-218100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5.75" customHeight="1" x14ac:dyDescent="0.25">
      <c r="A8" s="30" t="s">
        <v>106</v>
      </c>
      <c r="B8" s="30" t="s">
        <v>70</v>
      </c>
      <c r="C8" s="31"/>
      <c r="D8" s="32">
        <v>0</v>
      </c>
      <c r="E8" s="32" t="e">
        <f>D8*#REF!</f>
        <v>#REF!</v>
      </c>
      <c r="F8" s="32" t="e">
        <f>D8*#REF!</f>
        <v>#REF!</v>
      </c>
      <c r="G8" s="32" t="e">
        <f>(D8*#REF!)*#REF!</f>
        <v>#REF!</v>
      </c>
      <c r="H8" s="33">
        <f t="shared" si="0"/>
        <v>0</v>
      </c>
      <c r="I8" s="34" t="e">
        <f t="shared" si="1"/>
        <v>#REF!</v>
      </c>
      <c r="J8" s="107">
        <v>-1000</v>
      </c>
      <c r="K8" s="31"/>
      <c r="L8" s="35">
        <v>455</v>
      </c>
      <c r="M8" s="35">
        <v>101.21</v>
      </c>
      <c r="N8" s="35">
        <v>1000</v>
      </c>
      <c r="O8" s="35">
        <v>225.56</v>
      </c>
      <c r="P8" s="32">
        <f t="shared" si="2"/>
        <v>293.22800000000001</v>
      </c>
      <c r="Q8" s="32">
        <v>1000</v>
      </c>
      <c r="R8" s="108">
        <v>0</v>
      </c>
      <c r="S8" s="35">
        <f t="shared" si="3"/>
        <v>-1000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5.75" customHeight="1" x14ac:dyDescent="0.25">
      <c r="A9" s="30" t="s">
        <v>107</v>
      </c>
      <c r="B9" s="30" t="s">
        <v>108</v>
      </c>
      <c r="C9" s="31"/>
      <c r="D9" s="32">
        <v>0</v>
      </c>
      <c r="E9" s="32" t="e">
        <f>D9*#REF!</f>
        <v>#REF!</v>
      </c>
      <c r="F9" s="32" t="e">
        <f>D9*#REF!</f>
        <v>#REF!</v>
      </c>
      <c r="G9" s="32" t="e">
        <f>(D9*#REF!)*#REF!</f>
        <v>#REF!</v>
      </c>
      <c r="H9" s="33">
        <f t="shared" si="0"/>
        <v>0</v>
      </c>
      <c r="I9" s="34" t="e">
        <f t="shared" si="1"/>
        <v>#REF!</v>
      </c>
      <c r="J9" s="109"/>
      <c r="K9" s="31"/>
      <c r="L9" s="35">
        <v>12279</v>
      </c>
      <c r="M9" s="35">
        <v>0</v>
      </c>
      <c r="N9" s="35">
        <v>0</v>
      </c>
      <c r="O9" s="35">
        <v>0</v>
      </c>
      <c r="P9" s="32">
        <f t="shared" si="2"/>
        <v>0</v>
      </c>
      <c r="Q9" s="32">
        <v>0</v>
      </c>
      <c r="R9" s="108">
        <v>0</v>
      </c>
      <c r="S9" s="35">
        <f t="shared" si="3"/>
        <v>0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5.75" customHeight="1" x14ac:dyDescent="0.25">
      <c r="A10" s="30" t="s">
        <v>109</v>
      </c>
      <c r="B10" s="30" t="s">
        <v>72</v>
      </c>
      <c r="C10" s="31"/>
      <c r="D10" s="32">
        <v>58479</v>
      </c>
      <c r="E10" s="32" t="e">
        <f>D10*#REF!</f>
        <v>#REF!</v>
      </c>
      <c r="F10" s="32" t="e">
        <f>D10*#REF!</f>
        <v>#REF!</v>
      </c>
      <c r="G10" s="32" t="e">
        <f>(D10*#REF!)*#REF!</f>
        <v>#REF!</v>
      </c>
      <c r="H10" s="33">
        <f t="shared" si="0"/>
        <v>0</v>
      </c>
      <c r="I10" s="34" t="e">
        <f t="shared" si="1"/>
        <v>#REF!</v>
      </c>
      <c r="J10" s="107">
        <v>-82920</v>
      </c>
      <c r="K10" s="31"/>
      <c r="L10" s="35">
        <v>139786</v>
      </c>
      <c r="M10" s="35">
        <v>176725.76000000001</v>
      </c>
      <c r="N10" s="35">
        <v>208615</v>
      </c>
      <c r="O10" s="35">
        <v>136859.1</v>
      </c>
      <c r="P10" s="32">
        <f t="shared" si="2"/>
        <v>177916.83</v>
      </c>
      <c r="Q10" s="32">
        <v>211500</v>
      </c>
      <c r="R10" s="108">
        <v>73000</v>
      </c>
      <c r="S10" s="35">
        <f t="shared" si="3"/>
        <v>-138500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5.75" customHeight="1" x14ac:dyDescent="0.25">
      <c r="A11" s="30" t="s">
        <v>110</v>
      </c>
      <c r="B11" s="30" t="s">
        <v>74</v>
      </c>
      <c r="C11" s="31"/>
      <c r="D11" s="32">
        <v>1169</v>
      </c>
      <c r="E11" s="32" t="e">
        <f>D11*#REF!</f>
        <v>#REF!</v>
      </c>
      <c r="F11" s="32" t="e">
        <f>D11*#REF!</f>
        <v>#REF!</v>
      </c>
      <c r="G11" s="32" t="e">
        <f>(D11*#REF!)*#REF!</f>
        <v>#REF!</v>
      </c>
      <c r="H11" s="33">
        <f t="shared" si="0"/>
        <v>0</v>
      </c>
      <c r="I11" s="34" t="e">
        <f t="shared" si="1"/>
        <v>#REF!</v>
      </c>
      <c r="J11" s="109"/>
      <c r="K11" s="31"/>
      <c r="L11" s="35">
        <v>1331</v>
      </c>
      <c r="M11" s="35">
        <v>1490.23</v>
      </c>
      <c r="N11" s="35">
        <v>4350</v>
      </c>
      <c r="O11" s="35">
        <v>4291.37</v>
      </c>
      <c r="P11" s="32">
        <f t="shared" ref="P11:P22" si="4">O11/9*12</f>
        <v>5721.8266666666659</v>
      </c>
      <c r="Q11" s="32">
        <v>4350</v>
      </c>
      <c r="R11" s="108">
        <v>4350</v>
      </c>
      <c r="S11" s="35">
        <f t="shared" si="3"/>
        <v>0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5.75" customHeight="1" x14ac:dyDescent="0.25">
      <c r="A12" s="30" t="s">
        <v>111</v>
      </c>
      <c r="B12" s="30" t="s">
        <v>76</v>
      </c>
      <c r="C12" s="31"/>
      <c r="D12" s="32">
        <v>4421</v>
      </c>
      <c r="E12" s="32" t="e">
        <f>D12*#REF!</f>
        <v>#REF!</v>
      </c>
      <c r="F12" s="32" t="e">
        <f>D12*#REF!</f>
        <v>#REF!</v>
      </c>
      <c r="G12" s="32" t="e">
        <f>(D12*#REF!)*#REF!</f>
        <v>#REF!</v>
      </c>
      <c r="H12" s="39">
        <f t="shared" si="0"/>
        <v>0</v>
      </c>
      <c r="I12" s="34" t="e">
        <f t="shared" si="1"/>
        <v>#REF!</v>
      </c>
      <c r="J12" s="109"/>
      <c r="K12" s="31"/>
      <c r="L12" s="35">
        <v>4970</v>
      </c>
      <c r="M12" s="35">
        <v>2893.24</v>
      </c>
      <c r="N12" s="35">
        <v>4000</v>
      </c>
      <c r="O12" s="35">
        <v>889.13</v>
      </c>
      <c r="P12" s="32">
        <f t="shared" si="4"/>
        <v>1185.5066666666667</v>
      </c>
      <c r="Q12" s="32">
        <v>4000</v>
      </c>
      <c r="R12" s="108">
        <v>4000</v>
      </c>
      <c r="S12" s="35">
        <f t="shared" si="3"/>
        <v>0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5.75" customHeight="1" x14ac:dyDescent="0.25">
      <c r="A13" s="30" t="s">
        <v>112</v>
      </c>
      <c r="B13" s="30" t="s">
        <v>80</v>
      </c>
      <c r="C13" s="31"/>
      <c r="D13" s="32">
        <v>965</v>
      </c>
      <c r="E13" s="32" t="e">
        <f>D13*#REF!</f>
        <v>#REF!</v>
      </c>
      <c r="F13" s="32" t="e">
        <f>D13*#REF!</f>
        <v>#REF!</v>
      </c>
      <c r="G13" s="32" t="e">
        <f>(D13*#REF!)*#REF!</f>
        <v>#REF!</v>
      </c>
      <c r="H13" s="33">
        <f t="shared" si="0"/>
        <v>0</v>
      </c>
      <c r="I13" s="34" t="e">
        <f t="shared" si="1"/>
        <v>#REF!</v>
      </c>
      <c r="J13" s="109"/>
      <c r="K13" s="31"/>
      <c r="L13" s="35">
        <v>1720</v>
      </c>
      <c r="M13" s="35">
        <v>1713.62</v>
      </c>
      <c r="N13" s="35">
        <v>2400</v>
      </c>
      <c r="O13" s="35">
        <v>2139.62</v>
      </c>
      <c r="P13" s="32">
        <f t="shared" si="4"/>
        <v>2852.8266666666668</v>
      </c>
      <c r="Q13" s="32">
        <v>2400</v>
      </c>
      <c r="R13" s="108">
        <v>2400</v>
      </c>
      <c r="S13" s="35">
        <f t="shared" si="3"/>
        <v>0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5.75" customHeight="1" x14ac:dyDescent="0.25">
      <c r="A14" s="30" t="s">
        <v>113</v>
      </c>
      <c r="B14" s="30" t="s">
        <v>82</v>
      </c>
      <c r="C14" s="31"/>
      <c r="D14" s="32">
        <v>2312</v>
      </c>
      <c r="E14" s="32" t="e">
        <f>D14*#REF!</f>
        <v>#REF!</v>
      </c>
      <c r="F14" s="32" t="e">
        <f>D14*#REF!</f>
        <v>#REF!</v>
      </c>
      <c r="G14" s="32" t="e">
        <f>(D14*#REF!)*#REF!</f>
        <v>#REF!</v>
      </c>
      <c r="H14" s="39">
        <f t="shared" si="0"/>
        <v>0</v>
      </c>
      <c r="I14" s="34" t="e">
        <f t="shared" si="1"/>
        <v>#REF!</v>
      </c>
      <c r="J14" s="109"/>
      <c r="K14" s="31"/>
      <c r="L14" s="35">
        <v>3025</v>
      </c>
      <c r="M14" s="35">
        <v>3028.6</v>
      </c>
      <c r="N14" s="35">
        <v>3000</v>
      </c>
      <c r="O14" s="35">
        <v>2707.66</v>
      </c>
      <c r="P14" s="32">
        <f t="shared" si="4"/>
        <v>3610.2133333333331</v>
      </c>
      <c r="Q14" s="32">
        <v>3000</v>
      </c>
      <c r="R14" s="108">
        <v>3000</v>
      </c>
      <c r="S14" s="35">
        <f t="shared" si="3"/>
        <v>0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5.75" customHeight="1" x14ac:dyDescent="0.25">
      <c r="A15" s="30" t="s">
        <v>114</v>
      </c>
      <c r="B15" s="30" t="s">
        <v>115</v>
      </c>
      <c r="C15" s="31"/>
      <c r="D15" s="32">
        <v>0</v>
      </c>
      <c r="E15" s="32" t="e">
        <f>D15*#REF!</f>
        <v>#REF!</v>
      </c>
      <c r="F15" s="32" t="e">
        <f>D15*#REF!</f>
        <v>#REF!</v>
      </c>
      <c r="G15" s="32" t="e">
        <f>(D15*#REF!)*#REF!</f>
        <v>#REF!</v>
      </c>
      <c r="H15" s="33">
        <f t="shared" si="0"/>
        <v>0</v>
      </c>
      <c r="I15" s="34" t="e">
        <f t="shared" si="1"/>
        <v>#REF!</v>
      </c>
      <c r="J15" s="109"/>
      <c r="K15" s="31"/>
      <c r="L15" s="35">
        <v>0</v>
      </c>
      <c r="M15" s="35">
        <v>0</v>
      </c>
      <c r="N15" s="35">
        <v>800</v>
      </c>
      <c r="O15" s="35">
        <v>0</v>
      </c>
      <c r="P15" s="32">
        <f t="shared" si="4"/>
        <v>0</v>
      </c>
      <c r="Q15" s="32">
        <v>800</v>
      </c>
      <c r="R15" s="108">
        <v>800</v>
      </c>
      <c r="S15" s="35">
        <f t="shared" si="3"/>
        <v>0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5.75" customHeight="1" x14ac:dyDescent="0.25">
      <c r="A16" s="30" t="s">
        <v>116</v>
      </c>
      <c r="B16" s="30" t="s">
        <v>84</v>
      </c>
      <c r="C16" s="31"/>
      <c r="D16" s="32">
        <v>1580</v>
      </c>
      <c r="E16" s="32" t="e">
        <f>D16*#REF!</f>
        <v>#REF!</v>
      </c>
      <c r="F16" s="32" t="e">
        <f>D16*#REF!</f>
        <v>#REF!</v>
      </c>
      <c r="G16" s="32" t="e">
        <f>(D16*#REF!)*#REF!</f>
        <v>#REF!</v>
      </c>
      <c r="H16" s="33">
        <f t="shared" si="0"/>
        <v>0</v>
      </c>
      <c r="I16" s="34" t="e">
        <f t="shared" si="1"/>
        <v>#REF!</v>
      </c>
      <c r="J16" s="109"/>
      <c r="K16" s="31"/>
      <c r="L16" s="35">
        <v>8394</v>
      </c>
      <c r="M16" s="35">
        <v>3715.16</v>
      </c>
      <c r="N16" s="35">
        <v>3750</v>
      </c>
      <c r="O16" s="35">
        <v>2247.02</v>
      </c>
      <c r="P16" s="32">
        <f t="shared" si="4"/>
        <v>2996.0266666666666</v>
      </c>
      <c r="Q16" s="32">
        <v>3750</v>
      </c>
      <c r="R16" s="108">
        <v>3750</v>
      </c>
      <c r="S16" s="35">
        <f t="shared" si="3"/>
        <v>0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5.75" customHeight="1" x14ac:dyDescent="0.25">
      <c r="A17" s="30" t="s">
        <v>117</v>
      </c>
      <c r="B17" s="30" t="s">
        <v>86</v>
      </c>
      <c r="C17" s="31"/>
      <c r="D17" s="32">
        <v>235</v>
      </c>
      <c r="E17" s="32" t="e">
        <f>D17*#REF!</f>
        <v>#REF!</v>
      </c>
      <c r="F17" s="32" t="e">
        <f>D17*#REF!</f>
        <v>#REF!</v>
      </c>
      <c r="G17" s="32" t="e">
        <f>(D17*#REF!)*#REF!</f>
        <v>#REF!</v>
      </c>
      <c r="H17" s="33">
        <f t="shared" si="0"/>
        <v>0</v>
      </c>
      <c r="I17" s="34" t="e">
        <f t="shared" si="1"/>
        <v>#REF!</v>
      </c>
      <c r="J17" s="109"/>
      <c r="K17" s="31"/>
      <c r="L17" s="35">
        <v>4314</v>
      </c>
      <c r="M17" s="35">
        <v>480</v>
      </c>
      <c r="N17" s="35">
        <v>5000</v>
      </c>
      <c r="O17" s="35">
        <v>36.270000000000003</v>
      </c>
      <c r="P17" s="32">
        <f t="shared" si="4"/>
        <v>48.36</v>
      </c>
      <c r="Q17" s="32">
        <v>5000</v>
      </c>
      <c r="R17" s="108">
        <v>5000</v>
      </c>
      <c r="S17" s="35">
        <f t="shared" si="3"/>
        <v>0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5.75" customHeight="1" x14ac:dyDescent="0.25">
      <c r="A18" s="30" t="s">
        <v>118</v>
      </c>
      <c r="B18" s="30" t="s">
        <v>90</v>
      </c>
      <c r="C18" s="31"/>
      <c r="D18" s="32">
        <v>65</v>
      </c>
      <c r="E18" s="32" t="e">
        <f>D18*#REF!</f>
        <v>#REF!</v>
      </c>
      <c r="F18" s="32" t="e">
        <f>D18*#REF!</f>
        <v>#REF!</v>
      </c>
      <c r="G18" s="32" t="e">
        <f>(D18*#REF!)*#REF!</f>
        <v>#REF!</v>
      </c>
      <c r="H18" s="33">
        <f t="shared" si="0"/>
        <v>0</v>
      </c>
      <c r="I18" s="34" t="e">
        <f t="shared" si="1"/>
        <v>#REF!</v>
      </c>
      <c r="J18" s="109"/>
      <c r="K18" s="31"/>
      <c r="L18" s="35">
        <v>2447</v>
      </c>
      <c r="M18" s="35">
        <v>2779.94</v>
      </c>
      <c r="N18" s="35">
        <v>2100</v>
      </c>
      <c r="O18" s="35">
        <v>372.93</v>
      </c>
      <c r="P18" s="32">
        <f t="shared" si="4"/>
        <v>497.24</v>
      </c>
      <c r="Q18" s="32">
        <v>2100</v>
      </c>
      <c r="R18" s="108">
        <v>2100</v>
      </c>
      <c r="S18" s="35">
        <f t="shared" si="3"/>
        <v>0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5.75" customHeight="1" x14ac:dyDescent="0.25">
      <c r="A19" s="30" t="s">
        <v>119</v>
      </c>
      <c r="B19" s="30" t="s">
        <v>92</v>
      </c>
      <c r="C19" s="31"/>
      <c r="D19" s="32">
        <v>0</v>
      </c>
      <c r="E19" s="32" t="e">
        <f>D19*#REF!</f>
        <v>#REF!</v>
      </c>
      <c r="F19" s="32" t="e">
        <f>D19*#REF!</f>
        <v>#REF!</v>
      </c>
      <c r="G19" s="32" t="e">
        <f>(D19*#REF!)*#REF!</f>
        <v>#REF!</v>
      </c>
      <c r="H19" s="33">
        <f t="shared" si="0"/>
        <v>0</v>
      </c>
      <c r="I19" s="34" t="e">
        <f t="shared" si="1"/>
        <v>#REF!</v>
      </c>
      <c r="J19" s="109"/>
      <c r="K19" s="31"/>
      <c r="L19" s="35">
        <v>4439</v>
      </c>
      <c r="M19" s="35">
        <v>5015.41</v>
      </c>
      <c r="N19" s="35">
        <v>4600</v>
      </c>
      <c r="O19" s="35">
        <v>5951.48</v>
      </c>
      <c r="P19" s="32">
        <f t="shared" si="4"/>
        <v>7935.3066666666655</v>
      </c>
      <c r="Q19" s="32">
        <v>4600</v>
      </c>
      <c r="R19" s="108">
        <v>4600</v>
      </c>
      <c r="S19" s="35">
        <f t="shared" si="3"/>
        <v>0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5.75" customHeight="1" x14ac:dyDescent="0.25">
      <c r="A20" s="30" t="s">
        <v>120</v>
      </c>
      <c r="B20" s="30" t="s">
        <v>94</v>
      </c>
      <c r="C20" s="31"/>
      <c r="D20" s="32">
        <v>1450</v>
      </c>
      <c r="E20" s="32" t="e">
        <f>D20*#REF!</f>
        <v>#REF!</v>
      </c>
      <c r="F20" s="32" t="e">
        <f>D20*#REF!</f>
        <v>#REF!</v>
      </c>
      <c r="G20" s="32" t="e">
        <f>(D20*#REF!)*#REF!</f>
        <v>#REF!</v>
      </c>
      <c r="H20" s="39">
        <f t="shared" si="0"/>
        <v>0</v>
      </c>
      <c r="I20" s="34" t="e">
        <f t="shared" si="1"/>
        <v>#REF!</v>
      </c>
      <c r="J20" s="109"/>
      <c r="K20" s="31"/>
      <c r="L20" s="35">
        <v>2540</v>
      </c>
      <c r="M20" s="35">
        <v>883.28</v>
      </c>
      <c r="N20" s="35">
        <v>1000</v>
      </c>
      <c r="O20" s="35">
        <v>2187.48</v>
      </c>
      <c r="P20" s="32">
        <f t="shared" si="4"/>
        <v>2916.6400000000003</v>
      </c>
      <c r="Q20" s="32">
        <v>1000</v>
      </c>
      <c r="R20" s="108">
        <v>1000</v>
      </c>
      <c r="S20" s="35">
        <f t="shared" si="3"/>
        <v>0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5.75" customHeight="1" x14ac:dyDescent="0.25">
      <c r="A21" s="30" t="s">
        <v>121</v>
      </c>
      <c r="B21" s="30" t="s">
        <v>122</v>
      </c>
      <c r="C21" s="31"/>
      <c r="D21" s="32">
        <v>0</v>
      </c>
      <c r="E21" s="32" t="e">
        <f>D21*#REF!</f>
        <v>#REF!</v>
      </c>
      <c r="F21" s="32" t="e">
        <f>D21*#REF!</f>
        <v>#REF!</v>
      </c>
      <c r="G21" s="32" t="e">
        <f>(D21*#REF!)*#REF!</f>
        <v>#REF!</v>
      </c>
      <c r="H21" s="33">
        <f t="shared" si="0"/>
        <v>0</v>
      </c>
      <c r="I21" s="34" t="e">
        <f t="shared" si="1"/>
        <v>#REF!</v>
      </c>
      <c r="J21" s="109"/>
      <c r="K21" s="31"/>
      <c r="L21" s="35">
        <v>1975</v>
      </c>
      <c r="M21" s="35">
        <v>2507.44</v>
      </c>
      <c r="N21" s="35">
        <v>3200</v>
      </c>
      <c r="O21" s="35">
        <v>2017.61</v>
      </c>
      <c r="P21" s="32">
        <f t="shared" si="4"/>
        <v>2690.1466666666665</v>
      </c>
      <c r="Q21" s="32">
        <v>3200</v>
      </c>
      <c r="R21" s="108">
        <v>3200</v>
      </c>
      <c r="S21" s="35">
        <f t="shared" si="3"/>
        <v>0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5.75" customHeight="1" x14ac:dyDescent="0.25">
      <c r="A22" s="30" t="s">
        <v>123</v>
      </c>
      <c r="B22" s="30" t="s">
        <v>124</v>
      </c>
      <c r="C22" s="31"/>
      <c r="D22" s="32">
        <v>-37756</v>
      </c>
      <c r="E22" s="32" t="e">
        <f>D22*#REF!</f>
        <v>#REF!</v>
      </c>
      <c r="F22" s="32" t="e">
        <f>D22*#REF!</f>
        <v>#REF!</v>
      </c>
      <c r="G22" s="32" t="e">
        <f>(D22*#REF!)*#REF!</f>
        <v>#REF!</v>
      </c>
      <c r="H22" s="33">
        <f t="shared" si="0"/>
        <v>0</v>
      </c>
      <c r="I22" s="34" t="e">
        <f t="shared" si="1"/>
        <v>#REF!</v>
      </c>
      <c r="J22" s="107">
        <v>33090</v>
      </c>
      <c r="K22" s="31"/>
      <c r="L22" s="35">
        <v>-85330</v>
      </c>
      <c r="M22" s="35">
        <v>-88818.4</v>
      </c>
      <c r="N22" s="35">
        <v>-96600</v>
      </c>
      <c r="O22" s="35">
        <v>-75695.3</v>
      </c>
      <c r="P22" s="32">
        <f t="shared" si="4"/>
        <v>-100927.06666666668</v>
      </c>
      <c r="Q22" s="32">
        <v>-110805</v>
      </c>
      <c r="R22" s="108">
        <v>-57165</v>
      </c>
      <c r="S22" s="35">
        <f t="shared" si="3"/>
        <v>53640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5.75" customHeight="1" x14ac:dyDescent="0.25">
      <c r="A23" s="47" t="s">
        <v>125</v>
      </c>
      <c r="B23" s="48"/>
      <c r="C23" s="49"/>
      <c r="D23" s="50">
        <f t="shared" ref="D23:G23" si="5">SUM(D6:D22)</f>
        <v>177779</v>
      </c>
      <c r="E23" s="50" t="e">
        <f t="shared" si="5"/>
        <v>#REF!</v>
      </c>
      <c r="F23" s="50" t="e">
        <f t="shared" si="5"/>
        <v>#REF!</v>
      </c>
      <c r="G23" s="50" t="e">
        <f t="shared" si="5"/>
        <v>#REF!</v>
      </c>
      <c r="H23" s="42">
        <f t="shared" si="0"/>
        <v>0</v>
      </c>
      <c r="I23" s="50" t="e">
        <f t="shared" ref="I23:J23" si="6">SUM(I6:I22)</f>
        <v>#REF!</v>
      </c>
      <c r="J23" s="50">
        <f t="shared" si="6"/>
        <v>-187510</v>
      </c>
      <c r="K23" s="49"/>
      <c r="L23" s="110">
        <f t="shared" ref="L23:S23" si="7">SUM(L6:L22)</f>
        <v>428936</v>
      </c>
      <c r="M23" s="110">
        <f t="shared" si="7"/>
        <v>504023.45999999985</v>
      </c>
      <c r="N23" s="110">
        <f t="shared" si="7"/>
        <v>547297</v>
      </c>
      <c r="O23" s="110">
        <f t="shared" si="7"/>
        <v>444566.96</v>
      </c>
      <c r="P23" s="111">
        <f t="shared" si="7"/>
        <v>576175.22366666666</v>
      </c>
      <c r="Q23" s="111">
        <f t="shared" si="7"/>
        <v>627895</v>
      </c>
      <c r="R23" s="110">
        <f t="shared" si="7"/>
        <v>323935</v>
      </c>
      <c r="S23" s="110">
        <f t="shared" si="7"/>
        <v>-303960</v>
      </c>
      <c r="V23" s="44"/>
      <c r="W23" s="44"/>
      <c r="X23" s="44"/>
      <c r="Y23" s="44"/>
      <c r="Z23" s="44"/>
      <c r="AA23" s="44"/>
      <c r="AB23" s="44"/>
      <c r="AC23" s="44"/>
      <c r="AD23" s="44"/>
      <c r="AE23" s="44"/>
    </row>
    <row r="24" spans="1:31" ht="15.75" customHeight="1" x14ac:dyDescent="0.2">
      <c r="A24" s="5"/>
      <c r="B24" s="5"/>
      <c r="C24" s="15"/>
      <c r="D24" s="18"/>
      <c r="E24" s="18"/>
      <c r="F24" s="18"/>
      <c r="G24" s="18"/>
      <c r="H24" s="18"/>
      <c r="I24" s="18"/>
      <c r="J24" s="18"/>
      <c r="K24" s="15"/>
      <c r="L24" s="5"/>
      <c r="M24" s="5"/>
      <c r="N24" s="5"/>
      <c r="O24" s="5"/>
      <c r="P24" s="5"/>
      <c r="Q24" s="5"/>
      <c r="R24" s="5"/>
      <c r="S24" s="5"/>
    </row>
    <row r="25" spans="1:31" ht="15.75" customHeight="1" x14ac:dyDescent="0.2">
      <c r="A25" s="5"/>
      <c r="B25" s="5"/>
      <c r="C25" s="15"/>
      <c r="D25" s="18"/>
      <c r="E25" s="18"/>
      <c r="F25" s="18"/>
      <c r="G25" s="18"/>
      <c r="H25" s="18"/>
      <c r="I25" s="18"/>
      <c r="J25" s="18"/>
      <c r="K25" s="15"/>
      <c r="L25" s="5"/>
      <c r="M25" s="5"/>
      <c r="N25" s="5"/>
      <c r="O25" s="5"/>
      <c r="P25" s="5"/>
      <c r="Q25" s="5"/>
      <c r="R25" s="5"/>
      <c r="S25" s="5"/>
    </row>
    <row r="26" spans="1:31" ht="15.75" customHeight="1" x14ac:dyDescent="0.25">
      <c r="A26" s="30" t="s">
        <v>126</v>
      </c>
      <c r="B26" s="30" t="s">
        <v>99</v>
      </c>
      <c r="C26" s="31"/>
      <c r="D26" s="32">
        <v>36170</v>
      </c>
      <c r="E26" s="32" t="e">
        <f>D26*#REF!</f>
        <v>#REF!</v>
      </c>
      <c r="F26" s="32" t="e">
        <f>D26*#REF!</f>
        <v>#REF!</v>
      </c>
      <c r="G26" s="32" t="e">
        <f>(D26*#REF!)*#REF!</f>
        <v>#REF!</v>
      </c>
      <c r="H26" s="39">
        <f t="shared" ref="H26:H27" si="8">IFERROR(((Q26-G26)/G26),0)</f>
        <v>0</v>
      </c>
      <c r="I26" s="34" t="e">
        <f>Q26-G26</f>
        <v>#REF!</v>
      </c>
      <c r="J26" s="18"/>
      <c r="K26" s="31"/>
      <c r="L26" s="35">
        <v>54602</v>
      </c>
      <c r="M26" s="35">
        <v>0</v>
      </c>
      <c r="N26" s="35">
        <v>0</v>
      </c>
      <c r="O26" s="35">
        <v>0</v>
      </c>
      <c r="P26" s="32">
        <f>O26/9*12</f>
        <v>0</v>
      </c>
      <c r="Q26" s="32">
        <v>0</v>
      </c>
      <c r="R26" s="112">
        <v>0</v>
      </c>
      <c r="S26" s="35">
        <f>R26-Q26</f>
        <v>0</v>
      </c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</row>
    <row r="27" spans="1:31" ht="15.75" customHeight="1" x14ac:dyDescent="0.25">
      <c r="A27" s="47" t="s">
        <v>127</v>
      </c>
      <c r="B27" s="48"/>
      <c r="C27" s="49"/>
      <c r="D27" s="50">
        <f t="shared" ref="D27:G27" si="9">SUM(D26)</f>
        <v>36170</v>
      </c>
      <c r="E27" s="50" t="e">
        <f t="shared" si="9"/>
        <v>#REF!</v>
      </c>
      <c r="F27" s="50" t="e">
        <f t="shared" si="9"/>
        <v>#REF!</v>
      </c>
      <c r="G27" s="50" t="e">
        <f t="shared" si="9"/>
        <v>#REF!</v>
      </c>
      <c r="H27" s="42">
        <f t="shared" si="8"/>
        <v>0</v>
      </c>
      <c r="I27" s="50" t="e">
        <f t="shared" ref="I27:J27" si="10">SUM(I26)</f>
        <v>#REF!</v>
      </c>
      <c r="J27" s="50">
        <f t="shared" si="10"/>
        <v>0</v>
      </c>
      <c r="K27" s="49"/>
      <c r="L27" s="12">
        <f t="shared" ref="L27:S27" si="11">SUM(L26)</f>
        <v>54602</v>
      </c>
      <c r="M27" s="12">
        <f t="shared" si="11"/>
        <v>0</v>
      </c>
      <c r="N27" s="12">
        <f t="shared" si="11"/>
        <v>0</v>
      </c>
      <c r="O27" s="12">
        <f t="shared" si="11"/>
        <v>0</v>
      </c>
      <c r="P27" s="50">
        <f t="shared" si="11"/>
        <v>0</v>
      </c>
      <c r="Q27" s="50">
        <f t="shared" si="11"/>
        <v>0</v>
      </c>
      <c r="R27" s="12">
        <f t="shared" si="11"/>
        <v>0</v>
      </c>
      <c r="S27" s="12">
        <f t="shared" si="11"/>
        <v>0</v>
      </c>
      <c r="V27" s="44"/>
      <c r="W27" s="44"/>
      <c r="X27" s="44"/>
      <c r="Y27" s="44"/>
      <c r="Z27" s="44"/>
      <c r="AA27" s="44"/>
      <c r="AB27" s="44"/>
      <c r="AC27" s="44"/>
      <c r="AD27" s="44"/>
      <c r="AE27" s="44"/>
    </row>
    <row r="28" spans="1:31" ht="15.75" customHeight="1" x14ac:dyDescent="0.2">
      <c r="A28" s="5"/>
      <c r="B28" s="5"/>
      <c r="C28" s="15"/>
      <c r="D28" s="18"/>
      <c r="E28" s="18"/>
      <c r="F28" s="18"/>
      <c r="G28" s="18"/>
      <c r="H28" s="18"/>
      <c r="I28" s="18"/>
      <c r="J28" s="18"/>
      <c r="K28" s="15"/>
      <c r="L28" s="5"/>
      <c r="M28" s="5"/>
      <c r="N28" s="5"/>
      <c r="O28" s="5"/>
      <c r="P28" s="5"/>
      <c r="Q28" s="5"/>
      <c r="R28" s="5"/>
      <c r="S28" s="5"/>
    </row>
    <row r="29" spans="1:31" ht="15.75" customHeight="1" x14ac:dyDescent="0.25">
      <c r="A29" s="47" t="s">
        <v>101</v>
      </c>
      <c r="B29" s="48"/>
      <c r="C29" s="49"/>
      <c r="D29" s="50">
        <f t="shared" ref="D29:G29" si="12">SUM(D27)+D23</f>
        <v>213949</v>
      </c>
      <c r="E29" s="50" t="e">
        <f t="shared" si="12"/>
        <v>#REF!</v>
      </c>
      <c r="F29" s="50" t="e">
        <f t="shared" si="12"/>
        <v>#REF!</v>
      </c>
      <c r="G29" s="50" t="e">
        <f t="shared" si="12"/>
        <v>#REF!</v>
      </c>
      <c r="H29" s="42">
        <f>IFERROR(((Q29-G29)/G29),0)</f>
        <v>0</v>
      </c>
      <c r="I29" s="113" t="e">
        <f>Q29-G29</f>
        <v>#REF!</v>
      </c>
      <c r="J29" s="50">
        <f>SUM(J27)+J21</f>
        <v>0</v>
      </c>
      <c r="K29" s="49"/>
      <c r="L29" s="12">
        <f t="shared" ref="L29:S29" si="13">SUM(L27)+L23</f>
        <v>483538</v>
      </c>
      <c r="M29" s="12">
        <f t="shared" si="13"/>
        <v>504023.45999999985</v>
      </c>
      <c r="N29" s="12">
        <f t="shared" si="13"/>
        <v>547297</v>
      </c>
      <c r="O29" s="12">
        <f t="shared" si="13"/>
        <v>444566.96</v>
      </c>
      <c r="P29" s="50">
        <f t="shared" si="13"/>
        <v>576175.22366666666</v>
      </c>
      <c r="Q29" s="50">
        <f t="shared" si="13"/>
        <v>627895</v>
      </c>
      <c r="R29" s="12">
        <f t="shared" si="13"/>
        <v>323935</v>
      </c>
      <c r="S29" s="12">
        <f t="shared" si="13"/>
        <v>-303960</v>
      </c>
    </row>
    <row r="30" spans="1:31" ht="15.75" customHeight="1" x14ac:dyDescent="0.2">
      <c r="C30" s="60"/>
      <c r="K30" s="60"/>
    </row>
    <row r="31" spans="1:31" ht="15.75" customHeight="1" x14ac:dyDescent="0.2">
      <c r="C31" s="60"/>
      <c r="K31" s="60"/>
    </row>
    <row r="32" spans="1:31" ht="15.75" customHeight="1" x14ac:dyDescent="0.2">
      <c r="A32" s="56"/>
      <c r="B32" s="57"/>
      <c r="C32" s="58"/>
      <c r="D32" s="57"/>
      <c r="E32" s="57"/>
      <c r="K32" s="60"/>
      <c r="L32" s="114" t="s">
        <v>102</v>
      </c>
      <c r="M32" s="61" t="s">
        <v>59</v>
      </c>
      <c r="N32" s="61" t="s">
        <v>60</v>
      </c>
      <c r="O32" s="61" t="s">
        <v>61</v>
      </c>
      <c r="P32" s="61" t="s">
        <v>62</v>
      </c>
      <c r="Q32" s="61" t="s">
        <v>63</v>
      </c>
      <c r="R32" s="61" t="s">
        <v>64</v>
      </c>
      <c r="S32" s="61" t="s">
        <v>65</v>
      </c>
      <c r="X32" s="56"/>
      <c r="Y32" s="56"/>
      <c r="Z32" s="56"/>
      <c r="AA32" s="56"/>
      <c r="AB32" s="56"/>
      <c r="AC32" s="56"/>
      <c r="AD32" s="56"/>
      <c r="AE32" s="56"/>
    </row>
    <row r="33" spans="2:19" ht="15.75" customHeight="1" x14ac:dyDescent="0.2">
      <c r="B33" s="62"/>
      <c r="C33" s="60"/>
      <c r="K33" s="60"/>
      <c r="L33" s="115" t="s">
        <v>103</v>
      </c>
      <c r="M33" s="7">
        <f t="shared" ref="M33:S33" si="14">L29</f>
        <v>483538</v>
      </c>
      <c r="N33" s="7">
        <f t="shared" si="14"/>
        <v>504023.45999999985</v>
      </c>
      <c r="O33" s="7">
        <f t="shared" si="14"/>
        <v>547297</v>
      </c>
      <c r="P33" s="7">
        <f t="shared" si="14"/>
        <v>444566.96</v>
      </c>
      <c r="Q33" s="7">
        <f t="shared" si="14"/>
        <v>576175.22366666666</v>
      </c>
      <c r="R33" s="7">
        <f t="shared" si="14"/>
        <v>627895</v>
      </c>
      <c r="S33" s="7">
        <f t="shared" si="14"/>
        <v>323935</v>
      </c>
    </row>
    <row r="34" spans="2:19" ht="15.75" customHeight="1" x14ac:dyDescent="0.2">
      <c r="C34" s="60"/>
      <c r="K34" s="60"/>
    </row>
    <row r="35" spans="2:19" ht="15.75" customHeight="1" x14ac:dyDescent="0.2">
      <c r="C35" s="60"/>
      <c r="K35" s="60"/>
    </row>
    <row r="36" spans="2:19" ht="15.75" customHeight="1" x14ac:dyDescent="0.2">
      <c r="C36" s="60"/>
      <c r="K36" s="60"/>
    </row>
    <row r="37" spans="2:19" ht="15.75" customHeight="1" x14ac:dyDescent="0.2">
      <c r="C37" s="60"/>
      <c r="K37" s="60"/>
    </row>
    <row r="38" spans="2:19" ht="15.75" customHeight="1" x14ac:dyDescent="0.2">
      <c r="C38" s="60"/>
      <c r="K38" s="60"/>
    </row>
    <row r="39" spans="2:19" ht="15.75" customHeight="1" x14ac:dyDescent="0.2">
      <c r="C39" s="60"/>
      <c r="K39" s="60"/>
    </row>
    <row r="40" spans="2:19" ht="15.75" customHeight="1" x14ac:dyDescent="0.2">
      <c r="C40" s="60"/>
      <c r="K40" s="60"/>
    </row>
    <row r="41" spans="2:19" ht="15.75" customHeight="1" x14ac:dyDescent="0.2">
      <c r="C41" s="60"/>
      <c r="K41" s="60"/>
    </row>
    <row r="42" spans="2:19" ht="15.75" customHeight="1" x14ac:dyDescent="0.2">
      <c r="C42" s="60"/>
      <c r="K42" s="60"/>
    </row>
    <row r="43" spans="2:19" ht="15.75" customHeight="1" x14ac:dyDescent="0.2">
      <c r="C43" s="60"/>
      <c r="K43" s="60"/>
    </row>
    <row r="44" spans="2:19" ht="15.75" customHeight="1" x14ac:dyDescent="0.2">
      <c r="C44" s="60"/>
      <c r="K44" s="60"/>
    </row>
    <row r="45" spans="2:19" ht="15.75" customHeight="1" x14ac:dyDescent="0.2">
      <c r="C45" s="60"/>
      <c r="K45" s="60"/>
    </row>
    <row r="46" spans="2:19" ht="15.75" customHeight="1" x14ac:dyDescent="0.2">
      <c r="C46" s="60"/>
      <c r="K46" s="60"/>
    </row>
    <row r="47" spans="2:19" ht="15.75" customHeight="1" x14ac:dyDescent="0.2">
      <c r="C47" s="60"/>
      <c r="K47" s="60"/>
    </row>
    <row r="48" spans="2:19" ht="15.75" customHeight="1" x14ac:dyDescent="0.2">
      <c r="C48" s="60"/>
      <c r="K48" s="60"/>
    </row>
    <row r="49" spans="3:11" ht="15.75" customHeight="1" x14ac:dyDescent="0.2">
      <c r="C49" s="60"/>
      <c r="K49" s="60"/>
    </row>
    <row r="50" spans="3:11" ht="15.75" customHeight="1" x14ac:dyDescent="0.2">
      <c r="C50" s="60"/>
      <c r="K50" s="60"/>
    </row>
    <row r="51" spans="3:11" ht="15.75" customHeight="1" x14ac:dyDescent="0.2">
      <c r="C51" s="60"/>
      <c r="K51" s="60"/>
    </row>
    <row r="52" spans="3:11" ht="15.75" customHeight="1" x14ac:dyDescent="0.2">
      <c r="C52" s="60"/>
      <c r="K52" s="60"/>
    </row>
    <row r="53" spans="3:11" ht="15.75" customHeight="1" x14ac:dyDescent="0.2">
      <c r="C53" s="60"/>
      <c r="K53" s="60"/>
    </row>
    <row r="54" spans="3:11" ht="15.75" customHeight="1" x14ac:dyDescent="0.2">
      <c r="C54" s="60"/>
      <c r="K54" s="60"/>
    </row>
    <row r="55" spans="3:11" ht="15.75" customHeight="1" x14ac:dyDescent="0.2">
      <c r="C55" s="60"/>
      <c r="K55" s="60"/>
    </row>
    <row r="56" spans="3:11" ht="15.75" customHeight="1" x14ac:dyDescent="0.2">
      <c r="C56" s="60"/>
      <c r="K56" s="60"/>
    </row>
    <row r="57" spans="3:11" ht="15.75" customHeight="1" x14ac:dyDescent="0.2">
      <c r="C57" s="60"/>
      <c r="K57" s="60"/>
    </row>
    <row r="58" spans="3:11" ht="15.75" customHeight="1" x14ac:dyDescent="0.2">
      <c r="C58" s="60"/>
      <c r="K58" s="60"/>
    </row>
    <row r="59" spans="3:11" ht="15.75" customHeight="1" x14ac:dyDescent="0.2">
      <c r="C59" s="60"/>
      <c r="K59" s="60"/>
    </row>
    <row r="60" spans="3:11" ht="15.75" customHeight="1" x14ac:dyDescent="0.2">
      <c r="C60" s="60"/>
      <c r="K60" s="60"/>
    </row>
    <row r="61" spans="3:11" ht="15.75" customHeight="1" x14ac:dyDescent="0.2">
      <c r="C61" s="60"/>
      <c r="K61" s="60"/>
    </row>
    <row r="62" spans="3:11" ht="15.75" customHeight="1" x14ac:dyDescent="0.2">
      <c r="C62" s="60"/>
      <c r="K62" s="60"/>
    </row>
    <row r="63" spans="3:11" ht="15.75" customHeight="1" x14ac:dyDescent="0.2">
      <c r="C63" s="60"/>
      <c r="K63" s="60"/>
    </row>
    <row r="64" spans="3:11" ht="15.75" customHeight="1" x14ac:dyDescent="0.2">
      <c r="C64" s="60"/>
      <c r="K64" s="60"/>
    </row>
    <row r="65" spans="3:11" ht="15.75" customHeight="1" x14ac:dyDescent="0.2">
      <c r="C65" s="60"/>
      <c r="K65" s="60"/>
    </row>
    <row r="66" spans="3:11" ht="15.75" customHeight="1" x14ac:dyDescent="0.2">
      <c r="C66" s="60"/>
      <c r="K66" s="60"/>
    </row>
    <row r="67" spans="3:11" ht="15.75" customHeight="1" x14ac:dyDescent="0.2">
      <c r="C67" s="60"/>
      <c r="K67" s="60"/>
    </row>
    <row r="68" spans="3:11" ht="15.75" customHeight="1" x14ac:dyDescent="0.2">
      <c r="C68" s="60"/>
      <c r="K68" s="60"/>
    </row>
    <row r="69" spans="3:11" ht="15.75" customHeight="1" x14ac:dyDescent="0.2">
      <c r="C69" s="60"/>
      <c r="K69" s="60"/>
    </row>
    <row r="70" spans="3:11" ht="15.75" customHeight="1" x14ac:dyDescent="0.2">
      <c r="C70" s="60"/>
      <c r="K70" s="60"/>
    </row>
    <row r="71" spans="3:11" ht="15.75" customHeight="1" x14ac:dyDescent="0.2">
      <c r="C71" s="60"/>
      <c r="K71" s="60"/>
    </row>
    <row r="72" spans="3:11" ht="15.75" customHeight="1" x14ac:dyDescent="0.2">
      <c r="C72" s="60"/>
      <c r="K72" s="60"/>
    </row>
    <row r="73" spans="3:11" ht="15.75" customHeight="1" x14ac:dyDescent="0.2">
      <c r="C73" s="60"/>
      <c r="K73" s="60"/>
    </row>
    <row r="74" spans="3:11" ht="15.75" customHeight="1" x14ac:dyDescent="0.2">
      <c r="C74" s="60"/>
      <c r="K74" s="60"/>
    </row>
    <row r="75" spans="3:11" ht="15.75" customHeight="1" x14ac:dyDescent="0.2">
      <c r="C75" s="60"/>
      <c r="K75" s="60"/>
    </row>
    <row r="76" spans="3:11" ht="15.75" customHeight="1" x14ac:dyDescent="0.2">
      <c r="C76" s="60"/>
      <c r="K76" s="60"/>
    </row>
    <row r="77" spans="3:11" ht="15.75" customHeight="1" x14ac:dyDescent="0.2">
      <c r="C77" s="60"/>
      <c r="K77" s="60"/>
    </row>
    <row r="78" spans="3:11" ht="15.75" customHeight="1" x14ac:dyDescent="0.2">
      <c r="C78" s="60"/>
      <c r="K78" s="60"/>
    </row>
    <row r="79" spans="3:11" ht="15.75" customHeight="1" x14ac:dyDescent="0.2">
      <c r="C79" s="60"/>
      <c r="K79" s="60"/>
    </row>
    <row r="80" spans="3:11" ht="15.75" customHeight="1" x14ac:dyDescent="0.2">
      <c r="C80" s="60"/>
      <c r="K80" s="60"/>
    </row>
    <row r="81" spans="3:11" ht="15.75" customHeight="1" x14ac:dyDescent="0.2">
      <c r="C81" s="60"/>
      <c r="K81" s="60"/>
    </row>
    <row r="82" spans="3:11" ht="15.75" customHeight="1" x14ac:dyDescent="0.2">
      <c r="C82" s="60"/>
      <c r="K82" s="60"/>
    </row>
    <row r="83" spans="3:11" ht="15.75" customHeight="1" x14ac:dyDescent="0.2">
      <c r="C83" s="60"/>
      <c r="K83" s="60"/>
    </row>
    <row r="84" spans="3:11" ht="15.75" customHeight="1" x14ac:dyDescent="0.2">
      <c r="C84" s="60"/>
      <c r="K84" s="60"/>
    </row>
    <row r="85" spans="3:11" ht="15.75" customHeight="1" x14ac:dyDescent="0.2">
      <c r="C85" s="60"/>
      <c r="K85" s="60"/>
    </row>
    <row r="86" spans="3:11" ht="15.75" customHeight="1" x14ac:dyDescent="0.2">
      <c r="C86" s="60"/>
      <c r="K86" s="60"/>
    </row>
    <row r="87" spans="3:11" ht="15.75" customHeight="1" x14ac:dyDescent="0.2">
      <c r="C87" s="60"/>
      <c r="K87" s="60"/>
    </row>
    <row r="88" spans="3:11" ht="15.75" customHeight="1" x14ac:dyDescent="0.2">
      <c r="C88" s="60"/>
      <c r="K88" s="60"/>
    </row>
    <row r="89" spans="3:11" ht="15.75" customHeight="1" x14ac:dyDescent="0.2">
      <c r="C89" s="60"/>
      <c r="K89" s="60"/>
    </row>
    <row r="90" spans="3:11" ht="15.75" customHeight="1" x14ac:dyDescent="0.2">
      <c r="C90" s="60"/>
      <c r="K90" s="60"/>
    </row>
    <row r="91" spans="3:11" ht="15.75" customHeight="1" x14ac:dyDescent="0.2">
      <c r="C91" s="60"/>
      <c r="K91" s="60"/>
    </row>
    <row r="92" spans="3:11" ht="15.75" customHeight="1" x14ac:dyDescent="0.2">
      <c r="C92" s="60"/>
      <c r="K92" s="60"/>
    </row>
    <row r="93" spans="3:11" ht="15.75" customHeight="1" x14ac:dyDescent="0.2">
      <c r="C93" s="60"/>
      <c r="K93" s="60"/>
    </row>
    <row r="94" spans="3:11" ht="15.75" customHeight="1" x14ac:dyDescent="0.2">
      <c r="C94" s="60"/>
      <c r="K94" s="60"/>
    </row>
    <row r="95" spans="3:11" ht="15.75" customHeight="1" x14ac:dyDescent="0.2">
      <c r="C95" s="60"/>
      <c r="K95" s="60"/>
    </row>
    <row r="96" spans="3:11" ht="15.75" customHeight="1" x14ac:dyDescent="0.2">
      <c r="C96" s="60"/>
      <c r="K96" s="60"/>
    </row>
    <row r="97" spans="3:11" ht="15.75" customHeight="1" x14ac:dyDescent="0.2">
      <c r="C97" s="60"/>
      <c r="K97" s="60"/>
    </row>
    <row r="98" spans="3:11" ht="15.75" customHeight="1" x14ac:dyDescent="0.2">
      <c r="C98" s="60"/>
      <c r="K98" s="60"/>
    </row>
    <row r="99" spans="3:11" ht="15.75" customHeight="1" x14ac:dyDescent="0.2">
      <c r="C99" s="60"/>
      <c r="K99" s="60"/>
    </row>
    <row r="100" spans="3:11" ht="15.75" customHeight="1" x14ac:dyDescent="0.2">
      <c r="C100" s="60"/>
      <c r="K100" s="60"/>
    </row>
    <row r="101" spans="3:11" ht="15.75" customHeight="1" x14ac:dyDescent="0.2">
      <c r="C101" s="60"/>
      <c r="K101" s="60"/>
    </row>
    <row r="102" spans="3:11" ht="15.75" customHeight="1" x14ac:dyDescent="0.2">
      <c r="C102" s="60"/>
      <c r="K102" s="60"/>
    </row>
    <row r="103" spans="3:11" ht="15.75" customHeight="1" x14ac:dyDescent="0.2">
      <c r="C103" s="60"/>
      <c r="K103" s="60"/>
    </row>
    <row r="104" spans="3:11" ht="15.75" customHeight="1" x14ac:dyDescent="0.2">
      <c r="C104" s="60"/>
      <c r="K104" s="60"/>
    </row>
    <row r="105" spans="3:11" ht="15.75" customHeight="1" x14ac:dyDescent="0.2">
      <c r="C105" s="60"/>
      <c r="K105" s="60"/>
    </row>
    <row r="106" spans="3:11" ht="15.75" customHeight="1" x14ac:dyDescent="0.2">
      <c r="C106" s="60"/>
      <c r="K106" s="60"/>
    </row>
    <row r="107" spans="3:11" ht="15.75" customHeight="1" x14ac:dyDescent="0.2">
      <c r="C107" s="60"/>
      <c r="K107" s="60"/>
    </row>
    <row r="108" spans="3:11" ht="15.75" customHeight="1" x14ac:dyDescent="0.2">
      <c r="C108" s="60"/>
      <c r="K108" s="60"/>
    </row>
    <row r="109" spans="3:11" ht="15.75" customHeight="1" x14ac:dyDescent="0.2">
      <c r="C109" s="60"/>
      <c r="K109" s="60"/>
    </row>
    <row r="110" spans="3:11" ht="15.75" customHeight="1" x14ac:dyDescent="0.2">
      <c r="C110" s="60"/>
      <c r="K110" s="60"/>
    </row>
    <row r="111" spans="3:11" ht="15.75" customHeight="1" x14ac:dyDescent="0.2">
      <c r="C111" s="60"/>
      <c r="K111" s="60"/>
    </row>
    <row r="112" spans="3:11" ht="15.75" customHeight="1" x14ac:dyDescent="0.2">
      <c r="C112" s="60"/>
      <c r="K112" s="60"/>
    </row>
    <row r="113" spans="3:11" ht="15.75" customHeight="1" x14ac:dyDescent="0.2">
      <c r="C113" s="60"/>
      <c r="K113" s="60"/>
    </row>
    <row r="114" spans="3:11" ht="15.75" customHeight="1" x14ac:dyDescent="0.2">
      <c r="C114" s="60"/>
      <c r="K114" s="60"/>
    </row>
    <row r="115" spans="3:11" ht="15.75" customHeight="1" x14ac:dyDescent="0.2">
      <c r="C115" s="60"/>
      <c r="K115" s="60"/>
    </row>
    <row r="116" spans="3:11" ht="15.75" customHeight="1" x14ac:dyDescent="0.2">
      <c r="C116" s="60"/>
      <c r="K116" s="60"/>
    </row>
    <row r="117" spans="3:11" ht="15.75" customHeight="1" x14ac:dyDescent="0.2">
      <c r="C117" s="60"/>
      <c r="K117" s="60"/>
    </row>
    <row r="118" spans="3:11" ht="15.75" customHeight="1" x14ac:dyDescent="0.2">
      <c r="C118" s="60"/>
      <c r="K118" s="60"/>
    </row>
    <row r="119" spans="3:11" ht="15.75" customHeight="1" x14ac:dyDescent="0.2">
      <c r="C119" s="60"/>
      <c r="K119" s="60"/>
    </row>
    <row r="120" spans="3:11" ht="15.75" customHeight="1" x14ac:dyDescent="0.2">
      <c r="C120" s="60"/>
      <c r="K120" s="60"/>
    </row>
    <row r="121" spans="3:11" ht="15.75" customHeight="1" x14ac:dyDescent="0.2">
      <c r="C121" s="60"/>
      <c r="K121" s="60"/>
    </row>
    <row r="122" spans="3:11" ht="15.75" customHeight="1" x14ac:dyDescent="0.2">
      <c r="C122" s="60"/>
      <c r="K122" s="60"/>
    </row>
    <row r="123" spans="3:11" ht="15.75" customHeight="1" x14ac:dyDescent="0.2">
      <c r="C123" s="60"/>
      <c r="K123" s="60"/>
    </row>
    <row r="124" spans="3:11" ht="15.75" customHeight="1" x14ac:dyDescent="0.2">
      <c r="C124" s="60"/>
      <c r="K124" s="60"/>
    </row>
    <row r="125" spans="3:11" ht="15.75" customHeight="1" x14ac:dyDescent="0.2">
      <c r="C125" s="60"/>
      <c r="K125" s="60"/>
    </row>
    <row r="126" spans="3:11" ht="15.75" customHeight="1" x14ac:dyDescent="0.2">
      <c r="C126" s="60"/>
      <c r="K126" s="60"/>
    </row>
    <row r="127" spans="3:11" ht="15.75" customHeight="1" x14ac:dyDescent="0.2">
      <c r="C127" s="60"/>
      <c r="K127" s="60"/>
    </row>
    <row r="128" spans="3:11" ht="15.75" customHeight="1" x14ac:dyDescent="0.2">
      <c r="C128" s="60"/>
      <c r="K128" s="60"/>
    </row>
    <row r="129" spans="3:11" ht="15.75" customHeight="1" x14ac:dyDescent="0.2">
      <c r="C129" s="60"/>
      <c r="K129" s="60"/>
    </row>
    <row r="130" spans="3:11" ht="15.75" customHeight="1" x14ac:dyDescent="0.2">
      <c r="C130" s="60"/>
      <c r="K130" s="60"/>
    </row>
    <row r="131" spans="3:11" ht="15.75" customHeight="1" x14ac:dyDescent="0.2">
      <c r="C131" s="60"/>
      <c r="K131" s="60"/>
    </row>
    <row r="132" spans="3:11" ht="15.75" customHeight="1" x14ac:dyDescent="0.2">
      <c r="C132" s="60"/>
      <c r="K132" s="60"/>
    </row>
    <row r="133" spans="3:11" ht="15.75" customHeight="1" x14ac:dyDescent="0.2">
      <c r="C133" s="60"/>
      <c r="K133" s="60"/>
    </row>
    <row r="134" spans="3:11" ht="15.75" customHeight="1" x14ac:dyDescent="0.2">
      <c r="C134" s="60"/>
      <c r="K134" s="60"/>
    </row>
    <row r="135" spans="3:11" ht="15.75" customHeight="1" x14ac:dyDescent="0.2">
      <c r="C135" s="60"/>
      <c r="K135" s="60"/>
    </row>
    <row r="136" spans="3:11" ht="15.75" customHeight="1" x14ac:dyDescent="0.2">
      <c r="C136" s="60"/>
      <c r="K136" s="60"/>
    </row>
    <row r="137" spans="3:11" ht="15.75" customHeight="1" x14ac:dyDescent="0.2">
      <c r="C137" s="60"/>
      <c r="K137" s="60"/>
    </row>
    <row r="138" spans="3:11" ht="15.75" customHeight="1" x14ac:dyDescent="0.2">
      <c r="C138" s="60"/>
      <c r="K138" s="60"/>
    </row>
    <row r="139" spans="3:11" ht="15.75" customHeight="1" x14ac:dyDescent="0.2">
      <c r="C139" s="60"/>
      <c r="K139" s="60"/>
    </row>
    <row r="140" spans="3:11" ht="15.75" customHeight="1" x14ac:dyDescent="0.2">
      <c r="C140" s="60"/>
      <c r="K140" s="60"/>
    </row>
    <row r="141" spans="3:11" ht="15.75" customHeight="1" x14ac:dyDescent="0.2">
      <c r="C141" s="60"/>
      <c r="K141" s="60"/>
    </row>
    <row r="142" spans="3:11" ht="15.75" customHeight="1" x14ac:dyDescent="0.2">
      <c r="C142" s="60"/>
      <c r="K142" s="60"/>
    </row>
    <row r="143" spans="3:11" ht="15.75" customHeight="1" x14ac:dyDescent="0.2">
      <c r="C143" s="60"/>
      <c r="K143" s="60"/>
    </row>
    <row r="144" spans="3:11" ht="15.75" customHeight="1" x14ac:dyDescent="0.2">
      <c r="C144" s="60"/>
      <c r="K144" s="60"/>
    </row>
    <row r="145" spans="3:11" ht="15.75" customHeight="1" x14ac:dyDescent="0.2">
      <c r="C145" s="60"/>
      <c r="K145" s="60"/>
    </row>
    <row r="146" spans="3:11" ht="15.75" customHeight="1" x14ac:dyDescent="0.2">
      <c r="C146" s="60"/>
      <c r="K146" s="60"/>
    </row>
    <row r="147" spans="3:11" ht="15.75" customHeight="1" x14ac:dyDescent="0.2">
      <c r="C147" s="60"/>
      <c r="K147" s="60"/>
    </row>
    <row r="148" spans="3:11" ht="15.75" customHeight="1" x14ac:dyDescent="0.2">
      <c r="C148" s="60"/>
      <c r="K148" s="60"/>
    </row>
    <row r="149" spans="3:11" ht="15.75" customHeight="1" x14ac:dyDescent="0.2">
      <c r="C149" s="60"/>
      <c r="K149" s="60"/>
    </row>
    <row r="150" spans="3:11" ht="15.75" customHeight="1" x14ac:dyDescent="0.2">
      <c r="C150" s="60"/>
      <c r="K150" s="60"/>
    </row>
    <row r="151" spans="3:11" ht="15.75" customHeight="1" x14ac:dyDescent="0.2">
      <c r="C151" s="60"/>
      <c r="K151" s="60"/>
    </row>
    <row r="152" spans="3:11" ht="15.75" customHeight="1" x14ac:dyDescent="0.2">
      <c r="C152" s="60"/>
      <c r="K152" s="60"/>
    </row>
    <row r="153" spans="3:11" ht="15.75" customHeight="1" x14ac:dyDescent="0.2">
      <c r="C153" s="60"/>
      <c r="K153" s="60"/>
    </row>
    <row r="154" spans="3:11" ht="15.75" customHeight="1" x14ac:dyDescent="0.2">
      <c r="C154" s="60"/>
      <c r="K154" s="60"/>
    </row>
    <row r="155" spans="3:11" ht="15.75" customHeight="1" x14ac:dyDescent="0.2">
      <c r="C155" s="60"/>
      <c r="K155" s="60"/>
    </row>
    <row r="156" spans="3:11" ht="15.75" customHeight="1" x14ac:dyDescent="0.2">
      <c r="C156" s="60"/>
      <c r="K156" s="60"/>
    </row>
    <row r="157" spans="3:11" ht="15.75" customHeight="1" x14ac:dyDescent="0.2">
      <c r="C157" s="60"/>
      <c r="K157" s="60"/>
    </row>
    <row r="158" spans="3:11" ht="15.75" customHeight="1" x14ac:dyDescent="0.2">
      <c r="C158" s="60"/>
      <c r="K158" s="60"/>
    </row>
    <row r="159" spans="3:11" ht="15.75" customHeight="1" x14ac:dyDescent="0.2">
      <c r="C159" s="60"/>
      <c r="K159" s="60"/>
    </row>
    <row r="160" spans="3:11" ht="15.75" customHeight="1" x14ac:dyDescent="0.2">
      <c r="C160" s="60"/>
      <c r="K160" s="60"/>
    </row>
    <row r="161" spans="3:11" ht="15.75" customHeight="1" x14ac:dyDescent="0.2">
      <c r="C161" s="60"/>
      <c r="K161" s="60"/>
    </row>
    <row r="162" spans="3:11" ht="15.75" customHeight="1" x14ac:dyDescent="0.2">
      <c r="C162" s="60"/>
      <c r="K162" s="60"/>
    </row>
    <row r="163" spans="3:11" ht="15.75" customHeight="1" x14ac:dyDescent="0.2">
      <c r="C163" s="60"/>
      <c r="K163" s="60"/>
    </row>
    <row r="164" spans="3:11" ht="15.75" customHeight="1" x14ac:dyDescent="0.2">
      <c r="C164" s="60"/>
      <c r="K164" s="60"/>
    </row>
    <row r="165" spans="3:11" ht="15.75" customHeight="1" x14ac:dyDescent="0.2">
      <c r="C165" s="60"/>
      <c r="K165" s="60"/>
    </row>
    <row r="166" spans="3:11" ht="15.75" customHeight="1" x14ac:dyDescent="0.2">
      <c r="C166" s="60"/>
      <c r="K166" s="60"/>
    </row>
    <row r="167" spans="3:11" ht="15.75" customHeight="1" x14ac:dyDescent="0.2">
      <c r="C167" s="60"/>
      <c r="K167" s="60"/>
    </row>
    <row r="168" spans="3:11" ht="15.75" customHeight="1" x14ac:dyDescent="0.2">
      <c r="C168" s="60"/>
      <c r="K168" s="60"/>
    </row>
    <row r="169" spans="3:11" ht="15.75" customHeight="1" x14ac:dyDescent="0.2">
      <c r="C169" s="60"/>
      <c r="K169" s="60"/>
    </row>
    <row r="170" spans="3:11" ht="15.75" customHeight="1" x14ac:dyDescent="0.2">
      <c r="C170" s="60"/>
      <c r="K170" s="60"/>
    </row>
    <row r="171" spans="3:11" ht="15.75" customHeight="1" x14ac:dyDescent="0.2">
      <c r="C171" s="60"/>
      <c r="K171" s="60"/>
    </row>
    <row r="172" spans="3:11" ht="15.75" customHeight="1" x14ac:dyDescent="0.2">
      <c r="C172" s="60"/>
      <c r="K172" s="60"/>
    </row>
    <row r="173" spans="3:11" ht="15.75" customHeight="1" x14ac:dyDescent="0.2">
      <c r="C173" s="60"/>
      <c r="K173" s="60"/>
    </row>
    <row r="174" spans="3:11" ht="15.75" customHeight="1" x14ac:dyDescent="0.2">
      <c r="C174" s="60"/>
      <c r="K174" s="60"/>
    </row>
    <row r="175" spans="3:11" ht="15.75" customHeight="1" x14ac:dyDescent="0.2">
      <c r="C175" s="60"/>
      <c r="K175" s="60"/>
    </row>
    <row r="176" spans="3:11" ht="15.75" customHeight="1" x14ac:dyDescent="0.2">
      <c r="C176" s="60"/>
      <c r="K176" s="60"/>
    </row>
    <row r="177" spans="3:11" ht="15.75" customHeight="1" x14ac:dyDescent="0.2">
      <c r="C177" s="60"/>
      <c r="K177" s="60"/>
    </row>
    <row r="178" spans="3:11" ht="15.75" customHeight="1" x14ac:dyDescent="0.2">
      <c r="C178" s="60"/>
      <c r="K178" s="60"/>
    </row>
    <row r="179" spans="3:11" ht="15.75" customHeight="1" x14ac:dyDescent="0.2">
      <c r="C179" s="60"/>
      <c r="K179" s="60"/>
    </row>
    <row r="180" spans="3:11" ht="15.75" customHeight="1" x14ac:dyDescent="0.2">
      <c r="C180" s="60"/>
      <c r="K180" s="60"/>
    </row>
    <row r="181" spans="3:11" ht="15.75" customHeight="1" x14ac:dyDescent="0.2">
      <c r="C181" s="60"/>
      <c r="K181" s="60"/>
    </row>
    <row r="182" spans="3:11" ht="15.75" customHeight="1" x14ac:dyDescent="0.2">
      <c r="C182" s="60"/>
      <c r="K182" s="60"/>
    </row>
    <row r="183" spans="3:11" ht="15.75" customHeight="1" x14ac:dyDescent="0.2">
      <c r="C183" s="60"/>
      <c r="K183" s="60"/>
    </row>
    <row r="184" spans="3:11" ht="15.75" customHeight="1" x14ac:dyDescent="0.2">
      <c r="C184" s="60"/>
      <c r="K184" s="60"/>
    </row>
    <row r="185" spans="3:11" ht="15.75" customHeight="1" x14ac:dyDescent="0.2">
      <c r="C185" s="60"/>
      <c r="K185" s="60"/>
    </row>
    <row r="186" spans="3:11" ht="15.75" customHeight="1" x14ac:dyDescent="0.2">
      <c r="C186" s="60"/>
      <c r="K186" s="60"/>
    </row>
    <row r="187" spans="3:11" ht="15.75" customHeight="1" x14ac:dyDescent="0.2">
      <c r="C187" s="60"/>
      <c r="K187" s="60"/>
    </row>
    <row r="188" spans="3:11" ht="15.75" customHeight="1" x14ac:dyDescent="0.2">
      <c r="C188" s="60"/>
      <c r="K188" s="60"/>
    </row>
    <row r="189" spans="3:11" ht="15.75" customHeight="1" x14ac:dyDescent="0.2">
      <c r="C189" s="60"/>
      <c r="K189" s="60"/>
    </row>
    <row r="190" spans="3:11" ht="15.75" customHeight="1" x14ac:dyDescent="0.2">
      <c r="C190" s="60"/>
      <c r="K190" s="60"/>
    </row>
    <row r="191" spans="3:11" ht="15.75" customHeight="1" x14ac:dyDescent="0.2">
      <c r="C191" s="60"/>
      <c r="K191" s="60"/>
    </row>
    <row r="192" spans="3:11" ht="15.75" customHeight="1" x14ac:dyDescent="0.2">
      <c r="C192" s="60"/>
      <c r="K192" s="60"/>
    </row>
    <row r="193" spans="3:11" ht="15.75" customHeight="1" x14ac:dyDescent="0.2">
      <c r="C193" s="60"/>
      <c r="K193" s="60"/>
    </row>
    <row r="194" spans="3:11" ht="15.75" customHeight="1" x14ac:dyDescent="0.2">
      <c r="C194" s="60"/>
      <c r="K194" s="60"/>
    </row>
    <row r="195" spans="3:11" ht="15.75" customHeight="1" x14ac:dyDescent="0.2">
      <c r="C195" s="60"/>
      <c r="K195" s="60"/>
    </row>
    <row r="196" spans="3:11" ht="15.75" customHeight="1" x14ac:dyDescent="0.2">
      <c r="C196" s="60"/>
      <c r="K196" s="60"/>
    </row>
    <row r="197" spans="3:11" ht="15.75" customHeight="1" x14ac:dyDescent="0.2">
      <c r="C197" s="60"/>
      <c r="K197" s="60"/>
    </row>
    <row r="198" spans="3:11" ht="15.75" customHeight="1" x14ac:dyDescent="0.2">
      <c r="C198" s="60"/>
      <c r="K198" s="60"/>
    </row>
    <row r="199" spans="3:11" ht="15.75" customHeight="1" x14ac:dyDescent="0.2">
      <c r="C199" s="60"/>
      <c r="K199" s="60"/>
    </row>
    <row r="200" spans="3:11" ht="15.75" customHeight="1" x14ac:dyDescent="0.2">
      <c r="C200" s="60"/>
      <c r="K200" s="60"/>
    </row>
    <row r="201" spans="3:11" ht="15.75" customHeight="1" x14ac:dyDescent="0.2">
      <c r="C201" s="60"/>
      <c r="K201" s="60"/>
    </row>
    <row r="202" spans="3:11" ht="15.75" customHeight="1" x14ac:dyDescent="0.2">
      <c r="C202" s="60"/>
      <c r="K202" s="60"/>
    </row>
    <row r="203" spans="3:11" ht="15.75" customHeight="1" x14ac:dyDescent="0.2">
      <c r="C203" s="60"/>
      <c r="K203" s="60"/>
    </row>
    <row r="204" spans="3:11" ht="15.75" customHeight="1" x14ac:dyDescent="0.2">
      <c r="C204" s="60"/>
      <c r="K204" s="60"/>
    </row>
    <row r="205" spans="3:11" ht="15.75" customHeight="1" x14ac:dyDescent="0.2">
      <c r="C205" s="60"/>
      <c r="K205" s="60"/>
    </row>
    <row r="206" spans="3:11" ht="15.75" customHeight="1" x14ac:dyDescent="0.2">
      <c r="C206" s="60"/>
      <c r="K206" s="60"/>
    </row>
    <row r="207" spans="3:11" ht="15.75" customHeight="1" x14ac:dyDescent="0.2">
      <c r="C207" s="60"/>
      <c r="K207" s="60"/>
    </row>
    <row r="208" spans="3:11" ht="15.75" customHeight="1" x14ac:dyDescent="0.2">
      <c r="C208" s="60"/>
      <c r="K208" s="60"/>
    </row>
    <row r="209" spans="3:11" ht="15.75" customHeight="1" x14ac:dyDescent="0.2">
      <c r="C209" s="60"/>
      <c r="K209" s="60"/>
    </row>
    <row r="210" spans="3:11" ht="15.75" customHeight="1" x14ac:dyDescent="0.2">
      <c r="C210" s="60"/>
      <c r="K210" s="60"/>
    </row>
    <row r="211" spans="3:11" ht="15.75" customHeight="1" x14ac:dyDescent="0.2">
      <c r="C211" s="60"/>
      <c r="K211" s="60"/>
    </row>
    <row r="212" spans="3:11" ht="15.75" customHeight="1" x14ac:dyDescent="0.2">
      <c r="C212" s="60"/>
      <c r="K212" s="60"/>
    </row>
    <row r="213" spans="3:11" ht="15.75" customHeight="1" x14ac:dyDescent="0.2">
      <c r="C213" s="60"/>
      <c r="K213" s="60"/>
    </row>
    <row r="214" spans="3:11" ht="15.75" customHeight="1" x14ac:dyDescent="0.2">
      <c r="C214" s="60"/>
      <c r="K214" s="60"/>
    </row>
    <row r="215" spans="3:11" ht="15.75" customHeight="1" x14ac:dyDescent="0.2">
      <c r="C215" s="60"/>
      <c r="K215" s="60"/>
    </row>
    <row r="216" spans="3:11" ht="15.75" customHeight="1" x14ac:dyDescent="0.2">
      <c r="C216" s="60"/>
      <c r="K216" s="60"/>
    </row>
    <row r="217" spans="3:11" ht="15.75" customHeight="1" x14ac:dyDescent="0.2">
      <c r="C217" s="60"/>
      <c r="K217" s="60"/>
    </row>
    <row r="218" spans="3:11" ht="15.75" customHeight="1" x14ac:dyDescent="0.2">
      <c r="C218" s="60"/>
      <c r="K218" s="60"/>
    </row>
    <row r="219" spans="3:11" ht="15.75" customHeight="1" x14ac:dyDescent="0.2">
      <c r="C219" s="60"/>
      <c r="K219" s="60"/>
    </row>
    <row r="220" spans="3:11" ht="15.75" customHeight="1" x14ac:dyDescent="0.2">
      <c r="C220" s="60"/>
      <c r="K220" s="60"/>
    </row>
    <row r="221" spans="3:11" ht="15.75" customHeight="1" x14ac:dyDescent="0.2">
      <c r="C221" s="60"/>
      <c r="K221" s="60"/>
    </row>
    <row r="222" spans="3:11" ht="15.75" customHeight="1" x14ac:dyDescent="0.2">
      <c r="C222" s="60"/>
      <c r="K222" s="60"/>
    </row>
    <row r="223" spans="3:11" ht="15.75" customHeight="1" x14ac:dyDescent="0.2">
      <c r="C223" s="60"/>
      <c r="K223" s="60"/>
    </row>
    <row r="224" spans="3:11" ht="15.75" customHeight="1" x14ac:dyDescent="0.2">
      <c r="C224" s="60"/>
      <c r="K224" s="60"/>
    </row>
    <row r="225" spans="3:11" ht="15.75" customHeight="1" x14ac:dyDescent="0.2">
      <c r="C225" s="60"/>
      <c r="K225" s="60"/>
    </row>
    <row r="226" spans="3:11" ht="15.75" customHeight="1" x14ac:dyDescent="0.2">
      <c r="C226" s="60"/>
      <c r="K226" s="60"/>
    </row>
    <row r="227" spans="3:11" ht="15.75" customHeight="1" x14ac:dyDescent="0.2">
      <c r="C227" s="60"/>
      <c r="K227" s="60"/>
    </row>
    <row r="228" spans="3:11" ht="15.75" customHeight="1" x14ac:dyDescent="0.2">
      <c r="C228" s="60"/>
      <c r="K228" s="60"/>
    </row>
    <row r="229" spans="3:11" ht="15.75" customHeight="1" x14ac:dyDescent="0.2">
      <c r="C229" s="60"/>
      <c r="K229" s="60"/>
    </row>
    <row r="230" spans="3:11" ht="15.75" customHeight="1" x14ac:dyDescent="0.2">
      <c r="C230" s="60"/>
      <c r="K230" s="60"/>
    </row>
    <row r="231" spans="3:11" ht="15.75" customHeight="1" x14ac:dyDescent="0.2">
      <c r="C231" s="60"/>
      <c r="K231" s="60"/>
    </row>
    <row r="232" spans="3:11" ht="15.75" customHeight="1" x14ac:dyDescent="0.2">
      <c r="C232" s="60"/>
      <c r="K232" s="60"/>
    </row>
    <row r="233" spans="3:11" ht="15.75" customHeight="1" x14ac:dyDescent="0.2">
      <c r="C233" s="60"/>
      <c r="K233" s="60"/>
    </row>
    <row r="234" spans="3:11" ht="15.75" customHeight="1" x14ac:dyDescent="0.2"/>
    <row r="235" spans="3:11" ht="15.75" customHeight="1" x14ac:dyDescent="0.2"/>
    <row r="236" spans="3:11" ht="15.75" customHeight="1" x14ac:dyDescent="0.2"/>
    <row r="237" spans="3:11" ht="15.75" customHeight="1" x14ac:dyDescent="0.2"/>
    <row r="238" spans="3:11" ht="15.75" customHeight="1" x14ac:dyDescent="0.2"/>
    <row r="239" spans="3:11" ht="15.75" customHeight="1" x14ac:dyDescent="0.2"/>
    <row r="240" spans="3:11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</sheetData>
  <conditionalFormatting sqref="H7:H23 H26:H27 H29">
    <cfRule type="cellIs" dxfId="29" priority="1" operator="lessThan">
      <formula>0</formula>
    </cfRule>
  </conditionalFormatting>
  <printOptions horizontalCentered="1" verticalCentered="1"/>
  <pageMargins left="0.25" right="0.25" top="0.75" bottom="0.75" header="0.3" footer="0.3"/>
  <pageSetup fitToHeight="0" orientation="landscape" r:id="rId1"/>
  <headerFooter>
    <oddHeader>&amp;A</oddHeader>
    <oddFooter>Page &amp;P of &amp;N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E1000"/>
  <sheetViews>
    <sheetView workbookViewId="0"/>
  </sheetViews>
  <sheetFormatPr defaultColWidth="12.5703125" defaultRowHeight="15" customHeight="1" outlineLevelCol="1" x14ac:dyDescent="0.2"/>
  <cols>
    <col min="2" max="2" width="26" customWidth="1" collapsed="1"/>
    <col min="3" max="3" width="4.28515625" hidden="1" customWidth="1" outlineLevel="1"/>
    <col min="4" max="4" width="12.28515625" hidden="1" customWidth="1" outlineLevel="1"/>
    <col min="5" max="6" width="12.42578125" hidden="1" customWidth="1" outlineLevel="1"/>
    <col min="7" max="7" width="12.140625" hidden="1" customWidth="1" outlineLevel="1"/>
    <col min="8" max="8" width="12.42578125" hidden="1" customWidth="1" outlineLevel="1"/>
    <col min="9" max="9" width="11.28515625" hidden="1" customWidth="1" outlineLevel="1"/>
    <col min="10" max="10" width="11.42578125" hidden="1" customWidth="1" outlineLevel="1"/>
    <col min="11" max="11" width="4.28515625" hidden="1" customWidth="1" outlineLevel="1"/>
    <col min="12" max="12" width="12.28515625" customWidth="1"/>
    <col min="13" max="13" width="12.42578125" customWidth="1"/>
    <col min="14" max="14" width="11.5703125" customWidth="1"/>
    <col min="15" max="15" width="11.85546875" customWidth="1"/>
    <col min="16" max="17" width="12.28515625" customWidth="1"/>
    <col min="18" max="18" width="12" customWidth="1"/>
    <col min="22" max="22" width="5.5703125" customWidth="1"/>
  </cols>
  <sheetData>
    <row r="1" spans="1:31" ht="28.5" customHeight="1" x14ac:dyDescent="0.25">
      <c r="A1" s="205" t="s">
        <v>1767</v>
      </c>
      <c r="B1" s="5"/>
      <c r="C1" s="15"/>
      <c r="D1" s="16"/>
      <c r="E1" s="16"/>
      <c r="F1" s="16"/>
      <c r="G1" s="16"/>
      <c r="H1" s="18"/>
      <c r="I1" s="16"/>
      <c r="J1" s="16"/>
      <c r="K1" s="15"/>
      <c r="L1" s="7"/>
      <c r="M1" s="7"/>
      <c r="N1" s="7"/>
      <c r="O1" s="7"/>
      <c r="P1" s="7"/>
      <c r="Q1" s="7"/>
      <c r="R1" s="7"/>
      <c r="S1" s="7"/>
      <c r="T1" s="206"/>
      <c r="W1" s="19"/>
      <c r="X1" s="20"/>
    </row>
    <row r="2" spans="1:31" ht="50.25" customHeight="1" x14ac:dyDescent="0.2">
      <c r="A2" s="3" t="s">
        <v>50</v>
      </c>
      <c r="B2" s="3" t="s">
        <v>51</v>
      </c>
      <c r="C2" s="21"/>
      <c r="D2" s="22" t="s">
        <v>52</v>
      </c>
      <c r="E2" s="23" t="s">
        <v>53</v>
      </c>
      <c r="F2" s="23" t="s">
        <v>54</v>
      </c>
      <c r="G2" s="23" t="s">
        <v>55</v>
      </c>
      <c r="H2" s="100" t="s">
        <v>56</v>
      </c>
      <c r="I2" s="23" t="s">
        <v>57</v>
      </c>
      <c r="J2" s="129" t="s">
        <v>58</v>
      </c>
      <c r="K2" s="130"/>
      <c r="L2" s="27" t="s">
        <v>59</v>
      </c>
      <c r="M2" s="27" t="s">
        <v>60</v>
      </c>
      <c r="N2" s="27" t="s">
        <v>61</v>
      </c>
      <c r="O2" s="27" t="s">
        <v>62</v>
      </c>
      <c r="P2" s="27" t="s">
        <v>63</v>
      </c>
      <c r="Q2" s="27" t="s">
        <v>64</v>
      </c>
      <c r="R2" s="27" t="s">
        <v>65</v>
      </c>
      <c r="S2" s="27" t="s">
        <v>66</v>
      </c>
      <c r="T2" s="207"/>
      <c r="U2" s="28"/>
      <c r="V2" s="19"/>
      <c r="X2" s="28"/>
      <c r="Y2" s="28"/>
      <c r="Z2" s="28"/>
      <c r="AA2" s="28"/>
      <c r="AB2" s="28"/>
      <c r="AC2" s="28"/>
      <c r="AD2" s="28"/>
      <c r="AE2" s="28"/>
    </row>
    <row r="3" spans="1:31" ht="15.75" customHeight="1" x14ac:dyDescent="0.25">
      <c r="A3" s="176" t="s">
        <v>1768</v>
      </c>
      <c r="B3" s="176" t="s">
        <v>68</v>
      </c>
      <c r="C3" s="31"/>
      <c r="D3" s="32">
        <v>0</v>
      </c>
      <c r="E3" s="32" t="e">
        <f>D3*#REF!</f>
        <v>#REF!</v>
      </c>
      <c r="F3" s="32" t="e">
        <f>D3*#REF!</f>
        <v>#REF!</v>
      </c>
      <c r="G3" s="32" t="e">
        <f>(D3*#REF!)*#REF!</f>
        <v>#REF!</v>
      </c>
      <c r="H3" s="119">
        <f t="shared" ref="H3:H18" si="0">IFERROR(((Q3-G3)/G3),0)</f>
        <v>0</v>
      </c>
      <c r="I3" s="34" t="e">
        <f t="shared" ref="I3:I17" si="1">Q3-G3</f>
        <v>#REF!</v>
      </c>
      <c r="J3" s="34">
        <f t="shared" ref="J3:J17" si="2">-Q3</f>
        <v>-65400</v>
      </c>
      <c r="K3" s="31"/>
      <c r="L3" s="35">
        <v>50233</v>
      </c>
      <c r="M3" s="35">
        <v>58893.35</v>
      </c>
      <c r="N3" s="35">
        <v>61954</v>
      </c>
      <c r="O3" s="35">
        <v>39827.32</v>
      </c>
      <c r="P3" s="32">
        <f t="shared" ref="P3:P5" si="3">O3/20*26</f>
        <v>51775.516000000003</v>
      </c>
      <c r="Q3" s="32">
        <v>65400</v>
      </c>
      <c r="R3" s="36">
        <f>VLOOKUP(A3,TB!A:F,6)</f>
        <v>0</v>
      </c>
      <c r="S3" s="36">
        <f t="shared" ref="S3:S17" si="4">R3-Q3</f>
        <v>-65400</v>
      </c>
      <c r="T3" s="54"/>
      <c r="U3" s="54"/>
      <c r="V3" s="54"/>
      <c r="W3" s="54"/>
      <c r="X3" s="54"/>
      <c r="Y3" s="54"/>
      <c r="Z3" s="54"/>
      <c r="AA3" s="54"/>
      <c r="AB3" s="54"/>
      <c r="AC3" s="54"/>
    </row>
    <row r="4" spans="1:31" ht="15.75" customHeight="1" x14ac:dyDescent="0.25">
      <c r="A4" s="176" t="s">
        <v>1769</v>
      </c>
      <c r="B4" s="176" t="s">
        <v>132</v>
      </c>
      <c r="C4" s="31"/>
      <c r="D4" s="32">
        <v>40415</v>
      </c>
      <c r="E4" s="32" t="e">
        <f>D4*#REF!</f>
        <v>#REF!</v>
      </c>
      <c r="F4" s="32" t="e">
        <f>D4*#REF!</f>
        <v>#REF!</v>
      </c>
      <c r="G4" s="32" t="e">
        <f>(D4*#REF!)*#REF!</f>
        <v>#REF!</v>
      </c>
      <c r="H4" s="119">
        <f t="shared" si="0"/>
        <v>0</v>
      </c>
      <c r="I4" s="34" t="e">
        <f t="shared" si="1"/>
        <v>#REF!</v>
      </c>
      <c r="J4" s="34">
        <f t="shared" si="2"/>
        <v>-73800</v>
      </c>
      <c r="K4" s="31"/>
      <c r="L4" s="35">
        <v>59878</v>
      </c>
      <c r="M4" s="35">
        <v>59080.58</v>
      </c>
      <c r="N4" s="35">
        <v>49122</v>
      </c>
      <c r="O4" s="35">
        <v>41002.559999999998</v>
      </c>
      <c r="P4" s="32">
        <f t="shared" si="3"/>
        <v>53303.327999999994</v>
      </c>
      <c r="Q4" s="32">
        <v>73800</v>
      </c>
      <c r="R4" s="36">
        <f>VLOOKUP(A4,TB!A:F,6)</f>
        <v>0</v>
      </c>
      <c r="S4" s="36">
        <f t="shared" si="4"/>
        <v>-73800</v>
      </c>
      <c r="T4" s="54"/>
      <c r="U4" s="54"/>
      <c r="V4" s="54"/>
      <c r="W4" s="54"/>
      <c r="X4" s="54"/>
      <c r="Y4" s="54"/>
      <c r="Z4" s="54"/>
      <c r="AA4" s="54"/>
      <c r="AB4" s="54"/>
      <c r="AC4" s="54"/>
    </row>
    <row r="5" spans="1:31" ht="15.75" customHeight="1" x14ac:dyDescent="0.25">
      <c r="A5" s="176" t="s">
        <v>1770</v>
      </c>
      <c r="B5" s="176" t="s">
        <v>72</v>
      </c>
      <c r="C5" s="31"/>
      <c r="D5" s="32">
        <v>3402</v>
      </c>
      <c r="E5" s="32" t="e">
        <f>D5*#REF!</f>
        <v>#REF!</v>
      </c>
      <c r="F5" s="32" t="e">
        <f>D5*#REF!</f>
        <v>#REF!</v>
      </c>
      <c r="G5" s="32" t="e">
        <f>(D5*#REF!)*#REF!</f>
        <v>#REF!</v>
      </c>
      <c r="H5" s="119">
        <f t="shared" si="0"/>
        <v>0</v>
      </c>
      <c r="I5" s="34" t="e">
        <f t="shared" si="1"/>
        <v>#REF!</v>
      </c>
      <c r="J5" s="34">
        <f t="shared" si="2"/>
        <v>-35500</v>
      </c>
      <c r="K5" s="31"/>
      <c r="L5" s="35">
        <v>25974</v>
      </c>
      <c r="M5" s="35">
        <v>29191.91</v>
      </c>
      <c r="N5" s="35">
        <v>34828</v>
      </c>
      <c r="O5" s="35">
        <v>19618.689999999999</v>
      </c>
      <c r="P5" s="32">
        <f t="shared" si="3"/>
        <v>25504.296999999999</v>
      </c>
      <c r="Q5" s="32">
        <v>35500</v>
      </c>
      <c r="R5" s="36">
        <f>VLOOKUP(A5,TB!A:F,6)</f>
        <v>0</v>
      </c>
      <c r="S5" s="36">
        <f t="shared" si="4"/>
        <v>-35500</v>
      </c>
      <c r="T5" s="54"/>
      <c r="U5" s="54"/>
      <c r="V5" s="54"/>
      <c r="W5" s="54"/>
      <c r="X5" s="54"/>
      <c r="Y5" s="54"/>
      <c r="Z5" s="54"/>
      <c r="AA5" s="54"/>
      <c r="AB5" s="54"/>
      <c r="AC5" s="54"/>
    </row>
    <row r="6" spans="1:31" ht="15.75" customHeight="1" x14ac:dyDescent="0.25">
      <c r="A6" s="176" t="s">
        <v>1771</v>
      </c>
      <c r="B6" s="176" t="s">
        <v>74</v>
      </c>
      <c r="C6" s="31"/>
      <c r="D6" s="32">
        <v>0</v>
      </c>
      <c r="E6" s="32" t="e">
        <f>D6*#REF!</f>
        <v>#REF!</v>
      </c>
      <c r="F6" s="32" t="e">
        <f>D6*#REF!</f>
        <v>#REF!</v>
      </c>
      <c r="G6" s="32" t="e">
        <f>(D6*#REF!)*#REF!</f>
        <v>#REF!</v>
      </c>
      <c r="H6" s="119">
        <f t="shared" si="0"/>
        <v>0</v>
      </c>
      <c r="I6" s="34" t="e">
        <f t="shared" si="1"/>
        <v>#REF!</v>
      </c>
      <c r="J6" s="34">
        <f t="shared" si="2"/>
        <v>-10000</v>
      </c>
      <c r="K6" s="31"/>
      <c r="L6" s="35">
        <v>0</v>
      </c>
      <c r="M6" s="35">
        <v>0</v>
      </c>
      <c r="N6" s="35">
        <v>10000</v>
      </c>
      <c r="O6" s="35">
        <v>9132.2800000000007</v>
      </c>
      <c r="P6" s="32">
        <f>IF(O6/9*12&lt;N6,N6,O6/9*12)</f>
        <v>12176.373333333335</v>
      </c>
      <c r="Q6" s="32">
        <v>10000</v>
      </c>
      <c r="R6" s="36">
        <f>VLOOKUP(A6,TB!A:F,6)</f>
        <v>0</v>
      </c>
      <c r="S6" s="36">
        <f t="shared" si="4"/>
        <v>-10000</v>
      </c>
      <c r="T6" s="54"/>
      <c r="U6" s="54"/>
      <c r="V6" s="54"/>
      <c r="W6" s="54"/>
      <c r="X6" s="54"/>
      <c r="Y6" s="54"/>
      <c r="Z6" s="54"/>
      <c r="AA6" s="54"/>
      <c r="AB6" s="54"/>
      <c r="AC6" s="54"/>
    </row>
    <row r="7" spans="1:31" ht="15.75" customHeight="1" x14ac:dyDescent="0.25">
      <c r="A7" s="176" t="s">
        <v>1772</v>
      </c>
      <c r="B7" s="176" t="s">
        <v>76</v>
      </c>
      <c r="C7" s="31"/>
      <c r="D7" s="32">
        <v>0</v>
      </c>
      <c r="E7" s="32" t="e">
        <f>D7*#REF!</f>
        <v>#REF!</v>
      </c>
      <c r="F7" s="32" t="e">
        <f>D7*#REF!</f>
        <v>#REF!</v>
      </c>
      <c r="G7" s="32" t="e">
        <f>(D7*#REF!)*#REF!</f>
        <v>#REF!</v>
      </c>
      <c r="H7" s="119">
        <f t="shared" si="0"/>
        <v>0</v>
      </c>
      <c r="I7" s="34" t="e">
        <f t="shared" si="1"/>
        <v>#REF!</v>
      </c>
      <c r="J7" s="34">
        <f t="shared" si="2"/>
        <v>-1000</v>
      </c>
      <c r="K7" s="31"/>
      <c r="L7" s="35">
        <v>0</v>
      </c>
      <c r="M7" s="35">
        <v>0</v>
      </c>
      <c r="N7" s="35">
        <v>2000</v>
      </c>
      <c r="O7" s="35">
        <v>0</v>
      </c>
      <c r="P7" s="32">
        <v>0</v>
      </c>
      <c r="Q7" s="32">
        <v>1000</v>
      </c>
      <c r="R7" s="36">
        <f>VLOOKUP(A7,TB!A:F,6)</f>
        <v>0</v>
      </c>
      <c r="S7" s="36">
        <f t="shared" si="4"/>
        <v>-1000</v>
      </c>
      <c r="T7" s="54"/>
      <c r="U7" s="54"/>
      <c r="V7" s="54"/>
      <c r="W7" s="54"/>
      <c r="X7" s="54"/>
      <c r="Y7" s="54"/>
      <c r="Z7" s="54"/>
      <c r="AA7" s="54"/>
      <c r="AB7" s="54"/>
      <c r="AC7" s="54"/>
    </row>
    <row r="8" spans="1:31" ht="15.75" customHeight="1" x14ac:dyDescent="0.25">
      <c r="A8" s="176" t="s">
        <v>1773</v>
      </c>
      <c r="B8" s="176" t="s">
        <v>80</v>
      </c>
      <c r="C8" s="31"/>
      <c r="D8" s="32">
        <v>1745</v>
      </c>
      <c r="E8" s="32" t="e">
        <f>D8*#REF!</f>
        <v>#REF!</v>
      </c>
      <c r="F8" s="32" t="e">
        <f>D8*#REF!</f>
        <v>#REF!</v>
      </c>
      <c r="G8" s="32" t="e">
        <f>(D8*#REF!)*#REF!</f>
        <v>#REF!</v>
      </c>
      <c r="H8" s="121">
        <f t="shared" si="0"/>
        <v>0</v>
      </c>
      <c r="I8" s="34" t="e">
        <f t="shared" si="1"/>
        <v>#REF!</v>
      </c>
      <c r="J8" s="34">
        <f t="shared" si="2"/>
        <v>-2050</v>
      </c>
      <c r="K8" s="31"/>
      <c r="L8" s="35">
        <v>1730</v>
      </c>
      <c r="M8" s="35">
        <v>3254.13</v>
      </c>
      <c r="N8" s="35">
        <v>4000</v>
      </c>
      <c r="O8" s="35">
        <v>1840.71</v>
      </c>
      <c r="P8" s="32">
        <f>O8/9*12</f>
        <v>2454.2800000000002</v>
      </c>
      <c r="Q8" s="32">
        <v>2050</v>
      </c>
      <c r="R8" s="36">
        <f>VLOOKUP(A8,TB!A:F,6)</f>
        <v>0</v>
      </c>
      <c r="S8" s="36">
        <f t="shared" si="4"/>
        <v>-2050</v>
      </c>
      <c r="T8" s="54"/>
      <c r="U8" s="54"/>
      <c r="V8" s="54"/>
      <c r="W8" s="54"/>
      <c r="X8" s="54"/>
      <c r="Y8" s="54"/>
      <c r="Z8" s="54"/>
      <c r="AA8" s="54"/>
      <c r="AB8" s="54"/>
      <c r="AC8" s="54"/>
    </row>
    <row r="9" spans="1:31" ht="15.75" customHeight="1" x14ac:dyDescent="0.25">
      <c r="A9" s="176" t="s">
        <v>1774</v>
      </c>
      <c r="B9" s="176" t="s">
        <v>82</v>
      </c>
      <c r="C9" s="31"/>
      <c r="D9" s="32">
        <v>0</v>
      </c>
      <c r="E9" s="32" t="e">
        <f>D9*#REF!</f>
        <v>#REF!</v>
      </c>
      <c r="F9" s="32" t="e">
        <f>D9*#REF!</f>
        <v>#REF!</v>
      </c>
      <c r="G9" s="32" t="e">
        <f>(D9*#REF!)*#REF!</f>
        <v>#REF!</v>
      </c>
      <c r="H9" s="119">
        <f t="shared" si="0"/>
        <v>0</v>
      </c>
      <c r="I9" s="34" t="e">
        <f t="shared" si="1"/>
        <v>#REF!</v>
      </c>
      <c r="J9" s="34">
        <f t="shared" si="2"/>
        <v>-4500</v>
      </c>
      <c r="K9" s="31"/>
      <c r="L9" s="35">
        <v>0</v>
      </c>
      <c r="M9" s="35">
        <v>0</v>
      </c>
      <c r="N9" s="35">
        <v>5000</v>
      </c>
      <c r="O9" s="35">
        <v>3852.67</v>
      </c>
      <c r="P9" s="32">
        <f t="shared" ref="P9:P12" si="5">IF(O9/9*12&lt;N9,N9,O9/9*12)</f>
        <v>5136.8933333333334</v>
      </c>
      <c r="Q9" s="32">
        <v>4500</v>
      </c>
      <c r="R9" s="36">
        <f>VLOOKUP(A9,TB!A:F,6)</f>
        <v>0</v>
      </c>
      <c r="S9" s="36">
        <f t="shared" si="4"/>
        <v>-4500</v>
      </c>
      <c r="T9" s="54"/>
      <c r="U9" s="54"/>
      <c r="V9" s="54"/>
      <c r="W9" s="54"/>
      <c r="X9" s="54"/>
      <c r="Y9" s="54"/>
      <c r="Z9" s="54"/>
      <c r="AA9" s="54"/>
      <c r="AB9" s="54"/>
      <c r="AC9" s="54"/>
    </row>
    <row r="10" spans="1:31" ht="15.75" customHeight="1" x14ac:dyDescent="0.25">
      <c r="A10" s="176" t="s">
        <v>1775</v>
      </c>
      <c r="B10" s="176" t="s">
        <v>115</v>
      </c>
      <c r="C10" s="31"/>
      <c r="D10" s="32">
        <v>0</v>
      </c>
      <c r="E10" s="32" t="e">
        <f>D10*#REF!</f>
        <v>#REF!</v>
      </c>
      <c r="F10" s="32" t="e">
        <f>D10*#REF!</f>
        <v>#REF!</v>
      </c>
      <c r="G10" s="32" t="e">
        <f>(D10*#REF!)*#REF!</f>
        <v>#REF!</v>
      </c>
      <c r="H10" s="119">
        <f t="shared" si="0"/>
        <v>0</v>
      </c>
      <c r="I10" s="34" t="e">
        <f t="shared" si="1"/>
        <v>#REF!</v>
      </c>
      <c r="J10" s="34">
        <f t="shared" si="2"/>
        <v>-400</v>
      </c>
      <c r="K10" s="31"/>
      <c r="L10" s="35">
        <v>0</v>
      </c>
      <c r="M10" s="35">
        <v>0</v>
      </c>
      <c r="N10" s="35">
        <v>500</v>
      </c>
      <c r="O10" s="35">
        <v>571.57000000000005</v>
      </c>
      <c r="P10" s="32">
        <f t="shared" si="5"/>
        <v>762.09333333333336</v>
      </c>
      <c r="Q10" s="32">
        <v>400</v>
      </c>
      <c r="R10" s="36">
        <f>VLOOKUP(A10,TB!A:F,6)</f>
        <v>0</v>
      </c>
      <c r="S10" s="36">
        <f t="shared" si="4"/>
        <v>-400</v>
      </c>
      <c r="T10" s="54"/>
      <c r="U10" s="54"/>
      <c r="V10" s="54"/>
      <c r="W10" s="54"/>
      <c r="X10" s="54"/>
      <c r="Y10" s="54"/>
      <c r="Z10" s="54"/>
      <c r="AA10" s="54"/>
      <c r="AB10" s="54"/>
      <c r="AC10" s="54"/>
    </row>
    <row r="11" spans="1:31" ht="15.75" customHeight="1" x14ac:dyDescent="0.25">
      <c r="A11" s="176" t="s">
        <v>1776</v>
      </c>
      <c r="B11" s="176" t="s">
        <v>1777</v>
      </c>
      <c r="C11" s="31"/>
      <c r="D11" s="32">
        <v>0</v>
      </c>
      <c r="E11" s="32" t="e">
        <f>D11*#REF!</f>
        <v>#REF!</v>
      </c>
      <c r="F11" s="32" t="e">
        <f>D11*#REF!</f>
        <v>#REF!</v>
      </c>
      <c r="G11" s="32" t="e">
        <f>(D11*#REF!)*#REF!</f>
        <v>#REF!</v>
      </c>
      <c r="H11" s="119">
        <f t="shared" si="0"/>
        <v>0</v>
      </c>
      <c r="I11" s="34" t="e">
        <f t="shared" si="1"/>
        <v>#REF!</v>
      </c>
      <c r="J11" s="34">
        <f t="shared" si="2"/>
        <v>0</v>
      </c>
      <c r="K11" s="31"/>
      <c r="L11" s="35">
        <v>0</v>
      </c>
      <c r="M11" s="35">
        <v>0</v>
      </c>
      <c r="N11" s="35">
        <v>0</v>
      </c>
      <c r="O11" s="35">
        <v>0</v>
      </c>
      <c r="P11" s="32">
        <f t="shared" si="5"/>
        <v>0</v>
      </c>
      <c r="Q11" s="32">
        <v>0</v>
      </c>
      <c r="R11" s="36">
        <v>0</v>
      </c>
      <c r="S11" s="36">
        <f t="shared" si="4"/>
        <v>0</v>
      </c>
      <c r="T11" s="54"/>
      <c r="U11" s="54"/>
      <c r="V11" s="54"/>
      <c r="W11" s="54"/>
      <c r="X11" s="54"/>
      <c r="Y11" s="54"/>
      <c r="Z11" s="54"/>
      <c r="AA11" s="54"/>
      <c r="AB11" s="54"/>
      <c r="AC11" s="54"/>
    </row>
    <row r="12" spans="1:31" ht="15.75" customHeight="1" x14ac:dyDescent="0.25">
      <c r="A12" s="176" t="s">
        <v>1778</v>
      </c>
      <c r="B12" s="176" t="s">
        <v>277</v>
      </c>
      <c r="C12" s="31"/>
      <c r="D12" s="32">
        <v>0</v>
      </c>
      <c r="E12" s="32" t="e">
        <f>D12*#REF!</f>
        <v>#REF!</v>
      </c>
      <c r="F12" s="32" t="e">
        <f>D12*#REF!</f>
        <v>#REF!</v>
      </c>
      <c r="G12" s="32" t="e">
        <f>(D12*#REF!)*#REF!</f>
        <v>#REF!</v>
      </c>
      <c r="H12" s="119">
        <f t="shared" si="0"/>
        <v>0</v>
      </c>
      <c r="I12" s="34" t="e">
        <f t="shared" si="1"/>
        <v>#REF!</v>
      </c>
      <c r="J12" s="34">
        <f t="shared" si="2"/>
        <v>0</v>
      </c>
      <c r="K12" s="31"/>
      <c r="L12" s="35">
        <v>0</v>
      </c>
      <c r="M12" s="35">
        <v>0</v>
      </c>
      <c r="N12" s="35">
        <v>0</v>
      </c>
      <c r="O12" s="35">
        <v>0</v>
      </c>
      <c r="P12" s="32">
        <f t="shared" si="5"/>
        <v>0</v>
      </c>
      <c r="Q12" s="32">
        <v>0</v>
      </c>
      <c r="R12" s="36">
        <f>VLOOKUP(A12,TB!A:F,6)</f>
        <v>0</v>
      </c>
      <c r="S12" s="36">
        <f t="shared" si="4"/>
        <v>0</v>
      </c>
      <c r="T12" s="54"/>
      <c r="U12" s="54"/>
      <c r="V12" s="54"/>
      <c r="W12" s="54"/>
      <c r="X12" s="54"/>
      <c r="Y12" s="54"/>
      <c r="Z12" s="54"/>
      <c r="AA12" s="54"/>
      <c r="AB12" s="54"/>
      <c r="AC12" s="54"/>
    </row>
    <row r="13" spans="1:31" ht="15.75" customHeight="1" x14ac:dyDescent="0.25">
      <c r="A13" s="176" t="s">
        <v>1779</v>
      </c>
      <c r="B13" s="176" t="s">
        <v>84</v>
      </c>
      <c r="C13" s="31"/>
      <c r="D13" s="32">
        <v>2628</v>
      </c>
      <c r="E13" s="32" t="e">
        <f>D13*#REF!</f>
        <v>#REF!</v>
      </c>
      <c r="F13" s="32" t="e">
        <f>D13*#REF!</f>
        <v>#REF!</v>
      </c>
      <c r="G13" s="32" t="e">
        <f>(D13*#REF!)*#REF!</f>
        <v>#REF!</v>
      </c>
      <c r="H13" s="119">
        <f t="shared" si="0"/>
        <v>0</v>
      </c>
      <c r="I13" s="34" t="e">
        <f t="shared" si="1"/>
        <v>#REF!</v>
      </c>
      <c r="J13" s="34">
        <f t="shared" si="2"/>
        <v>-5400</v>
      </c>
      <c r="K13" s="31"/>
      <c r="L13" s="35">
        <v>4490</v>
      </c>
      <c r="M13" s="35">
        <v>4276.12</v>
      </c>
      <c r="N13" s="35">
        <v>5000</v>
      </c>
      <c r="O13" s="35">
        <v>3390.32</v>
      </c>
      <c r="P13" s="32">
        <f>O13/9*12</f>
        <v>4520.4266666666672</v>
      </c>
      <c r="Q13" s="32">
        <v>5400</v>
      </c>
      <c r="R13" s="36">
        <v>0</v>
      </c>
      <c r="S13" s="36">
        <f t="shared" si="4"/>
        <v>-5400</v>
      </c>
      <c r="T13" s="54"/>
      <c r="U13" s="54"/>
      <c r="V13" s="54"/>
      <c r="W13" s="54"/>
      <c r="X13" s="54"/>
      <c r="Y13" s="54"/>
      <c r="Z13" s="54"/>
      <c r="AA13" s="54"/>
      <c r="AB13" s="54"/>
      <c r="AC13" s="54"/>
    </row>
    <row r="14" spans="1:31" ht="15.75" customHeight="1" x14ac:dyDescent="0.25">
      <c r="A14" s="176" t="s">
        <v>1780</v>
      </c>
      <c r="B14" s="176" t="s">
        <v>90</v>
      </c>
      <c r="C14" s="31"/>
      <c r="D14" s="32">
        <v>0</v>
      </c>
      <c r="E14" s="32" t="e">
        <f>D14*#REF!</f>
        <v>#REF!</v>
      </c>
      <c r="F14" s="32" t="e">
        <f>D14*#REF!</f>
        <v>#REF!</v>
      </c>
      <c r="G14" s="32" t="e">
        <f>(D14*#REF!)*#REF!</f>
        <v>#REF!</v>
      </c>
      <c r="H14" s="119">
        <f t="shared" si="0"/>
        <v>0</v>
      </c>
      <c r="I14" s="34" t="e">
        <f t="shared" si="1"/>
        <v>#REF!</v>
      </c>
      <c r="J14" s="34">
        <f t="shared" si="2"/>
        <v>-500</v>
      </c>
      <c r="K14" s="31"/>
      <c r="L14" s="35">
        <v>0</v>
      </c>
      <c r="M14" s="35">
        <v>245</v>
      </c>
      <c r="N14" s="35">
        <v>1000</v>
      </c>
      <c r="O14" s="35">
        <v>0</v>
      </c>
      <c r="P14" s="32">
        <v>0</v>
      </c>
      <c r="Q14" s="32">
        <v>500</v>
      </c>
      <c r="R14" s="36">
        <f>VLOOKUP(A14,TB!A:F,6)</f>
        <v>0</v>
      </c>
      <c r="S14" s="36">
        <f t="shared" si="4"/>
        <v>-500</v>
      </c>
      <c r="T14" s="54"/>
      <c r="U14" s="54"/>
      <c r="V14" s="54"/>
      <c r="W14" s="54"/>
      <c r="X14" s="54"/>
      <c r="Y14" s="54"/>
      <c r="Z14" s="54"/>
      <c r="AA14" s="54"/>
      <c r="AB14" s="54"/>
      <c r="AC14" s="54"/>
    </row>
    <row r="15" spans="1:31" ht="15.75" customHeight="1" x14ac:dyDescent="0.25">
      <c r="A15" s="176" t="s">
        <v>1781</v>
      </c>
      <c r="B15" s="176" t="s">
        <v>1782</v>
      </c>
      <c r="C15" s="31"/>
      <c r="D15" s="32">
        <v>0</v>
      </c>
      <c r="E15" s="32" t="e">
        <f>D15*#REF!</f>
        <v>#REF!</v>
      </c>
      <c r="F15" s="32" t="e">
        <f>D15*#REF!</f>
        <v>#REF!</v>
      </c>
      <c r="G15" s="32" t="e">
        <f>(D15*#REF!)*#REF!</f>
        <v>#REF!</v>
      </c>
      <c r="H15" s="119">
        <f t="shared" si="0"/>
        <v>0</v>
      </c>
      <c r="I15" s="34" t="e">
        <f t="shared" si="1"/>
        <v>#REF!</v>
      </c>
      <c r="J15" s="34">
        <f t="shared" si="2"/>
        <v>-3950</v>
      </c>
      <c r="K15" s="31"/>
      <c r="L15" s="35">
        <v>0</v>
      </c>
      <c r="M15" s="35">
        <v>0</v>
      </c>
      <c r="N15" s="35">
        <v>0</v>
      </c>
      <c r="O15" s="35">
        <v>0</v>
      </c>
      <c r="P15" s="32">
        <f>IF(O15/9*12&lt;N15,N15,O15/9*12)</f>
        <v>0</v>
      </c>
      <c r="Q15" s="32">
        <v>3950</v>
      </c>
      <c r="R15" s="36">
        <f>VLOOKUP(A15,TB!A:F,6)</f>
        <v>0</v>
      </c>
      <c r="S15" s="36">
        <f t="shared" si="4"/>
        <v>-3950</v>
      </c>
      <c r="T15" s="54"/>
      <c r="U15" s="54"/>
      <c r="V15" s="54"/>
      <c r="W15" s="54"/>
      <c r="X15" s="54"/>
      <c r="Y15" s="54"/>
      <c r="Z15" s="54"/>
      <c r="AA15" s="54"/>
      <c r="AB15" s="54"/>
      <c r="AC15" s="54"/>
    </row>
    <row r="16" spans="1:31" ht="15.75" customHeight="1" x14ac:dyDescent="0.25">
      <c r="A16" s="176" t="s">
        <v>1783</v>
      </c>
      <c r="B16" s="176" t="s">
        <v>1784</v>
      </c>
      <c r="C16" s="31"/>
      <c r="D16" s="32">
        <v>45936</v>
      </c>
      <c r="E16" s="32" t="e">
        <f>D16*#REF!</f>
        <v>#REF!</v>
      </c>
      <c r="F16" s="32" t="e">
        <f>D16*#REF!</f>
        <v>#REF!</v>
      </c>
      <c r="G16" s="32" t="e">
        <f>(D16*#REF!)*#REF!</f>
        <v>#REF!</v>
      </c>
      <c r="H16" s="121">
        <f t="shared" si="0"/>
        <v>0</v>
      </c>
      <c r="I16" s="34" t="e">
        <f t="shared" si="1"/>
        <v>#REF!</v>
      </c>
      <c r="J16" s="34">
        <f t="shared" si="2"/>
        <v>-62000</v>
      </c>
      <c r="K16" s="31"/>
      <c r="L16" s="35">
        <v>61663</v>
      </c>
      <c r="M16" s="35">
        <v>63261.08</v>
      </c>
      <c r="N16" s="35">
        <v>60000</v>
      </c>
      <c r="O16" s="35">
        <v>40023.279999999999</v>
      </c>
      <c r="P16" s="32">
        <f>O16/9*12</f>
        <v>53364.373333333337</v>
      </c>
      <c r="Q16" s="32">
        <v>62000</v>
      </c>
      <c r="R16" s="36">
        <f>VLOOKUP(A16,TB!A:F,6)</f>
        <v>0</v>
      </c>
      <c r="S16" s="36">
        <f t="shared" si="4"/>
        <v>-62000</v>
      </c>
      <c r="T16" s="54"/>
      <c r="U16" s="54"/>
      <c r="V16" s="54"/>
      <c r="W16" s="54"/>
      <c r="X16" s="54"/>
      <c r="Y16" s="54"/>
      <c r="Z16" s="54"/>
      <c r="AA16" s="54"/>
      <c r="AB16" s="54"/>
      <c r="AC16" s="54"/>
    </row>
    <row r="17" spans="1:29" ht="15.75" customHeight="1" x14ac:dyDescent="0.25">
      <c r="A17" s="176" t="s">
        <v>1785</v>
      </c>
      <c r="B17" s="176" t="s">
        <v>92</v>
      </c>
      <c r="C17" s="31"/>
      <c r="D17" s="32">
        <v>0</v>
      </c>
      <c r="E17" s="32" t="e">
        <f>D17*#REF!</f>
        <v>#REF!</v>
      </c>
      <c r="F17" s="32" t="e">
        <f>D17*#REF!</f>
        <v>#REF!</v>
      </c>
      <c r="G17" s="32" t="e">
        <f>(D17*#REF!)*#REF!</f>
        <v>#REF!</v>
      </c>
      <c r="H17" s="119">
        <f t="shared" si="0"/>
        <v>0</v>
      </c>
      <c r="I17" s="34" t="e">
        <f t="shared" si="1"/>
        <v>#REF!</v>
      </c>
      <c r="J17" s="34">
        <f t="shared" si="2"/>
        <v>-1000</v>
      </c>
      <c r="K17" s="31"/>
      <c r="L17" s="35">
        <v>844</v>
      </c>
      <c r="M17" s="35">
        <v>849.4</v>
      </c>
      <c r="N17" s="35">
        <v>1000</v>
      </c>
      <c r="O17" s="35">
        <v>44.12</v>
      </c>
      <c r="P17" s="38">
        <f>IF(O17/9*12&lt;N17,N17,O17/9*12)</f>
        <v>1000</v>
      </c>
      <c r="Q17" s="32">
        <v>1000</v>
      </c>
      <c r="R17" s="36">
        <f>VLOOKUP(A17,TB!A:F,6)</f>
        <v>0</v>
      </c>
      <c r="S17" s="36">
        <f t="shared" si="4"/>
        <v>-1000</v>
      </c>
      <c r="T17" s="54"/>
      <c r="U17" s="54"/>
      <c r="V17" s="54"/>
      <c r="W17" s="54"/>
      <c r="X17" s="54"/>
      <c r="Y17" s="54"/>
      <c r="Z17" s="54"/>
      <c r="AA17" s="54"/>
      <c r="AB17" s="54"/>
      <c r="AC17" s="54"/>
    </row>
    <row r="18" spans="1:29" ht="15.75" customHeight="1" x14ac:dyDescent="0.25">
      <c r="A18" s="202" t="s">
        <v>1786</v>
      </c>
      <c r="B18" s="12"/>
      <c r="C18" s="49"/>
      <c r="D18" s="50">
        <f t="shared" ref="D18:G18" si="6">SUM(D3:D17)</f>
        <v>94126</v>
      </c>
      <c r="E18" s="50" t="e">
        <f t="shared" si="6"/>
        <v>#REF!</v>
      </c>
      <c r="F18" s="50" t="e">
        <f t="shared" si="6"/>
        <v>#REF!</v>
      </c>
      <c r="G18" s="50" t="e">
        <f t="shared" si="6"/>
        <v>#REF!</v>
      </c>
      <c r="H18" s="122">
        <f t="shared" si="0"/>
        <v>0</v>
      </c>
      <c r="I18" s="50" t="e">
        <f t="shared" ref="I18:J18" si="7">SUM(I3:I17)</f>
        <v>#REF!</v>
      </c>
      <c r="J18" s="50">
        <f t="shared" si="7"/>
        <v>-265500</v>
      </c>
      <c r="K18" s="49"/>
      <c r="L18" s="12">
        <f t="shared" ref="L18:S18" si="8">SUM(L3:L17)</f>
        <v>204812</v>
      </c>
      <c r="M18" s="12">
        <f t="shared" si="8"/>
        <v>219051.56999999998</v>
      </c>
      <c r="N18" s="12">
        <f t="shared" si="8"/>
        <v>234404</v>
      </c>
      <c r="O18" s="12">
        <f t="shared" si="8"/>
        <v>159303.52000000002</v>
      </c>
      <c r="P18" s="50">
        <f t="shared" si="8"/>
        <v>209997.58100000001</v>
      </c>
      <c r="Q18" s="50">
        <f t="shared" si="8"/>
        <v>265500</v>
      </c>
      <c r="R18" s="12">
        <f t="shared" si="8"/>
        <v>0</v>
      </c>
      <c r="S18" s="12">
        <f t="shared" si="8"/>
        <v>-265500</v>
      </c>
      <c r="T18" s="54"/>
      <c r="U18" s="54"/>
      <c r="V18" s="78"/>
      <c r="W18" s="78"/>
      <c r="X18" s="78"/>
      <c r="Y18" s="78"/>
      <c r="Z18" s="78"/>
      <c r="AA18" s="78"/>
      <c r="AB18" s="78"/>
      <c r="AC18" s="78"/>
    </row>
    <row r="19" spans="1:29" ht="15.75" customHeight="1" x14ac:dyDescent="0.2">
      <c r="A19" s="7"/>
      <c r="B19" s="7"/>
      <c r="C19" s="31"/>
      <c r="D19" s="7"/>
      <c r="E19" s="7"/>
      <c r="F19" s="7"/>
      <c r="G19" s="7"/>
      <c r="H19" s="7"/>
      <c r="I19" s="7"/>
      <c r="J19" s="7"/>
      <c r="K19" s="31"/>
      <c r="L19" s="7"/>
      <c r="M19" s="7"/>
      <c r="N19" s="7"/>
      <c r="O19" s="7"/>
      <c r="P19" s="7"/>
      <c r="Q19" s="7"/>
      <c r="R19" s="7"/>
      <c r="S19" s="7"/>
      <c r="T19" s="54"/>
      <c r="U19" s="54"/>
      <c r="V19" s="54"/>
      <c r="W19" s="54"/>
      <c r="X19" s="54"/>
      <c r="Y19" s="54"/>
      <c r="Z19" s="54"/>
      <c r="AA19" s="54"/>
      <c r="AB19" s="54"/>
      <c r="AC19" s="54"/>
    </row>
    <row r="20" spans="1:29" ht="15.75" customHeight="1" x14ac:dyDescent="0.2">
      <c r="A20" s="12" t="s">
        <v>184</v>
      </c>
      <c r="B20" s="7"/>
      <c r="C20" s="31"/>
      <c r="D20" s="7"/>
      <c r="E20" s="7"/>
      <c r="F20" s="7"/>
      <c r="G20" s="7"/>
      <c r="H20" s="7"/>
      <c r="I20" s="7"/>
      <c r="J20" s="7"/>
      <c r="K20" s="31"/>
      <c r="L20" s="7"/>
      <c r="M20" s="7"/>
      <c r="N20" s="7"/>
      <c r="O20" s="7"/>
      <c r="P20" s="7"/>
      <c r="Q20" s="7"/>
      <c r="R20" s="7"/>
      <c r="S20" s="7"/>
      <c r="T20" s="54"/>
      <c r="U20" s="54"/>
      <c r="V20" s="54"/>
      <c r="W20" s="54"/>
      <c r="X20" s="54"/>
      <c r="Y20" s="54"/>
      <c r="Z20" s="54"/>
      <c r="AA20" s="54"/>
      <c r="AB20" s="54"/>
      <c r="AC20" s="54"/>
    </row>
    <row r="21" spans="1:29" ht="15.75" customHeight="1" x14ac:dyDescent="0.25">
      <c r="A21" s="176" t="s">
        <v>1787</v>
      </c>
      <c r="B21" s="176" t="s">
        <v>1788</v>
      </c>
      <c r="C21" s="31"/>
      <c r="D21" s="32">
        <v>-2118.25</v>
      </c>
      <c r="E21" s="32" t="e">
        <f>D21*#REF!</f>
        <v>#REF!</v>
      </c>
      <c r="F21" s="32" t="e">
        <f>D21*#REF!</f>
        <v>#REF!</v>
      </c>
      <c r="G21" s="32" t="e">
        <f>(D21*#REF!)*#REF!</f>
        <v>#REF!</v>
      </c>
      <c r="H21" s="119">
        <f t="shared" ref="H21:H23" si="9">IFERROR(((Q21-G21)/G21),0)</f>
        <v>0</v>
      </c>
      <c r="I21" s="34" t="e">
        <f t="shared" ref="I21:I22" si="10">Q21-G21</f>
        <v>#REF!</v>
      </c>
      <c r="J21" s="34">
        <f t="shared" ref="J21:J22" si="11">-Q21</f>
        <v>1600</v>
      </c>
      <c r="K21" s="31"/>
      <c r="L21" s="35">
        <v>-1658.94</v>
      </c>
      <c r="M21" s="35">
        <v>-1716.3</v>
      </c>
      <c r="N21" s="35">
        <v>0</v>
      </c>
      <c r="O21" s="35">
        <v>-1089.5</v>
      </c>
      <c r="P21" s="32">
        <f>O21</f>
        <v>-1089.5</v>
      </c>
      <c r="Q21" s="32">
        <v>-1600</v>
      </c>
      <c r="R21" s="36">
        <f>VLOOKUP(A21,TB!A:F,6)</f>
        <v>0</v>
      </c>
      <c r="S21" s="36">
        <f t="shared" ref="S21:S22" si="12">R21-Q21</f>
        <v>1600</v>
      </c>
      <c r="T21" s="54"/>
      <c r="U21" s="54"/>
      <c r="V21" s="54"/>
      <c r="W21" s="54"/>
      <c r="X21" s="54"/>
      <c r="Y21" s="54"/>
      <c r="Z21" s="54"/>
      <c r="AA21" s="54"/>
      <c r="AB21" s="54"/>
      <c r="AC21" s="54"/>
    </row>
    <row r="22" spans="1:29" ht="15.75" customHeight="1" x14ac:dyDescent="0.25">
      <c r="A22" s="176" t="s">
        <v>1789</v>
      </c>
      <c r="B22" s="176" t="s">
        <v>1790</v>
      </c>
      <c r="C22" s="31"/>
      <c r="D22" s="32">
        <v>-16743</v>
      </c>
      <c r="E22" s="32" t="e">
        <f>D22*#REF!</f>
        <v>#REF!</v>
      </c>
      <c r="F22" s="32" t="e">
        <f>D22*#REF!</f>
        <v>#REF!</v>
      </c>
      <c r="G22" s="32" t="e">
        <f>(D22*#REF!)*#REF!</f>
        <v>#REF!</v>
      </c>
      <c r="H22" s="119">
        <f t="shared" si="9"/>
        <v>0</v>
      </c>
      <c r="I22" s="34" t="e">
        <f t="shared" si="10"/>
        <v>#REF!</v>
      </c>
      <c r="J22" s="34">
        <f t="shared" si="11"/>
        <v>16700</v>
      </c>
      <c r="K22" s="31"/>
      <c r="L22" s="35">
        <v>-16743</v>
      </c>
      <c r="M22" s="35">
        <v>-16743</v>
      </c>
      <c r="N22" s="35">
        <v>-18300</v>
      </c>
      <c r="O22" s="35">
        <v>0</v>
      </c>
      <c r="P22" s="32">
        <f>N22</f>
        <v>-18300</v>
      </c>
      <c r="Q22" s="32">
        <v>-16700</v>
      </c>
      <c r="R22" s="36">
        <f>VLOOKUP(A22,TB!A:F,6)</f>
        <v>0</v>
      </c>
      <c r="S22" s="36">
        <f t="shared" si="12"/>
        <v>16700</v>
      </c>
      <c r="T22" s="54"/>
      <c r="U22" s="54"/>
      <c r="V22" s="54"/>
      <c r="W22" s="54"/>
      <c r="X22" s="54"/>
      <c r="Y22" s="54"/>
      <c r="Z22" s="54"/>
      <c r="AA22" s="54"/>
      <c r="AB22" s="54"/>
      <c r="AC22" s="54"/>
    </row>
    <row r="23" spans="1:29" ht="15.75" customHeight="1" x14ac:dyDescent="0.25">
      <c r="A23" s="202" t="s">
        <v>1791</v>
      </c>
      <c r="B23" s="12"/>
      <c r="C23" s="49"/>
      <c r="D23" s="50">
        <f t="shared" ref="D23:G23" si="13">SUM(D20:D22)</f>
        <v>-18861.25</v>
      </c>
      <c r="E23" s="50" t="e">
        <f t="shared" si="13"/>
        <v>#REF!</v>
      </c>
      <c r="F23" s="50" t="e">
        <f t="shared" si="13"/>
        <v>#REF!</v>
      </c>
      <c r="G23" s="50" t="e">
        <f t="shared" si="13"/>
        <v>#REF!</v>
      </c>
      <c r="H23" s="122">
        <f t="shared" si="9"/>
        <v>0</v>
      </c>
      <c r="I23" s="178" t="e">
        <f t="shared" ref="I23:J23" si="14">SUM(I20:I22)</f>
        <v>#REF!</v>
      </c>
      <c r="J23" s="178">
        <f t="shared" si="14"/>
        <v>18300</v>
      </c>
      <c r="K23" s="49"/>
      <c r="L23" s="12">
        <f t="shared" ref="L23:S23" si="15">SUM(L20:L22)</f>
        <v>-18401.939999999999</v>
      </c>
      <c r="M23" s="12">
        <f t="shared" si="15"/>
        <v>-18459.3</v>
      </c>
      <c r="N23" s="12">
        <f t="shared" si="15"/>
        <v>-18300</v>
      </c>
      <c r="O23" s="12">
        <f t="shared" si="15"/>
        <v>-1089.5</v>
      </c>
      <c r="P23" s="50">
        <f t="shared" si="15"/>
        <v>-19389.5</v>
      </c>
      <c r="Q23" s="50">
        <f t="shared" si="15"/>
        <v>-18300</v>
      </c>
      <c r="R23" s="12">
        <f t="shared" si="15"/>
        <v>0</v>
      </c>
      <c r="S23" s="12">
        <f t="shared" si="15"/>
        <v>18300</v>
      </c>
      <c r="T23" s="54"/>
      <c r="U23" s="54"/>
      <c r="V23" s="54"/>
      <c r="W23" s="54"/>
      <c r="X23" s="54"/>
      <c r="Y23" s="54"/>
      <c r="Z23" s="54"/>
      <c r="AA23" s="54"/>
      <c r="AB23" s="54"/>
      <c r="AC23" s="54"/>
    </row>
    <row r="24" spans="1:29" ht="15.75" customHeight="1" x14ac:dyDescent="0.2">
      <c r="A24" s="7"/>
      <c r="B24" s="7"/>
      <c r="C24" s="31"/>
      <c r="D24" s="7"/>
      <c r="E24" s="7"/>
      <c r="F24" s="7"/>
      <c r="G24" s="7"/>
      <c r="H24" s="7"/>
      <c r="I24" s="7"/>
      <c r="J24" s="7"/>
      <c r="K24" s="31"/>
      <c r="L24" s="7"/>
      <c r="M24" s="7"/>
      <c r="N24" s="7"/>
      <c r="O24" s="7"/>
      <c r="P24" s="7"/>
      <c r="Q24" s="7"/>
      <c r="R24" s="7"/>
      <c r="S24" s="7"/>
      <c r="T24" s="54"/>
      <c r="U24" s="54"/>
      <c r="V24" s="54"/>
      <c r="W24" s="54"/>
      <c r="X24" s="54"/>
      <c r="Y24" s="54"/>
      <c r="Z24" s="54"/>
      <c r="AA24" s="54"/>
      <c r="AB24" s="54"/>
      <c r="AC24" s="54"/>
    </row>
    <row r="25" spans="1:29" ht="15.75" customHeight="1" x14ac:dyDescent="0.25">
      <c r="A25" s="12" t="s">
        <v>190</v>
      </c>
      <c r="B25" s="12"/>
      <c r="C25" s="40"/>
      <c r="D25" s="41">
        <f t="shared" ref="D25:G25" si="16">D18+D23</f>
        <v>75264.75</v>
      </c>
      <c r="E25" s="41" t="e">
        <f t="shared" si="16"/>
        <v>#REF!</v>
      </c>
      <c r="F25" s="41" t="e">
        <f t="shared" si="16"/>
        <v>#REF!</v>
      </c>
      <c r="G25" s="41" t="e">
        <f t="shared" si="16"/>
        <v>#REF!</v>
      </c>
      <c r="H25" s="122">
        <f>IFERROR(((Q25-G25)/G25),0)</f>
        <v>0</v>
      </c>
      <c r="I25" s="50" t="e">
        <f>Q25-G25</f>
        <v>#REF!</v>
      </c>
      <c r="J25" s="178">
        <f>SUM(J23+J18)</f>
        <v>-247200</v>
      </c>
      <c r="K25" s="40"/>
      <c r="L25" s="41">
        <f t="shared" ref="L25:S25" si="17">L18+L23</f>
        <v>186410.06</v>
      </c>
      <c r="M25" s="41">
        <f t="shared" si="17"/>
        <v>200592.27</v>
      </c>
      <c r="N25" s="41">
        <f t="shared" si="17"/>
        <v>216104</v>
      </c>
      <c r="O25" s="41">
        <f t="shared" si="17"/>
        <v>158214.02000000002</v>
      </c>
      <c r="P25" s="41">
        <f t="shared" si="17"/>
        <v>190608.08100000001</v>
      </c>
      <c r="Q25" s="41">
        <f t="shared" si="17"/>
        <v>247200</v>
      </c>
      <c r="R25" s="41">
        <f t="shared" si="17"/>
        <v>0</v>
      </c>
      <c r="S25" s="41">
        <f t="shared" si="17"/>
        <v>-247200</v>
      </c>
      <c r="T25" s="54"/>
      <c r="U25" s="54"/>
      <c r="V25" s="78"/>
      <c r="W25" s="78"/>
      <c r="X25" s="78"/>
      <c r="Y25" s="78"/>
      <c r="Z25" s="78"/>
      <c r="AA25" s="78"/>
      <c r="AB25" s="78"/>
      <c r="AC25" s="78"/>
    </row>
    <row r="26" spans="1:29" ht="15.75" customHeight="1" x14ac:dyDescent="0.2">
      <c r="A26" s="54"/>
      <c r="B26" s="54"/>
      <c r="C26" s="180"/>
      <c r="D26" s="54"/>
      <c r="E26" s="54"/>
      <c r="F26" s="54"/>
      <c r="G26" s="54"/>
      <c r="H26" s="54"/>
      <c r="I26" s="54"/>
      <c r="J26" s="54"/>
      <c r="K26" s="180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</row>
    <row r="27" spans="1:29" ht="15.75" customHeight="1" x14ac:dyDescent="0.2">
      <c r="A27" s="54"/>
      <c r="B27" s="54"/>
      <c r="C27" s="180"/>
      <c r="D27" s="54"/>
      <c r="E27" s="54"/>
      <c r="F27" s="54"/>
      <c r="G27" s="54"/>
      <c r="H27" s="54"/>
      <c r="I27" s="54"/>
      <c r="J27" s="54"/>
      <c r="K27" s="180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</row>
    <row r="28" spans="1:29" ht="15.75" customHeight="1" x14ac:dyDescent="0.2">
      <c r="A28" s="54"/>
      <c r="B28" s="96"/>
      <c r="C28" s="181"/>
      <c r="D28" s="96"/>
      <c r="E28" s="96"/>
      <c r="F28" s="440"/>
      <c r="G28" s="441"/>
      <c r="H28" s="54"/>
      <c r="I28" s="54"/>
      <c r="J28" s="54"/>
      <c r="K28" s="181"/>
      <c r="L28" s="442" t="e">
        <f t="shared" ref="L28:R28" si="18">#REF!</f>
        <v>#REF!</v>
      </c>
      <c r="M28" s="442" t="e">
        <f t="shared" si="18"/>
        <v>#REF!</v>
      </c>
      <c r="N28" s="442" t="e">
        <f t="shared" si="18"/>
        <v>#REF!</v>
      </c>
      <c r="O28" s="442" t="e">
        <f t="shared" si="18"/>
        <v>#REF!</v>
      </c>
      <c r="P28" s="442" t="e">
        <f t="shared" si="18"/>
        <v>#REF!</v>
      </c>
      <c r="Q28" s="442" t="e">
        <f t="shared" si="18"/>
        <v>#REF!</v>
      </c>
      <c r="R28" s="442" t="e">
        <f t="shared" si="18"/>
        <v>#REF!</v>
      </c>
      <c r="S28" s="54"/>
      <c r="T28" s="54"/>
      <c r="U28" s="54"/>
      <c r="V28" s="54"/>
      <c r="W28" s="54"/>
      <c r="X28" s="54"/>
      <c r="Y28" s="54"/>
      <c r="Z28" s="54"/>
      <c r="AA28" s="54"/>
      <c r="AB28" s="54"/>
    </row>
    <row r="29" spans="1:29" ht="15.75" customHeight="1" x14ac:dyDescent="0.2">
      <c r="A29" s="54"/>
      <c r="B29" s="54"/>
      <c r="C29" s="180"/>
      <c r="D29" s="54"/>
      <c r="E29" s="54"/>
      <c r="F29" s="81"/>
      <c r="G29" s="81"/>
      <c r="H29" s="54"/>
      <c r="I29" s="54"/>
      <c r="J29" s="54"/>
      <c r="K29" s="180"/>
      <c r="L29" s="347">
        <f t="shared" ref="L29:R29" si="19">L18</f>
        <v>204812</v>
      </c>
      <c r="M29" s="347">
        <f t="shared" si="19"/>
        <v>219051.56999999998</v>
      </c>
      <c r="N29" s="347">
        <f t="shared" si="19"/>
        <v>234404</v>
      </c>
      <c r="O29" s="347">
        <f t="shared" si="19"/>
        <v>159303.52000000002</v>
      </c>
      <c r="P29" s="347">
        <f t="shared" si="19"/>
        <v>209997.58100000001</v>
      </c>
      <c r="Q29" s="347">
        <f t="shared" si="19"/>
        <v>265500</v>
      </c>
      <c r="R29" s="347">
        <f t="shared" si="19"/>
        <v>0</v>
      </c>
      <c r="S29" s="54"/>
      <c r="T29" s="54"/>
      <c r="U29" s="54"/>
      <c r="V29" s="54"/>
      <c r="W29" s="54"/>
      <c r="X29" s="54"/>
      <c r="Y29" s="54"/>
      <c r="Z29" s="54"/>
      <c r="AA29" s="54"/>
      <c r="AB29" s="54"/>
    </row>
    <row r="30" spans="1:29" ht="15.75" customHeight="1" x14ac:dyDescent="0.2">
      <c r="A30" s="54"/>
      <c r="B30" s="54"/>
      <c r="C30" s="180"/>
      <c r="D30" s="54"/>
      <c r="E30" s="54"/>
      <c r="F30" s="54"/>
      <c r="G30" s="54"/>
      <c r="H30" s="54"/>
      <c r="I30" s="54"/>
      <c r="J30" s="54"/>
      <c r="K30" s="180"/>
      <c r="L30" s="443"/>
      <c r="M30" s="443"/>
      <c r="N30" s="443"/>
      <c r="O30" s="443"/>
      <c r="P30" s="443"/>
      <c r="Q30" s="443"/>
      <c r="R30" s="443"/>
      <c r="S30" s="443"/>
      <c r="T30" s="54"/>
      <c r="U30" s="54"/>
      <c r="V30" s="54"/>
      <c r="W30" s="54"/>
      <c r="X30" s="54"/>
      <c r="Y30" s="54"/>
      <c r="Z30" s="54"/>
      <c r="AA30" s="54"/>
      <c r="AB30" s="54"/>
      <c r="AC30" s="54"/>
    </row>
    <row r="31" spans="1:29" ht="15.75" customHeight="1" x14ac:dyDescent="0.2">
      <c r="A31" s="54"/>
      <c r="B31" s="54"/>
      <c r="C31" s="180"/>
      <c r="D31" s="54"/>
      <c r="E31" s="54"/>
      <c r="F31" s="54"/>
      <c r="G31" s="54"/>
      <c r="H31" s="54"/>
      <c r="I31" s="54"/>
      <c r="J31" s="54"/>
      <c r="K31" s="180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</row>
    <row r="32" spans="1:29" ht="15.75" customHeight="1" x14ac:dyDescent="0.2">
      <c r="A32" s="54"/>
      <c r="B32" s="54"/>
      <c r="C32" s="180"/>
      <c r="D32" s="54"/>
      <c r="E32" s="54"/>
      <c r="F32" s="54"/>
      <c r="G32" s="54"/>
      <c r="H32" s="54"/>
      <c r="I32" s="54"/>
      <c r="J32" s="54"/>
      <c r="K32" s="180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</row>
    <row r="33" spans="1:29" ht="15.75" customHeight="1" x14ac:dyDescent="0.2">
      <c r="A33" s="54"/>
      <c r="B33" s="54"/>
      <c r="C33" s="180"/>
      <c r="D33" s="54"/>
      <c r="E33" s="54"/>
      <c r="F33" s="54"/>
      <c r="G33" s="54"/>
      <c r="H33" s="54"/>
      <c r="I33" s="54"/>
      <c r="J33" s="54"/>
      <c r="K33" s="180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</row>
    <row r="34" spans="1:29" ht="15.75" customHeight="1" x14ac:dyDescent="0.2">
      <c r="A34" s="54"/>
      <c r="B34" s="54"/>
      <c r="C34" s="180"/>
      <c r="D34" s="54"/>
      <c r="E34" s="54"/>
      <c r="F34" s="54"/>
      <c r="G34" s="54"/>
      <c r="H34" s="54"/>
      <c r="I34" s="54"/>
      <c r="J34" s="54"/>
      <c r="K34" s="180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</row>
    <row r="35" spans="1:29" ht="15.75" customHeight="1" x14ac:dyDescent="0.2">
      <c r="A35" s="54"/>
      <c r="B35" s="54"/>
      <c r="C35" s="180"/>
      <c r="D35" s="54"/>
      <c r="E35" s="54"/>
      <c r="F35" s="54"/>
      <c r="G35" s="54"/>
      <c r="H35" s="54"/>
      <c r="I35" s="54"/>
      <c r="J35" s="54"/>
      <c r="K35" s="180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</row>
    <row r="36" spans="1:29" ht="15.75" customHeight="1" x14ac:dyDescent="0.2">
      <c r="A36" s="54"/>
      <c r="B36" s="54"/>
      <c r="C36" s="180"/>
      <c r="D36" s="54"/>
      <c r="E36" s="54"/>
      <c r="F36" s="54"/>
      <c r="G36" s="54"/>
      <c r="H36" s="54"/>
      <c r="I36" s="54"/>
      <c r="J36" s="54"/>
      <c r="K36" s="180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</row>
    <row r="37" spans="1:29" ht="15.75" customHeight="1" x14ac:dyDescent="0.2">
      <c r="A37" s="54"/>
      <c r="B37" s="54"/>
      <c r="C37" s="180"/>
      <c r="D37" s="54"/>
      <c r="E37" s="54"/>
      <c r="F37" s="54"/>
      <c r="G37" s="54"/>
      <c r="H37" s="54"/>
      <c r="I37" s="54"/>
      <c r="J37" s="54"/>
      <c r="K37" s="180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</row>
    <row r="38" spans="1:29" ht="15.75" customHeight="1" x14ac:dyDescent="0.2">
      <c r="A38" s="54"/>
      <c r="B38" s="54"/>
      <c r="C38" s="180"/>
      <c r="D38" s="54"/>
      <c r="E38" s="54"/>
      <c r="F38" s="54"/>
      <c r="G38" s="54"/>
      <c r="H38" s="54"/>
      <c r="I38" s="54"/>
      <c r="J38" s="54"/>
      <c r="K38" s="180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</row>
    <row r="39" spans="1:29" ht="15.75" customHeight="1" x14ac:dyDescent="0.2">
      <c r="A39" s="54"/>
      <c r="B39" s="54"/>
      <c r="C39" s="180"/>
      <c r="D39" s="54"/>
      <c r="E39" s="54"/>
      <c r="F39" s="54"/>
      <c r="G39" s="54"/>
      <c r="H39" s="54"/>
      <c r="I39" s="54"/>
      <c r="J39" s="54"/>
      <c r="K39" s="180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</row>
    <row r="40" spans="1:29" ht="15.75" customHeight="1" x14ac:dyDescent="0.2">
      <c r="A40" s="54"/>
      <c r="B40" s="54"/>
      <c r="C40" s="180"/>
      <c r="D40" s="54"/>
      <c r="E40" s="54"/>
      <c r="F40" s="54"/>
      <c r="G40" s="54"/>
      <c r="H40" s="54"/>
      <c r="I40" s="54"/>
      <c r="J40" s="54"/>
      <c r="K40" s="180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</row>
    <row r="41" spans="1:29" ht="15.75" customHeight="1" x14ac:dyDescent="0.2">
      <c r="A41" s="54"/>
      <c r="B41" s="54"/>
      <c r="C41" s="180"/>
      <c r="D41" s="54"/>
      <c r="E41" s="54"/>
      <c r="F41" s="54"/>
      <c r="G41" s="54"/>
      <c r="H41" s="54"/>
      <c r="I41" s="54"/>
      <c r="J41" s="54"/>
      <c r="K41" s="180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</row>
    <row r="42" spans="1:29" ht="15.75" customHeight="1" x14ac:dyDescent="0.2">
      <c r="A42" s="54"/>
      <c r="B42" s="54"/>
      <c r="C42" s="180"/>
      <c r="D42" s="54"/>
      <c r="E42" s="54"/>
      <c r="F42" s="54"/>
      <c r="G42" s="54"/>
      <c r="H42" s="54"/>
      <c r="I42" s="54"/>
      <c r="J42" s="54"/>
      <c r="K42" s="180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</row>
    <row r="43" spans="1:29" ht="15.75" customHeight="1" x14ac:dyDescent="0.2">
      <c r="A43" s="54"/>
      <c r="B43" s="54"/>
      <c r="C43" s="180"/>
      <c r="D43" s="54"/>
      <c r="E43" s="54"/>
      <c r="F43" s="54"/>
      <c r="G43" s="54"/>
      <c r="H43" s="54"/>
      <c r="I43" s="54"/>
      <c r="J43" s="54"/>
      <c r="K43" s="180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</row>
    <row r="44" spans="1:29" ht="15.75" customHeight="1" x14ac:dyDescent="0.2">
      <c r="A44" s="54"/>
      <c r="B44" s="54"/>
      <c r="C44" s="180"/>
      <c r="D44" s="54"/>
      <c r="E44" s="54"/>
      <c r="F44" s="54"/>
      <c r="G44" s="54"/>
      <c r="H44" s="54"/>
      <c r="I44" s="54"/>
      <c r="J44" s="54"/>
      <c r="K44" s="180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</row>
    <row r="45" spans="1:29" ht="15.75" customHeight="1" x14ac:dyDescent="0.2">
      <c r="A45" s="54"/>
      <c r="B45" s="54"/>
      <c r="C45" s="180"/>
      <c r="D45" s="54"/>
      <c r="E45" s="54"/>
      <c r="F45" s="54"/>
      <c r="G45" s="54"/>
      <c r="H45" s="54"/>
      <c r="I45" s="54"/>
      <c r="J45" s="54"/>
      <c r="K45" s="180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</row>
    <row r="46" spans="1:29" ht="15.75" customHeight="1" x14ac:dyDescent="0.2">
      <c r="A46" s="54"/>
      <c r="B46" s="54"/>
      <c r="C46" s="180"/>
      <c r="D46" s="54"/>
      <c r="E46" s="54"/>
      <c r="F46" s="54"/>
      <c r="G46" s="54"/>
      <c r="H46" s="54"/>
      <c r="I46" s="54"/>
      <c r="J46" s="54"/>
      <c r="K46" s="180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</row>
    <row r="47" spans="1:29" ht="15.75" customHeight="1" x14ac:dyDescent="0.2">
      <c r="A47" s="54"/>
      <c r="B47" s="54"/>
      <c r="C47" s="180"/>
      <c r="D47" s="54"/>
      <c r="E47" s="54"/>
      <c r="F47" s="54"/>
      <c r="G47" s="54"/>
      <c r="H47" s="54"/>
      <c r="I47" s="54"/>
      <c r="J47" s="54"/>
      <c r="K47" s="180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</row>
    <row r="48" spans="1:29" ht="15.75" customHeight="1" x14ac:dyDescent="0.2">
      <c r="A48" s="54"/>
      <c r="B48" s="54"/>
      <c r="C48" s="180"/>
      <c r="D48" s="54"/>
      <c r="E48" s="54"/>
      <c r="F48" s="54"/>
      <c r="G48" s="54"/>
      <c r="H48" s="54"/>
      <c r="I48" s="54"/>
      <c r="J48" s="54"/>
      <c r="K48" s="180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</row>
    <row r="49" spans="1:29" ht="15.75" customHeight="1" x14ac:dyDescent="0.2">
      <c r="A49" s="54"/>
      <c r="B49" s="54"/>
      <c r="C49" s="180"/>
      <c r="D49" s="54"/>
      <c r="E49" s="54"/>
      <c r="F49" s="54"/>
      <c r="G49" s="54"/>
      <c r="H49" s="54"/>
      <c r="I49" s="54"/>
      <c r="J49" s="54"/>
      <c r="K49" s="180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</row>
    <row r="50" spans="1:29" ht="15.75" customHeight="1" x14ac:dyDescent="0.2">
      <c r="A50" s="54"/>
      <c r="B50" s="54"/>
      <c r="C50" s="180"/>
      <c r="D50" s="54"/>
      <c r="E50" s="54"/>
      <c r="F50" s="54"/>
      <c r="G50" s="54"/>
      <c r="H50" s="54"/>
      <c r="I50" s="54"/>
      <c r="J50" s="54"/>
      <c r="K50" s="180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</row>
    <row r="51" spans="1:29" ht="15.75" customHeight="1" x14ac:dyDescent="0.2">
      <c r="A51" s="54"/>
      <c r="B51" s="54"/>
      <c r="C51" s="180"/>
      <c r="D51" s="54"/>
      <c r="E51" s="54"/>
      <c r="F51" s="54"/>
      <c r="G51" s="54"/>
      <c r="H51" s="54"/>
      <c r="I51" s="54"/>
      <c r="J51" s="54"/>
      <c r="K51" s="180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</row>
    <row r="52" spans="1:29" ht="15.75" customHeight="1" x14ac:dyDescent="0.2">
      <c r="A52" s="54"/>
      <c r="B52" s="54"/>
      <c r="C52" s="180"/>
      <c r="D52" s="54"/>
      <c r="E52" s="54"/>
      <c r="F52" s="54"/>
      <c r="G52" s="54"/>
      <c r="H52" s="54"/>
      <c r="I52" s="54"/>
      <c r="J52" s="54"/>
      <c r="K52" s="180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</row>
    <row r="53" spans="1:29" ht="15.75" customHeight="1" x14ac:dyDescent="0.2">
      <c r="A53" s="54"/>
      <c r="B53" s="54"/>
      <c r="C53" s="180"/>
      <c r="D53" s="54"/>
      <c r="E53" s="54"/>
      <c r="F53" s="54"/>
      <c r="G53" s="54"/>
      <c r="H53" s="54"/>
      <c r="I53" s="54"/>
      <c r="J53" s="54"/>
      <c r="K53" s="180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</row>
    <row r="54" spans="1:29" ht="15.75" customHeight="1" x14ac:dyDescent="0.2">
      <c r="A54" s="54"/>
      <c r="B54" s="54"/>
      <c r="C54" s="180"/>
      <c r="D54" s="54"/>
      <c r="E54" s="54"/>
      <c r="F54" s="54"/>
      <c r="G54" s="54"/>
      <c r="H54" s="54"/>
      <c r="I54" s="54"/>
      <c r="J54" s="54"/>
      <c r="K54" s="180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</row>
    <row r="55" spans="1:29" ht="15.75" customHeight="1" x14ac:dyDescent="0.2">
      <c r="A55" s="54"/>
      <c r="B55" s="54"/>
      <c r="C55" s="180"/>
      <c r="D55" s="54"/>
      <c r="E55" s="54"/>
      <c r="F55" s="54"/>
      <c r="G55" s="54"/>
      <c r="H55" s="54"/>
      <c r="I55" s="54"/>
      <c r="J55" s="54"/>
      <c r="K55" s="180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</row>
    <row r="56" spans="1:29" ht="15.75" customHeight="1" x14ac:dyDescent="0.2">
      <c r="A56" s="54"/>
      <c r="B56" s="54"/>
      <c r="C56" s="180"/>
      <c r="D56" s="54"/>
      <c r="E56" s="54"/>
      <c r="F56" s="54"/>
      <c r="G56" s="54"/>
      <c r="H56" s="54"/>
      <c r="I56" s="54"/>
      <c r="J56" s="54"/>
      <c r="K56" s="180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</row>
    <row r="57" spans="1:29" ht="15.75" customHeight="1" x14ac:dyDescent="0.2">
      <c r="A57" s="54"/>
      <c r="B57" s="54"/>
      <c r="C57" s="180"/>
      <c r="D57" s="54"/>
      <c r="E57" s="54"/>
      <c r="F57" s="54"/>
      <c r="G57" s="54"/>
      <c r="H57" s="54"/>
      <c r="I57" s="54"/>
      <c r="J57" s="54"/>
      <c r="K57" s="180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</row>
    <row r="58" spans="1:29" ht="15.75" customHeight="1" x14ac:dyDescent="0.2">
      <c r="A58" s="54"/>
      <c r="B58" s="54"/>
      <c r="C58" s="180"/>
      <c r="D58" s="54"/>
      <c r="E58" s="54"/>
      <c r="F58" s="54"/>
      <c r="G58" s="54"/>
      <c r="H58" s="54"/>
      <c r="I58" s="54"/>
      <c r="J58" s="54"/>
      <c r="K58" s="180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</row>
    <row r="59" spans="1:29" ht="15.75" customHeight="1" x14ac:dyDescent="0.2">
      <c r="A59" s="54"/>
      <c r="B59" s="54"/>
      <c r="C59" s="180"/>
      <c r="D59" s="54"/>
      <c r="E59" s="54"/>
      <c r="F59" s="54"/>
      <c r="G59" s="54"/>
      <c r="H59" s="54"/>
      <c r="I59" s="54"/>
      <c r="J59" s="54"/>
      <c r="K59" s="180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</row>
    <row r="60" spans="1:29" ht="15.75" customHeight="1" x14ac:dyDescent="0.2">
      <c r="A60" s="54"/>
      <c r="B60" s="54"/>
      <c r="C60" s="180"/>
      <c r="D60" s="54"/>
      <c r="E60" s="54"/>
      <c r="F60" s="54"/>
      <c r="G60" s="54"/>
      <c r="H60" s="54"/>
      <c r="I60" s="54"/>
      <c r="J60" s="54"/>
      <c r="K60" s="180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</row>
    <row r="61" spans="1:29" ht="15.75" customHeight="1" x14ac:dyDescent="0.2">
      <c r="A61" s="54"/>
      <c r="B61" s="54"/>
      <c r="C61" s="180"/>
      <c r="D61" s="54"/>
      <c r="E61" s="54"/>
      <c r="F61" s="54"/>
      <c r="G61" s="54"/>
      <c r="H61" s="54"/>
      <c r="I61" s="54"/>
      <c r="J61" s="54"/>
      <c r="K61" s="180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</row>
    <row r="62" spans="1:29" ht="15.75" customHeight="1" x14ac:dyDescent="0.2">
      <c r="A62" s="54"/>
      <c r="B62" s="54"/>
      <c r="C62" s="180"/>
      <c r="D62" s="54"/>
      <c r="E62" s="54"/>
      <c r="F62" s="54"/>
      <c r="G62" s="54"/>
      <c r="H62" s="54"/>
      <c r="I62" s="54"/>
      <c r="J62" s="54"/>
      <c r="K62" s="180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</row>
    <row r="63" spans="1:29" ht="15.75" customHeight="1" x14ac:dyDescent="0.2">
      <c r="A63" s="54"/>
      <c r="B63" s="54"/>
      <c r="C63" s="180"/>
      <c r="D63" s="54"/>
      <c r="E63" s="54"/>
      <c r="F63" s="54"/>
      <c r="G63" s="54"/>
      <c r="H63" s="54"/>
      <c r="I63" s="54"/>
      <c r="J63" s="54"/>
      <c r="K63" s="180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</row>
    <row r="64" spans="1:29" ht="15.75" customHeight="1" x14ac:dyDescent="0.2">
      <c r="A64" s="54"/>
      <c r="B64" s="54"/>
      <c r="C64" s="180"/>
      <c r="D64" s="54"/>
      <c r="E64" s="54"/>
      <c r="F64" s="54"/>
      <c r="G64" s="54"/>
      <c r="H64" s="54"/>
      <c r="I64" s="54"/>
      <c r="J64" s="54"/>
      <c r="K64" s="180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</row>
    <row r="65" spans="1:29" ht="15.75" customHeight="1" x14ac:dyDescent="0.2">
      <c r="A65" s="54"/>
      <c r="B65" s="54"/>
      <c r="C65" s="180"/>
      <c r="D65" s="54"/>
      <c r="E65" s="54"/>
      <c r="F65" s="54"/>
      <c r="G65" s="54"/>
      <c r="H65" s="54"/>
      <c r="I65" s="54"/>
      <c r="J65" s="54"/>
      <c r="K65" s="180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</row>
    <row r="66" spans="1:29" ht="15.75" customHeight="1" x14ac:dyDescent="0.2">
      <c r="A66" s="54"/>
      <c r="B66" s="54"/>
      <c r="C66" s="180"/>
      <c r="D66" s="54"/>
      <c r="E66" s="54"/>
      <c r="F66" s="54"/>
      <c r="G66" s="54"/>
      <c r="H66" s="54"/>
      <c r="I66" s="54"/>
      <c r="J66" s="54"/>
      <c r="K66" s="180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</row>
    <row r="67" spans="1:29" ht="15.75" customHeight="1" x14ac:dyDescent="0.2">
      <c r="A67" s="54"/>
      <c r="B67" s="54"/>
      <c r="C67" s="180"/>
      <c r="D67" s="54"/>
      <c r="E67" s="54"/>
      <c r="F67" s="54"/>
      <c r="G67" s="54"/>
      <c r="H67" s="54"/>
      <c r="I67" s="54"/>
      <c r="J67" s="54"/>
      <c r="K67" s="180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</row>
    <row r="68" spans="1:29" ht="15.75" customHeight="1" x14ac:dyDescent="0.2">
      <c r="A68" s="54"/>
      <c r="B68" s="54"/>
      <c r="C68" s="180"/>
      <c r="D68" s="54"/>
      <c r="E68" s="54"/>
      <c r="F68" s="54"/>
      <c r="G68" s="54"/>
      <c r="H68" s="54"/>
      <c r="I68" s="54"/>
      <c r="J68" s="54"/>
      <c r="K68" s="180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</row>
    <row r="69" spans="1:29" ht="15.75" customHeight="1" x14ac:dyDescent="0.2">
      <c r="A69" s="54"/>
      <c r="B69" s="54"/>
      <c r="C69" s="180"/>
      <c r="D69" s="54"/>
      <c r="E69" s="54"/>
      <c r="F69" s="54"/>
      <c r="G69" s="54"/>
      <c r="H69" s="54"/>
      <c r="I69" s="54"/>
      <c r="J69" s="54"/>
      <c r="K69" s="180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</row>
    <row r="70" spans="1:29" ht="15.75" customHeight="1" x14ac:dyDescent="0.2">
      <c r="A70" s="54"/>
      <c r="B70" s="54"/>
      <c r="C70" s="180"/>
      <c r="D70" s="54"/>
      <c r="E70" s="54"/>
      <c r="F70" s="54"/>
      <c r="G70" s="54"/>
      <c r="H70" s="54"/>
      <c r="I70" s="54"/>
      <c r="J70" s="54"/>
      <c r="K70" s="180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</row>
    <row r="71" spans="1:29" ht="15.75" customHeight="1" x14ac:dyDescent="0.2">
      <c r="A71" s="54"/>
      <c r="B71" s="54"/>
      <c r="C71" s="180"/>
      <c r="D71" s="54"/>
      <c r="E71" s="54"/>
      <c r="F71" s="54"/>
      <c r="G71" s="54"/>
      <c r="H71" s="54"/>
      <c r="I71" s="54"/>
      <c r="J71" s="54"/>
      <c r="K71" s="180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</row>
    <row r="72" spans="1:29" ht="15.75" customHeight="1" x14ac:dyDescent="0.2">
      <c r="A72" s="54"/>
      <c r="B72" s="54"/>
      <c r="C72" s="180"/>
      <c r="D72" s="54"/>
      <c r="E72" s="54"/>
      <c r="F72" s="54"/>
      <c r="G72" s="54"/>
      <c r="H72" s="54"/>
      <c r="I72" s="54"/>
      <c r="J72" s="54"/>
      <c r="K72" s="180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</row>
    <row r="73" spans="1:29" ht="15.75" customHeight="1" x14ac:dyDescent="0.2">
      <c r="A73" s="54"/>
      <c r="B73" s="54"/>
      <c r="C73" s="180"/>
      <c r="D73" s="54"/>
      <c r="E73" s="54"/>
      <c r="F73" s="54"/>
      <c r="G73" s="54"/>
      <c r="H73" s="54"/>
      <c r="I73" s="54"/>
      <c r="J73" s="54"/>
      <c r="K73" s="180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</row>
    <row r="74" spans="1:29" ht="15.75" customHeight="1" x14ac:dyDescent="0.2">
      <c r="A74" s="54"/>
      <c r="B74" s="54"/>
      <c r="C74" s="180"/>
      <c r="D74" s="54"/>
      <c r="E74" s="54"/>
      <c r="F74" s="54"/>
      <c r="G74" s="54"/>
      <c r="H74" s="54"/>
      <c r="I74" s="54"/>
      <c r="J74" s="54"/>
      <c r="K74" s="180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</row>
    <row r="75" spans="1:29" ht="15.75" customHeight="1" x14ac:dyDescent="0.2">
      <c r="A75" s="54"/>
      <c r="B75" s="54"/>
      <c r="C75" s="180"/>
      <c r="D75" s="54"/>
      <c r="E75" s="54"/>
      <c r="F75" s="54"/>
      <c r="G75" s="54"/>
      <c r="H75" s="54"/>
      <c r="I75" s="54"/>
      <c r="J75" s="54"/>
      <c r="K75" s="180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</row>
    <row r="76" spans="1:29" ht="15.75" customHeight="1" x14ac:dyDescent="0.2">
      <c r="A76" s="54"/>
      <c r="B76" s="54"/>
      <c r="C76" s="180"/>
      <c r="D76" s="54"/>
      <c r="E76" s="54"/>
      <c r="F76" s="54"/>
      <c r="G76" s="54"/>
      <c r="H76" s="54"/>
      <c r="I76" s="54"/>
      <c r="J76" s="54"/>
      <c r="K76" s="180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</row>
    <row r="77" spans="1:29" ht="15.75" customHeight="1" x14ac:dyDescent="0.2">
      <c r="A77" s="54"/>
      <c r="B77" s="54"/>
      <c r="C77" s="180"/>
      <c r="D77" s="54"/>
      <c r="E77" s="54"/>
      <c r="F77" s="54"/>
      <c r="G77" s="54"/>
      <c r="H77" s="54"/>
      <c r="I77" s="54"/>
      <c r="J77" s="54"/>
      <c r="K77" s="180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</row>
    <row r="78" spans="1:29" ht="15.75" customHeight="1" x14ac:dyDescent="0.2">
      <c r="A78" s="54"/>
      <c r="B78" s="54"/>
      <c r="C78" s="180"/>
      <c r="D78" s="54"/>
      <c r="E78" s="54"/>
      <c r="F78" s="54"/>
      <c r="G78" s="54"/>
      <c r="H78" s="54"/>
      <c r="I78" s="54"/>
      <c r="J78" s="54"/>
      <c r="K78" s="180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</row>
    <row r="79" spans="1:29" ht="15.75" customHeight="1" x14ac:dyDescent="0.2">
      <c r="A79" s="54"/>
      <c r="B79" s="54"/>
      <c r="C79" s="180"/>
      <c r="D79" s="54"/>
      <c r="E79" s="54"/>
      <c r="F79" s="54"/>
      <c r="G79" s="54"/>
      <c r="H79" s="54"/>
      <c r="I79" s="54"/>
      <c r="J79" s="54"/>
      <c r="K79" s="180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</row>
    <row r="80" spans="1:29" ht="15.75" customHeight="1" x14ac:dyDescent="0.2">
      <c r="A80" s="54"/>
      <c r="B80" s="54"/>
      <c r="C80" s="180"/>
      <c r="D80" s="54"/>
      <c r="E80" s="54"/>
      <c r="F80" s="54"/>
      <c r="G80" s="54"/>
      <c r="H80" s="54"/>
      <c r="I80" s="54"/>
      <c r="J80" s="54"/>
      <c r="K80" s="180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</row>
    <row r="81" spans="1:29" ht="15.75" customHeight="1" x14ac:dyDescent="0.2">
      <c r="A81" s="54"/>
      <c r="B81" s="54"/>
      <c r="C81" s="180"/>
      <c r="D81" s="54"/>
      <c r="E81" s="54"/>
      <c r="F81" s="54"/>
      <c r="G81" s="54"/>
      <c r="H81" s="54"/>
      <c r="I81" s="54"/>
      <c r="J81" s="54"/>
      <c r="K81" s="180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</row>
    <row r="82" spans="1:29" ht="15.75" customHeight="1" x14ac:dyDescent="0.2">
      <c r="A82" s="54"/>
      <c r="B82" s="54"/>
      <c r="C82" s="180"/>
      <c r="D82" s="54"/>
      <c r="E82" s="54"/>
      <c r="F82" s="54"/>
      <c r="G82" s="54"/>
      <c r="H82" s="54"/>
      <c r="I82" s="54"/>
      <c r="J82" s="54"/>
      <c r="K82" s="180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</row>
    <row r="83" spans="1:29" ht="15.75" customHeight="1" x14ac:dyDescent="0.2">
      <c r="A83" s="54"/>
      <c r="B83" s="54"/>
      <c r="C83" s="180"/>
      <c r="D83" s="54"/>
      <c r="E83" s="54"/>
      <c r="F83" s="54"/>
      <c r="G83" s="54"/>
      <c r="H83" s="54"/>
      <c r="I83" s="54"/>
      <c r="J83" s="54"/>
      <c r="K83" s="180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</row>
    <row r="84" spans="1:29" ht="15.75" customHeight="1" x14ac:dyDescent="0.2">
      <c r="A84" s="54"/>
      <c r="B84" s="54"/>
      <c r="C84" s="180"/>
      <c r="D84" s="54"/>
      <c r="E84" s="54"/>
      <c r="F84" s="54"/>
      <c r="G84" s="54"/>
      <c r="H84" s="54"/>
      <c r="I84" s="54"/>
      <c r="J84" s="54"/>
      <c r="K84" s="180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</row>
    <row r="85" spans="1:29" ht="15.75" customHeight="1" x14ac:dyDescent="0.2">
      <c r="A85" s="54"/>
      <c r="B85" s="54"/>
      <c r="C85" s="180"/>
      <c r="D85" s="54"/>
      <c r="E85" s="54"/>
      <c r="F85" s="54"/>
      <c r="G85" s="54"/>
      <c r="H85" s="54"/>
      <c r="I85" s="54"/>
      <c r="J85" s="54"/>
      <c r="K85" s="180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</row>
    <row r="86" spans="1:29" ht="15.75" customHeight="1" x14ac:dyDescent="0.2">
      <c r="A86" s="54"/>
      <c r="B86" s="54"/>
      <c r="C86" s="180"/>
      <c r="D86" s="54"/>
      <c r="E86" s="54"/>
      <c r="F86" s="54"/>
      <c r="G86" s="54"/>
      <c r="H86" s="54"/>
      <c r="I86" s="54"/>
      <c r="J86" s="54"/>
      <c r="K86" s="180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</row>
    <row r="87" spans="1:29" ht="15.75" customHeight="1" x14ac:dyDescent="0.2">
      <c r="A87" s="54"/>
      <c r="B87" s="54"/>
      <c r="C87" s="180"/>
      <c r="D87" s="54"/>
      <c r="E87" s="54"/>
      <c r="F87" s="54"/>
      <c r="G87" s="54"/>
      <c r="H87" s="54"/>
      <c r="I87" s="54"/>
      <c r="J87" s="54"/>
      <c r="K87" s="180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</row>
    <row r="88" spans="1:29" ht="15.75" customHeight="1" x14ac:dyDescent="0.2">
      <c r="A88" s="54"/>
      <c r="B88" s="54"/>
      <c r="C88" s="180"/>
      <c r="D88" s="54"/>
      <c r="E88" s="54"/>
      <c r="F88" s="54"/>
      <c r="G88" s="54"/>
      <c r="H88" s="54"/>
      <c r="I88" s="54"/>
      <c r="J88" s="54"/>
      <c r="K88" s="180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</row>
    <row r="89" spans="1:29" ht="15.75" customHeight="1" x14ac:dyDescent="0.2">
      <c r="A89" s="54"/>
      <c r="B89" s="54"/>
      <c r="C89" s="180"/>
      <c r="D89" s="54"/>
      <c r="E89" s="54"/>
      <c r="F89" s="54"/>
      <c r="G89" s="54"/>
      <c r="H89" s="54"/>
      <c r="I89" s="54"/>
      <c r="J89" s="54"/>
      <c r="K89" s="180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</row>
    <row r="90" spans="1:29" ht="15.75" customHeight="1" x14ac:dyDescent="0.2">
      <c r="A90" s="54"/>
      <c r="B90" s="54"/>
      <c r="C90" s="180"/>
      <c r="D90" s="54"/>
      <c r="E90" s="54"/>
      <c r="F90" s="54"/>
      <c r="G90" s="54"/>
      <c r="H90" s="54"/>
      <c r="I90" s="54"/>
      <c r="J90" s="54"/>
      <c r="K90" s="180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</row>
    <row r="91" spans="1:29" ht="15.75" customHeight="1" x14ac:dyDescent="0.2">
      <c r="A91" s="54"/>
      <c r="B91" s="54"/>
      <c r="C91" s="180"/>
      <c r="D91" s="54"/>
      <c r="E91" s="54"/>
      <c r="F91" s="54"/>
      <c r="G91" s="54"/>
      <c r="H91" s="54"/>
      <c r="I91" s="54"/>
      <c r="J91" s="54"/>
      <c r="K91" s="180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</row>
    <row r="92" spans="1:29" ht="15.75" customHeight="1" x14ac:dyDescent="0.2">
      <c r="A92" s="54"/>
      <c r="B92" s="54"/>
      <c r="C92" s="180"/>
      <c r="D92" s="54"/>
      <c r="E92" s="54"/>
      <c r="F92" s="54"/>
      <c r="G92" s="54"/>
      <c r="H92" s="54"/>
      <c r="I92" s="54"/>
      <c r="J92" s="54"/>
      <c r="K92" s="180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</row>
    <row r="93" spans="1:29" ht="15.75" customHeight="1" x14ac:dyDescent="0.2">
      <c r="A93" s="54"/>
      <c r="B93" s="54"/>
      <c r="C93" s="180"/>
      <c r="D93" s="54"/>
      <c r="E93" s="54"/>
      <c r="F93" s="54"/>
      <c r="G93" s="54"/>
      <c r="H93" s="54"/>
      <c r="I93" s="54"/>
      <c r="J93" s="54"/>
      <c r="K93" s="180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</row>
    <row r="94" spans="1:29" ht="15.75" customHeight="1" x14ac:dyDescent="0.2">
      <c r="A94" s="54"/>
      <c r="B94" s="54"/>
      <c r="C94" s="180"/>
      <c r="D94" s="54"/>
      <c r="E94" s="54"/>
      <c r="F94" s="54"/>
      <c r="G94" s="54"/>
      <c r="H94" s="54"/>
      <c r="I94" s="54"/>
      <c r="J94" s="54"/>
      <c r="K94" s="180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</row>
    <row r="95" spans="1:29" ht="15.75" customHeight="1" x14ac:dyDescent="0.2">
      <c r="A95" s="54"/>
      <c r="B95" s="54"/>
      <c r="C95" s="180"/>
      <c r="D95" s="54"/>
      <c r="E95" s="54"/>
      <c r="F95" s="54"/>
      <c r="G95" s="54"/>
      <c r="H95" s="54"/>
      <c r="I95" s="54"/>
      <c r="J95" s="54"/>
      <c r="K95" s="180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</row>
    <row r="96" spans="1:29" ht="15.75" customHeight="1" x14ac:dyDescent="0.2">
      <c r="A96" s="54"/>
      <c r="B96" s="54"/>
      <c r="C96" s="180"/>
      <c r="D96" s="54"/>
      <c r="E96" s="54"/>
      <c r="F96" s="54"/>
      <c r="G96" s="54"/>
      <c r="H96" s="54"/>
      <c r="I96" s="54"/>
      <c r="J96" s="54"/>
      <c r="K96" s="180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</row>
    <row r="97" spans="1:29" ht="15.75" customHeight="1" x14ac:dyDescent="0.2">
      <c r="A97" s="54"/>
      <c r="B97" s="54"/>
      <c r="C97" s="180"/>
      <c r="D97" s="54"/>
      <c r="E97" s="54"/>
      <c r="F97" s="54"/>
      <c r="G97" s="54"/>
      <c r="H97" s="54"/>
      <c r="I97" s="54"/>
      <c r="J97" s="54"/>
      <c r="K97" s="180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</row>
    <row r="98" spans="1:29" ht="15.75" customHeight="1" x14ac:dyDescent="0.2">
      <c r="A98" s="54"/>
      <c r="B98" s="54"/>
      <c r="C98" s="180"/>
      <c r="D98" s="54"/>
      <c r="E98" s="54"/>
      <c r="F98" s="54"/>
      <c r="G98" s="54"/>
      <c r="H98" s="54"/>
      <c r="I98" s="54"/>
      <c r="J98" s="54"/>
      <c r="K98" s="180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</row>
    <row r="99" spans="1:29" ht="15.75" customHeight="1" x14ac:dyDescent="0.2">
      <c r="A99" s="54"/>
      <c r="B99" s="54"/>
      <c r="C99" s="180"/>
      <c r="D99" s="54"/>
      <c r="E99" s="54"/>
      <c r="F99" s="54"/>
      <c r="G99" s="54"/>
      <c r="H99" s="54"/>
      <c r="I99" s="54"/>
      <c r="J99" s="54"/>
      <c r="K99" s="180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</row>
    <row r="100" spans="1:29" ht="15.75" customHeight="1" x14ac:dyDescent="0.2">
      <c r="A100" s="54"/>
      <c r="B100" s="54"/>
      <c r="C100" s="180"/>
      <c r="D100" s="54"/>
      <c r="E100" s="54"/>
      <c r="F100" s="54"/>
      <c r="G100" s="54"/>
      <c r="H100" s="54"/>
      <c r="I100" s="54"/>
      <c r="J100" s="54"/>
      <c r="K100" s="180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</row>
    <row r="101" spans="1:29" ht="15.75" customHeight="1" x14ac:dyDescent="0.2">
      <c r="A101" s="54"/>
      <c r="B101" s="54"/>
      <c r="C101" s="180"/>
      <c r="D101" s="54"/>
      <c r="E101" s="54"/>
      <c r="F101" s="54"/>
      <c r="G101" s="54"/>
      <c r="H101" s="54"/>
      <c r="I101" s="54"/>
      <c r="J101" s="54"/>
      <c r="K101" s="180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</row>
    <row r="102" spans="1:29" ht="15.75" customHeight="1" x14ac:dyDescent="0.2">
      <c r="A102" s="54"/>
      <c r="B102" s="54"/>
      <c r="C102" s="180"/>
      <c r="D102" s="54"/>
      <c r="E102" s="54"/>
      <c r="F102" s="54"/>
      <c r="G102" s="54"/>
      <c r="H102" s="54"/>
      <c r="I102" s="54"/>
      <c r="J102" s="54"/>
      <c r="K102" s="180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</row>
    <row r="103" spans="1:29" ht="15.75" customHeight="1" x14ac:dyDescent="0.2">
      <c r="A103" s="54"/>
      <c r="B103" s="54"/>
      <c r="C103" s="180"/>
      <c r="D103" s="54"/>
      <c r="E103" s="54"/>
      <c r="F103" s="54"/>
      <c r="G103" s="54"/>
      <c r="H103" s="54"/>
      <c r="I103" s="54"/>
      <c r="J103" s="54"/>
      <c r="K103" s="180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</row>
    <row r="104" spans="1:29" ht="15.75" customHeight="1" x14ac:dyDescent="0.2">
      <c r="A104" s="54"/>
      <c r="B104" s="54"/>
      <c r="C104" s="180"/>
      <c r="D104" s="54"/>
      <c r="E104" s="54"/>
      <c r="F104" s="54"/>
      <c r="G104" s="54"/>
      <c r="H104" s="54"/>
      <c r="I104" s="54"/>
      <c r="J104" s="54"/>
      <c r="K104" s="180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</row>
    <row r="105" spans="1:29" ht="15.75" customHeight="1" x14ac:dyDescent="0.2">
      <c r="A105" s="54"/>
      <c r="B105" s="54"/>
      <c r="C105" s="180"/>
      <c r="D105" s="54"/>
      <c r="E105" s="54"/>
      <c r="F105" s="54"/>
      <c r="G105" s="54"/>
      <c r="H105" s="54"/>
      <c r="I105" s="54"/>
      <c r="J105" s="54"/>
      <c r="K105" s="180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</row>
    <row r="106" spans="1:29" ht="15.75" customHeight="1" x14ac:dyDescent="0.2">
      <c r="A106" s="54"/>
      <c r="B106" s="54"/>
      <c r="C106" s="180"/>
      <c r="D106" s="54"/>
      <c r="E106" s="54"/>
      <c r="F106" s="54"/>
      <c r="G106" s="54"/>
      <c r="H106" s="54"/>
      <c r="I106" s="54"/>
      <c r="J106" s="54"/>
      <c r="K106" s="180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</row>
    <row r="107" spans="1:29" ht="15.75" customHeight="1" x14ac:dyDescent="0.2">
      <c r="A107" s="54"/>
      <c r="B107" s="54"/>
      <c r="C107" s="180"/>
      <c r="D107" s="54"/>
      <c r="E107" s="54"/>
      <c r="F107" s="54"/>
      <c r="G107" s="54"/>
      <c r="H107" s="54"/>
      <c r="I107" s="54"/>
      <c r="J107" s="54"/>
      <c r="K107" s="180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</row>
    <row r="108" spans="1:29" ht="15.75" customHeight="1" x14ac:dyDescent="0.2">
      <c r="A108" s="54"/>
      <c r="B108" s="54"/>
      <c r="C108" s="180"/>
      <c r="D108" s="54"/>
      <c r="E108" s="54"/>
      <c r="F108" s="54"/>
      <c r="G108" s="54"/>
      <c r="H108" s="54"/>
      <c r="I108" s="54"/>
      <c r="J108" s="54"/>
      <c r="K108" s="180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</row>
    <row r="109" spans="1:29" ht="15.75" customHeight="1" x14ac:dyDescent="0.2">
      <c r="A109" s="54"/>
      <c r="B109" s="54"/>
      <c r="C109" s="180"/>
      <c r="D109" s="54"/>
      <c r="E109" s="54"/>
      <c r="F109" s="54"/>
      <c r="G109" s="54"/>
      <c r="H109" s="54"/>
      <c r="I109" s="54"/>
      <c r="J109" s="54"/>
      <c r="K109" s="180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</row>
    <row r="110" spans="1:29" ht="15.75" customHeight="1" x14ac:dyDescent="0.2">
      <c r="A110" s="54"/>
      <c r="B110" s="54"/>
      <c r="C110" s="180"/>
      <c r="D110" s="54"/>
      <c r="E110" s="54"/>
      <c r="F110" s="54"/>
      <c r="G110" s="54"/>
      <c r="H110" s="54"/>
      <c r="I110" s="54"/>
      <c r="J110" s="54"/>
      <c r="K110" s="180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</row>
    <row r="111" spans="1:29" ht="15.75" customHeight="1" x14ac:dyDescent="0.2">
      <c r="A111" s="54"/>
      <c r="B111" s="54"/>
      <c r="C111" s="180"/>
      <c r="D111" s="54"/>
      <c r="E111" s="54"/>
      <c r="F111" s="54"/>
      <c r="G111" s="54"/>
      <c r="H111" s="54"/>
      <c r="I111" s="54"/>
      <c r="J111" s="54"/>
      <c r="K111" s="180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</row>
    <row r="112" spans="1:29" ht="15.75" customHeight="1" x14ac:dyDescent="0.2">
      <c r="A112" s="54"/>
      <c r="B112" s="54"/>
      <c r="C112" s="180"/>
      <c r="D112" s="54"/>
      <c r="E112" s="54"/>
      <c r="F112" s="54"/>
      <c r="G112" s="54"/>
      <c r="H112" s="54"/>
      <c r="I112" s="54"/>
      <c r="J112" s="54"/>
      <c r="K112" s="180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</row>
    <row r="113" spans="1:29" ht="15.75" customHeight="1" x14ac:dyDescent="0.2">
      <c r="A113" s="54"/>
      <c r="B113" s="54"/>
      <c r="C113" s="180"/>
      <c r="D113" s="54"/>
      <c r="E113" s="54"/>
      <c r="F113" s="54"/>
      <c r="G113" s="54"/>
      <c r="H113" s="54"/>
      <c r="I113" s="54"/>
      <c r="J113" s="54"/>
      <c r="K113" s="180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</row>
    <row r="114" spans="1:29" ht="15.75" customHeight="1" x14ac:dyDescent="0.2">
      <c r="A114" s="54"/>
      <c r="B114" s="54"/>
      <c r="C114" s="180"/>
      <c r="D114" s="54"/>
      <c r="E114" s="54"/>
      <c r="F114" s="54"/>
      <c r="G114" s="54"/>
      <c r="H114" s="54"/>
      <c r="I114" s="54"/>
      <c r="J114" s="54"/>
      <c r="K114" s="180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</row>
    <row r="115" spans="1:29" ht="15.75" customHeight="1" x14ac:dyDescent="0.2">
      <c r="A115" s="54"/>
      <c r="B115" s="54"/>
      <c r="C115" s="180"/>
      <c r="D115" s="54"/>
      <c r="E115" s="54"/>
      <c r="F115" s="54"/>
      <c r="G115" s="54"/>
      <c r="H115" s="54"/>
      <c r="I115" s="54"/>
      <c r="J115" s="54"/>
      <c r="K115" s="180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</row>
    <row r="116" spans="1:29" ht="15.75" customHeight="1" x14ac:dyDescent="0.2">
      <c r="A116" s="54"/>
      <c r="B116" s="54"/>
      <c r="C116" s="180"/>
      <c r="D116" s="54"/>
      <c r="E116" s="54"/>
      <c r="F116" s="54"/>
      <c r="G116" s="54"/>
      <c r="H116" s="54"/>
      <c r="I116" s="54"/>
      <c r="J116" s="54"/>
      <c r="K116" s="180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</row>
    <row r="117" spans="1:29" ht="15.75" customHeight="1" x14ac:dyDescent="0.2">
      <c r="A117" s="54"/>
      <c r="B117" s="54"/>
      <c r="C117" s="180"/>
      <c r="D117" s="54"/>
      <c r="E117" s="54"/>
      <c r="F117" s="54"/>
      <c r="G117" s="54"/>
      <c r="H117" s="54"/>
      <c r="I117" s="54"/>
      <c r="J117" s="54"/>
      <c r="K117" s="180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</row>
    <row r="118" spans="1:29" ht="15.75" customHeight="1" x14ac:dyDescent="0.2">
      <c r="A118" s="54"/>
      <c r="B118" s="54"/>
      <c r="C118" s="180"/>
      <c r="D118" s="54"/>
      <c r="E118" s="54"/>
      <c r="F118" s="54"/>
      <c r="G118" s="54"/>
      <c r="H118" s="54"/>
      <c r="I118" s="54"/>
      <c r="J118" s="54"/>
      <c r="K118" s="180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</row>
    <row r="119" spans="1:29" ht="15.75" customHeight="1" x14ac:dyDescent="0.2">
      <c r="A119" s="54"/>
      <c r="B119" s="54"/>
      <c r="C119" s="180"/>
      <c r="D119" s="54"/>
      <c r="E119" s="54"/>
      <c r="F119" s="54"/>
      <c r="G119" s="54"/>
      <c r="H119" s="54"/>
      <c r="I119" s="54"/>
      <c r="J119" s="54"/>
      <c r="K119" s="180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</row>
    <row r="120" spans="1:29" ht="15.75" customHeight="1" x14ac:dyDescent="0.2">
      <c r="A120" s="54"/>
      <c r="B120" s="54"/>
      <c r="C120" s="180"/>
      <c r="D120" s="54"/>
      <c r="E120" s="54"/>
      <c r="F120" s="54"/>
      <c r="G120" s="54"/>
      <c r="H120" s="54"/>
      <c r="I120" s="54"/>
      <c r="J120" s="54"/>
      <c r="K120" s="180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</row>
    <row r="121" spans="1:29" ht="15.75" customHeight="1" x14ac:dyDescent="0.2">
      <c r="A121" s="54"/>
      <c r="B121" s="54"/>
      <c r="C121" s="180"/>
      <c r="D121" s="54"/>
      <c r="E121" s="54"/>
      <c r="F121" s="54"/>
      <c r="G121" s="54"/>
      <c r="H121" s="54"/>
      <c r="I121" s="54"/>
      <c r="J121" s="54"/>
      <c r="K121" s="180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</row>
    <row r="122" spans="1:29" ht="15.75" customHeight="1" x14ac:dyDescent="0.2">
      <c r="A122" s="54"/>
      <c r="B122" s="54"/>
      <c r="C122" s="180"/>
      <c r="D122" s="54"/>
      <c r="E122" s="54"/>
      <c r="F122" s="54"/>
      <c r="G122" s="54"/>
      <c r="H122" s="54"/>
      <c r="I122" s="54"/>
      <c r="J122" s="54"/>
      <c r="K122" s="180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</row>
    <row r="123" spans="1:29" ht="15.75" customHeight="1" x14ac:dyDescent="0.2">
      <c r="A123" s="54"/>
      <c r="B123" s="54"/>
      <c r="C123" s="180"/>
      <c r="D123" s="54"/>
      <c r="E123" s="54"/>
      <c r="F123" s="54"/>
      <c r="G123" s="54"/>
      <c r="H123" s="54"/>
      <c r="I123" s="54"/>
      <c r="J123" s="54"/>
      <c r="K123" s="180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</row>
    <row r="124" spans="1:29" ht="15.75" customHeight="1" x14ac:dyDescent="0.2">
      <c r="A124" s="54"/>
      <c r="B124" s="54"/>
      <c r="C124" s="180"/>
      <c r="D124" s="54"/>
      <c r="E124" s="54"/>
      <c r="F124" s="54"/>
      <c r="G124" s="54"/>
      <c r="H124" s="54"/>
      <c r="I124" s="54"/>
      <c r="J124" s="54"/>
      <c r="K124" s="180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</row>
    <row r="125" spans="1:29" ht="15.75" customHeight="1" x14ac:dyDescent="0.2">
      <c r="A125" s="54"/>
      <c r="B125" s="54"/>
      <c r="C125" s="180"/>
      <c r="D125" s="54"/>
      <c r="E125" s="54"/>
      <c r="F125" s="54"/>
      <c r="G125" s="54"/>
      <c r="H125" s="54"/>
      <c r="I125" s="54"/>
      <c r="J125" s="54"/>
      <c r="K125" s="180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</row>
    <row r="126" spans="1:29" ht="15.75" customHeight="1" x14ac:dyDescent="0.2">
      <c r="A126" s="54"/>
      <c r="B126" s="54"/>
      <c r="C126" s="180"/>
      <c r="D126" s="54"/>
      <c r="E126" s="54"/>
      <c r="F126" s="54"/>
      <c r="G126" s="54"/>
      <c r="H126" s="54"/>
      <c r="I126" s="54"/>
      <c r="J126" s="54"/>
      <c r="K126" s="180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</row>
    <row r="127" spans="1:29" ht="15.75" customHeight="1" x14ac:dyDescent="0.2">
      <c r="A127" s="54"/>
      <c r="B127" s="54"/>
      <c r="C127" s="180"/>
      <c r="D127" s="54"/>
      <c r="E127" s="54"/>
      <c r="F127" s="54"/>
      <c r="G127" s="54"/>
      <c r="H127" s="54"/>
      <c r="I127" s="54"/>
      <c r="J127" s="54"/>
      <c r="K127" s="180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</row>
    <row r="128" spans="1:29" ht="15.75" customHeight="1" x14ac:dyDescent="0.2">
      <c r="A128" s="54"/>
      <c r="B128" s="54"/>
      <c r="C128" s="180"/>
      <c r="D128" s="54"/>
      <c r="E128" s="54"/>
      <c r="F128" s="54"/>
      <c r="G128" s="54"/>
      <c r="H128" s="54"/>
      <c r="I128" s="54"/>
      <c r="J128" s="54"/>
      <c r="K128" s="180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</row>
    <row r="129" spans="1:29" ht="15.75" customHeight="1" x14ac:dyDescent="0.2">
      <c r="A129" s="54"/>
      <c r="B129" s="54"/>
      <c r="C129" s="180"/>
      <c r="D129" s="54"/>
      <c r="E129" s="54"/>
      <c r="F129" s="54"/>
      <c r="G129" s="54"/>
      <c r="H129" s="54"/>
      <c r="I129" s="54"/>
      <c r="J129" s="54"/>
      <c r="K129" s="180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</row>
    <row r="130" spans="1:29" ht="15.75" customHeight="1" x14ac:dyDescent="0.2">
      <c r="A130" s="54"/>
      <c r="B130" s="54"/>
      <c r="C130" s="180"/>
      <c r="D130" s="54"/>
      <c r="E130" s="54"/>
      <c r="F130" s="54"/>
      <c r="G130" s="54"/>
      <c r="H130" s="54"/>
      <c r="I130" s="54"/>
      <c r="J130" s="54"/>
      <c r="K130" s="180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</row>
    <row r="131" spans="1:29" ht="15.75" customHeight="1" x14ac:dyDescent="0.2">
      <c r="A131" s="54"/>
      <c r="B131" s="54"/>
      <c r="C131" s="180"/>
      <c r="D131" s="54"/>
      <c r="E131" s="54"/>
      <c r="F131" s="54"/>
      <c r="G131" s="54"/>
      <c r="H131" s="54"/>
      <c r="I131" s="54"/>
      <c r="J131" s="54"/>
      <c r="K131" s="180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</row>
    <row r="132" spans="1:29" ht="15.75" customHeight="1" x14ac:dyDescent="0.2">
      <c r="A132" s="54"/>
      <c r="B132" s="54"/>
      <c r="C132" s="180"/>
      <c r="D132" s="54"/>
      <c r="E132" s="54"/>
      <c r="F132" s="54"/>
      <c r="G132" s="54"/>
      <c r="H132" s="54"/>
      <c r="I132" s="54"/>
      <c r="J132" s="54"/>
      <c r="K132" s="180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</row>
    <row r="133" spans="1:29" ht="15.75" customHeight="1" x14ac:dyDescent="0.2">
      <c r="A133" s="54"/>
      <c r="B133" s="54"/>
      <c r="C133" s="180"/>
      <c r="D133" s="54"/>
      <c r="E133" s="54"/>
      <c r="F133" s="54"/>
      <c r="G133" s="54"/>
      <c r="H133" s="54"/>
      <c r="I133" s="54"/>
      <c r="J133" s="54"/>
      <c r="K133" s="180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</row>
    <row r="134" spans="1:29" ht="15.75" customHeight="1" x14ac:dyDescent="0.2">
      <c r="A134" s="54"/>
      <c r="B134" s="54"/>
      <c r="C134" s="180"/>
      <c r="D134" s="54"/>
      <c r="E134" s="54"/>
      <c r="F134" s="54"/>
      <c r="G134" s="54"/>
      <c r="H134" s="54"/>
      <c r="I134" s="54"/>
      <c r="J134" s="54"/>
      <c r="K134" s="180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</row>
    <row r="135" spans="1:29" ht="15.75" customHeight="1" x14ac:dyDescent="0.2">
      <c r="A135" s="54"/>
      <c r="B135" s="54"/>
      <c r="C135" s="180"/>
      <c r="D135" s="54"/>
      <c r="E135" s="54"/>
      <c r="F135" s="54"/>
      <c r="G135" s="54"/>
      <c r="H135" s="54"/>
      <c r="I135" s="54"/>
      <c r="J135" s="54"/>
      <c r="K135" s="180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</row>
    <row r="136" spans="1:29" ht="15.75" customHeight="1" x14ac:dyDescent="0.2">
      <c r="A136" s="54"/>
      <c r="B136" s="54"/>
      <c r="C136" s="180"/>
      <c r="D136" s="54"/>
      <c r="E136" s="54"/>
      <c r="F136" s="54"/>
      <c r="G136" s="54"/>
      <c r="H136" s="54"/>
      <c r="I136" s="54"/>
      <c r="J136" s="54"/>
      <c r="K136" s="180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</row>
    <row r="137" spans="1:29" ht="15.75" customHeight="1" x14ac:dyDescent="0.2">
      <c r="A137" s="54"/>
      <c r="B137" s="54"/>
      <c r="C137" s="180"/>
      <c r="D137" s="54"/>
      <c r="E137" s="54"/>
      <c r="F137" s="54"/>
      <c r="G137" s="54"/>
      <c r="H137" s="54"/>
      <c r="I137" s="54"/>
      <c r="J137" s="54"/>
      <c r="K137" s="180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</row>
    <row r="138" spans="1:29" ht="15.75" customHeight="1" x14ac:dyDescent="0.2">
      <c r="A138" s="54"/>
      <c r="B138" s="54"/>
      <c r="C138" s="180"/>
      <c r="D138" s="54"/>
      <c r="E138" s="54"/>
      <c r="F138" s="54"/>
      <c r="G138" s="54"/>
      <c r="H138" s="54"/>
      <c r="I138" s="54"/>
      <c r="J138" s="54"/>
      <c r="K138" s="180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</row>
    <row r="139" spans="1:29" ht="15.75" customHeight="1" x14ac:dyDescent="0.2">
      <c r="A139" s="54"/>
      <c r="B139" s="54"/>
      <c r="C139" s="180"/>
      <c r="D139" s="54"/>
      <c r="E139" s="54"/>
      <c r="F139" s="54"/>
      <c r="G139" s="54"/>
      <c r="H139" s="54"/>
      <c r="I139" s="54"/>
      <c r="J139" s="54"/>
      <c r="K139" s="180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</row>
    <row r="140" spans="1:29" ht="15.75" customHeight="1" x14ac:dyDescent="0.2">
      <c r="A140" s="54"/>
      <c r="B140" s="54"/>
      <c r="C140" s="180"/>
      <c r="D140" s="54"/>
      <c r="E140" s="54"/>
      <c r="F140" s="54"/>
      <c r="G140" s="54"/>
      <c r="H140" s="54"/>
      <c r="I140" s="54"/>
      <c r="J140" s="54"/>
      <c r="K140" s="180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</row>
    <row r="141" spans="1:29" ht="15.75" customHeight="1" x14ac:dyDescent="0.2">
      <c r="A141" s="54"/>
      <c r="B141" s="54"/>
      <c r="C141" s="180"/>
      <c r="D141" s="54"/>
      <c r="E141" s="54"/>
      <c r="F141" s="54"/>
      <c r="G141" s="54"/>
      <c r="H141" s="54"/>
      <c r="I141" s="54"/>
      <c r="J141" s="54"/>
      <c r="K141" s="180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</row>
    <row r="142" spans="1:29" ht="15.75" customHeight="1" x14ac:dyDescent="0.2">
      <c r="A142" s="54"/>
      <c r="B142" s="54"/>
      <c r="C142" s="180"/>
      <c r="D142" s="54"/>
      <c r="E142" s="54"/>
      <c r="F142" s="54"/>
      <c r="G142" s="54"/>
      <c r="H142" s="54"/>
      <c r="I142" s="54"/>
      <c r="J142" s="54"/>
      <c r="K142" s="180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</row>
    <row r="143" spans="1:29" ht="15.75" customHeight="1" x14ac:dyDescent="0.2">
      <c r="A143" s="54"/>
      <c r="B143" s="54"/>
      <c r="C143" s="180"/>
      <c r="D143" s="54"/>
      <c r="E143" s="54"/>
      <c r="F143" s="54"/>
      <c r="G143" s="54"/>
      <c r="H143" s="54"/>
      <c r="I143" s="54"/>
      <c r="J143" s="54"/>
      <c r="K143" s="180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</row>
    <row r="144" spans="1:29" ht="15.75" customHeight="1" x14ac:dyDescent="0.2">
      <c r="A144" s="54"/>
      <c r="B144" s="54"/>
      <c r="C144" s="180"/>
      <c r="D144" s="54"/>
      <c r="E144" s="54"/>
      <c r="F144" s="54"/>
      <c r="G144" s="54"/>
      <c r="H144" s="54"/>
      <c r="I144" s="54"/>
      <c r="J144" s="54"/>
      <c r="K144" s="180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</row>
    <row r="145" spans="1:29" ht="15.75" customHeight="1" x14ac:dyDescent="0.2">
      <c r="A145" s="54"/>
      <c r="B145" s="54"/>
      <c r="C145" s="180"/>
      <c r="D145" s="54"/>
      <c r="E145" s="54"/>
      <c r="F145" s="54"/>
      <c r="G145" s="54"/>
      <c r="H145" s="54"/>
      <c r="I145" s="54"/>
      <c r="J145" s="54"/>
      <c r="K145" s="180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</row>
    <row r="146" spans="1:29" ht="15.75" customHeight="1" x14ac:dyDescent="0.2">
      <c r="A146" s="54"/>
      <c r="B146" s="54"/>
      <c r="C146" s="180"/>
      <c r="D146" s="54"/>
      <c r="E146" s="54"/>
      <c r="F146" s="54"/>
      <c r="G146" s="54"/>
      <c r="H146" s="54"/>
      <c r="I146" s="54"/>
      <c r="J146" s="54"/>
      <c r="K146" s="180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</row>
    <row r="147" spans="1:29" ht="15.75" customHeight="1" x14ac:dyDescent="0.2">
      <c r="A147" s="54"/>
      <c r="B147" s="54"/>
      <c r="C147" s="180"/>
      <c r="D147" s="54"/>
      <c r="E147" s="54"/>
      <c r="F147" s="54"/>
      <c r="G147" s="54"/>
      <c r="H147" s="54"/>
      <c r="I147" s="54"/>
      <c r="J147" s="54"/>
      <c r="K147" s="180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</row>
    <row r="148" spans="1:29" ht="15.75" customHeight="1" x14ac:dyDescent="0.2">
      <c r="A148" s="54"/>
      <c r="B148" s="54"/>
      <c r="C148" s="180"/>
      <c r="D148" s="54"/>
      <c r="E148" s="54"/>
      <c r="F148" s="54"/>
      <c r="G148" s="54"/>
      <c r="H148" s="54"/>
      <c r="I148" s="54"/>
      <c r="J148" s="54"/>
      <c r="K148" s="180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</row>
    <row r="149" spans="1:29" ht="15.75" customHeight="1" x14ac:dyDescent="0.2">
      <c r="A149" s="54"/>
      <c r="B149" s="54"/>
      <c r="C149" s="180"/>
      <c r="D149" s="54"/>
      <c r="E149" s="54"/>
      <c r="F149" s="54"/>
      <c r="G149" s="54"/>
      <c r="H149" s="54"/>
      <c r="I149" s="54"/>
      <c r="J149" s="54"/>
      <c r="K149" s="180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</row>
    <row r="150" spans="1:29" ht="15.75" customHeight="1" x14ac:dyDescent="0.2">
      <c r="A150" s="54"/>
      <c r="B150" s="54"/>
      <c r="C150" s="180"/>
      <c r="D150" s="54"/>
      <c r="E150" s="54"/>
      <c r="F150" s="54"/>
      <c r="G150" s="54"/>
      <c r="H150" s="54"/>
      <c r="I150" s="54"/>
      <c r="J150" s="54"/>
      <c r="K150" s="180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</row>
    <row r="151" spans="1:29" ht="15.75" customHeight="1" x14ac:dyDescent="0.2">
      <c r="A151" s="54"/>
      <c r="B151" s="54"/>
      <c r="C151" s="180"/>
      <c r="D151" s="54"/>
      <c r="E151" s="54"/>
      <c r="F151" s="54"/>
      <c r="G151" s="54"/>
      <c r="H151" s="54"/>
      <c r="I151" s="54"/>
      <c r="J151" s="54"/>
      <c r="K151" s="180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</row>
    <row r="152" spans="1:29" ht="15.75" customHeight="1" x14ac:dyDescent="0.2">
      <c r="A152" s="54"/>
      <c r="B152" s="54"/>
      <c r="C152" s="180"/>
      <c r="D152" s="54"/>
      <c r="E152" s="54"/>
      <c r="F152" s="54"/>
      <c r="G152" s="54"/>
      <c r="H152" s="54"/>
      <c r="I152" s="54"/>
      <c r="J152" s="54"/>
      <c r="K152" s="180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</row>
    <row r="153" spans="1:29" ht="15.75" customHeight="1" x14ac:dyDescent="0.2">
      <c r="A153" s="54"/>
      <c r="B153" s="54"/>
      <c r="C153" s="180"/>
      <c r="D153" s="54"/>
      <c r="E153" s="54"/>
      <c r="F153" s="54"/>
      <c r="G153" s="54"/>
      <c r="H153" s="54"/>
      <c r="I153" s="54"/>
      <c r="J153" s="54"/>
      <c r="K153" s="180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</row>
    <row r="154" spans="1:29" ht="15.75" customHeight="1" x14ac:dyDescent="0.2">
      <c r="A154" s="54"/>
      <c r="B154" s="54"/>
      <c r="C154" s="180"/>
      <c r="D154" s="54"/>
      <c r="E154" s="54"/>
      <c r="F154" s="54"/>
      <c r="G154" s="54"/>
      <c r="H154" s="54"/>
      <c r="I154" s="54"/>
      <c r="J154" s="54"/>
      <c r="K154" s="180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</row>
    <row r="155" spans="1:29" ht="15.75" customHeight="1" x14ac:dyDescent="0.2">
      <c r="A155" s="54"/>
      <c r="B155" s="54"/>
      <c r="C155" s="180"/>
      <c r="D155" s="54"/>
      <c r="E155" s="54"/>
      <c r="F155" s="54"/>
      <c r="G155" s="54"/>
      <c r="H155" s="54"/>
      <c r="I155" s="54"/>
      <c r="J155" s="54"/>
      <c r="K155" s="180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</row>
    <row r="156" spans="1:29" ht="15.75" customHeight="1" x14ac:dyDescent="0.2">
      <c r="A156" s="54"/>
      <c r="B156" s="54"/>
      <c r="C156" s="180"/>
      <c r="D156" s="54"/>
      <c r="E156" s="54"/>
      <c r="F156" s="54"/>
      <c r="G156" s="54"/>
      <c r="H156" s="54"/>
      <c r="I156" s="54"/>
      <c r="J156" s="54"/>
      <c r="K156" s="180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</row>
    <row r="157" spans="1:29" ht="15.75" customHeight="1" x14ac:dyDescent="0.2">
      <c r="A157" s="54"/>
      <c r="B157" s="54"/>
      <c r="C157" s="180"/>
      <c r="D157" s="54"/>
      <c r="E157" s="54"/>
      <c r="F157" s="54"/>
      <c r="G157" s="54"/>
      <c r="H157" s="54"/>
      <c r="I157" s="54"/>
      <c r="J157" s="54"/>
      <c r="K157" s="180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</row>
    <row r="158" spans="1:29" ht="15.75" customHeight="1" x14ac:dyDescent="0.2">
      <c r="A158" s="54"/>
      <c r="B158" s="54"/>
      <c r="C158" s="180"/>
      <c r="D158" s="54"/>
      <c r="E158" s="54"/>
      <c r="F158" s="54"/>
      <c r="G158" s="54"/>
      <c r="H158" s="54"/>
      <c r="I158" s="54"/>
      <c r="J158" s="54"/>
      <c r="K158" s="180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</row>
    <row r="159" spans="1:29" ht="15.75" customHeight="1" x14ac:dyDescent="0.2">
      <c r="A159" s="54"/>
      <c r="B159" s="54"/>
      <c r="C159" s="180"/>
      <c r="D159" s="54"/>
      <c r="E159" s="54"/>
      <c r="F159" s="54"/>
      <c r="G159" s="54"/>
      <c r="H159" s="54"/>
      <c r="I159" s="54"/>
      <c r="J159" s="54"/>
      <c r="K159" s="180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</row>
    <row r="160" spans="1:29" ht="15.75" customHeight="1" x14ac:dyDescent="0.2">
      <c r="A160" s="54"/>
      <c r="B160" s="54"/>
      <c r="C160" s="180"/>
      <c r="D160" s="54"/>
      <c r="E160" s="54"/>
      <c r="F160" s="54"/>
      <c r="G160" s="54"/>
      <c r="H160" s="54"/>
      <c r="I160" s="54"/>
      <c r="J160" s="54"/>
      <c r="K160" s="180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</row>
    <row r="161" spans="1:29" ht="15.75" customHeight="1" x14ac:dyDescent="0.2">
      <c r="A161" s="54"/>
      <c r="B161" s="54"/>
      <c r="C161" s="180"/>
      <c r="D161" s="54"/>
      <c r="E161" s="54"/>
      <c r="F161" s="54"/>
      <c r="G161" s="54"/>
      <c r="H161" s="54"/>
      <c r="I161" s="54"/>
      <c r="J161" s="54"/>
      <c r="K161" s="180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</row>
    <row r="162" spans="1:29" ht="15.75" customHeight="1" x14ac:dyDescent="0.2">
      <c r="A162" s="54"/>
      <c r="B162" s="54"/>
      <c r="C162" s="180"/>
      <c r="D162" s="54"/>
      <c r="E162" s="54"/>
      <c r="F162" s="54"/>
      <c r="G162" s="54"/>
      <c r="H162" s="54"/>
      <c r="I162" s="54"/>
      <c r="J162" s="54"/>
      <c r="K162" s="180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</row>
    <row r="163" spans="1:29" ht="15.75" customHeight="1" x14ac:dyDescent="0.2">
      <c r="A163" s="54"/>
      <c r="B163" s="54"/>
      <c r="C163" s="180"/>
      <c r="D163" s="54"/>
      <c r="E163" s="54"/>
      <c r="F163" s="54"/>
      <c r="G163" s="54"/>
      <c r="H163" s="54"/>
      <c r="I163" s="54"/>
      <c r="J163" s="54"/>
      <c r="K163" s="180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</row>
    <row r="164" spans="1:29" ht="15.75" customHeight="1" x14ac:dyDescent="0.2">
      <c r="A164" s="54"/>
      <c r="B164" s="54"/>
      <c r="C164" s="180"/>
      <c r="D164" s="54"/>
      <c r="E164" s="54"/>
      <c r="F164" s="54"/>
      <c r="G164" s="54"/>
      <c r="H164" s="54"/>
      <c r="I164" s="54"/>
      <c r="J164" s="54"/>
      <c r="K164" s="180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</row>
    <row r="165" spans="1:29" ht="15.75" customHeight="1" x14ac:dyDescent="0.2">
      <c r="A165" s="54"/>
      <c r="B165" s="54"/>
      <c r="C165" s="180"/>
      <c r="D165" s="54"/>
      <c r="E165" s="54"/>
      <c r="F165" s="54"/>
      <c r="G165" s="54"/>
      <c r="H165" s="54"/>
      <c r="I165" s="54"/>
      <c r="J165" s="54"/>
      <c r="K165" s="180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</row>
    <row r="166" spans="1:29" ht="15.75" customHeight="1" x14ac:dyDescent="0.2">
      <c r="A166" s="54"/>
      <c r="B166" s="54"/>
      <c r="C166" s="180"/>
      <c r="D166" s="54"/>
      <c r="E166" s="54"/>
      <c r="F166" s="54"/>
      <c r="G166" s="54"/>
      <c r="H166" s="54"/>
      <c r="I166" s="54"/>
      <c r="J166" s="54"/>
      <c r="K166" s="180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</row>
    <row r="167" spans="1:29" ht="15.75" customHeight="1" x14ac:dyDescent="0.2">
      <c r="A167" s="54"/>
      <c r="B167" s="54"/>
      <c r="C167" s="180"/>
      <c r="D167" s="54"/>
      <c r="E167" s="54"/>
      <c r="F167" s="54"/>
      <c r="G167" s="54"/>
      <c r="H167" s="54"/>
      <c r="I167" s="54"/>
      <c r="J167" s="54"/>
      <c r="K167" s="180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</row>
    <row r="168" spans="1:29" ht="15.75" customHeight="1" x14ac:dyDescent="0.2">
      <c r="A168" s="54"/>
      <c r="B168" s="54"/>
      <c r="C168" s="180"/>
      <c r="D168" s="54"/>
      <c r="E168" s="54"/>
      <c r="F168" s="54"/>
      <c r="G168" s="54"/>
      <c r="H168" s="54"/>
      <c r="I168" s="54"/>
      <c r="J168" s="54"/>
      <c r="K168" s="180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</row>
    <row r="169" spans="1:29" ht="15.75" customHeight="1" x14ac:dyDescent="0.2">
      <c r="A169" s="54"/>
      <c r="B169" s="54"/>
      <c r="C169" s="180"/>
      <c r="D169" s="54"/>
      <c r="E169" s="54"/>
      <c r="F169" s="54"/>
      <c r="G169" s="54"/>
      <c r="H169" s="54"/>
      <c r="I169" s="54"/>
      <c r="J169" s="54"/>
      <c r="K169" s="180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</row>
    <row r="170" spans="1:29" ht="15.75" customHeight="1" x14ac:dyDescent="0.2">
      <c r="A170" s="54"/>
      <c r="B170" s="54"/>
      <c r="C170" s="180"/>
      <c r="D170" s="54"/>
      <c r="E170" s="54"/>
      <c r="F170" s="54"/>
      <c r="G170" s="54"/>
      <c r="H170" s="54"/>
      <c r="I170" s="54"/>
      <c r="J170" s="54"/>
      <c r="K170" s="180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</row>
    <row r="171" spans="1:29" ht="15.75" customHeight="1" x14ac:dyDescent="0.2">
      <c r="A171" s="54"/>
      <c r="B171" s="54"/>
      <c r="C171" s="180"/>
      <c r="D171" s="54"/>
      <c r="E171" s="54"/>
      <c r="F171" s="54"/>
      <c r="G171" s="54"/>
      <c r="H171" s="54"/>
      <c r="I171" s="54"/>
      <c r="J171" s="54"/>
      <c r="K171" s="180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</row>
    <row r="172" spans="1:29" ht="15.75" customHeight="1" x14ac:dyDescent="0.2">
      <c r="A172" s="54"/>
      <c r="B172" s="54"/>
      <c r="C172" s="180"/>
      <c r="D172" s="54"/>
      <c r="E172" s="54"/>
      <c r="F172" s="54"/>
      <c r="G172" s="54"/>
      <c r="H172" s="54"/>
      <c r="I172" s="54"/>
      <c r="J172" s="54"/>
      <c r="K172" s="180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</row>
    <row r="173" spans="1:29" ht="15.75" customHeight="1" x14ac:dyDescent="0.2">
      <c r="A173" s="54"/>
      <c r="B173" s="54"/>
      <c r="C173" s="180"/>
      <c r="D173" s="54"/>
      <c r="E173" s="54"/>
      <c r="F173" s="54"/>
      <c r="G173" s="54"/>
      <c r="H173" s="54"/>
      <c r="I173" s="54"/>
      <c r="J173" s="54"/>
      <c r="K173" s="180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</row>
    <row r="174" spans="1:29" ht="15.75" customHeight="1" x14ac:dyDescent="0.2">
      <c r="A174" s="54"/>
      <c r="B174" s="54"/>
      <c r="C174" s="180"/>
      <c r="D174" s="54"/>
      <c r="E174" s="54"/>
      <c r="F174" s="54"/>
      <c r="G174" s="54"/>
      <c r="H174" s="54"/>
      <c r="I174" s="54"/>
      <c r="J174" s="54"/>
      <c r="K174" s="180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</row>
    <row r="175" spans="1:29" ht="15.75" customHeight="1" x14ac:dyDescent="0.2">
      <c r="A175" s="54"/>
      <c r="B175" s="54"/>
      <c r="C175" s="180"/>
      <c r="D175" s="54"/>
      <c r="E175" s="54"/>
      <c r="F175" s="54"/>
      <c r="G175" s="54"/>
      <c r="H175" s="54"/>
      <c r="I175" s="54"/>
      <c r="J175" s="54"/>
      <c r="K175" s="180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</row>
    <row r="176" spans="1:29" ht="15.75" customHeight="1" x14ac:dyDescent="0.2">
      <c r="A176" s="54"/>
      <c r="B176" s="54"/>
      <c r="C176" s="180"/>
      <c r="D176" s="54"/>
      <c r="E176" s="54"/>
      <c r="F176" s="54"/>
      <c r="G176" s="54"/>
      <c r="H176" s="54"/>
      <c r="I176" s="54"/>
      <c r="J176" s="54"/>
      <c r="K176" s="180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</row>
    <row r="177" spans="1:29" ht="15.75" customHeight="1" x14ac:dyDescent="0.2">
      <c r="A177" s="54"/>
      <c r="B177" s="54"/>
      <c r="C177" s="180"/>
      <c r="D177" s="54"/>
      <c r="E177" s="54"/>
      <c r="F177" s="54"/>
      <c r="G177" s="54"/>
      <c r="H177" s="54"/>
      <c r="I177" s="54"/>
      <c r="J177" s="54"/>
      <c r="K177" s="180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</row>
    <row r="178" spans="1:29" ht="15.75" customHeight="1" x14ac:dyDescent="0.2">
      <c r="A178" s="54"/>
      <c r="B178" s="54"/>
      <c r="C178" s="180"/>
      <c r="D178" s="54"/>
      <c r="E178" s="54"/>
      <c r="F178" s="54"/>
      <c r="G178" s="54"/>
      <c r="H178" s="54"/>
      <c r="I178" s="54"/>
      <c r="J178" s="54"/>
      <c r="K178" s="180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</row>
    <row r="179" spans="1:29" ht="15.75" customHeight="1" x14ac:dyDescent="0.2">
      <c r="A179" s="54"/>
      <c r="B179" s="54"/>
      <c r="C179" s="180"/>
      <c r="D179" s="54"/>
      <c r="E179" s="54"/>
      <c r="F179" s="54"/>
      <c r="G179" s="54"/>
      <c r="H179" s="54"/>
      <c r="I179" s="54"/>
      <c r="J179" s="54"/>
      <c r="K179" s="180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</row>
    <row r="180" spans="1:29" ht="15.75" customHeight="1" x14ac:dyDescent="0.2">
      <c r="A180" s="54"/>
      <c r="B180" s="54"/>
      <c r="C180" s="180"/>
      <c r="D180" s="54"/>
      <c r="E180" s="54"/>
      <c r="F180" s="54"/>
      <c r="G180" s="54"/>
      <c r="H180" s="54"/>
      <c r="I180" s="54"/>
      <c r="J180" s="54"/>
      <c r="K180" s="180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</row>
    <row r="181" spans="1:29" ht="15.75" customHeight="1" x14ac:dyDescent="0.2">
      <c r="A181" s="54"/>
      <c r="B181" s="54"/>
      <c r="C181" s="180"/>
      <c r="D181" s="54"/>
      <c r="E181" s="54"/>
      <c r="F181" s="54"/>
      <c r="G181" s="54"/>
      <c r="H181" s="54"/>
      <c r="I181" s="54"/>
      <c r="J181" s="54"/>
      <c r="K181" s="180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</row>
    <row r="182" spans="1:29" ht="15.75" customHeight="1" x14ac:dyDescent="0.2">
      <c r="A182" s="54"/>
      <c r="B182" s="54"/>
      <c r="C182" s="180"/>
      <c r="D182" s="54"/>
      <c r="E182" s="54"/>
      <c r="F182" s="54"/>
      <c r="G182" s="54"/>
      <c r="H182" s="54"/>
      <c r="I182" s="54"/>
      <c r="J182" s="54"/>
      <c r="K182" s="180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</row>
    <row r="183" spans="1:29" ht="15.75" customHeight="1" x14ac:dyDescent="0.2">
      <c r="A183" s="54"/>
      <c r="B183" s="54"/>
      <c r="C183" s="180"/>
      <c r="D183" s="54"/>
      <c r="E183" s="54"/>
      <c r="F183" s="54"/>
      <c r="G183" s="54"/>
      <c r="H183" s="54"/>
      <c r="I183" s="54"/>
      <c r="J183" s="54"/>
      <c r="K183" s="180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</row>
    <row r="184" spans="1:29" ht="15.75" customHeight="1" x14ac:dyDescent="0.2">
      <c r="A184" s="54"/>
      <c r="B184" s="54"/>
      <c r="C184" s="180"/>
      <c r="D184" s="54"/>
      <c r="E184" s="54"/>
      <c r="F184" s="54"/>
      <c r="G184" s="54"/>
      <c r="H184" s="54"/>
      <c r="I184" s="54"/>
      <c r="J184" s="54"/>
      <c r="K184" s="180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</row>
    <row r="185" spans="1:29" ht="15.75" customHeight="1" x14ac:dyDescent="0.2">
      <c r="A185" s="54"/>
      <c r="B185" s="54"/>
      <c r="C185" s="180"/>
      <c r="D185" s="54"/>
      <c r="E185" s="54"/>
      <c r="F185" s="54"/>
      <c r="G185" s="54"/>
      <c r="H185" s="54"/>
      <c r="I185" s="54"/>
      <c r="J185" s="54"/>
      <c r="K185" s="180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</row>
    <row r="186" spans="1:29" ht="15.75" customHeight="1" x14ac:dyDescent="0.2">
      <c r="A186" s="54"/>
      <c r="B186" s="54"/>
      <c r="C186" s="180"/>
      <c r="D186" s="54"/>
      <c r="E186" s="54"/>
      <c r="F186" s="54"/>
      <c r="G186" s="54"/>
      <c r="H186" s="54"/>
      <c r="I186" s="54"/>
      <c r="J186" s="54"/>
      <c r="K186" s="180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</row>
    <row r="187" spans="1:29" ht="15.75" customHeight="1" x14ac:dyDescent="0.2">
      <c r="A187" s="54"/>
      <c r="B187" s="54"/>
      <c r="C187" s="180"/>
      <c r="D187" s="54"/>
      <c r="E187" s="54"/>
      <c r="F187" s="54"/>
      <c r="G187" s="54"/>
      <c r="H187" s="54"/>
      <c r="I187" s="54"/>
      <c r="J187" s="54"/>
      <c r="K187" s="180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</row>
    <row r="188" spans="1:29" ht="15.75" customHeight="1" x14ac:dyDescent="0.2">
      <c r="A188" s="54"/>
      <c r="B188" s="54"/>
      <c r="C188" s="180"/>
      <c r="D188" s="54"/>
      <c r="E188" s="54"/>
      <c r="F188" s="54"/>
      <c r="G188" s="54"/>
      <c r="H188" s="54"/>
      <c r="I188" s="54"/>
      <c r="J188" s="54"/>
      <c r="K188" s="180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</row>
    <row r="189" spans="1:29" ht="15.75" customHeight="1" x14ac:dyDescent="0.2">
      <c r="A189" s="54"/>
      <c r="B189" s="54"/>
      <c r="C189" s="180"/>
      <c r="D189" s="54"/>
      <c r="E189" s="54"/>
      <c r="F189" s="54"/>
      <c r="G189" s="54"/>
      <c r="H189" s="54"/>
      <c r="I189" s="54"/>
      <c r="J189" s="54"/>
      <c r="K189" s="180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</row>
    <row r="190" spans="1:29" ht="15.75" customHeight="1" x14ac:dyDescent="0.2">
      <c r="A190" s="54"/>
      <c r="B190" s="54"/>
      <c r="C190" s="180"/>
      <c r="D190" s="54"/>
      <c r="E190" s="54"/>
      <c r="F190" s="54"/>
      <c r="G190" s="54"/>
      <c r="H190" s="54"/>
      <c r="I190" s="54"/>
      <c r="J190" s="54"/>
      <c r="K190" s="180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</row>
    <row r="191" spans="1:29" ht="15.75" customHeight="1" x14ac:dyDescent="0.2">
      <c r="A191" s="54"/>
      <c r="B191" s="54"/>
      <c r="C191" s="180"/>
      <c r="D191" s="54"/>
      <c r="E191" s="54"/>
      <c r="F191" s="54"/>
      <c r="G191" s="54"/>
      <c r="H191" s="54"/>
      <c r="I191" s="54"/>
      <c r="J191" s="54"/>
      <c r="K191" s="180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</row>
    <row r="192" spans="1:29" ht="15.75" customHeight="1" x14ac:dyDescent="0.2">
      <c r="A192" s="54"/>
      <c r="B192" s="54"/>
      <c r="C192" s="180"/>
      <c r="D192" s="54"/>
      <c r="E192" s="54"/>
      <c r="F192" s="54"/>
      <c r="G192" s="54"/>
      <c r="H192" s="54"/>
      <c r="I192" s="54"/>
      <c r="J192" s="54"/>
      <c r="K192" s="180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</row>
    <row r="193" spans="1:29" ht="15.75" customHeight="1" x14ac:dyDescent="0.2">
      <c r="A193" s="54"/>
      <c r="B193" s="54"/>
      <c r="C193" s="180"/>
      <c r="D193" s="54"/>
      <c r="E193" s="54"/>
      <c r="F193" s="54"/>
      <c r="G193" s="54"/>
      <c r="H193" s="54"/>
      <c r="I193" s="54"/>
      <c r="J193" s="54"/>
      <c r="K193" s="180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</row>
    <row r="194" spans="1:29" ht="15.75" customHeight="1" x14ac:dyDescent="0.2">
      <c r="A194" s="54"/>
      <c r="B194" s="54"/>
      <c r="C194" s="180"/>
      <c r="D194" s="54"/>
      <c r="E194" s="54"/>
      <c r="F194" s="54"/>
      <c r="G194" s="54"/>
      <c r="H194" s="54"/>
      <c r="I194" s="54"/>
      <c r="J194" s="54"/>
      <c r="K194" s="180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</row>
    <row r="195" spans="1:29" ht="15.75" customHeight="1" x14ac:dyDescent="0.2">
      <c r="A195" s="54"/>
      <c r="B195" s="54"/>
      <c r="C195" s="180"/>
      <c r="D195" s="54"/>
      <c r="E195" s="54"/>
      <c r="F195" s="54"/>
      <c r="G195" s="54"/>
      <c r="H195" s="54"/>
      <c r="I195" s="54"/>
      <c r="J195" s="54"/>
      <c r="K195" s="180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</row>
    <row r="196" spans="1:29" ht="15.75" customHeight="1" x14ac:dyDescent="0.2">
      <c r="A196" s="54"/>
      <c r="B196" s="54"/>
      <c r="C196" s="180"/>
      <c r="D196" s="54"/>
      <c r="E196" s="54"/>
      <c r="F196" s="54"/>
      <c r="G196" s="54"/>
      <c r="H196" s="54"/>
      <c r="I196" s="54"/>
      <c r="J196" s="54"/>
      <c r="K196" s="180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</row>
    <row r="197" spans="1:29" ht="15.75" customHeight="1" x14ac:dyDescent="0.2">
      <c r="A197" s="54"/>
      <c r="B197" s="54"/>
      <c r="C197" s="180"/>
      <c r="D197" s="54"/>
      <c r="E197" s="54"/>
      <c r="F197" s="54"/>
      <c r="G197" s="54"/>
      <c r="H197" s="54"/>
      <c r="I197" s="54"/>
      <c r="J197" s="54"/>
      <c r="K197" s="180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</row>
    <row r="198" spans="1:29" ht="15.75" customHeight="1" x14ac:dyDescent="0.2">
      <c r="A198" s="54"/>
      <c r="B198" s="54"/>
      <c r="C198" s="180"/>
      <c r="D198" s="54"/>
      <c r="E198" s="54"/>
      <c r="F198" s="54"/>
      <c r="G198" s="54"/>
      <c r="H198" s="54"/>
      <c r="I198" s="54"/>
      <c r="J198" s="54"/>
      <c r="K198" s="180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</row>
    <row r="199" spans="1:29" ht="15.75" customHeight="1" x14ac:dyDescent="0.2">
      <c r="A199" s="54"/>
      <c r="B199" s="54"/>
      <c r="C199" s="180"/>
      <c r="D199" s="54"/>
      <c r="E199" s="54"/>
      <c r="F199" s="54"/>
      <c r="G199" s="54"/>
      <c r="H199" s="54"/>
      <c r="I199" s="54"/>
      <c r="J199" s="54"/>
      <c r="K199" s="180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</row>
    <row r="200" spans="1:29" ht="15.75" customHeight="1" x14ac:dyDescent="0.2">
      <c r="A200" s="54"/>
      <c r="B200" s="54"/>
      <c r="C200" s="180"/>
      <c r="D200" s="54"/>
      <c r="E200" s="54"/>
      <c r="F200" s="54"/>
      <c r="G200" s="54"/>
      <c r="H200" s="54"/>
      <c r="I200" s="54"/>
      <c r="J200" s="54"/>
      <c r="K200" s="180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</row>
    <row r="201" spans="1:29" ht="15.75" customHeight="1" x14ac:dyDescent="0.2">
      <c r="A201" s="54"/>
      <c r="B201" s="54"/>
      <c r="C201" s="180"/>
      <c r="D201" s="54"/>
      <c r="E201" s="54"/>
      <c r="F201" s="54"/>
      <c r="G201" s="54"/>
      <c r="H201" s="54"/>
      <c r="I201" s="54"/>
      <c r="J201" s="54"/>
      <c r="K201" s="180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</row>
    <row r="202" spans="1:29" ht="15.75" customHeight="1" x14ac:dyDescent="0.2">
      <c r="A202" s="54"/>
      <c r="B202" s="54"/>
      <c r="C202" s="180"/>
      <c r="D202" s="54"/>
      <c r="E202" s="54"/>
      <c r="F202" s="54"/>
      <c r="G202" s="54"/>
      <c r="H202" s="54"/>
      <c r="I202" s="54"/>
      <c r="J202" s="54"/>
      <c r="K202" s="180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</row>
    <row r="203" spans="1:29" ht="15.75" customHeight="1" x14ac:dyDescent="0.2">
      <c r="A203" s="54"/>
      <c r="B203" s="54"/>
      <c r="C203" s="180"/>
      <c r="D203" s="54"/>
      <c r="E203" s="54"/>
      <c r="F203" s="54"/>
      <c r="G203" s="54"/>
      <c r="H203" s="54"/>
      <c r="I203" s="54"/>
      <c r="J203" s="54"/>
      <c r="K203" s="180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</row>
    <row r="204" spans="1:29" ht="15.75" customHeight="1" x14ac:dyDescent="0.2">
      <c r="A204" s="54"/>
      <c r="B204" s="54"/>
      <c r="C204" s="180"/>
      <c r="D204" s="54"/>
      <c r="E204" s="54"/>
      <c r="F204" s="54"/>
      <c r="G204" s="54"/>
      <c r="H204" s="54"/>
      <c r="I204" s="54"/>
      <c r="J204" s="54"/>
      <c r="K204" s="180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</row>
    <row r="205" spans="1:29" ht="15.75" customHeight="1" x14ac:dyDescent="0.2">
      <c r="A205" s="54"/>
      <c r="B205" s="54"/>
      <c r="C205" s="180"/>
      <c r="D205" s="54"/>
      <c r="E205" s="54"/>
      <c r="F205" s="54"/>
      <c r="G205" s="54"/>
      <c r="H205" s="54"/>
      <c r="I205" s="54"/>
      <c r="J205" s="54"/>
      <c r="K205" s="180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</row>
    <row r="206" spans="1:29" ht="15.75" customHeight="1" x14ac:dyDescent="0.2">
      <c r="A206" s="54"/>
      <c r="B206" s="54"/>
      <c r="C206" s="180"/>
      <c r="D206" s="54"/>
      <c r="E206" s="54"/>
      <c r="F206" s="54"/>
      <c r="G206" s="54"/>
      <c r="H206" s="54"/>
      <c r="I206" s="54"/>
      <c r="J206" s="54"/>
      <c r="K206" s="180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</row>
    <row r="207" spans="1:29" ht="15.75" customHeight="1" x14ac:dyDescent="0.2">
      <c r="A207" s="54"/>
      <c r="B207" s="54"/>
      <c r="C207" s="180"/>
      <c r="D207" s="54"/>
      <c r="E207" s="54"/>
      <c r="F207" s="54"/>
      <c r="G207" s="54"/>
      <c r="H207" s="54"/>
      <c r="I207" s="54"/>
      <c r="J207" s="54"/>
      <c r="K207" s="180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</row>
    <row r="208" spans="1:29" ht="15.75" customHeight="1" x14ac:dyDescent="0.2">
      <c r="A208" s="54"/>
      <c r="B208" s="54"/>
      <c r="C208" s="180"/>
      <c r="D208" s="54"/>
      <c r="E208" s="54"/>
      <c r="F208" s="54"/>
      <c r="G208" s="54"/>
      <c r="H208" s="54"/>
      <c r="I208" s="54"/>
      <c r="J208" s="54"/>
      <c r="K208" s="180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</row>
    <row r="209" spans="1:29" ht="15.75" customHeight="1" x14ac:dyDescent="0.2">
      <c r="A209" s="54"/>
      <c r="B209" s="54"/>
      <c r="C209" s="180"/>
      <c r="D209" s="54"/>
      <c r="E209" s="54"/>
      <c r="F209" s="54"/>
      <c r="G209" s="54"/>
      <c r="H209" s="54"/>
      <c r="I209" s="54"/>
      <c r="J209" s="54"/>
      <c r="K209" s="180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</row>
    <row r="210" spans="1:29" ht="15.75" customHeight="1" x14ac:dyDescent="0.2">
      <c r="A210" s="54"/>
      <c r="B210" s="54"/>
      <c r="C210" s="180"/>
      <c r="D210" s="54"/>
      <c r="E210" s="54"/>
      <c r="F210" s="54"/>
      <c r="G210" s="54"/>
      <c r="H210" s="54"/>
      <c r="I210" s="54"/>
      <c r="J210" s="54"/>
      <c r="K210" s="180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</row>
    <row r="211" spans="1:29" ht="15.75" customHeight="1" x14ac:dyDescent="0.2">
      <c r="A211" s="54"/>
      <c r="B211" s="54"/>
      <c r="C211" s="180"/>
      <c r="D211" s="54"/>
      <c r="E211" s="54"/>
      <c r="F211" s="54"/>
      <c r="G211" s="54"/>
      <c r="H211" s="54"/>
      <c r="I211" s="54"/>
      <c r="J211" s="54"/>
      <c r="K211" s="180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</row>
    <row r="212" spans="1:29" ht="15.75" customHeight="1" x14ac:dyDescent="0.2">
      <c r="A212" s="54"/>
      <c r="B212" s="54"/>
      <c r="C212" s="180"/>
      <c r="D212" s="54"/>
      <c r="E212" s="54"/>
      <c r="F212" s="54"/>
      <c r="G212" s="54"/>
      <c r="H212" s="54"/>
      <c r="I212" s="54"/>
      <c r="J212" s="54"/>
      <c r="K212" s="180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</row>
    <row r="213" spans="1:29" ht="15.75" customHeight="1" x14ac:dyDescent="0.2">
      <c r="A213" s="54"/>
      <c r="B213" s="54"/>
      <c r="C213" s="180"/>
      <c r="D213" s="54"/>
      <c r="E213" s="54"/>
      <c r="F213" s="54"/>
      <c r="G213" s="54"/>
      <c r="H213" s="54"/>
      <c r="I213" s="54"/>
      <c r="J213" s="54"/>
      <c r="K213" s="180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</row>
    <row r="214" spans="1:29" ht="15.75" customHeight="1" x14ac:dyDescent="0.2">
      <c r="A214" s="54"/>
      <c r="B214" s="54"/>
      <c r="C214" s="180"/>
      <c r="D214" s="54"/>
      <c r="E214" s="54"/>
      <c r="F214" s="54"/>
      <c r="G214" s="54"/>
      <c r="H214" s="54"/>
      <c r="I214" s="54"/>
      <c r="J214" s="54"/>
      <c r="K214" s="180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</row>
    <row r="215" spans="1:29" ht="15.75" customHeight="1" x14ac:dyDescent="0.2">
      <c r="A215" s="54"/>
      <c r="B215" s="54"/>
      <c r="C215" s="180"/>
      <c r="D215" s="54"/>
      <c r="E215" s="54"/>
      <c r="F215" s="54"/>
      <c r="G215" s="54"/>
      <c r="H215" s="54"/>
      <c r="I215" s="54"/>
      <c r="J215" s="54"/>
      <c r="K215" s="180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</row>
    <row r="216" spans="1:29" ht="15.75" customHeight="1" x14ac:dyDescent="0.2">
      <c r="A216" s="54"/>
      <c r="B216" s="54"/>
      <c r="C216" s="180"/>
      <c r="D216" s="54"/>
      <c r="E216" s="54"/>
      <c r="F216" s="54"/>
      <c r="G216" s="54"/>
      <c r="H216" s="54"/>
      <c r="I216" s="54"/>
      <c r="J216" s="54"/>
      <c r="K216" s="180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</row>
    <row r="217" spans="1:29" ht="15.75" customHeight="1" x14ac:dyDescent="0.2">
      <c r="A217" s="54"/>
      <c r="B217" s="54"/>
      <c r="C217" s="180"/>
      <c r="D217" s="54"/>
      <c r="E217" s="54"/>
      <c r="F217" s="54"/>
      <c r="G217" s="54"/>
      <c r="H217" s="54"/>
      <c r="I217" s="54"/>
      <c r="J217" s="54"/>
      <c r="K217" s="180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</row>
    <row r="218" spans="1:29" ht="15.75" customHeight="1" x14ac:dyDescent="0.2">
      <c r="A218" s="54"/>
      <c r="B218" s="54"/>
      <c r="C218" s="180"/>
      <c r="D218" s="54"/>
      <c r="E218" s="54"/>
      <c r="F218" s="54"/>
      <c r="G218" s="54"/>
      <c r="H218" s="54"/>
      <c r="I218" s="54"/>
      <c r="J218" s="54"/>
      <c r="K218" s="180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</row>
    <row r="219" spans="1:29" ht="15.75" customHeight="1" x14ac:dyDescent="0.2">
      <c r="A219" s="54"/>
      <c r="B219" s="54"/>
      <c r="C219" s="180"/>
      <c r="D219" s="54"/>
      <c r="E219" s="54"/>
      <c r="F219" s="54"/>
      <c r="G219" s="54"/>
      <c r="H219" s="54"/>
      <c r="I219" s="54"/>
      <c r="J219" s="54"/>
      <c r="K219" s="180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</row>
    <row r="220" spans="1:29" ht="15.75" customHeight="1" x14ac:dyDescent="0.2">
      <c r="A220" s="54"/>
      <c r="B220" s="54"/>
      <c r="C220" s="180"/>
      <c r="D220" s="54"/>
      <c r="E220" s="54"/>
      <c r="F220" s="54"/>
      <c r="G220" s="54"/>
      <c r="H220" s="54"/>
      <c r="I220" s="54"/>
      <c r="J220" s="54"/>
      <c r="K220" s="180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</row>
    <row r="221" spans="1:29" ht="15.75" customHeight="1" x14ac:dyDescent="0.2">
      <c r="A221" s="54"/>
      <c r="B221" s="54"/>
      <c r="C221" s="180"/>
      <c r="D221" s="54"/>
      <c r="E221" s="54"/>
      <c r="F221" s="54"/>
      <c r="G221" s="54"/>
      <c r="H221" s="54"/>
      <c r="I221" s="54"/>
      <c r="J221" s="54"/>
      <c r="K221" s="180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</row>
    <row r="222" spans="1:29" ht="15.75" customHeight="1" x14ac:dyDescent="0.2">
      <c r="A222" s="54"/>
      <c r="B222" s="54"/>
      <c r="C222" s="180"/>
      <c r="D222" s="54"/>
      <c r="E222" s="54"/>
      <c r="F222" s="54"/>
      <c r="G222" s="54"/>
      <c r="H222" s="54"/>
      <c r="I222" s="54"/>
      <c r="J222" s="54"/>
      <c r="K222" s="180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</row>
    <row r="223" spans="1:29" ht="15.75" customHeight="1" x14ac:dyDescent="0.2">
      <c r="A223" s="54"/>
      <c r="B223" s="54"/>
      <c r="C223" s="180"/>
      <c r="D223" s="54"/>
      <c r="E223" s="54"/>
      <c r="F223" s="54"/>
      <c r="G223" s="54"/>
      <c r="H223" s="54"/>
      <c r="I223" s="54"/>
      <c r="J223" s="54"/>
      <c r="K223" s="180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</row>
    <row r="224" spans="1:29" ht="15.75" customHeight="1" x14ac:dyDescent="0.2">
      <c r="A224" s="54"/>
      <c r="B224" s="54"/>
      <c r="C224" s="180"/>
      <c r="D224" s="54"/>
      <c r="E224" s="54"/>
      <c r="F224" s="54"/>
      <c r="G224" s="54"/>
      <c r="H224" s="54"/>
      <c r="I224" s="54"/>
      <c r="J224" s="54"/>
      <c r="K224" s="180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</row>
    <row r="225" spans="1:29" ht="15.75" customHeight="1" x14ac:dyDescent="0.2">
      <c r="A225" s="54"/>
      <c r="B225" s="54"/>
      <c r="C225" s="180"/>
      <c r="D225" s="54"/>
      <c r="E225" s="54"/>
      <c r="F225" s="54"/>
      <c r="G225" s="54"/>
      <c r="H225" s="54"/>
      <c r="I225" s="54"/>
      <c r="J225" s="54"/>
      <c r="K225" s="180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</row>
    <row r="226" spans="1:29" ht="15.75" customHeight="1" x14ac:dyDescent="0.2">
      <c r="A226" s="54"/>
      <c r="B226" s="54"/>
      <c r="C226" s="180"/>
      <c r="D226" s="54"/>
      <c r="E226" s="54"/>
      <c r="F226" s="54"/>
      <c r="G226" s="54"/>
      <c r="H226" s="54"/>
      <c r="I226" s="54"/>
      <c r="J226" s="54"/>
      <c r="K226" s="180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</row>
    <row r="227" spans="1:29" ht="15.75" customHeight="1" x14ac:dyDescent="0.2">
      <c r="A227" s="54"/>
      <c r="B227" s="54"/>
      <c r="C227" s="180"/>
      <c r="D227" s="54"/>
      <c r="E227" s="54"/>
      <c r="F227" s="54"/>
      <c r="G227" s="54"/>
      <c r="H227" s="54"/>
      <c r="I227" s="54"/>
      <c r="J227" s="54"/>
      <c r="K227" s="180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</row>
    <row r="228" spans="1:29" ht="15.75" customHeight="1" x14ac:dyDescent="0.2">
      <c r="A228" s="54"/>
      <c r="B228" s="54"/>
      <c r="C228" s="180"/>
      <c r="D228" s="54"/>
      <c r="E228" s="54"/>
      <c r="F228" s="54"/>
      <c r="G228" s="54"/>
      <c r="H228" s="54"/>
      <c r="I228" s="54"/>
      <c r="J228" s="54"/>
      <c r="K228" s="180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</row>
    <row r="229" spans="1:29" ht="15.75" customHeight="1" x14ac:dyDescent="0.2">
      <c r="A229" s="54"/>
      <c r="B229" s="54"/>
      <c r="C229" s="180"/>
      <c r="D229" s="54"/>
      <c r="E229" s="54"/>
      <c r="F229" s="54"/>
      <c r="G229" s="54"/>
      <c r="H229" s="54"/>
      <c r="I229" s="54"/>
      <c r="J229" s="54"/>
      <c r="K229" s="180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</row>
    <row r="230" spans="1:29" ht="15.75" customHeight="1" x14ac:dyDescent="0.2"/>
    <row r="231" spans="1:29" ht="15.75" customHeight="1" x14ac:dyDescent="0.2"/>
    <row r="232" spans="1:29" ht="15.75" customHeight="1" x14ac:dyDescent="0.2"/>
    <row r="233" spans="1:29" ht="15.75" customHeight="1" x14ac:dyDescent="0.2"/>
    <row r="234" spans="1:29" ht="15.75" customHeight="1" x14ac:dyDescent="0.2"/>
    <row r="235" spans="1:29" ht="15.75" customHeight="1" x14ac:dyDescent="0.2"/>
    <row r="236" spans="1:29" ht="15.75" customHeight="1" x14ac:dyDescent="0.2"/>
    <row r="237" spans="1:29" ht="15.75" customHeight="1" x14ac:dyDescent="0.2"/>
    <row r="238" spans="1:29" ht="15.75" customHeight="1" x14ac:dyDescent="0.2"/>
    <row r="239" spans="1:29" ht="15.75" customHeight="1" x14ac:dyDescent="0.2"/>
    <row r="240" spans="1:29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conditionalFormatting sqref="H3:H18 H23 H25">
    <cfRule type="cellIs" dxfId="4" priority="1" operator="lessThan">
      <formula>0</formula>
    </cfRule>
  </conditionalFormatting>
  <printOptions horizontalCentered="1" verticalCentered="1"/>
  <pageMargins left="0.25" right="0.25" top="0.75" bottom="0.75" header="0.3" footer="0.3"/>
  <pageSetup fitToHeight="0" orientation="landscape" r:id="rId1"/>
  <headerFooter>
    <oddHeader>&amp;A</oddHeader>
    <oddFooter>Page &amp;P of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E370"/>
  <sheetViews>
    <sheetView workbookViewId="0"/>
  </sheetViews>
  <sheetFormatPr defaultColWidth="12.5703125" defaultRowHeight="15" customHeight="1" outlineLevelRow="1" outlineLevelCol="1" x14ac:dyDescent="0.2"/>
  <cols>
    <col min="2" max="2" width="32.28515625" customWidth="1" collapsed="1"/>
    <col min="3" max="3" width="4.28515625" hidden="1" customWidth="1" outlineLevel="1"/>
    <col min="4" max="10" width="12.5703125" hidden="1" outlineLevel="1"/>
    <col min="11" max="11" width="4.28515625" hidden="1" customWidth="1" outlineLevel="1"/>
    <col min="13" max="13" width="14.85546875" customWidth="1"/>
    <col min="18" max="18" width="9.42578125" customWidth="1"/>
    <col min="20" max="20" width="3.42578125" customWidth="1"/>
    <col min="22" max="22" width="12.7109375" customWidth="1"/>
  </cols>
  <sheetData>
    <row r="1" spans="1:31" ht="28.5" customHeight="1" x14ac:dyDescent="0.25">
      <c r="A1" s="205" t="s">
        <v>1190</v>
      </c>
      <c r="B1" s="5"/>
      <c r="C1" s="15"/>
      <c r="D1" s="16"/>
      <c r="E1" s="16"/>
      <c r="F1" s="16"/>
      <c r="G1" s="16"/>
      <c r="H1" s="18"/>
      <c r="I1" s="16"/>
      <c r="J1" s="16"/>
      <c r="K1" s="15"/>
      <c r="L1" s="7"/>
      <c r="M1" s="7"/>
      <c r="N1" s="7"/>
      <c r="O1" s="7"/>
      <c r="P1" s="7"/>
      <c r="Q1" s="7"/>
      <c r="R1" s="7"/>
      <c r="S1" s="7"/>
      <c r="T1" s="206"/>
      <c r="W1" s="19"/>
      <c r="X1" s="20"/>
    </row>
    <row r="2" spans="1:31" ht="50.25" customHeight="1" collapsed="1" x14ac:dyDescent="0.2">
      <c r="A2" s="3" t="s">
        <v>50</v>
      </c>
      <c r="B2" s="3" t="s">
        <v>51</v>
      </c>
      <c r="C2" s="21"/>
      <c r="D2" s="22" t="s">
        <v>52</v>
      </c>
      <c r="E2" s="23" t="s">
        <v>53</v>
      </c>
      <c r="F2" s="23" t="s">
        <v>54</v>
      </c>
      <c r="G2" s="23" t="s">
        <v>55</v>
      </c>
      <c r="H2" s="100" t="s">
        <v>56</v>
      </c>
      <c r="I2" s="23" t="s">
        <v>57</v>
      </c>
      <c r="J2" s="129" t="s">
        <v>58</v>
      </c>
      <c r="K2" s="130"/>
      <c r="L2" s="27" t="s">
        <v>59</v>
      </c>
      <c r="M2" s="27" t="s">
        <v>60</v>
      </c>
      <c r="N2" s="27" t="s">
        <v>61</v>
      </c>
      <c r="O2" s="27" t="s">
        <v>62</v>
      </c>
      <c r="P2" s="27" t="s">
        <v>63</v>
      </c>
      <c r="Q2" s="27" t="s">
        <v>64</v>
      </c>
      <c r="R2" s="27" t="s">
        <v>65</v>
      </c>
      <c r="S2" s="27" t="s">
        <v>66</v>
      </c>
      <c r="T2" s="207"/>
      <c r="U2" s="27" t="s">
        <v>1191</v>
      </c>
      <c r="V2" s="27" t="s">
        <v>1192</v>
      </c>
      <c r="X2" s="28"/>
      <c r="Y2" s="28"/>
      <c r="Z2" s="28"/>
      <c r="AA2" s="28"/>
      <c r="AB2" s="28"/>
      <c r="AC2" s="28"/>
      <c r="AD2" s="28"/>
      <c r="AE2" s="28"/>
    </row>
    <row r="3" spans="1:31" ht="15.75" hidden="1" customHeight="1" outlineLevel="1" x14ac:dyDescent="0.25">
      <c r="A3" s="374" t="s">
        <v>1193</v>
      </c>
      <c r="B3" s="6" t="s">
        <v>68</v>
      </c>
      <c r="C3" s="280"/>
      <c r="D3" s="216"/>
      <c r="E3" s="216"/>
      <c r="F3" s="216"/>
      <c r="G3" s="216"/>
      <c r="H3" s="211"/>
      <c r="I3" s="7"/>
      <c r="J3" s="5"/>
      <c r="K3" s="280"/>
      <c r="L3" s="216"/>
      <c r="M3" s="216"/>
      <c r="N3" s="375">
        <v>68693</v>
      </c>
      <c r="O3" s="375">
        <v>45269</v>
      </c>
      <c r="P3" s="36"/>
      <c r="Q3" s="375">
        <v>71300</v>
      </c>
      <c r="R3" s="376">
        <v>71300</v>
      </c>
      <c r="S3" s="5"/>
      <c r="U3" s="377"/>
      <c r="V3" s="377"/>
    </row>
    <row r="4" spans="1:31" ht="15.75" hidden="1" customHeight="1" outlineLevel="1" x14ac:dyDescent="0.25">
      <c r="A4" s="6" t="s">
        <v>1194</v>
      </c>
      <c r="B4" s="6" t="s">
        <v>70</v>
      </c>
      <c r="C4" s="280"/>
      <c r="D4" s="216"/>
      <c r="E4" s="216" t="e">
        <f>D4*#REF!</f>
        <v>#REF!</v>
      </c>
      <c r="F4" s="216" t="e">
        <f>D4*#REF!</f>
        <v>#REF!</v>
      </c>
      <c r="G4" s="216" t="e">
        <f>(D4*#REF!)*#REF!</f>
        <v>#REF!</v>
      </c>
      <c r="H4" s="211">
        <f t="shared" ref="H4:H20" si="0">IFERROR(((Q4-G4)/G4),0)</f>
        <v>0</v>
      </c>
      <c r="I4" s="7" t="e">
        <f t="shared" ref="I4:I20" si="1">Q4-G4</f>
        <v>#REF!</v>
      </c>
      <c r="J4" s="5"/>
      <c r="K4" s="280"/>
      <c r="L4" s="216"/>
      <c r="M4" s="216"/>
      <c r="N4" s="36">
        <v>1625</v>
      </c>
      <c r="O4" s="36">
        <f>VLOOKUP(A4,TB!A:F,3)</f>
        <v>139.71</v>
      </c>
      <c r="P4" s="36"/>
      <c r="Q4" s="36">
        <v>1700</v>
      </c>
      <c r="R4" s="281">
        <f>VLOOKUP(A4,TB!A:F,6)</f>
        <v>1075</v>
      </c>
      <c r="S4" s="5"/>
      <c r="U4" s="377"/>
      <c r="V4" s="377"/>
    </row>
    <row r="5" spans="1:31" ht="15.75" hidden="1" customHeight="1" outlineLevel="1" x14ac:dyDescent="0.25">
      <c r="A5" s="6" t="s">
        <v>1195</v>
      </c>
      <c r="B5" s="6" t="s">
        <v>132</v>
      </c>
      <c r="C5" s="323"/>
      <c r="D5" s="319"/>
      <c r="E5" s="216" t="e">
        <f>D5*#REF!</f>
        <v>#REF!</v>
      </c>
      <c r="F5" s="216" t="e">
        <f>D5*#REF!</f>
        <v>#REF!</v>
      </c>
      <c r="G5" s="216" t="e">
        <f>(D5*#REF!)*#REF!</f>
        <v>#REF!</v>
      </c>
      <c r="H5" s="211">
        <f t="shared" si="0"/>
        <v>0</v>
      </c>
      <c r="I5" s="7" t="e">
        <f t="shared" si="1"/>
        <v>#REF!</v>
      </c>
      <c r="J5" s="5"/>
      <c r="K5" s="323"/>
      <c r="L5" s="216"/>
      <c r="M5" s="216"/>
      <c r="N5" s="36">
        <v>2500</v>
      </c>
      <c r="O5" s="36">
        <f>VLOOKUP(A5,TB!A:F,3)</f>
        <v>95.71</v>
      </c>
      <c r="P5" s="36"/>
      <c r="Q5" s="36">
        <v>2500</v>
      </c>
      <c r="R5" s="281">
        <f>VLOOKUP(A5,TB!A:F,6)</f>
        <v>2500</v>
      </c>
      <c r="S5" s="5"/>
      <c r="U5" s="377"/>
      <c r="V5" s="377"/>
    </row>
    <row r="6" spans="1:31" ht="15.75" hidden="1" customHeight="1" outlineLevel="1" x14ac:dyDescent="0.25">
      <c r="A6" s="6" t="s">
        <v>1196</v>
      </c>
      <c r="B6" s="6" t="s">
        <v>72</v>
      </c>
      <c r="C6" s="280"/>
      <c r="D6" s="216"/>
      <c r="E6" s="216" t="e">
        <f>D6*#REF!</f>
        <v>#REF!</v>
      </c>
      <c r="F6" s="216" t="e">
        <f>D6*#REF!</f>
        <v>#REF!</v>
      </c>
      <c r="G6" s="216" t="e">
        <f>(D6*#REF!)*#REF!</f>
        <v>#REF!</v>
      </c>
      <c r="H6" s="211">
        <f t="shared" si="0"/>
        <v>0</v>
      </c>
      <c r="I6" s="7" t="e">
        <f t="shared" si="1"/>
        <v>#REF!</v>
      </c>
      <c r="J6" s="5"/>
      <c r="K6" s="280"/>
      <c r="L6" s="216"/>
      <c r="M6" s="216"/>
      <c r="N6" s="36">
        <v>37386</v>
      </c>
      <c r="O6" s="36">
        <f>VLOOKUP(A6,TB!A:F,3)</f>
        <v>20638.150000000001</v>
      </c>
      <c r="P6" s="36"/>
      <c r="Q6" s="36">
        <v>36300</v>
      </c>
      <c r="R6" s="281">
        <f>VLOOKUP(A6,TB!A:F,6)</f>
        <v>36300</v>
      </c>
      <c r="S6" s="5"/>
      <c r="U6" s="377"/>
      <c r="V6" s="377"/>
    </row>
    <row r="7" spans="1:31" ht="15.75" hidden="1" customHeight="1" outlineLevel="1" x14ac:dyDescent="0.25">
      <c r="A7" s="6" t="s">
        <v>1197</v>
      </c>
      <c r="B7" s="6" t="s">
        <v>74</v>
      </c>
      <c r="C7" s="280"/>
      <c r="D7" s="216"/>
      <c r="E7" s="216" t="e">
        <f>D7*#REF!</f>
        <v>#REF!</v>
      </c>
      <c r="F7" s="216" t="e">
        <f>D7*#REF!</f>
        <v>#REF!</v>
      </c>
      <c r="G7" s="216" t="e">
        <f>(D7*#REF!)*#REF!</f>
        <v>#REF!</v>
      </c>
      <c r="H7" s="211">
        <f t="shared" si="0"/>
        <v>0</v>
      </c>
      <c r="I7" s="7" t="e">
        <f t="shared" si="1"/>
        <v>#REF!</v>
      </c>
      <c r="J7" s="5"/>
      <c r="K7" s="280"/>
      <c r="L7" s="216"/>
      <c r="M7" s="216"/>
      <c r="N7" s="36">
        <v>800</v>
      </c>
      <c r="O7" s="36">
        <f>VLOOKUP(A7,TB!A:F,3)</f>
        <v>398</v>
      </c>
      <c r="P7" s="36"/>
      <c r="Q7" s="36">
        <v>1200</v>
      </c>
      <c r="R7" s="281">
        <f>VLOOKUP(A7,TB!A:F,6)</f>
        <v>825</v>
      </c>
      <c r="S7" s="5"/>
      <c r="U7" s="377"/>
      <c r="V7" s="377"/>
    </row>
    <row r="8" spans="1:31" ht="15.75" hidden="1" customHeight="1" outlineLevel="1" x14ac:dyDescent="0.25">
      <c r="A8" s="6" t="s">
        <v>1198</v>
      </c>
      <c r="B8" s="6" t="s">
        <v>76</v>
      </c>
      <c r="C8" s="280"/>
      <c r="D8" s="216"/>
      <c r="E8" s="216" t="e">
        <f>D8*#REF!</f>
        <v>#REF!</v>
      </c>
      <c r="F8" s="216" t="e">
        <f>D8*#REF!</f>
        <v>#REF!</v>
      </c>
      <c r="G8" s="216" t="e">
        <f>(D8*#REF!)*#REF!</f>
        <v>#REF!</v>
      </c>
      <c r="H8" s="211">
        <f t="shared" si="0"/>
        <v>0</v>
      </c>
      <c r="I8" s="7" t="e">
        <f t="shared" si="1"/>
        <v>#REF!</v>
      </c>
      <c r="J8" s="5"/>
      <c r="K8" s="280"/>
      <c r="L8" s="216"/>
      <c r="M8" s="216"/>
      <c r="N8" s="36">
        <v>875</v>
      </c>
      <c r="O8" s="36">
        <f>VLOOKUP(A8,TB!A:F,3)</f>
        <v>638.53</v>
      </c>
      <c r="P8" s="36"/>
      <c r="Q8" s="36">
        <v>1750</v>
      </c>
      <c r="R8" s="281">
        <f>VLOOKUP(A8,TB!A:F,6)</f>
        <v>1250</v>
      </c>
      <c r="S8" s="5"/>
      <c r="U8" s="377"/>
      <c r="V8" s="377"/>
    </row>
    <row r="9" spans="1:31" ht="15.75" hidden="1" customHeight="1" outlineLevel="1" x14ac:dyDescent="0.25">
      <c r="A9" s="6" t="s">
        <v>1199</v>
      </c>
      <c r="B9" s="6" t="s">
        <v>80</v>
      </c>
      <c r="C9" s="323"/>
      <c r="D9" s="319"/>
      <c r="E9" s="216" t="e">
        <f>D9*#REF!</f>
        <v>#REF!</v>
      </c>
      <c r="F9" s="216" t="e">
        <f>D9*#REF!</f>
        <v>#REF!</v>
      </c>
      <c r="G9" s="216" t="e">
        <f>(D9*#REF!)*#REF!</f>
        <v>#REF!</v>
      </c>
      <c r="H9" s="211">
        <f t="shared" si="0"/>
        <v>0</v>
      </c>
      <c r="I9" s="7" t="e">
        <f t="shared" si="1"/>
        <v>#REF!</v>
      </c>
      <c r="J9" s="5"/>
      <c r="K9" s="323"/>
      <c r="L9" s="216"/>
      <c r="M9" s="216"/>
      <c r="N9" s="36">
        <v>1950</v>
      </c>
      <c r="O9" s="36">
        <f>VLOOKUP(A9,TB!A:F,3)</f>
        <v>1700.58</v>
      </c>
      <c r="P9" s="36"/>
      <c r="Q9" s="36">
        <v>2750</v>
      </c>
      <c r="R9" s="281">
        <f>VLOOKUP(A9,TB!A:F,6)</f>
        <v>2500</v>
      </c>
      <c r="S9" s="5"/>
      <c r="U9" s="377"/>
      <c r="V9" s="377"/>
    </row>
    <row r="10" spans="1:31" ht="15.75" hidden="1" customHeight="1" outlineLevel="1" x14ac:dyDescent="0.25">
      <c r="A10" s="6" t="s">
        <v>1200</v>
      </c>
      <c r="B10" s="6" t="s">
        <v>82</v>
      </c>
      <c r="C10" s="280"/>
      <c r="D10" s="216"/>
      <c r="E10" s="216" t="e">
        <f>D10*#REF!</f>
        <v>#REF!</v>
      </c>
      <c r="F10" s="216" t="e">
        <f>D10*#REF!</f>
        <v>#REF!</v>
      </c>
      <c r="G10" s="216" t="e">
        <f>(D10*#REF!)*#REF!</f>
        <v>#REF!</v>
      </c>
      <c r="H10" s="211">
        <f t="shared" si="0"/>
        <v>0</v>
      </c>
      <c r="I10" s="7" t="e">
        <f t="shared" si="1"/>
        <v>#REF!</v>
      </c>
      <c r="J10" s="5"/>
      <c r="K10" s="280"/>
      <c r="L10" s="216"/>
      <c r="M10" s="216"/>
      <c r="N10" s="36">
        <v>2625</v>
      </c>
      <c r="O10" s="36">
        <f>VLOOKUP(A10,TB!A:F,3)</f>
        <v>817.48</v>
      </c>
      <c r="P10" s="36"/>
      <c r="Q10" s="36">
        <v>2625</v>
      </c>
      <c r="R10" s="281">
        <f>VLOOKUP(A10,TB!A:F,6)</f>
        <v>2500</v>
      </c>
      <c r="S10" s="5"/>
      <c r="U10" s="377"/>
      <c r="V10" s="377"/>
    </row>
    <row r="11" spans="1:31" ht="15.75" hidden="1" customHeight="1" outlineLevel="1" x14ac:dyDescent="0.25">
      <c r="A11" s="6" t="s">
        <v>1201</v>
      </c>
      <c r="B11" s="6" t="s">
        <v>115</v>
      </c>
      <c r="C11" s="280"/>
      <c r="D11" s="216"/>
      <c r="E11" s="216" t="e">
        <f>D11*#REF!</f>
        <v>#REF!</v>
      </c>
      <c r="F11" s="216" t="e">
        <f>D11*#REF!</f>
        <v>#REF!</v>
      </c>
      <c r="G11" s="216" t="e">
        <f>(D11*#REF!)*#REF!</f>
        <v>#REF!</v>
      </c>
      <c r="H11" s="211">
        <f t="shared" si="0"/>
        <v>0</v>
      </c>
      <c r="I11" s="7" t="e">
        <f t="shared" si="1"/>
        <v>#REF!</v>
      </c>
      <c r="J11" s="5"/>
      <c r="K11" s="280"/>
      <c r="L11" s="216"/>
      <c r="M11" s="216"/>
      <c r="N11" s="36">
        <v>1750</v>
      </c>
      <c r="O11" s="36">
        <f>VLOOKUP(A11,TB!A:F,3)</f>
        <v>198.23</v>
      </c>
      <c r="P11" s="36"/>
      <c r="Q11" s="36">
        <v>1750</v>
      </c>
      <c r="R11" s="281">
        <f>VLOOKUP(A11,TB!A:F,6)</f>
        <v>1250</v>
      </c>
      <c r="S11" s="5"/>
      <c r="U11" s="377"/>
      <c r="V11" s="377"/>
    </row>
    <row r="12" spans="1:31" ht="15.75" hidden="1" customHeight="1" outlineLevel="1" x14ac:dyDescent="0.25">
      <c r="A12" s="6" t="s">
        <v>1202</v>
      </c>
      <c r="B12" s="6" t="s">
        <v>555</v>
      </c>
      <c r="C12" s="280"/>
      <c r="D12" s="216"/>
      <c r="E12" s="216" t="e">
        <f>D12*#REF!</f>
        <v>#REF!</v>
      </c>
      <c r="F12" s="216" t="e">
        <f>D12*#REF!</f>
        <v>#REF!</v>
      </c>
      <c r="G12" s="216" t="e">
        <f>(D12*#REF!)*#REF!</f>
        <v>#REF!</v>
      </c>
      <c r="H12" s="211">
        <f t="shared" si="0"/>
        <v>0</v>
      </c>
      <c r="I12" s="7" t="e">
        <f t="shared" si="1"/>
        <v>#REF!</v>
      </c>
      <c r="J12" s="5"/>
      <c r="K12" s="280"/>
      <c r="L12" s="216"/>
      <c r="M12" s="216"/>
      <c r="N12" s="36">
        <v>27525</v>
      </c>
      <c r="O12" s="36">
        <f>VLOOKUP(A12,TB!A:F,3)</f>
        <v>14065.4</v>
      </c>
      <c r="P12" s="36"/>
      <c r="Q12" s="36">
        <v>27525</v>
      </c>
      <c r="R12" s="281">
        <f>VLOOKUP(A12,TB!A:F,6)</f>
        <v>25025</v>
      </c>
      <c r="S12" s="5"/>
      <c r="U12" s="377"/>
      <c r="V12" s="377"/>
    </row>
    <row r="13" spans="1:31" ht="15.75" hidden="1" customHeight="1" outlineLevel="1" x14ac:dyDescent="0.25">
      <c r="A13" s="6" t="s">
        <v>1203</v>
      </c>
      <c r="B13" s="6" t="s">
        <v>277</v>
      </c>
      <c r="C13" s="323"/>
      <c r="D13" s="319"/>
      <c r="E13" s="216" t="e">
        <f>D13*#REF!</f>
        <v>#REF!</v>
      </c>
      <c r="F13" s="216" t="e">
        <f>D13*#REF!</f>
        <v>#REF!</v>
      </c>
      <c r="G13" s="216" t="e">
        <f>(D13*#REF!)*#REF!</f>
        <v>#REF!</v>
      </c>
      <c r="H13" s="211">
        <f t="shared" si="0"/>
        <v>0</v>
      </c>
      <c r="I13" s="7" t="e">
        <f t="shared" si="1"/>
        <v>#REF!</v>
      </c>
      <c r="J13" s="5"/>
      <c r="K13" s="323"/>
      <c r="L13" s="216"/>
      <c r="M13" s="216"/>
      <c r="N13" s="36">
        <v>34700</v>
      </c>
      <c r="O13" s="36">
        <f>VLOOKUP(A13,TB!A:F,3)</f>
        <v>12590.23</v>
      </c>
      <c r="P13" s="36"/>
      <c r="Q13" s="36">
        <v>34700</v>
      </c>
      <c r="R13" s="281">
        <f>VLOOKUP(A13,TB!A:F,6)</f>
        <v>25000</v>
      </c>
      <c r="S13" s="5"/>
      <c r="U13" s="377"/>
      <c r="V13" s="377"/>
    </row>
    <row r="14" spans="1:31" ht="15.75" hidden="1" customHeight="1" outlineLevel="1" x14ac:dyDescent="0.25">
      <c r="A14" s="6" t="s">
        <v>1204</v>
      </c>
      <c r="B14" s="6" t="s">
        <v>84</v>
      </c>
      <c r="C14" s="323"/>
      <c r="D14" s="319"/>
      <c r="E14" s="216" t="e">
        <f>D14*#REF!</f>
        <v>#REF!</v>
      </c>
      <c r="F14" s="216" t="e">
        <f>D14*#REF!</f>
        <v>#REF!</v>
      </c>
      <c r="G14" s="216" t="e">
        <f>(D14*#REF!)*#REF!</f>
        <v>#REF!</v>
      </c>
      <c r="H14" s="211">
        <f t="shared" si="0"/>
        <v>0</v>
      </c>
      <c r="I14" s="7" t="e">
        <f t="shared" si="1"/>
        <v>#REF!</v>
      </c>
      <c r="J14" s="5"/>
      <c r="K14" s="323"/>
      <c r="L14" s="216"/>
      <c r="M14" s="216"/>
      <c r="N14" s="36">
        <v>1250</v>
      </c>
      <c r="O14" s="36">
        <f>VLOOKUP(A14,TB!A:F,3)</f>
        <v>461.19</v>
      </c>
      <c r="P14" s="36"/>
      <c r="Q14" s="36">
        <v>1100</v>
      </c>
      <c r="R14" s="281">
        <f>VLOOKUP(A14,TB!A:F,6)</f>
        <v>1100</v>
      </c>
      <c r="S14" s="5"/>
      <c r="U14" s="377"/>
      <c r="V14" s="377"/>
    </row>
    <row r="15" spans="1:31" ht="15.75" hidden="1" customHeight="1" outlineLevel="1" x14ac:dyDescent="0.25">
      <c r="A15" s="6" t="s">
        <v>1205</v>
      </c>
      <c r="B15" s="6" t="s">
        <v>86</v>
      </c>
      <c r="C15" s="280"/>
      <c r="D15" s="216"/>
      <c r="E15" s="216" t="e">
        <f>D15*#REF!</f>
        <v>#REF!</v>
      </c>
      <c r="F15" s="216" t="e">
        <f>D15*#REF!</f>
        <v>#REF!</v>
      </c>
      <c r="G15" s="216" t="e">
        <f>(D15*#REF!)*#REF!</f>
        <v>#REF!</v>
      </c>
      <c r="H15" s="211">
        <f t="shared" si="0"/>
        <v>0</v>
      </c>
      <c r="I15" s="7" t="e">
        <f t="shared" si="1"/>
        <v>#REF!</v>
      </c>
      <c r="J15" s="5"/>
      <c r="K15" s="280"/>
      <c r="L15" s="216"/>
      <c r="M15" s="216"/>
      <c r="N15" s="36">
        <v>1250</v>
      </c>
      <c r="O15" s="36">
        <f>VLOOKUP(A15,TB!A:F,3)</f>
        <v>0</v>
      </c>
      <c r="P15" s="36"/>
      <c r="Q15" s="36">
        <v>2500</v>
      </c>
      <c r="R15" s="281">
        <f>VLOOKUP(A15,TB!A:F,6)</f>
        <v>1250</v>
      </c>
      <c r="S15" s="5"/>
      <c r="U15" s="377"/>
      <c r="V15" s="377"/>
    </row>
    <row r="16" spans="1:31" ht="15.75" hidden="1" customHeight="1" outlineLevel="1" x14ac:dyDescent="0.25">
      <c r="A16" s="6" t="s">
        <v>1206</v>
      </c>
      <c r="B16" s="6" t="s">
        <v>1160</v>
      </c>
      <c r="C16" s="323"/>
      <c r="D16" s="319"/>
      <c r="E16" s="216" t="e">
        <f>D16*#REF!</f>
        <v>#REF!</v>
      </c>
      <c r="F16" s="216" t="e">
        <f>D16*#REF!</f>
        <v>#REF!</v>
      </c>
      <c r="G16" s="216" t="e">
        <f>(D16*#REF!)*#REF!</f>
        <v>#REF!</v>
      </c>
      <c r="H16" s="211">
        <f t="shared" si="0"/>
        <v>0</v>
      </c>
      <c r="I16" s="7" t="e">
        <f t="shared" si="1"/>
        <v>#REF!</v>
      </c>
      <c r="J16" s="5"/>
      <c r="K16" s="323"/>
      <c r="L16" s="216"/>
      <c r="M16" s="216"/>
      <c r="N16" s="36">
        <v>0</v>
      </c>
      <c r="O16" s="36">
        <f>VLOOKUP(A16,TB!A:F,3)</f>
        <v>38.630000000000003</v>
      </c>
      <c r="P16" s="36"/>
      <c r="Q16" s="36">
        <v>525</v>
      </c>
      <c r="R16" s="281">
        <f>VLOOKUP(A16,TB!A:F,6)</f>
        <v>525</v>
      </c>
      <c r="S16" s="5"/>
      <c r="U16" s="377"/>
      <c r="V16" s="377"/>
    </row>
    <row r="17" spans="1:28" ht="15.75" hidden="1" customHeight="1" outlineLevel="1" x14ac:dyDescent="0.25">
      <c r="A17" s="6" t="s">
        <v>1207</v>
      </c>
      <c r="B17" s="6" t="s">
        <v>90</v>
      </c>
      <c r="C17" s="323"/>
      <c r="D17" s="319"/>
      <c r="E17" s="216" t="e">
        <f>D17*#REF!</f>
        <v>#REF!</v>
      </c>
      <c r="F17" s="216" t="e">
        <f>D17*#REF!</f>
        <v>#REF!</v>
      </c>
      <c r="G17" s="216" t="e">
        <f>(D17*#REF!)*#REF!</f>
        <v>#REF!</v>
      </c>
      <c r="H17" s="211">
        <f t="shared" si="0"/>
        <v>0</v>
      </c>
      <c r="I17" s="7" t="e">
        <f t="shared" si="1"/>
        <v>#REF!</v>
      </c>
      <c r="J17" s="5"/>
      <c r="K17" s="323"/>
      <c r="L17" s="216"/>
      <c r="M17" s="216"/>
      <c r="N17" s="36">
        <v>875</v>
      </c>
      <c r="O17" s="36">
        <f>VLOOKUP(A17,TB!A:F,3)</f>
        <v>442.89</v>
      </c>
      <c r="P17" s="36"/>
      <c r="Q17" s="36">
        <v>2000</v>
      </c>
      <c r="R17" s="281">
        <f>VLOOKUP(A17,TB!A:F,6)</f>
        <v>1250</v>
      </c>
      <c r="S17" s="5"/>
      <c r="U17" s="377"/>
      <c r="V17" s="377"/>
    </row>
    <row r="18" spans="1:28" ht="15.75" hidden="1" customHeight="1" outlineLevel="1" x14ac:dyDescent="0.25">
      <c r="A18" s="6" t="s">
        <v>1208</v>
      </c>
      <c r="B18" s="6" t="s">
        <v>1209</v>
      </c>
      <c r="C18" s="323"/>
      <c r="D18" s="319"/>
      <c r="E18" s="216" t="e">
        <f>D18*#REF!</f>
        <v>#REF!</v>
      </c>
      <c r="F18" s="216" t="e">
        <f>D18*#REF!</f>
        <v>#REF!</v>
      </c>
      <c r="G18" s="216" t="e">
        <f>(D18*#REF!)*#REF!</f>
        <v>#REF!</v>
      </c>
      <c r="H18" s="211">
        <f t="shared" si="0"/>
        <v>0</v>
      </c>
      <c r="I18" s="7" t="e">
        <f t="shared" si="1"/>
        <v>#REF!</v>
      </c>
      <c r="J18" s="5"/>
      <c r="K18" s="323"/>
      <c r="L18" s="216"/>
      <c r="M18" s="216"/>
      <c r="N18" s="36">
        <v>1500</v>
      </c>
      <c r="O18" s="36">
        <f>VLOOKUP(A18,TB!A:F,3)</f>
        <v>846.18</v>
      </c>
      <c r="P18" s="36"/>
      <c r="Q18" s="36">
        <v>1500</v>
      </c>
      <c r="R18" s="281">
        <f>VLOOKUP(A18,TB!A:F,6)</f>
        <v>1250</v>
      </c>
      <c r="S18" s="5"/>
      <c r="U18" s="377"/>
      <c r="V18" s="377"/>
    </row>
    <row r="19" spans="1:28" ht="15.75" hidden="1" customHeight="1" outlineLevel="1" x14ac:dyDescent="0.25">
      <c r="A19" s="6" t="s">
        <v>1210</v>
      </c>
      <c r="B19" s="6" t="s">
        <v>92</v>
      </c>
      <c r="C19" s="280"/>
      <c r="D19" s="216"/>
      <c r="E19" s="216" t="e">
        <f>D19*#REF!</f>
        <v>#REF!</v>
      </c>
      <c r="F19" s="216" t="e">
        <f>D19*#REF!</f>
        <v>#REF!</v>
      </c>
      <c r="G19" s="216" t="e">
        <f>(D19*#REF!)*#REF!</f>
        <v>#REF!</v>
      </c>
      <c r="H19" s="211">
        <f t="shared" si="0"/>
        <v>0</v>
      </c>
      <c r="I19" s="7" t="e">
        <f t="shared" si="1"/>
        <v>#REF!</v>
      </c>
      <c r="J19" s="5"/>
      <c r="K19" s="280"/>
      <c r="L19" s="216"/>
      <c r="M19" s="216"/>
      <c r="N19" s="36">
        <v>1000</v>
      </c>
      <c r="O19" s="36">
        <f>VLOOKUP(A19,TB!A:F,3)</f>
        <v>1133.5999999999999</v>
      </c>
      <c r="P19" s="36"/>
      <c r="Q19" s="36">
        <v>1000</v>
      </c>
      <c r="R19" s="281">
        <f>VLOOKUP(A19,TB!A:F,6)</f>
        <v>1000</v>
      </c>
      <c r="S19" s="5"/>
      <c r="U19" s="377"/>
      <c r="V19" s="377"/>
    </row>
    <row r="20" spans="1:28" ht="15.75" hidden="1" customHeight="1" outlineLevel="1" x14ac:dyDescent="0.25">
      <c r="A20" s="47" t="s">
        <v>1211</v>
      </c>
      <c r="B20" s="48"/>
      <c r="C20" s="325"/>
      <c r="D20" s="48">
        <f t="shared" ref="D20:G20" si="2">SUM(D2:D19)</f>
        <v>0</v>
      </c>
      <c r="E20" s="48" t="e">
        <f t="shared" si="2"/>
        <v>#REF!</v>
      </c>
      <c r="F20" s="48" t="e">
        <f t="shared" si="2"/>
        <v>#REF!</v>
      </c>
      <c r="G20" s="48" t="e">
        <f t="shared" si="2"/>
        <v>#REF!</v>
      </c>
      <c r="H20" s="212">
        <f t="shared" si="0"/>
        <v>0</v>
      </c>
      <c r="I20" s="12" t="e">
        <f t="shared" si="1"/>
        <v>#REF!</v>
      </c>
      <c r="J20" s="48"/>
      <c r="K20" s="325"/>
      <c r="L20" s="12">
        <f t="shared" ref="L20:O20" si="3">SUM(L2:L19)</f>
        <v>0</v>
      </c>
      <c r="M20" s="12">
        <f t="shared" si="3"/>
        <v>0</v>
      </c>
      <c r="N20" s="12">
        <f t="shared" si="3"/>
        <v>186304</v>
      </c>
      <c r="O20" s="12">
        <f t="shared" si="3"/>
        <v>99473.51</v>
      </c>
      <c r="P20" s="12"/>
      <c r="Q20" s="12">
        <f t="shared" ref="Q20:R20" si="4">SUM(Q2:Q19)</f>
        <v>192725</v>
      </c>
      <c r="R20" s="12">
        <f t="shared" si="4"/>
        <v>175900</v>
      </c>
      <c r="S20" s="5"/>
      <c r="U20" s="377"/>
      <c r="V20" s="378"/>
      <c r="W20" s="44"/>
      <c r="X20" s="44"/>
      <c r="Y20" s="44"/>
      <c r="Z20" s="44"/>
      <c r="AA20" s="44"/>
      <c r="AB20" s="44"/>
    </row>
    <row r="21" spans="1:28" ht="15.75" hidden="1" customHeight="1" outlineLevel="1" x14ac:dyDescent="0.2">
      <c r="A21" s="5"/>
      <c r="B21" s="5"/>
      <c r="C21" s="284"/>
      <c r="D21" s="5"/>
      <c r="E21" s="5"/>
      <c r="F21" s="5"/>
      <c r="G21" s="5"/>
      <c r="H21" s="5"/>
      <c r="I21" s="5"/>
      <c r="J21" s="5"/>
      <c r="K21" s="284"/>
      <c r="L21" s="5"/>
      <c r="M21" s="5"/>
      <c r="N21" s="5"/>
      <c r="O21" s="5"/>
      <c r="P21" s="5"/>
      <c r="Q21" s="5"/>
      <c r="R21" s="5"/>
      <c r="S21" s="5"/>
      <c r="U21" s="377"/>
      <c r="V21" s="377"/>
    </row>
    <row r="22" spans="1:28" ht="15.75" hidden="1" customHeight="1" outlineLevel="1" x14ac:dyDescent="0.2">
      <c r="A22" s="5"/>
      <c r="B22" s="5"/>
      <c r="C22" s="284"/>
      <c r="D22" s="5"/>
      <c r="E22" s="5"/>
      <c r="F22" s="5"/>
      <c r="G22" s="5"/>
      <c r="H22" s="5"/>
      <c r="I22" s="5"/>
      <c r="J22" s="5"/>
      <c r="K22" s="284"/>
      <c r="L22" s="5"/>
      <c r="M22" s="5"/>
      <c r="N22" s="5"/>
      <c r="O22" s="5"/>
      <c r="P22" s="5"/>
      <c r="Q22" s="5"/>
      <c r="R22" s="5"/>
      <c r="S22" s="5"/>
      <c r="U22" s="377"/>
      <c r="V22" s="377"/>
    </row>
    <row r="23" spans="1:28" ht="15.75" hidden="1" customHeight="1" outlineLevel="1" x14ac:dyDescent="0.2">
      <c r="A23" s="379" t="s">
        <v>50</v>
      </c>
      <c r="B23" s="379" t="s">
        <v>51</v>
      </c>
      <c r="C23" s="292"/>
      <c r="D23" s="379" t="s">
        <v>52</v>
      </c>
      <c r="E23" s="380" t="s">
        <v>53</v>
      </c>
      <c r="F23" s="380" t="s">
        <v>1212</v>
      </c>
      <c r="G23" s="380" t="s">
        <v>55</v>
      </c>
      <c r="H23" s="230" t="s">
        <v>56</v>
      </c>
      <c r="I23" s="230" t="s">
        <v>57</v>
      </c>
      <c r="J23" s="5"/>
      <c r="K23" s="292"/>
      <c r="L23" s="379" t="s">
        <v>59</v>
      </c>
      <c r="M23" s="379" t="s">
        <v>60</v>
      </c>
      <c r="N23" s="379" t="s">
        <v>436</v>
      </c>
      <c r="O23" s="379" t="s">
        <v>437</v>
      </c>
      <c r="P23" s="3" t="s">
        <v>541</v>
      </c>
      <c r="Q23" s="381" t="s">
        <v>438</v>
      </c>
      <c r="R23" s="293" t="s">
        <v>65</v>
      </c>
      <c r="S23" s="5"/>
      <c r="U23" s="377"/>
      <c r="V23" s="377"/>
    </row>
    <row r="24" spans="1:28" ht="15.75" hidden="1" customHeight="1" outlineLevel="1" x14ac:dyDescent="0.25">
      <c r="A24" s="6" t="s">
        <v>1213</v>
      </c>
      <c r="B24" s="6" t="s">
        <v>68</v>
      </c>
      <c r="C24" s="324"/>
      <c r="D24" s="103"/>
      <c r="E24" s="216" t="e">
        <f>D24*#REF!</f>
        <v>#REF!</v>
      </c>
      <c r="F24" s="216" t="e">
        <f>D24*#REF!</f>
        <v>#REF!</v>
      </c>
      <c r="G24" s="216" t="e">
        <f>(D24*#REF!)*#REF!</f>
        <v>#REF!</v>
      </c>
      <c r="H24" s="211">
        <f t="shared" ref="H24:H44" si="5">IFERROR(((Q24-G24)/G24),0)</f>
        <v>0</v>
      </c>
      <c r="I24" s="7" t="e">
        <f t="shared" ref="I24:I44" si="6">Q24-G24</f>
        <v>#REF!</v>
      </c>
      <c r="J24" s="5"/>
      <c r="K24" s="324"/>
      <c r="L24" s="265">
        <v>237863</v>
      </c>
      <c r="M24" s="265">
        <v>248954.63</v>
      </c>
      <c r="N24" s="36">
        <v>195349</v>
      </c>
      <c r="O24" s="36">
        <f>VLOOKUP(A24,TB!A:F,3)</f>
        <v>145342.43</v>
      </c>
      <c r="P24" s="36"/>
      <c r="Q24" s="36">
        <v>214000</v>
      </c>
      <c r="R24" s="281">
        <f>VLOOKUP(A24,TB!A:F,6)</f>
        <v>214000</v>
      </c>
      <c r="S24" s="5"/>
      <c r="U24" s="377"/>
      <c r="V24" s="377"/>
    </row>
    <row r="25" spans="1:28" ht="15.75" hidden="1" customHeight="1" outlineLevel="1" x14ac:dyDescent="0.25">
      <c r="A25" s="6" t="s">
        <v>1214</v>
      </c>
      <c r="B25" s="6" t="s">
        <v>70</v>
      </c>
      <c r="C25" s="280"/>
      <c r="D25" s="216"/>
      <c r="E25" s="216" t="e">
        <f>D25*#REF!</f>
        <v>#REF!</v>
      </c>
      <c r="F25" s="216" t="e">
        <f>D25*#REF!</f>
        <v>#REF!</v>
      </c>
      <c r="G25" s="216" t="e">
        <f>(D25*#REF!)*#REF!</f>
        <v>#REF!</v>
      </c>
      <c r="H25" s="211">
        <f t="shared" si="5"/>
        <v>0</v>
      </c>
      <c r="I25" s="7" t="e">
        <f t="shared" si="6"/>
        <v>#REF!</v>
      </c>
      <c r="J25" s="5"/>
      <c r="K25" s="280"/>
      <c r="L25" s="216">
        <v>2502</v>
      </c>
      <c r="M25" s="216">
        <v>2773.02</v>
      </c>
      <c r="N25" s="36">
        <v>4875</v>
      </c>
      <c r="O25" s="36">
        <f>VLOOKUP(A25,TB!A:F,3)</f>
        <v>762.64</v>
      </c>
      <c r="P25" s="36"/>
      <c r="Q25" s="36">
        <v>4900</v>
      </c>
      <c r="R25" s="281">
        <f>VLOOKUP(A25,TB!A:F,6)</f>
        <v>3025</v>
      </c>
      <c r="S25" s="5"/>
      <c r="U25" s="377"/>
      <c r="V25" s="377"/>
    </row>
    <row r="26" spans="1:28" ht="15.75" hidden="1" customHeight="1" outlineLevel="1" x14ac:dyDescent="0.25">
      <c r="A26" s="6" t="s">
        <v>1215</v>
      </c>
      <c r="B26" s="6" t="s">
        <v>132</v>
      </c>
      <c r="C26" s="323"/>
      <c r="D26" s="319"/>
      <c r="E26" s="216" t="e">
        <f>D26*#REF!</f>
        <v>#REF!</v>
      </c>
      <c r="F26" s="216" t="e">
        <f>D26*#REF!</f>
        <v>#REF!</v>
      </c>
      <c r="G26" s="216" t="e">
        <f>(D26*#REF!)*#REF!</f>
        <v>#REF!</v>
      </c>
      <c r="H26" s="211">
        <f t="shared" si="5"/>
        <v>0</v>
      </c>
      <c r="I26" s="7" t="e">
        <f t="shared" si="6"/>
        <v>#REF!</v>
      </c>
      <c r="J26" s="5"/>
      <c r="K26" s="323"/>
      <c r="L26" s="216">
        <v>0</v>
      </c>
      <c r="M26" s="216">
        <v>0</v>
      </c>
      <c r="N26" s="36">
        <v>7500</v>
      </c>
      <c r="O26" s="36">
        <f>VLOOKUP(A26,TB!A:F,3)</f>
        <v>287.13</v>
      </c>
      <c r="P26" s="36"/>
      <c r="Q26" s="36">
        <v>7500</v>
      </c>
      <c r="R26" s="281">
        <f>VLOOKUP(A26,TB!A:F,6)</f>
        <v>7500</v>
      </c>
      <c r="S26" s="5"/>
      <c r="U26" s="377"/>
      <c r="V26" s="377"/>
    </row>
    <row r="27" spans="1:28" ht="15.75" hidden="1" customHeight="1" outlineLevel="1" x14ac:dyDescent="0.25">
      <c r="A27" s="6" t="s">
        <v>1216</v>
      </c>
      <c r="B27" s="6" t="s">
        <v>72</v>
      </c>
      <c r="C27" s="280"/>
      <c r="D27" s="216"/>
      <c r="E27" s="216" t="e">
        <f>D27*#REF!</f>
        <v>#REF!</v>
      </c>
      <c r="F27" s="216" t="e">
        <f>D27*#REF!</f>
        <v>#REF!</v>
      </c>
      <c r="G27" s="216" t="e">
        <f>(D27*#REF!)*#REF!</f>
        <v>#REF!</v>
      </c>
      <c r="H27" s="211">
        <f t="shared" si="5"/>
        <v>0</v>
      </c>
      <c r="I27" s="7" t="e">
        <f t="shared" si="6"/>
        <v>#REF!</v>
      </c>
      <c r="J27" s="5"/>
      <c r="K27" s="280"/>
      <c r="L27" s="216">
        <v>113759</v>
      </c>
      <c r="M27" s="216">
        <v>122715.3</v>
      </c>
      <c r="N27" s="36">
        <v>112213</v>
      </c>
      <c r="O27" s="36">
        <f>VLOOKUP(A27,TB!A:F,3)</f>
        <v>71660.02</v>
      </c>
      <c r="P27" s="36"/>
      <c r="Q27" s="36">
        <v>108500</v>
      </c>
      <c r="R27" s="281">
        <f>VLOOKUP(A27,TB!A:F,6)</f>
        <v>108500</v>
      </c>
      <c r="S27" s="5"/>
      <c r="U27" s="377"/>
      <c r="V27" s="377"/>
    </row>
    <row r="28" spans="1:28" ht="15.75" hidden="1" customHeight="1" outlineLevel="1" x14ac:dyDescent="0.25">
      <c r="A28" s="6" t="s">
        <v>1217</v>
      </c>
      <c r="B28" s="6" t="s">
        <v>74</v>
      </c>
      <c r="C28" s="280"/>
      <c r="D28" s="216"/>
      <c r="E28" s="216" t="e">
        <f>D28*#REF!</f>
        <v>#REF!</v>
      </c>
      <c r="F28" s="216" t="e">
        <f>D28*#REF!</f>
        <v>#REF!</v>
      </c>
      <c r="G28" s="216" t="e">
        <f>(D28*#REF!)*#REF!</f>
        <v>#REF!</v>
      </c>
      <c r="H28" s="211">
        <f t="shared" si="5"/>
        <v>0</v>
      </c>
      <c r="I28" s="7" t="e">
        <f t="shared" si="6"/>
        <v>#REF!</v>
      </c>
      <c r="J28" s="5"/>
      <c r="K28" s="280"/>
      <c r="L28" s="216">
        <v>1179</v>
      </c>
      <c r="M28" s="216">
        <v>1790.8</v>
      </c>
      <c r="N28" s="36">
        <v>2200</v>
      </c>
      <c r="O28" s="36">
        <f>VLOOKUP(A28,TB!A:F,3)</f>
        <v>1194.02</v>
      </c>
      <c r="P28" s="36"/>
      <c r="Q28" s="36">
        <v>3600</v>
      </c>
      <c r="R28" s="281">
        <f>VLOOKUP(A28,TB!A:F,6)</f>
        <v>2475</v>
      </c>
      <c r="S28" s="5"/>
      <c r="U28" s="377"/>
      <c r="V28" s="377"/>
    </row>
    <row r="29" spans="1:28" ht="15.75" hidden="1" customHeight="1" outlineLevel="1" x14ac:dyDescent="0.25">
      <c r="A29" s="6" t="s">
        <v>1218</v>
      </c>
      <c r="B29" s="6" t="s">
        <v>76</v>
      </c>
      <c r="C29" s="280"/>
      <c r="D29" s="216"/>
      <c r="E29" s="216" t="e">
        <f>D29*#REF!</f>
        <v>#REF!</v>
      </c>
      <c r="F29" s="216" t="e">
        <f>D29*#REF!</f>
        <v>#REF!</v>
      </c>
      <c r="G29" s="216" t="e">
        <f>(D29*#REF!)*#REF!</f>
        <v>#REF!</v>
      </c>
      <c r="H29" s="211">
        <f t="shared" si="5"/>
        <v>0</v>
      </c>
      <c r="I29" s="7" t="e">
        <f t="shared" si="6"/>
        <v>#REF!</v>
      </c>
      <c r="J29" s="5"/>
      <c r="K29" s="280"/>
      <c r="L29" s="216">
        <v>4912</v>
      </c>
      <c r="M29" s="216">
        <v>3803.78</v>
      </c>
      <c r="N29" s="36">
        <v>2625</v>
      </c>
      <c r="O29" s="36">
        <f>VLOOKUP(A29,TB!A:F,3)</f>
        <v>1915.6</v>
      </c>
      <c r="P29" s="36"/>
      <c r="Q29" s="36">
        <v>5250</v>
      </c>
      <c r="R29" s="281">
        <f>VLOOKUP(A29,TB!A:F,6)</f>
        <v>3750</v>
      </c>
      <c r="S29" s="5"/>
      <c r="U29" s="377"/>
      <c r="V29" s="377"/>
    </row>
    <row r="30" spans="1:28" ht="15.75" hidden="1" customHeight="1" outlineLevel="1" x14ac:dyDescent="0.25">
      <c r="A30" s="6" t="s">
        <v>1219</v>
      </c>
      <c r="B30" s="6" t="s">
        <v>80</v>
      </c>
      <c r="C30" s="323"/>
      <c r="D30" s="319"/>
      <c r="E30" s="216" t="e">
        <f>D30*#REF!</f>
        <v>#REF!</v>
      </c>
      <c r="F30" s="216" t="e">
        <f>D30*#REF!</f>
        <v>#REF!</v>
      </c>
      <c r="G30" s="216" t="e">
        <f>(D30*#REF!)*#REF!</f>
        <v>#REF!</v>
      </c>
      <c r="H30" s="211">
        <f t="shared" si="5"/>
        <v>0</v>
      </c>
      <c r="I30" s="7" t="e">
        <f t="shared" si="6"/>
        <v>#REF!</v>
      </c>
      <c r="J30" s="5"/>
      <c r="K30" s="323"/>
      <c r="L30" s="216">
        <v>5613</v>
      </c>
      <c r="M30" s="216">
        <v>9195.85</v>
      </c>
      <c r="N30" s="36">
        <v>8250</v>
      </c>
      <c r="O30" s="36">
        <f>VLOOKUP(A30,TB!A:F,3)</f>
        <v>5101.76</v>
      </c>
      <c r="P30" s="36"/>
      <c r="Q30" s="36">
        <v>8250</v>
      </c>
      <c r="R30" s="281">
        <f>VLOOKUP(A30,TB!A:F,6)</f>
        <v>7500</v>
      </c>
      <c r="S30" s="5"/>
      <c r="U30" s="377"/>
      <c r="V30" s="377"/>
    </row>
    <row r="31" spans="1:28" ht="15.75" hidden="1" customHeight="1" outlineLevel="1" x14ac:dyDescent="0.25">
      <c r="A31" s="6" t="s">
        <v>1220</v>
      </c>
      <c r="B31" s="6" t="s">
        <v>82</v>
      </c>
      <c r="C31" s="280"/>
      <c r="D31" s="216"/>
      <c r="E31" s="216" t="e">
        <f>D31*#REF!</f>
        <v>#REF!</v>
      </c>
      <c r="F31" s="216" t="e">
        <f>D31*#REF!</f>
        <v>#REF!</v>
      </c>
      <c r="G31" s="216" t="e">
        <f>(D31*#REF!)*#REF!</f>
        <v>#REF!</v>
      </c>
      <c r="H31" s="211">
        <f t="shared" si="5"/>
        <v>0</v>
      </c>
      <c r="I31" s="7" t="e">
        <f t="shared" si="6"/>
        <v>#REF!</v>
      </c>
      <c r="J31" s="5"/>
      <c r="K31" s="280"/>
      <c r="L31" s="216">
        <v>9382</v>
      </c>
      <c r="M31" s="216">
        <v>7600.31</v>
      </c>
      <c r="N31" s="36">
        <v>7875</v>
      </c>
      <c r="O31" s="36">
        <f>VLOOKUP(A31,TB!A:F,3)</f>
        <v>2432.4299999999998</v>
      </c>
      <c r="P31" s="36"/>
      <c r="Q31" s="36">
        <v>7875</v>
      </c>
      <c r="R31" s="281">
        <f>VLOOKUP(A31,TB!A:F,6)</f>
        <v>7500</v>
      </c>
      <c r="S31" s="5"/>
      <c r="U31" s="377"/>
      <c r="V31" s="377"/>
    </row>
    <row r="32" spans="1:28" ht="15.75" hidden="1" customHeight="1" outlineLevel="1" x14ac:dyDescent="0.25">
      <c r="A32" s="6" t="s">
        <v>1221</v>
      </c>
      <c r="B32" s="6" t="s">
        <v>115</v>
      </c>
      <c r="C32" s="280"/>
      <c r="D32" s="216"/>
      <c r="E32" s="216" t="e">
        <f>D32*#REF!</f>
        <v>#REF!</v>
      </c>
      <c r="F32" s="216" t="e">
        <f>D32*#REF!</f>
        <v>#REF!</v>
      </c>
      <c r="G32" s="216" t="e">
        <f>(D32*#REF!)*#REF!</f>
        <v>#REF!</v>
      </c>
      <c r="H32" s="211">
        <f t="shared" si="5"/>
        <v>0</v>
      </c>
      <c r="I32" s="7" t="e">
        <f t="shared" si="6"/>
        <v>#REF!</v>
      </c>
      <c r="J32" s="5"/>
      <c r="K32" s="280"/>
      <c r="L32" s="216">
        <v>7100</v>
      </c>
      <c r="M32" s="216">
        <v>4346.7299999999996</v>
      </c>
      <c r="N32" s="36">
        <v>5250</v>
      </c>
      <c r="O32" s="36">
        <f>VLOOKUP(A32,TB!A:F,3)</f>
        <v>594.66999999999996</v>
      </c>
      <c r="P32" s="36"/>
      <c r="Q32" s="36">
        <v>5250</v>
      </c>
      <c r="R32" s="281">
        <f>VLOOKUP(A32,TB!A:F,6)</f>
        <v>3750</v>
      </c>
      <c r="S32" s="5"/>
      <c r="U32" s="377"/>
      <c r="V32" s="377"/>
    </row>
    <row r="33" spans="1:22" ht="15.75" hidden="1" customHeight="1" outlineLevel="1" x14ac:dyDescent="0.25">
      <c r="A33" s="6" t="s">
        <v>1222</v>
      </c>
      <c r="B33" s="6" t="s">
        <v>555</v>
      </c>
      <c r="C33" s="280"/>
      <c r="D33" s="216"/>
      <c r="E33" s="216" t="e">
        <f>D33*#REF!</f>
        <v>#REF!</v>
      </c>
      <c r="F33" s="216" t="e">
        <f>D33*#REF!</f>
        <v>#REF!</v>
      </c>
      <c r="G33" s="216" t="e">
        <f>(D33*#REF!)*#REF!</f>
        <v>#REF!</v>
      </c>
      <c r="H33" s="211">
        <f t="shared" si="5"/>
        <v>0</v>
      </c>
      <c r="I33" s="7" t="e">
        <f t="shared" si="6"/>
        <v>#REF!</v>
      </c>
      <c r="J33" s="5"/>
      <c r="K33" s="280"/>
      <c r="L33" s="216">
        <v>94794</v>
      </c>
      <c r="M33" s="216">
        <v>104562.55</v>
      </c>
      <c r="N33" s="36">
        <v>82575</v>
      </c>
      <c r="O33" s="36">
        <f>VLOOKUP(A33,TB!A:F,3)</f>
        <v>42196.22</v>
      </c>
      <c r="P33" s="36"/>
      <c r="Q33" s="36">
        <v>82575</v>
      </c>
      <c r="R33" s="281">
        <f>VLOOKUP(A33,TB!A:F,6)</f>
        <v>75075</v>
      </c>
      <c r="S33" s="5"/>
      <c r="U33" s="377"/>
      <c r="V33" s="377"/>
    </row>
    <row r="34" spans="1:22" ht="15.75" hidden="1" customHeight="1" outlineLevel="1" x14ac:dyDescent="0.25">
      <c r="A34" s="6" t="s">
        <v>1223</v>
      </c>
      <c r="B34" s="6" t="s">
        <v>277</v>
      </c>
      <c r="C34" s="323"/>
      <c r="D34" s="319"/>
      <c r="E34" s="216" t="e">
        <f>D34*#REF!</f>
        <v>#REF!</v>
      </c>
      <c r="F34" s="216" t="e">
        <f>D34*#REF!</f>
        <v>#REF!</v>
      </c>
      <c r="G34" s="216" t="e">
        <f>(D34*#REF!)*#REF!</f>
        <v>#REF!</v>
      </c>
      <c r="H34" s="211">
        <f t="shared" si="5"/>
        <v>0</v>
      </c>
      <c r="I34" s="7" t="e">
        <f t="shared" si="6"/>
        <v>#REF!</v>
      </c>
      <c r="J34" s="5"/>
      <c r="K34" s="323"/>
      <c r="L34" s="216">
        <v>93830</v>
      </c>
      <c r="M34" s="216">
        <v>67264.539999999994</v>
      </c>
      <c r="N34" s="36">
        <v>104100</v>
      </c>
      <c r="O34" s="36">
        <f>VLOOKUP(A34,TB!A:F,3)</f>
        <v>39053.31</v>
      </c>
      <c r="P34" s="36"/>
      <c r="Q34" s="36">
        <v>104100</v>
      </c>
      <c r="R34" s="281">
        <f>VLOOKUP(A34,TB!A:F,6)</f>
        <v>75000</v>
      </c>
      <c r="S34" s="5"/>
      <c r="U34" s="377"/>
      <c r="V34" s="377"/>
    </row>
    <row r="35" spans="1:22" ht="15.75" hidden="1" customHeight="1" outlineLevel="1" x14ac:dyDescent="0.25">
      <c r="A35" s="6" t="s">
        <v>1224</v>
      </c>
      <c r="B35" s="6" t="s">
        <v>84</v>
      </c>
      <c r="C35" s="323"/>
      <c r="D35" s="319"/>
      <c r="E35" s="216" t="e">
        <f>D35*#REF!</f>
        <v>#REF!</v>
      </c>
      <c r="F35" s="216" t="e">
        <f>D35*#REF!</f>
        <v>#REF!</v>
      </c>
      <c r="G35" s="216" t="e">
        <f>(D35*#REF!)*#REF!</f>
        <v>#REF!</v>
      </c>
      <c r="H35" s="211">
        <f t="shared" si="5"/>
        <v>0</v>
      </c>
      <c r="I35" s="7" t="e">
        <f t="shared" si="6"/>
        <v>#REF!</v>
      </c>
      <c r="J35" s="5"/>
      <c r="K35" s="323"/>
      <c r="L35" s="216">
        <v>3931</v>
      </c>
      <c r="M35" s="216">
        <v>2622.08</v>
      </c>
      <c r="N35" s="36">
        <v>3750</v>
      </c>
      <c r="O35" s="36">
        <f>VLOOKUP(A35,TB!A:F,3)</f>
        <v>1383.52</v>
      </c>
      <c r="P35" s="36"/>
      <c r="Q35" s="36">
        <v>3300</v>
      </c>
      <c r="R35" s="281">
        <f>VLOOKUP(A35,TB!A:F,6)</f>
        <v>3300</v>
      </c>
      <c r="S35" s="5"/>
      <c r="U35" s="377"/>
      <c r="V35" s="377"/>
    </row>
    <row r="36" spans="1:22" ht="15.75" hidden="1" customHeight="1" outlineLevel="1" x14ac:dyDescent="0.25">
      <c r="A36" s="6" t="s">
        <v>1225</v>
      </c>
      <c r="B36" s="6" t="s">
        <v>86</v>
      </c>
      <c r="C36" s="280"/>
      <c r="D36" s="216"/>
      <c r="E36" s="216" t="e">
        <f>D36*#REF!</f>
        <v>#REF!</v>
      </c>
      <c r="F36" s="216" t="e">
        <f>D36*#REF!</f>
        <v>#REF!</v>
      </c>
      <c r="G36" s="216" t="e">
        <f>(D36*#REF!)*#REF!</f>
        <v>#REF!</v>
      </c>
      <c r="H36" s="211">
        <f t="shared" si="5"/>
        <v>0</v>
      </c>
      <c r="I36" s="7" t="e">
        <f t="shared" si="6"/>
        <v>#REF!</v>
      </c>
      <c r="J36" s="5"/>
      <c r="K36" s="280"/>
      <c r="L36" s="216">
        <v>0</v>
      </c>
      <c r="M36" s="216">
        <v>231.75</v>
      </c>
      <c r="N36" s="36">
        <v>3750</v>
      </c>
      <c r="O36" s="36">
        <f>VLOOKUP(A36,TB!A:F,3)</f>
        <v>0</v>
      </c>
      <c r="P36" s="36"/>
      <c r="Q36" s="36">
        <v>7500</v>
      </c>
      <c r="R36" s="281">
        <f>VLOOKUP(A36,TB!A:F,6)</f>
        <v>3750</v>
      </c>
      <c r="S36" s="5"/>
      <c r="U36" s="377"/>
      <c r="V36" s="377"/>
    </row>
    <row r="37" spans="1:22" ht="15.75" hidden="1" customHeight="1" outlineLevel="1" x14ac:dyDescent="0.25">
      <c r="A37" s="6" t="s">
        <v>1226</v>
      </c>
      <c r="B37" s="6" t="s">
        <v>1160</v>
      </c>
      <c r="C37" s="323"/>
      <c r="D37" s="319"/>
      <c r="E37" s="216" t="e">
        <f>D37*#REF!</f>
        <v>#REF!</v>
      </c>
      <c r="F37" s="216" t="e">
        <f>D37*#REF!</f>
        <v>#REF!</v>
      </c>
      <c r="G37" s="216" t="e">
        <f>(D37*#REF!)*#REF!</f>
        <v>#REF!</v>
      </c>
      <c r="H37" s="211">
        <f t="shared" si="5"/>
        <v>0</v>
      </c>
      <c r="I37" s="7" t="e">
        <f t="shared" si="6"/>
        <v>#REF!</v>
      </c>
      <c r="J37" s="5"/>
      <c r="K37" s="323"/>
      <c r="L37" s="216">
        <v>700</v>
      </c>
      <c r="M37" s="216">
        <v>308.08</v>
      </c>
      <c r="N37" s="36">
        <v>1575</v>
      </c>
      <c r="O37" s="36">
        <f>VLOOKUP(A37,TB!A:F,3)</f>
        <v>115.88</v>
      </c>
      <c r="P37" s="36"/>
      <c r="Q37" s="36">
        <v>1575</v>
      </c>
      <c r="R37" s="281">
        <f>VLOOKUP(A37,TB!A:F,6)</f>
        <v>1575</v>
      </c>
      <c r="S37" s="5"/>
      <c r="U37" s="377"/>
      <c r="V37" s="377"/>
    </row>
    <row r="38" spans="1:22" ht="15.75" hidden="1" customHeight="1" outlineLevel="1" x14ac:dyDescent="0.25">
      <c r="A38" s="6" t="s">
        <v>1227</v>
      </c>
      <c r="B38" s="6" t="s">
        <v>90</v>
      </c>
      <c r="C38" s="323"/>
      <c r="D38" s="319"/>
      <c r="E38" s="216" t="e">
        <f>D38*#REF!</f>
        <v>#REF!</v>
      </c>
      <c r="F38" s="216" t="e">
        <f>D38*#REF!</f>
        <v>#REF!</v>
      </c>
      <c r="G38" s="216" t="e">
        <f>(D38*#REF!)*#REF!</f>
        <v>#REF!</v>
      </c>
      <c r="H38" s="211">
        <f t="shared" si="5"/>
        <v>0</v>
      </c>
      <c r="I38" s="7" t="e">
        <f t="shared" si="6"/>
        <v>#REF!</v>
      </c>
      <c r="J38" s="5"/>
      <c r="K38" s="323"/>
      <c r="L38" s="216">
        <v>0</v>
      </c>
      <c r="M38" s="216">
        <v>0</v>
      </c>
      <c r="N38" s="36">
        <v>2625</v>
      </c>
      <c r="O38" s="36">
        <f>VLOOKUP(A38,TB!A:F,3)</f>
        <v>1328.68</v>
      </c>
      <c r="P38" s="36"/>
      <c r="Q38" s="36">
        <v>6000</v>
      </c>
      <c r="R38" s="281">
        <f>VLOOKUP(A38,TB!A:F,6)</f>
        <v>3750</v>
      </c>
      <c r="S38" s="5"/>
      <c r="U38" s="377"/>
      <c r="V38" s="377"/>
    </row>
    <row r="39" spans="1:22" ht="15.75" hidden="1" customHeight="1" outlineLevel="1" x14ac:dyDescent="0.25">
      <c r="A39" s="6" t="s">
        <v>1228</v>
      </c>
      <c r="B39" s="6" t="s">
        <v>1209</v>
      </c>
      <c r="C39" s="323"/>
      <c r="D39" s="319"/>
      <c r="E39" s="216" t="e">
        <f>D39*#REF!</f>
        <v>#REF!</v>
      </c>
      <c r="F39" s="216" t="e">
        <f>D39*#REF!</f>
        <v>#REF!</v>
      </c>
      <c r="G39" s="216" t="e">
        <f>(D39*#REF!)*#REF!</f>
        <v>#REF!</v>
      </c>
      <c r="H39" s="211">
        <f t="shared" si="5"/>
        <v>0</v>
      </c>
      <c r="I39" s="7" t="e">
        <f t="shared" si="6"/>
        <v>#REF!</v>
      </c>
      <c r="J39" s="5"/>
      <c r="K39" s="323"/>
      <c r="L39" s="216">
        <v>0</v>
      </c>
      <c r="M39" s="216">
        <v>2374.91</v>
      </c>
      <c r="N39" s="36">
        <v>4500</v>
      </c>
      <c r="O39" s="36">
        <f>VLOOKUP(A39,TB!A:F,3)</f>
        <v>2538.64</v>
      </c>
      <c r="P39" s="36"/>
      <c r="Q39" s="36">
        <v>4500</v>
      </c>
      <c r="R39" s="281">
        <f>VLOOKUP(A39,TB!A:F,6)</f>
        <v>3750</v>
      </c>
      <c r="S39" s="5"/>
      <c r="U39" s="377"/>
      <c r="V39" s="377"/>
    </row>
    <row r="40" spans="1:22" ht="15.75" hidden="1" customHeight="1" outlineLevel="1" x14ac:dyDescent="0.25">
      <c r="A40" s="6" t="s">
        <v>1229</v>
      </c>
      <c r="B40" s="6" t="s">
        <v>92</v>
      </c>
      <c r="C40" s="280"/>
      <c r="D40" s="216"/>
      <c r="E40" s="216" t="e">
        <f>D40*#REF!</f>
        <v>#REF!</v>
      </c>
      <c r="F40" s="216" t="e">
        <f>D40*#REF!</f>
        <v>#REF!</v>
      </c>
      <c r="G40" s="216" t="e">
        <f>(D40*#REF!)*#REF!</f>
        <v>#REF!</v>
      </c>
      <c r="H40" s="211">
        <f t="shared" si="5"/>
        <v>0</v>
      </c>
      <c r="I40" s="7" t="e">
        <f t="shared" si="6"/>
        <v>#REF!</v>
      </c>
      <c r="J40" s="5"/>
      <c r="K40" s="280"/>
      <c r="L40" s="216">
        <v>3366</v>
      </c>
      <c r="M40" s="216">
        <v>4463.66</v>
      </c>
      <c r="N40" s="36">
        <v>3000</v>
      </c>
      <c r="O40" s="36">
        <f>VLOOKUP(A40,TB!A:F,3)</f>
        <v>3333.02</v>
      </c>
      <c r="P40" s="36"/>
      <c r="Q40" s="36">
        <v>3000</v>
      </c>
      <c r="R40" s="281">
        <f>VLOOKUP(A40,TB!A:F,6)</f>
        <v>3000</v>
      </c>
      <c r="S40" s="5"/>
      <c r="U40" s="377"/>
      <c r="V40" s="377"/>
    </row>
    <row r="41" spans="1:22" ht="15.75" hidden="1" customHeight="1" outlineLevel="1" x14ac:dyDescent="0.25">
      <c r="A41" s="103" t="s">
        <v>1230</v>
      </c>
      <c r="B41" s="103" t="s">
        <v>94</v>
      </c>
      <c r="C41" s="323"/>
      <c r="D41" s="319"/>
      <c r="E41" s="216" t="e">
        <f>D41*#REF!</f>
        <v>#REF!</v>
      </c>
      <c r="F41" s="216" t="e">
        <f>D41*#REF!</f>
        <v>#REF!</v>
      </c>
      <c r="G41" s="216" t="e">
        <f>(D41*#REF!)*#REF!</f>
        <v>#REF!</v>
      </c>
      <c r="H41" s="211">
        <f t="shared" si="5"/>
        <v>0</v>
      </c>
      <c r="I41" s="7" t="e">
        <f t="shared" si="6"/>
        <v>#REF!</v>
      </c>
      <c r="J41" s="5"/>
      <c r="K41" s="323"/>
      <c r="L41" s="216">
        <v>0</v>
      </c>
      <c r="M41" s="216">
        <v>0</v>
      </c>
      <c r="N41" s="216">
        <v>0</v>
      </c>
      <c r="O41" s="36">
        <v>0</v>
      </c>
      <c r="P41" s="216"/>
      <c r="Q41" s="216">
        <v>0</v>
      </c>
      <c r="R41" s="281">
        <v>0</v>
      </c>
      <c r="S41" s="5"/>
      <c r="U41" s="377"/>
      <c r="V41" s="377"/>
    </row>
    <row r="42" spans="1:22" ht="15.75" hidden="1" customHeight="1" outlineLevel="1" x14ac:dyDescent="0.25">
      <c r="A42" s="103" t="s">
        <v>1231</v>
      </c>
      <c r="B42" s="103" t="s">
        <v>532</v>
      </c>
      <c r="C42" s="323"/>
      <c r="D42" s="319"/>
      <c r="E42" s="216" t="e">
        <f>D42*#REF!</f>
        <v>#REF!</v>
      </c>
      <c r="F42" s="216" t="e">
        <f>D42*#REF!</f>
        <v>#REF!</v>
      </c>
      <c r="G42" s="216" t="e">
        <f>(D42*#REF!)*#REF!</f>
        <v>#REF!</v>
      </c>
      <c r="H42" s="211">
        <f t="shared" si="5"/>
        <v>0</v>
      </c>
      <c r="I42" s="7" t="e">
        <f t="shared" si="6"/>
        <v>#REF!</v>
      </c>
      <c r="J42" s="5"/>
      <c r="K42" s="323"/>
      <c r="L42" s="216">
        <v>0</v>
      </c>
      <c r="M42" s="216">
        <v>21395</v>
      </c>
      <c r="N42" s="216">
        <v>0</v>
      </c>
      <c r="O42" s="36">
        <f>VLOOKUP(A42,TB!A:F,3)</f>
        <v>0</v>
      </c>
      <c r="P42" s="216"/>
      <c r="Q42" s="216">
        <v>0</v>
      </c>
      <c r="R42" s="281">
        <f>VLOOKUP(A42,TB!A:F,6)</f>
        <v>0</v>
      </c>
      <c r="S42" s="5"/>
      <c r="U42" s="377"/>
      <c r="V42" s="377"/>
    </row>
    <row r="43" spans="1:22" ht="15.75" hidden="1" customHeight="1" outlineLevel="1" x14ac:dyDescent="0.25">
      <c r="A43" s="103" t="s">
        <v>1232</v>
      </c>
      <c r="B43" s="103" t="s">
        <v>99</v>
      </c>
      <c r="C43" s="323"/>
      <c r="D43" s="319"/>
      <c r="E43" s="216" t="e">
        <f>D43*#REF!</f>
        <v>#REF!</v>
      </c>
      <c r="F43" s="216" t="e">
        <f>D43*#REF!</f>
        <v>#REF!</v>
      </c>
      <c r="G43" s="216" t="e">
        <f>(D43*#REF!)*#REF!</f>
        <v>#REF!</v>
      </c>
      <c r="H43" s="211">
        <f t="shared" si="5"/>
        <v>0</v>
      </c>
      <c r="I43" s="7" t="e">
        <f t="shared" si="6"/>
        <v>#REF!</v>
      </c>
      <c r="J43" s="5"/>
      <c r="K43" s="323"/>
      <c r="L43" s="216">
        <v>93217</v>
      </c>
      <c r="M43" s="216">
        <v>109235.5</v>
      </c>
      <c r="N43" s="216">
        <v>0</v>
      </c>
      <c r="O43" s="36">
        <f>VLOOKUP(A43,TB!A:F,3)</f>
        <v>0</v>
      </c>
      <c r="P43" s="216"/>
      <c r="Q43" s="216">
        <v>0</v>
      </c>
      <c r="R43" s="281">
        <f>VLOOKUP(A43,TB!A:F,6)</f>
        <v>0</v>
      </c>
      <c r="S43" s="5"/>
      <c r="U43" s="377"/>
      <c r="V43" s="377"/>
    </row>
    <row r="44" spans="1:22" ht="15.75" hidden="1" customHeight="1" outlineLevel="1" x14ac:dyDescent="0.25">
      <c r="A44" s="47" t="s">
        <v>1211</v>
      </c>
      <c r="B44" s="48"/>
      <c r="C44" s="325"/>
      <c r="D44" s="48">
        <f t="shared" ref="D44:G44" si="7">SUM(D24:D43)</f>
        <v>0</v>
      </c>
      <c r="E44" s="48" t="e">
        <f t="shared" si="7"/>
        <v>#REF!</v>
      </c>
      <c r="F44" s="48" t="e">
        <f t="shared" si="7"/>
        <v>#REF!</v>
      </c>
      <c r="G44" s="48" t="e">
        <f t="shared" si="7"/>
        <v>#REF!</v>
      </c>
      <c r="H44" s="212">
        <f t="shared" si="5"/>
        <v>0</v>
      </c>
      <c r="I44" s="12" t="e">
        <f t="shared" si="6"/>
        <v>#REF!</v>
      </c>
      <c r="J44" s="5"/>
      <c r="K44" s="325"/>
      <c r="L44" s="12">
        <f t="shared" ref="L44:O44" si="8">SUM(L24:L43)</f>
        <v>672148</v>
      </c>
      <c r="M44" s="12">
        <f t="shared" si="8"/>
        <v>713638.49</v>
      </c>
      <c r="N44" s="12">
        <f t="shared" si="8"/>
        <v>552012</v>
      </c>
      <c r="O44" s="12">
        <f t="shared" si="8"/>
        <v>319239.97000000009</v>
      </c>
      <c r="P44" s="12"/>
      <c r="Q44" s="12">
        <f t="shared" ref="Q44:R44" si="9">SUM(Q24:Q43)</f>
        <v>577675</v>
      </c>
      <c r="R44" s="12">
        <f t="shared" si="9"/>
        <v>527200</v>
      </c>
      <c r="S44" s="5"/>
      <c r="U44" s="377"/>
      <c r="V44" s="377"/>
    </row>
    <row r="45" spans="1:22" ht="15.75" hidden="1" customHeight="1" outlineLevel="1" x14ac:dyDescent="0.2">
      <c r="A45" s="5"/>
      <c r="B45" s="5"/>
      <c r="C45" s="284"/>
      <c r="D45" s="5"/>
      <c r="E45" s="5"/>
      <c r="F45" s="5"/>
      <c r="G45" s="5"/>
      <c r="H45" s="5"/>
      <c r="I45" s="5"/>
      <c r="J45" s="5"/>
      <c r="K45" s="284"/>
      <c r="L45" s="5"/>
      <c r="M45" s="5"/>
      <c r="N45" s="5"/>
      <c r="O45" s="5"/>
      <c r="P45" s="5"/>
      <c r="Q45" s="5"/>
      <c r="R45" s="5"/>
      <c r="S45" s="5"/>
      <c r="U45" s="377"/>
      <c r="V45" s="377"/>
    </row>
    <row r="46" spans="1:22" ht="15.75" hidden="1" customHeight="1" outlineLevel="1" x14ac:dyDescent="0.2">
      <c r="A46" s="379" t="s">
        <v>50</v>
      </c>
      <c r="B46" s="379" t="s">
        <v>51</v>
      </c>
      <c r="C46" s="292"/>
      <c r="D46" s="379" t="s">
        <v>52</v>
      </c>
      <c r="E46" s="380" t="s">
        <v>53</v>
      </c>
      <c r="F46" s="380" t="s">
        <v>1212</v>
      </c>
      <c r="G46" s="380" t="s">
        <v>55</v>
      </c>
      <c r="H46" s="230" t="s">
        <v>56</v>
      </c>
      <c r="I46" s="230" t="s">
        <v>57</v>
      </c>
      <c r="J46" s="5"/>
      <c r="K46" s="292"/>
      <c r="L46" s="379" t="s">
        <v>59</v>
      </c>
      <c r="M46" s="379" t="s">
        <v>60</v>
      </c>
      <c r="N46" s="379" t="s">
        <v>436</v>
      </c>
      <c r="O46" s="379" t="s">
        <v>437</v>
      </c>
      <c r="P46" s="3" t="s">
        <v>541</v>
      </c>
      <c r="Q46" s="381" t="s">
        <v>438</v>
      </c>
      <c r="R46" s="293" t="s">
        <v>65</v>
      </c>
      <c r="S46" s="5"/>
      <c r="U46" s="377"/>
      <c r="V46" s="377"/>
    </row>
    <row r="47" spans="1:22" ht="15.75" hidden="1" customHeight="1" outlineLevel="1" x14ac:dyDescent="0.25">
      <c r="A47" s="6" t="s">
        <v>1233</v>
      </c>
      <c r="B47" s="6" t="s">
        <v>532</v>
      </c>
      <c r="C47" s="382"/>
      <c r="D47" s="112">
        <v>0</v>
      </c>
      <c r="E47" s="216" t="e">
        <f>D47*#REF!</f>
        <v>#REF!</v>
      </c>
      <c r="F47" s="216" t="e">
        <f>D47*#REF!</f>
        <v>#REF!</v>
      </c>
      <c r="G47" s="216" t="e">
        <f>(D47*#REF!)*#REF!</f>
        <v>#REF!</v>
      </c>
      <c r="H47" s="211">
        <f t="shared" ref="H47:H49" si="10">IFERROR(((Q47-G47)/G47),0)</f>
        <v>0</v>
      </c>
      <c r="I47" s="7" t="e">
        <f t="shared" ref="I47:I49" si="11">Q47-G47</f>
        <v>#REF!</v>
      </c>
      <c r="J47" s="5"/>
      <c r="K47" s="382"/>
      <c r="L47" s="36">
        <v>0</v>
      </c>
      <c r="M47" s="36">
        <v>0</v>
      </c>
      <c r="N47" s="36">
        <v>50000</v>
      </c>
      <c r="O47" s="36">
        <f>VLOOKUP(A47,TB!A:F,3)</f>
        <v>0</v>
      </c>
      <c r="P47" s="36"/>
      <c r="Q47" s="36">
        <v>0</v>
      </c>
      <c r="R47" s="281">
        <f>VLOOKUP(A47,TB!A:F,6)</f>
        <v>0</v>
      </c>
      <c r="S47" s="5"/>
      <c r="U47" s="377"/>
      <c r="V47" s="377"/>
    </row>
    <row r="48" spans="1:22" ht="15.75" hidden="1" customHeight="1" outlineLevel="1" x14ac:dyDescent="0.25">
      <c r="A48" s="6" t="s">
        <v>1234</v>
      </c>
      <c r="B48" s="6" t="s">
        <v>99</v>
      </c>
      <c r="C48" s="382"/>
      <c r="D48" s="112">
        <v>0</v>
      </c>
      <c r="E48" s="216" t="e">
        <f>D48*#REF!</f>
        <v>#REF!</v>
      </c>
      <c r="F48" s="216" t="e">
        <f>D48*#REF!</f>
        <v>#REF!</v>
      </c>
      <c r="G48" s="216" t="e">
        <f>(D48*#REF!)*#REF!</f>
        <v>#REF!</v>
      </c>
      <c r="H48" s="211">
        <f t="shared" si="10"/>
        <v>0</v>
      </c>
      <c r="I48" s="7" t="e">
        <f t="shared" si="11"/>
        <v>#REF!</v>
      </c>
      <c r="J48" s="5"/>
      <c r="K48" s="382"/>
      <c r="L48" s="36">
        <v>0</v>
      </c>
      <c r="M48" s="36">
        <v>0</v>
      </c>
      <c r="N48" s="36">
        <v>3750</v>
      </c>
      <c r="O48" s="36">
        <f>VLOOKUP(A48,TB!A:F,3)</f>
        <v>0</v>
      </c>
      <c r="P48" s="36"/>
      <c r="Q48" s="36">
        <v>23750</v>
      </c>
      <c r="R48" s="281">
        <f>VLOOKUP(A48,TB!A:F,6)</f>
        <v>0</v>
      </c>
      <c r="S48" s="5"/>
      <c r="U48" s="377"/>
      <c r="V48" s="377"/>
    </row>
    <row r="49" spans="1:23" ht="15.75" hidden="1" customHeight="1" outlineLevel="1" x14ac:dyDescent="0.25">
      <c r="A49" s="47" t="s">
        <v>1211</v>
      </c>
      <c r="B49" s="48"/>
      <c r="C49" s="325"/>
      <c r="D49" s="48">
        <f t="shared" ref="D49:G49" si="12">SUM(D47:D48)</f>
        <v>0</v>
      </c>
      <c r="E49" s="48" t="e">
        <f t="shared" si="12"/>
        <v>#REF!</v>
      </c>
      <c r="F49" s="48" t="e">
        <f t="shared" si="12"/>
        <v>#REF!</v>
      </c>
      <c r="G49" s="48" t="e">
        <f t="shared" si="12"/>
        <v>#REF!</v>
      </c>
      <c r="H49" s="212">
        <f t="shared" si="10"/>
        <v>0</v>
      </c>
      <c r="I49" s="12" t="e">
        <f t="shared" si="11"/>
        <v>#REF!</v>
      </c>
      <c r="J49" s="5"/>
      <c r="K49" s="325"/>
      <c r="L49" s="12">
        <f t="shared" ref="L49:O49" si="13">SUM(L47:L48)</f>
        <v>0</v>
      </c>
      <c r="M49" s="12">
        <f t="shared" si="13"/>
        <v>0</v>
      </c>
      <c r="N49" s="12">
        <f t="shared" si="13"/>
        <v>53750</v>
      </c>
      <c r="O49" s="12">
        <f t="shared" si="13"/>
        <v>0</v>
      </c>
      <c r="P49" s="12"/>
      <c r="Q49" s="12">
        <f t="shared" ref="Q49:R49" si="14">SUM(Q47:Q48)</f>
        <v>23750</v>
      </c>
      <c r="R49" s="12">
        <f t="shared" si="14"/>
        <v>0</v>
      </c>
      <c r="S49" s="5"/>
      <c r="U49" s="377"/>
      <c r="V49" s="377"/>
    </row>
    <row r="50" spans="1:23" ht="15.75" hidden="1" customHeight="1" outlineLevel="1" x14ac:dyDescent="0.2">
      <c r="A50" s="5"/>
      <c r="B50" s="5"/>
      <c r="C50" s="284"/>
      <c r="D50" s="5"/>
      <c r="E50" s="5"/>
      <c r="F50" s="5"/>
      <c r="G50" s="5"/>
      <c r="H50" s="5"/>
      <c r="I50" s="5"/>
      <c r="J50" s="5"/>
      <c r="K50" s="284"/>
      <c r="L50" s="5"/>
      <c r="M50" s="5"/>
      <c r="N50" s="5"/>
      <c r="O50" s="5"/>
      <c r="P50" s="5"/>
      <c r="Q50" s="5"/>
      <c r="R50" s="5"/>
      <c r="S50" s="5"/>
      <c r="U50" s="377"/>
      <c r="V50" s="377"/>
    </row>
    <row r="51" spans="1:23" ht="15" hidden="1" customHeight="1" outlineLevel="1" x14ac:dyDescent="0.2">
      <c r="A51" s="5"/>
      <c r="B51" s="5"/>
      <c r="C51" s="284"/>
      <c r="D51" s="5"/>
      <c r="E51" s="5"/>
      <c r="F51" s="5"/>
      <c r="G51" s="5"/>
      <c r="H51" s="5"/>
      <c r="I51" s="5"/>
      <c r="J51" s="5"/>
      <c r="K51" s="284"/>
      <c r="L51" s="5"/>
      <c r="M51" s="5"/>
      <c r="N51" s="5"/>
      <c r="O51" s="5"/>
      <c r="P51" s="5"/>
      <c r="Q51" s="5"/>
      <c r="R51" s="5"/>
      <c r="S51" s="5"/>
      <c r="U51" s="377"/>
      <c r="V51" s="377"/>
    </row>
    <row r="52" spans="1:23" ht="15.75" hidden="1" customHeight="1" outlineLevel="1" x14ac:dyDescent="0.2">
      <c r="A52" s="5"/>
      <c r="B52" s="5"/>
      <c r="C52" s="284"/>
      <c r="D52" s="5"/>
      <c r="E52" s="5"/>
      <c r="F52" s="5"/>
      <c r="G52" s="5"/>
      <c r="H52" s="5"/>
      <c r="I52" s="5"/>
      <c r="J52" s="5"/>
      <c r="K52" s="284"/>
      <c r="L52" s="5"/>
      <c r="M52" s="5"/>
      <c r="N52" s="5"/>
      <c r="O52" s="5"/>
      <c r="P52" s="5"/>
      <c r="Q52" s="5"/>
      <c r="R52" s="5"/>
      <c r="S52" s="5"/>
      <c r="U52" s="377"/>
      <c r="V52" s="377"/>
    </row>
    <row r="53" spans="1:23" ht="15.75" customHeight="1" x14ac:dyDescent="0.25">
      <c r="A53" s="6" t="s">
        <v>1235</v>
      </c>
      <c r="B53" s="6" t="s">
        <v>68</v>
      </c>
      <c r="C53" s="383"/>
      <c r="D53" s="266">
        <f t="shared" ref="D53:D70" si="15">SUMIF($B$24:$B$43,$B53,D$24:D$43)+SUMIF($B$2:$B$19,$B53,D$2:D$19)+SUMIF($B$47:$B$48,$B53,D$47:D$48)</f>
        <v>0</v>
      </c>
      <c r="E53" s="142" t="e">
        <f>D53*#REF!</f>
        <v>#REF!</v>
      </c>
      <c r="F53" s="142" t="e">
        <f>D53*#REF!</f>
        <v>#REF!</v>
      </c>
      <c r="G53" s="142" t="e">
        <f>(D53*#REF!)*#REF!</f>
        <v>#REF!</v>
      </c>
      <c r="H53" s="33">
        <f t="shared" ref="H53:H71" si="16">IFERROR(((Q53-G53)/G53),0)</f>
        <v>0</v>
      </c>
      <c r="I53" s="16" t="e">
        <f t="shared" ref="I53:I71" si="17">Q53-G53</f>
        <v>#REF!</v>
      </c>
      <c r="J53" s="384"/>
      <c r="K53" s="383"/>
      <c r="L53" s="265">
        <f t="shared" ref="L53:O53" si="18">SUMIF($B$24:$B$43,$B53,L$24:L$43)+SUMIF($B$2:$B$19,$B53,L$2:L$19)+SUMIF($B$47:$B$48,$B53,L$47:L$48)</f>
        <v>237863</v>
      </c>
      <c r="M53" s="265">
        <f t="shared" si="18"/>
        <v>248954.63</v>
      </c>
      <c r="N53" s="265">
        <f t="shared" si="18"/>
        <v>264042</v>
      </c>
      <c r="O53" s="265">
        <f t="shared" si="18"/>
        <v>190611.43</v>
      </c>
      <c r="P53" s="142">
        <f t="shared" ref="P53:P56" si="19">O53/20*26</f>
        <v>247794.859</v>
      </c>
      <c r="Q53" s="266">
        <f t="shared" ref="Q53:R53" si="20">SUMIF($B$24:$B$43,$B53,Q$24:Q$43)+SUMIF($B$2:$B$19,$B53,Q$2:Q$19)+SUMIF($B$47:$B$48,$B53,Q$47:Q$48)</f>
        <v>285300</v>
      </c>
      <c r="R53" s="315">
        <f t="shared" si="20"/>
        <v>285300</v>
      </c>
      <c r="S53" s="7">
        <f t="shared" ref="S53:S70" si="21">R53-Q53</f>
        <v>0</v>
      </c>
      <c r="U53" s="315">
        <v>71300</v>
      </c>
      <c r="V53" s="315">
        <v>214000</v>
      </c>
    </row>
    <row r="54" spans="1:23" ht="15.75" customHeight="1" x14ac:dyDescent="0.25">
      <c r="A54" s="6" t="s">
        <v>1235</v>
      </c>
      <c r="B54" s="6" t="s">
        <v>70</v>
      </c>
      <c r="C54" s="383"/>
      <c r="D54" s="266">
        <f t="shared" si="15"/>
        <v>0</v>
      </c>
      <c r="E54" s="142" t="e">
        <f>D54*#REF!</f>
        <v>#REF!</v>
      </c>
      <c r="F54" s="142" t="e">
        <f>D54*#REF!</f>
        <v>#REF!</v>
      </c>
      <c r="G54" s="142" t="e">
        <f>(D54*#REF!)*#REF!</f>
        <v>#REF!</v>
      </c>
      <c r="H54" s="33">
        <f t="shared" si="16"/>
        <v>0</v>
      </c>
      <c r="I54" s="16" t="e">
        <f t="shared" si="17"/>
        <v>#REF!</v>
      </c>
      <c r="J54" s="16">
        <v>-2500</v>
      </c>
      <c r="K54" s="383"/>
      <c r="L54" s="265">
        <f t="shared" ref="L54:O54" si="22">SUMIF($B$24:$B$43,$B54,L$24:L$43)+SUMIF($B$2:$B$19,$B54,L$2:L$19)+SUMIF($B$47:$B$48,$B54,L$47:L$48)</f>
        <v>2502</v>
      </c>
      <c r="M54" s="265">
        <f t="shared" si="22"/>
        <v>2773.02</v>
      </c>
      <c r="N54" s="265">
        <f t="shared" si="22"/>
        <v>6500</v>
      </c>
      <c r="O54" s="265">
        <f t="shared" si="22"/>
        <v>902.35</v>
      </c>
      <c r="P54" s="142">
        <f t="shared" si="19"/>
        <v>1173.0550000000001</v>
      </c>
      <c r="Q54" s="266">
        <f t="shared" ref="Q54:R54" si="23">SUMIF($B$24:$B$43,$B54,Q$24:Q$43)+SUMIF($B$2:$B$19,$B54,Q$2:Q$19)+SUMIF($B$47:$B$48,$B54,Q$47:Q$48)</f>
        <v>6600</v>
      </c>
      <c r="R54" s="315">
        <f t="shared" si="23"/>
        <v>4100</v>
      </c>
      <c r="S54" s="7">
        <f t="shared" si="21"/>
        <v>-2500</v>
      </c>
      <c r="U54" s="315">
        <v>1075</v>
      </c>
      <c r="V54" s="315">
        <v>3025</v>
      </c>
    </row>
    <row r="55" spans="1:23" ht="15.75" customHeight="1" x14ac:dyDescent="0.25">
      <c r="A55" s="6" t="s">
        <v>1235</v>
      </c>
      <c r="B55" s="6" t="s">
        <v>132</v>
      </c>
      <c r="C55" s="383"/>
      <c r="D55" s="266">
        <f t="shared" si="15"/>
        <v>0</v>
      </c>
      <c r="E55" s="142" t="e">
        <f>D55*#REF!</f>
        <v>#REF!</v>
      </c>
      <c r="F55" s="142" t="e">
        <f>D55*#REF!</f>
        <v>#REF!</v>
      </c>
      <c r="G55" s="142" t="e">
        <f>(D55*#REF!)*#REF!</f>
        <v>#REF!</v>
      </c>
      <c r="H55" s="33">
        <f t="shared" si="16"/>
        <v>0</v>
      </c>
      <c r="I55" s="16" t="e">
        <f t="shared" si="17"/>
        <v>#REF!</v>
      </c>
      <c r="J55" s="16"/>
      <c r="K55" s="383"/>
      <c r="L55" s="265">
        <f t="shared" ref="L55:O55" si="24">SUMIF($B$24:$B$43,$B55,L$24:L$43)+SUMIF($B$2:$B$19,$B55,L$2:L$19)+SUMIF($B$47:$B$48,$B55,L$47:L$48)</f>
        <v>0</v>
      </c>
      <c r="M55" s="265">
        <f t="shared" si="24"/>
        <v>0</v>
      </c>
      <c r="N55" s="265">
        <f t="shared" si="24"/>
        <v>10000</v>
      </c>
      <c r="O55" s="265">
        <f t="shared" si="24"/>
        <v>382.84</v>
      </c>
      <c r="P55" s="142">
        <f t="shared" si="19"/>
        <v>497.69200000000001</v>
      </c>
      <c r="Q55" s="266">
        <f t="shared" ref="Q55:R55" si="25">SUMIF($B$24:$B$43,$B55,Q$24:Q$43)+SUMIF($B$2:$B$19,$B55,Q$2:Q$19)+SUMIF($B$47:$B$48,$B55,Q$47:Q$48)</f>
        <v>10000</v>
      </c>
      <c r="R55" s="315">
        <f t="shared" si="25"/>
        <v>10000</v>
      </c>
      <c r="S55" s="7">
        <f t="shared" si="21"/>
        <v>0</v>
      </c>
      <c r="U55" s="315">
        <v>2500</v>
      </c>
      <c r="V55" s="315">
        <v>7500</v>
      </c>
    </row>
    <row r="56" spans="1:23" ht="15.75" customHeight="1" x14ac:dyDescent="0.25">
      <c r="A56" s="6" t="s">
        <v>1235</v>
      </c>
      <c r="B56" s="6" t="s">
        <v>72</v>
      </c>
      <c r="C56" s="383"/>
      <c r="D56" s="266">
        <f t="shared" si="15"/>
        <v>0</v>
      </c>
      <c r="E56" s="142" t="e">
        <f>D56*#REF!</f>
        <v>#REF!</v>
      </c>
      <c r="F56" s="142" t="e">
        <f>D56*#REF!</f>
        <v>#REF!</v>
      </c>
      <c r="G56" s="142" t="e">
        <f>(D56*#REF!)*#REF!</f>
        <v>#REF!</v>
      </c>
      <c r="H56" s="33">
        <f t="shared" si="16"/>
        <v>0</v>
      </c>
      <c r="I56" s="16" t="e">
        <f t="shared" si="17"/>
        <v>#REF!</v>
      </c>
      <c r="J56" s="16"/>
      <c r="K56" s="383"/>
      <c r="L56" s="265">
        <f t="shared" ref="L56:O56" si="26">SUMIF($B$24:$B$43,$B56,L$24:L$43)+SUMIF($B$2:$B$19,$B56,L$2:L$19)+SUMIF($B$47:$B$48,$B56,L$47:L$48)</f>
        <v>113759</v>
      </c>
      <c r="M56" s="265">
        <f t="shared" si="26"/>
        <v>122715.3</v>
      </c>
      <c r="N56" s="265">
        <f t="shared" si="26"/>
        <v>149599</v>
      </c>
      <c r="O56" s="265">
        <f t="shared" si="26"/>
        <v>92298.170000000013</v>
      </c>
      <c r="P56" s="142">
        <f t="shared" si="19"/>
        <v>119987.62100000001</v>
      </c>
      <c r="Q56" s="266">
        <f t="shared" ref="Q56:R56" si="27">SUMIF($B$24:$B$43,$B56,Q$24:Q$43)+SUMIF($B$2:$B$19,$B56,Q$2:Q$19)+SUMIF($B$47:$B$48,$B56,Q$47:Q$48)</f>
        <v>144800</v>
      </c>
      <c r="R56" s="315">
        <f t="shared" si="27"/>
        <v>144800</v>
      </c>
      <c r="S56" s="7">
        <f t="shared" si="21"/>
        <v>0</v>
      </c>
      <c r="U56" s="315">
        <v>36300</v>
      </c>
      <c r="V56" s="315">
        <v>108500</v>
      </c>
    </row>
    <row r="57" spans="1:23" ht="15.75" customHeight="1" x14ac:dyDescent="0.25">
      <c r="A57" s="6" t="s">
        <v>1235</v>
      </c>
      <c r="B57" s="6" t="s">
        <v>74</v>
      </c>
      <c r="C57" s="383"/>
      <c r="D57" s="266">
        <f t="shared" si="15"/>
        <v>0</v>
      </c>
      <c r="E57" s="142" t="e">
        <f>D57*#REF!</f>
        <v>#REF!</v>
      </c>
      <c r="F57" s="142" t="e">
        <f>D57*#REF!</f>
        <v>#REF!</v>
      </c>
      <c r="G57" s="142" t="e">
        <f>(D57*#REF!)*#REF!</f>
        <v>#REF!</v>
      </c>
      <c r="H57" s="33">
        <f t="shared" si="16"/>
        <v>0</v>
      </c>
      <c r="I57" s="16" t="e">
        <f t="shared" si="17"/>
        <v>#REF!</v>
      </c>
      <c r="J57" s="16">
        <v>-1500</v>
      </c>
      <c r="K57" s="383"/>
      <c r="L57" s="265">
        <f t="shared" ref="L57:O57" si="28">SUMIF($B$24:$B$43,$B57,L$24:L$43)+SUMIF($B$2:$B$19,$B57,L$2:L$19)+SUMIF($B$47:$B$48,$B57,L$47:L$48)</f>
        <v>1179</v>
      </c>
      <c r="M57" s="265">
        <f t="shared" si="28"/>
        <v>1790.8</v>
      </c>
      <c r="N57" s="265">
        <f t="shared" si="28"/>
        <v>3000</v>
      </c>
      <c r="O57" s="265">
        <f t="shared" si="28"/>
        <v>1592.02</v>
      </c>
      <c r="P57" s="266">
        <f>O57/9*12</f>
        <v>2122.6933333333336</v>
      </c>
      <c r="Q57" s="266">
        <f t="shared" ref="Q57:R57" si="29">SUMIF($B$24:$B$43,$B57,Q$24:Q$43)+SUMIF($B$2:$B$19,$B57,Q$2:Q$19)+SUMIF($B$47:$B$48,$B57,Q$47:Q$48)</f>
        <v>4800</v>
      </c>
      <c r="R57" s="315">
        <f t="shared" si="29"/>
        <v>3300</v>
      </c>
      <c r="S57" s="7">
        <f t="shared" si="21"/>
        <v>-1500</v>
      </c>
      <c r="U57" s="315">
        <v>825</v>
      </c>
      <c r="V57" s="315">
        <v>2475</v>
      </c>
      <c r="W57" s="385"/>
    </row>
    <row r="58" spans="1:23" ht="15.75" customHeight="1" x14ac:dyDescent="0.25">
      <c r="A58" s="6" t="s">
        <v>1235</v>
      </c>
      <c r="B58" s="6" t="s">
        <v>76</v>
      </c>
      <c r="C58" s="383"/>
      <c r="D58" s="266">
        <f t="shared" si="15"/>
        <v>0</v>
      </c>
      <c r="E58" s="142" t="e">
        <f>D58*#REF!</f>
        <v>#REF!</v>
      </c>
      <c r="F58" s="142" t="e">
        <f>D58*#REF!</f>
        <v>#REF!</v>
      </c>
      <c r="G58" s="142" t="e">
        <f>(D58*#REF!)*#REF!</f>
        <v>#REF!</v>
      </c>
      <c r="H58" s="33">
        <f t="shared" si="16"/>
        <v>0</v>
      </c>
      <c r="I58" s="16" t="e">
        <f t="shared" si="17"/>
        <v>#REF!</v>
      </c>
      <c r="J58" s="16">
        <v>-2000</v>
      </c>
      <c r="K58" s="383"/>
      <c r="L58" s="265">
        <f t="shared" ref="L58:O58" si="30">SUMIF($B$24:$B$43,$B58,L$24:L$43)+SUMIF($B$2:$B$19,$B58,L$2:L$19)+SUMIF($B$47:$B$48,$B58,L$47:L$48)</f>
        <v>4912</v>
      </c>
      <c r="M58" s="265">
        <f t="shared" si="30"/>
        <v>3803.78</v>
      </c>
      <c r="N58" s="265">
        <f t="shared" si="30"/>
        <v>3500</v>
      </c>
      <c r="O58" s="265">
        <f t="shared" si="30"/>
        <v>2554.13</v>
      </c>
      <c r="P58" s="386">
        <f>IF(O58/9*12&lt;N58,N58,O58/9*12)</f>
        <v>3500</v>
      </c>
      <c r="Q58" s="266">
        <f t="shared" ref="Q58:R58" si="31">SUMIF($B$24:$B$43,$B58,Q$24:Q$43)+SUMIF($B$2:$B$19,$B58,Q$2:Q$19)+SUMIF($B$47:$B$48,$B58,Q$47:Q$48)</f>
        <v>7000</v>
      </c>
      <c r="R58" s="315">
        <f t="shared" si="31"/>
        <v>5000</v>
      </c>
      <c r="S58" s="7">
        <f t="shared" si="21"/>
        <v>-2000</v>
      </c>
      <c r="U58" s="315">
        <v>1250</v>
      </c>
      <c r="V58" s="315">
        <v>3750</v>
      </c>
    </row>
    <row r="59" spans="1:23" ht="15.75" customHeight="1" x14ac:dyDescent="0.25">
      <c r="A59" s="6" t="s">
        <v>1235</v>
      </c>
      <c r="B59" s="6" t="s">
        <v>80</v>
      </c>
      <c r="C59" s="383"/>
      <c r="D59" s="266">
        <f t="shared" si="15"/>
        <v>0</v>
      </c>
      <c r="E59" s="142" t="e">
        <f>D59*#REF!</f>
        <v>#REF!</v>
      </c>
      <c r="F59" s="142" t="e">
        <f>D59*#REF!</f>
        <v>#REF!</v>
      </c>
      <c r="G59" s="142" t="e">
        <f>(D59*#REF!)*#REF!</f>
        <v>#REF!</v>
      </c>
      <c r="H59" s="33">
        <f t="shared" si="16"/>
        <v>0</v>
      </c>
      <c r="I59" s="16" t="e">
        <f t="shared" si="17"/>
        <v>#REF!</v>
      </c>
      <c r="J59" s="16">
        <v>-1000</v>
      </c>
      <c r="K59" s="383"/>
      <c r="L59" s="265">
        <f t="shared" ref="L59:O59" si="32">SUMIF($B$24:$B$43,$B59,L$24:L$43)+SUMIF($B$2:$B$19,$B59,L$2:L$19)+SUMIF($B$47:$B$48,$B59,L$47:L$48)</f>
        <v>5613</v>
      </c>
      <c r="M59" s="265">
        <f t="shared" si="32"/>
        <v>9195.85</v>
      </c>
      <c r="N59" s="265">
        <f t="shared" si="32"/>
        <v>10200</v>
      </c>
      <c r="O59" s="265">
        <f t="shared" si="32"/>
        <v>6802.34</v>
      </c>
      <c r="P59" s="266">
        <f t="shared" ref="P59:P61" si="33">O59/9*12</f>
        <v>9069.7866666666669</v>
      </c>
      <c r="Q59" s="266">
        <f t="shared" ref="Q59:R59" si="34">SUMIF($B$24:$B$43,$B59,Q$24:Q$43)+SUMIF($B$2:$B$19,$B59,Q$2:Q$19)+SUMIF($B$47:$B$48,$B59,Q$47:Q$48)</f>
        <v>11000</v>
      </c>
      <c r="R59" s="315">
        <f t="shared" si="34"/>
        <v>10000</v>
      </c>
      <c r="S59" s="7">
        <f t="shared" si="21"/>
        <v>-1000</v>
      </c>
      <c r="U59" s="315">
        <v>2500</v>
      </c>
      <c r="V59" s="315">
        <v>7500</v>
      </c>
    </row>
    <row r="60" spans="1:23" ht="15.75" customHeight="1" x14ac:dyDescent="0.25">
      <c r="A60" s="6" t="s">
        <v>1235</v>
      </c>
      <c r="B60" s="6" t="s">
        <v>82</v>
      </c>
      <c r="C60" s="383"/>
      <c r="D60" s="266">
        <f t="shared" si="15"/>
        <v>0</v>
      </c>
      <c r="E60" s="142" t="e">
        <f>D60*#REF!</f>
        <v>#REF!</v>
      </c>
      <c r="F60" s="142" t="e">
        <f>D60*#REF!</f>
        <v>#REF!</v>
      </c>
      <c r="G60" s="142" t="e">
        <f>(D60*#REF!)*#REF!</f>
        <v>#REF!</v>
      </c>
      <c r="H60" s="33">
        <f t="shared" si="16"/>
        <v>0</v>
      </c>
      <c r="I60" s="16" t="e">
        <f t="shared" si="17"/>
        <v>#REF!</v>
      </c>
      <c r="J60" s="16">
        <v>-500</v>
      </c>
      <c r="K60" s="383"/>
      <c r="L60" s="265">
        <f t="shared" ref="L60:O60" si="35">SUMIF($B$24:$B$43,$B60,L$24:L$43)+SUMIF($B$2:$B$19,$B60,L$2:L$19)+SUMIF($B$47:$B$48,$B60,L$47:L$48)</f>
        <v>9382</v>
      </c>
      <c r="M60" s="265">
        <f t="shared" si="35"/>
        <v>7600.31</v>
      </c>
      <c r="N60" s="265">
        <f t="shared" si="35"/>
        <v>10500</v>
      </c>
      <c r="O60" s="265">
        <f t="shared" si="35"/>
        <v>3249.91</v>
      </c>
      <c r="P60" s="266">
        <f t="shared" si="33"/>
        <v>4333.2133333333331</v>
      </c>
      <c r="Q60" s="266">
        <f t="shared" ref="Q60:R60" si="36">SUMIF($B$24:$B$43,$B60,Q$24:Q$43)+SUMIF($B$2:$B$19,$B60,Q$2:Q$19)+SUMIF($B$47:$B$48,$B60,Q$47:Q$48)</f>
        <v>10500</v>
      </c>
      <c r="R60" s="315">
        <f t="shared" si="36"/>
        <v>10000</v>
      </c>
      <c r="S60" s="7">
        <f t="shared" si="21"/>
        <v>-500</v>
      </c>
      <c r="U60" s="315">
        <v>2500</v>
      </c>
      <c r="V60" s="315">
        <v>7500</v>
      </c>
    </row>
    <row r="61" spans="1:23" ht="15.75" customHeight="1" x14ac:dyDescent="0.25">
      <c r="A61" s="6" t="s">
        <v>1235</v>
      </c>
      <c r="B61" s="6" t="s">
        <v>115</v>
      </c>
      <c r="C61" s="383"/>
      <c r="D61" s="266">
        <f t="shared" si="15"/>
        <v>0</v>
      </c>
      <c r="E61" s="142" t="e">
        <f>D61*#REF!</f>
        <v>#REF!</v>
      </c>
      <c r="F61" s="142" t="e">
        <f>D61*#REF!</f>
        <v>#REF!</v>
      </c>
      <c r="G61" s="142" t="e">
        <f>(D61*#REF!)*#REF!</f>
        <v>#REF!</v>
      </c>
      <c r="H61" s="33">
        <f t="shared" si="16"/>
        <v>0</v>
      </c>
      <c r="I61" s="16" t="e">
        <f t="shared" si="17"/>
        <v>#REF!</v>
      </c>
      <c r="J61" s="16">
        <v>-2000</v>
      </c>
      <c r="K61" s="383"/>
      <c r="L61" s="265">
        <f t="shared" ref="L61:O61" si="37">SUMIF($B$24:$B$43,$B61,L$24:L$43)+SUMIF($B$2:$B$19,$B61,L$2:L$19)+SUMIF($B$47:$B$48,$B61,L$47:L$48)</f>
        <v>7100</v>
      </c>
      <c r="M61" s="265">
        <f t="shared" si="37"/>
        <v>4346.7299999999996</v>
      </c>
      <c r="N61" s="265">
        <f t="shared" si="37"/>
        <v>7000</v>
      </c>
      <c r="O61" s="265">
        <f t="shared" si="37"/>
        <v>792.9</v>
      </c>
      <c r="P61" s="266">
        <f t="shared" si="33"/>
        <v>1057.1999999999998</v>
      </c>
      <c r="Q61" s="266">
        <f t="shared" ref="Q61:R61" si="38">SUMIF($B$24:$B$43,$B61,Q$24:Q$43)+SUMIF($B$2:$B$19,$B61,Q$2:Q$19)+SUMIF($B$47:$B$48,$B61,Q$47:Q$48)</f>
        <v>7000</v>
      </c>
      <c r="R61" s="315">
        <f t="shared" si="38"/>
        <v>5000</v>
      </c>
      <c r="S61" s="7">
        <f t="shared" si="21"/>
        <v>-2000</v>
      </c>
      <c r="U61" s="315">
        <v>1250</v>
      </c>
      <c r="V61" s="315">
        <v>3750</v>
      </c>
    </row>
    <row r="62" spans="1:23" ht="15.75" customHeight="1" x14ac:dyDescent="0.25">
      <c r="A62" s="6" t="s">
        <v>1235</v>
      </c>
      <c r="B62" s="6" t="s">
        <v>555</v>
      </c>
      <c r="C62" s="383"/>
      <c r="D62" s="266">
        <f t="shared" si="15"/>
        <v>0</v>
      </c>
      <c r="E62" s="142" t="e">
        <f>D62*#REF!</f>
        <v>#REF!</v>
      </c>
      <c r="F62" s="142" t="e">
        <f>D62*#REF!</f>
        <v>#REF!</v>
      </c>
      <c r="G62" s="142" t="e">
        <f>(D62*#REF!)*#REF!</f>
        <v>#REF!</v>
      </c>
      <c r="H62" s="33">
        <f t="shared" si="16"/>
        <v>0</v>
      </c>
      <c r="I62" s="16" t="e">
        <f t="shared" si="17"/>
        <v>#REF!</v>
      </c>
      <c r="J62" s="16">
        <v>-10000</v>
      </c>
      <c r="K62" s="383"/>
      <c r="L62" s="265">
        <f t="shared" ref="L62:O62" si="39">SUMIF($B$24:$B$43,$B62,L$24:L$43)+SUMIF($B$2:$B$19,$B62,L$2:L$19)+SUMIF($B$47:$B$48,$B62,L$47:L$48)</f>
        <v>94794</v>
      </c>
      <c r="M62" s="265">
        <f t="shared" si="39"/>
        <v>104562.55</v>
      </c>
      <c r="N62" s="265">
        <f t="shared" si="39"/>
        <v>110100</v>
      </c>
      <c r="O62" s="265">
        <f t="shared" si="39"/>
        <v>56261.62</v>
      </c>
      <c r="P62" s="386">
        <f>IF(O62/9*12&lt;N62,N62,O62/9*12)</f>
        <v>110100</v>
      </c>
      <c r="Q62" s="266">
        <f t="shared" ref="Q62:R62" si="40">SUMIF($B$24:$B$43,$B62,Q$24:Q$43)+SUMIF($B$2:$B$19,$B62,Q$2:Q$19)+SUMIF($B$47:$B$48,$B62,Q$47:Q$48)</f>
        <v>110100</v>
      </c>
      <c r="R62" s="315">
        <f t="shared" si="40"/>
        <v>100100</v>
      </c>
      <c r="S62" s="7">
        <f t="shared" si="21"/>
        <v>-10000</v>
      </c>
      <c r="U62" s="315">
        <v>25025</v>
      </c>
      <c r="V62" s="315">
        <v>75075</v>
      </c>
    </row>
    <row r="63" spans="1:23" ht="15.75" customHeight="1" x14ac:dyDescent="0.25">
      <c r="A63" s="6" t="s">
        <v>1235</v>
      </c>
      <c r="B63" s="6" t="s">
        <v>277</v>
      </c>
      <c r="C63" s="383"/>
      <c r="D63" s="266">
        <f t="shared" si="15"/>
        <v>0</v>
      </c>
      <c r="E63" s="142" t="e">
        <f>D63*#REF!</f>
        <v>#REF!</v>
      </c>
      <c r="F63" s="142" t="e">
        <f>D63*#REF!</f>
        <v>#REF!</v>
      </c>
      <c r="G63" s="142" t="e">
        <f>(D63*#REF!)*#REF!</f>
        <v>#REF!</v>
      </c>
      <c r="H63" s="33">
        <f t="shared" si="16"/>
        <v>0</v>
      </c>
      <c r="I63" s="16" t="e">
        <f t="shared" si="17"/>
        <v>#REF!</v>
      </c>
      <c r="J63" s="16">
        <v>-38800</v>
      </c>
      <c r="K63" s="383"/>
      <c r="L63" s="265">
        <f t="shared" ref="L63:O63" si="41">SUMIF($B$24:$B$43,$B63,L$24:L$43)+SUMIF($B$2:$B$19,$B63,L$2:L$19)+SUMIF($B$47:$B$48,$B63,L$47:L$48)</f>
        <v>93830</v>
      </c>
      <c r="M63" s="265">
        <f t="shared" si="41"/>
        <v>67264.539999999994</v>
      </c>
      <c r="N63" s="265">
        <f t="shared" si="41"/>
        <v>138800</v>
      </c>
      <c r="O63" s="265">
        <f t="shared" si="41"/>
        <v>51643.539999999994</v>
      </c>
      <c r="P63" s="266">
        <f>O63/8*12</f>
        <v>77465.31</v>
      </c>
      <c r="Q63" s="266">
        <f t="shared" ref="Q63:R63" si="42">SUMIF($B$24:$B$43,$B63,Q$24:Q$43)+SUMIF($B$2:$B$19,$B63,Q$2:Q$19)+SUMIF($B$47:$B$48,$B63,Q$47:Q$48)</f>
        <v>138800</v>
      </c>
      <c r="R63" s="315">
        <f t="shared" si="42"/>
        <v>100000</v>
      </c>
      <c r="S63" s="7">
        <f t="shared" si="21"/>
        <v>-38800</v>
      </c>
      <c r="U63" s="315">
        <v>25000</v>
      </c>
      <c r="V63" s="315">
        <v>75000</v>
      </c>
    </row>
    <row r="64" spans="1:23" ht="15.75" customHeight="1" x14ac:dyDescent="0.25">
      <c r="A64" s="6" t="s">
        <v>1235</v>
      </c>
      <c r="B64" s="6" t="s">
        <v>84</v>
      </c>
      <c r="C64" s="383"/>
      <c r="D64" s="266">
        <f t="shared" si="15"/>
        <v>0</v>
      </c>
      <c r="E64" s="142" t="e">
        <f>D64*#REF!</f>
        <v>#REF!</v>
      </c>
      <c r="F64" s="142" t="e">
        <f>D64*#REF!</f>
        <v>#REF!</v>
      </c>
      <c r="G64" s="142" t="e">
        <f>(D64*#REF!)*#REF!</f>
        <v>#REF!</v>
      </c>
      <c r="H64" s="33">
        <f t="shared" si="16"/>
        <v>0</v>
      </c>
      <c r="I64" s="16" t="e">
        <f t="shared" si="17"/>
        <v>#REF!</v>
      </c>
      <c r="J64" s="16"/>
      <c r="K64" s="383"/>
      <c r="L64" s="265">
        <f t="shared" ref="L64:O64" si="43">SUMIF($B$24:$B$43,$B64,L$24:L$43)+SUMIF($B$2:$B$19,$B64,L$2:L$19)+SUMIF($B$47:$B$48,$B64,L$47:L$48)</f>
        <v>3931</v>
      </c>
      <c r="M64" s="265">
        <f t="shared" si="43"/>
        <v>2622.08</v>
      </c>
      <c r="N64" s="265">
        <f t="shared" si="43"/>
        <v>5000</v>
      </c>
      <c r="O64" s="265">
        <f t="shared" si="43"/>
        <v>1844.71</v>
      </c>
      <c r="P64" s="266">
        <f t="shared" ref="P64:P67" si="44">O64/9*12</f>
        <v>2459.6133333333332</v>
      </c>
      <c r="Q64" s="266">
        <f t="shared" ref="Q64:R64" si="45">SUMIF($B$24:$B$43,$B64,Q$24:Q$43)+SUMIF($B$2:$B$19,$B64,Q$2:Q$19)+SUMIF($B$47:$B$48,$B64,Q$47:Q$48)</f>
        <v>4400</v>
      </c>
      <c r="R64" s="315">
        <f t="shared" si="45"/>
        <v>4400</v>
      </c>
      <c r="S64" s="7">
        <f t="shared" si="21"/>
        <v>0</v>
      </c>
      <c r="U64" s="315">
        <v>1100</v>
      </c>
      <c r="V64" s="315">
        <v>3300</v>
      </c>
    </row>
    <row r="65" spans="1:22" ht="15.75" customHeight="1" x14ac:dyDescent="0.25">
      <c r="A65" s="6" t="s">
        <v>1235</v>
      </c>
      <c r="B65" s="6" t="s">
        <v>86</v>
      </c>
      <c r="C65" s="383"/>
      <c r="D65" s="266">
        <f t="shared" si="15"/>
        <v>0</v>
      </c>
      <c r="E65" s="142" t="e">
        <f>D65*#REF!</f>
        <v>#REF!</v>
      </c>
      <c r="F65" s="142" t="e">
        <f>D65*#REF!</f>
        <v>#REF!</v>
      </c>
      <c r="G65" s="142" t="e">
        <f>(D65*#REF!)*#REF!</f>
        <v>#REF!</v>
      </c>
      <c r="H65" s="33">
        <f t="shared" si="16"/>
        <v>0</v>
      </c>
      <c r="I65" s="16" t="e">
        <f t="shared" si="17"/>
        <v>#REF!</v>
      </c>
      <c r="J65" s="16">
        <v>-5000</v>
      </c>
      <c r="K65" s="383"/>
      <c r="L65" s="265">
        <f t="shared" ref="L65:O65" si="46">SUMIF($B$24:$B$43,$B65,L$24:L$43)+SUMIF($B$2:$B$19,$B65,L$2:L$19)+SUMIF($B$47:$B$48,$B65,L$47:L$48)</f>
        <v>0</v>
      </c>
      <c r="M65" s="265">
        <f t="shared" si="46"/>
        <v>231.75</v>
      </c>
      <c r="N65" s="265">
        <f t="shared" si="46"/>
        <v>5000</v>
      </c>
      <c r="O65" s="265">
        <f t="shared" si="46"/>
        <v>0</v>
      </c>
      <c r="P65" s="266">
        <f t="shared" si="44"/>
        <v>0</v>
      </c>
      <c r="Q65" s="266">
        <f t="shared" ref="Q65:R65" si="47">SUMIF($B$24:$B$43,$B65,Q$24:Q$43)+SUMIF($B$2:$B$19,$B65,Q$2:Q$19)+SUMIF($B$47:$B$48,$B65,Q$47:Q$48)</f>
        <v>10000</v>
      </c>
      <c r="R65" s="315">
        <f t="shared" si="47"/>
        <v>5000</v>
      </c>
      <c r="S65" s="7">
        <f t="shared" si="21"/>
        <v>-5000</v>
      </c>
      <c r="U65" s="315">
        <v>1250</v>
      </c>
      <c r="V65" s="315">
        <v>3750</v>
      </c>
    </row>
    <row r="66" spans="1:22" ht="15.75" customHeight="1" x14ac:dyDescent="0.25">
      <c r="A66" s="6" t="s">
        <v>1235</v>
      </c>
      <c r="B66" s="6" t="s">
        <v>1160</v>
      </c>
      <c r="C66" s="383"/>
      <c r="D66" s="266">
        <f t="shared" si="15"/>
        <v>0</v>
      </c>
      <c r="E66" s="142" t="e">
        <f>D66*#REF!</f>
        <v>#REF!</v>
      </c>
      <c r="F66" s="142" t="e">
        <f>D66*#REF!</f>
        <v>#REF!</v>
      </c>
      <c r="G66" s="142" t="e">
        <f>(D66*#REF!)*#REF!</f>
        <v>#REF!</v>
      </c>
      <c r="H66" s="33">
        <f t="shared" si="16"/>
        <v>0</v>
      </c>
      <c r="I66" s="16" t="e">
        <f t="shared" si="17"/>
        <v>#REF!</v>
      </c>
      <c r="J66" s="16"/>
      <c r="K66" s="383"/>
      <c r="L66" s="265">
        <f t="shared" ref="L66:O66" si="48">SUMIF($B$24:$B$43,$B66,L$24:L$43)+SUMIF($B$2:$B$19,$B66,L$2:L$19)+SUMIF($B$47:$B$48,$B66,L$47:L$48)</f>
        <v>700</v>
      </c>
      <c r="M66" s="265">
        <f t="shared" si="48"/>
        <v>308.08</v>
      </c>
      <c r="N66" s="265">
        <f t="shared" si="48"/>
        <v>1575</v>
      </c>
      <c r="O66" s="265">
        <f t="shared" si="48"/>
        <v>154.51</v>
      </c>
      <c r="P66" s="266">
        <f t="shared" si="44"/>
        <v>206.01333333333332</v>
      </c>
      <c r="Q66" s="266">
        <f t="shared" ref="Q66:R66" si="49">SUMIF($B$24:$B$43,$B66,Q$24:Q$43)+SUMIF($B$2:$B$19,$B66,Q$2:Q$19)+SUMIF($B$47:$B$48,$B66,Q$47:Q$48)</f>
        <v>2100</v>
      </c>
      <c r="R66" s="315">
        <f t="shared" si="49"/>
        <v>2100</v>
      </c>
      <c r="S66" s="7">
        <f t="shared" si="21"/>
        <v>0</v>
      </c>
      <c r="U66" s="315">
        <v>525</v>
      </c>
      <c r="V66" s="315">
        <v>1575</v>
      </c>
    </row>
    <row r="67" spans="1:22" ht="15.75" customHeight="1" x14ac:dyDescent="0.25">
      <c r="A67" s="6" t="s">
        <v>1235</v>
      </c>
      <c r="B67" s="6" t="s">
        <v>90</v>
      </c>
      <c r="C67" s="383"/>
      <c r="D67" s="266">
        <f t="shared" si="15"/>
        <v>0</v>
      </c>
      <c r="E67" s="142" t="e">
        <f>D67*#REF!</f>
        <v>#REF!</v>
      </c>
      <c r="F67" s="142" t="e">
        <f>D67*#REF!</f>
        <v>#REF!</v>
      </c>
      <c r="G67" s="142" t="e">
        <f>(D67*#REF!)*#REF!</f>
        <v>#REF!</v>
      </c>
      <c r="H67" s="33">
        <f t="shared" si="16"/>
        <v>0</v>
      </c>
      <c r="I67" s="16" t="e">
        <f t="shared" si="17"/>
        <v>#REF!</v>
      </c>
      <c r="J67" s="16">
        <v>-3000</v>
      </c>
      <c r="K67" s="383"/>
      <c r="L67" s="265">
        <f t="shared" ref="L67:O67" si="50">SUMIF($B$24:$B$43,$B67,L$24:L$43)+SUMIF($B$2:$B$19,$B67,L$2:L$19)+SUMIF($B$47:$B$48,$B67,L$47:L$48)</f>
        <v>0</v>
      </c>
      <c r="M67" s="265">
        <f t="shared" si="50"/>
        <v>0</v>
      </c>
      <c r="N67" s="265">
        <f t="shared" si="50"/>
        <v>3500</v>
      </c>
      <c r="O67" s="265">
        <f t="shared" si="50"/>
        <v>1771.5700000000002</v>
      </c>
      <c r="P67" s="266">
        <f t="shared" si="44"/>
        <v>2362.0933333333337</v>
      </c>
      <c r="Q67" s="266">
        <f t="shared" ref="Q67:R67" si="51">SUMIF($B$24:$B$43,$B67,Q$24:Q$43)+SUMIF($B$2:$B$19,$B67,Q$2:Q$19)+SUMIF($B$47:$B$48,$B67,Q$47:Q$48)</f>
        <v>8000</v>
      </c>
      <c r="R67" s="315">
        <f t="shared" si="51"/>
        <v>5000</v>
      </c>
      <c r="S67" s="7">
        <f t="shared" si="21"/>
        <v>-3000</v>
      </c>
      <c r="U67" s="315">
        <v>1250</v>
      </c>
      <c r="V67" s="315">
        <v>3750</v>
      </c>
    </row>
    <row r="68" spans="1:22" ht="15.75" customHeight="1" x14ac:dyDescent="0.25">
      <c r="A68" s="6" t="s">
        <v>1235</v>
      </c>
      <c r="B68" s="6" t="s">
        <v>1209</v>
      </c>
      <c r="C68" s="383"/>
      <c r="D68" s="266">
        <f t="shared" si="15"/>
        <v>0</v>
      </c>
      <c r="E68" s="142" t="e">
        <f>D68*#REF!</f>
        <v>#REF!</v>
      </c>
      <c r="F68" s="142" t="e">
        <f>D68*#REF!</f>
        <v>#REF!</v>
      </c>
      <c r="G68" s="142" t="e">
        <f>(D68*#REF!)*#REF!</f>
        <v>#REF!</v>
      </c>
      <c r="H68" s="33">
        <f t="shared" si="16"/>
        <v>0</v>
      </c>
      <c r="I68" s="16" t="e">
        <f t="shared" si="17"/>
        <v>#REF!</v>
      </c>
      <c r="J68" s="16">
        <v>-1000</v>
      </c>
      <c r="K68" s="383"/>
      <c r="L68" s="265">
        <f t="shared" ref="L68:O68" si="52">SUMIF($B$24:$B$43,$B68,L$24:L$43)+SUMIF($B$2:$B$19,$B68,L$2:L$19)+SUMIF($B$47:$B$48,$B68,L$47:L$48)</f>
        <v>0</v>
      </c>
      <c r="M68" s="265">
        <f t="shared" si="52"/>
        <v>2374.91</v>
      </c>
      <c r="N68" s="265">
        <f t="shared" si="52"/>
        <v>6000</v>
      </c>
      <c r="O68" s="265">
        <f t="shared" si="52"/>
        <v>3384.8199999999997</v>
      </c>
      <c r="P68" s="386">
        <f>IF(O68/9*12&lt;N68,N68,O68/9*12)</f>
        <v>6000</v>
      </c>
      <c r="Q68" s="266">
        <f t="shared" ref="Q68:R68" si="53">SUMIF($B$24:$B$43,$B68,Q$24:Q$43)+SUMIF($B$2:$B$19,$B68,Q$2:Q$19)+SUMIF($B$47:$B$48,$B68,Q$47:Q$48)</f>
        <v>6000</v>
      </c>
      <c r="R68" s="315">
        <f t="shared" si="53"/>
        <v>5000</v>
      </c>
      <c r="S68" s="7">
        <f t="shared" si="21"/>
        <v>-1000</v>
      </c>
      <c r="U68" s="315">
        <v>1250</v>
      </c>
      <c r="V68" s="315">
        <v>3750</v>
      </c>
    </row>
    <row r="69" spans="1:22" ht="15.75" customHeight="1" x14ac:dyDescent="0.25">
      <c r="A69" s="6" t="s">
        <v>1235</v>
      </c>
      <c r="B69" s="6" t="s">
        <v>92</v>
      </c>
      <c r="C69" s="383"/>
      <c r="D69" s="266">
        <f t="shared" si="15"/>
        <v>0</v>
      </c>
      <c r="E69" s="142" t="e">
        <f>D69*#REF!</f>
        <v>#REF!</v>
      </c>
      <c r="F69" s="142" t="e">
        <f>D69*#REF!</f>
        <v>#REF!</v>
      </c>
      <c r="G69" s="142" t="e">
        <f>(D69*#REF!)*#REF!</f>
        <v>#REF!</v>
      </c>
      <c r="H69" s="33">
        <f t="shared" si="16"/>
        <v>0</v>
      </c>
      <c r="I69" s="16" t="e">
        <f t="shared" si="17"/>
        <v>#REF!</v>
      </c>
      <c r="J69" s="16"/>
      <c r="K69" s="383"/>
      <c r="L69" s="265">
        <f t="shared" ref="L69:O69" si="54">SUMIF($B$24:$B$43,$B69,L$24:L$43)+SUMIF($B$2:$B$19,$B69,L$2:L$19)+SUMIF($B$47:$B$48,$B69,L$47:L$48)</f>
        <v>3366</v>
      </c>
      <c r="M69" s="265">
        <f t="shared" si="54"/>
        <v>4463.66</v>
      </c>
      <c r="N69" s="265">
        <f t="shared" si="54"/>
        <v>4000</v>
      </c>
      <c r="O69" s="265">
        <f t="shared" si="54"/>
        <v>4466.62</v>
      </c>
      <c r="P69" s="386">
        <f>O69</f>
        <v>4466.62</v>
      </c>
      <c r="Q69" s="266">
        <f t="shared" ref="Q69:R69" si="55">SUMIF($B$24:$B$43,$B69,Q$24:Q$43)+SUMIF($B$2:$B$19,$B69,Q$2:Q$19)+SUMIF($B$47:$B$48,$B69,Q$47:Q$48)</f>
        <v>4000</v>
      </c>
      <c r="R69" s="315">
        <f t="shared" si="55"/>
        <v>4000</v>
      </c>
      <c r="S69" s="7">
        <f t="shared" si="21"/>
        <v>0</v>
      </c>
      <c r="U69" s="315">
        <v>1000</v>
      </c>
      <c r="V69" s="315">
        <v>3000</v>
      </c>
    </row>
    <row r="70" spans="1:22" ht="15.75" customHeight="1" x14ac:dyDescent="0.25">
      <c r="A70" s="6" t="s">
        <v>1235</v>
      </c>
      <c r="B70" s="103" t="s">
        <v>94</v>
      </c>
      <c r="C70" s="383"/>
      <c r="D70" s="266">
        <f t="shared" si="15"/>
        <v>0</v>
      </c>
      <c r="E70" s="142" t="e">
        <f>D70*#REF!</f>
        <v>#REF!</v>
      </c>
      <c r="F70" s="142" t="e">
        <f>D70*#REF!</f>
        <v>#REF!</v>
      </c>
      <c r="G70" s="142" t="e">
        <f>(D70*#REF!)*#REF!</f>
        <v>#REF!</v>
      </c>
      <c r="H70" s="33">
        <f t="shared" si="16"/>
        <v>0</v>
      </c>
      <c r="I70" s="16" t="e">
        <f t="shared" si="17"/>
        <v>#REF!</v>
      </c>
      <c r="J70" s="16"/>
      <c r="K70" s="383"/>
      <c r="L70" s="265">
        <f t="shared" ref="L70:O70" si="56">SUMIF($B$24:$B$43,$B70,L$24:L$43)+SUMIF($B$2:$B$19,$B70,L$2:L$19)+SUMIF($B$47:$B$48,$B70,L$47:L$48)</f>
        <v>0</v>
      </c>
      <c r="M70" s="265">
        <f t="shared" si="56"/>
        <v>0</v>
      </c>
      <c r="N70" s="265">
        <f t="shared" si="56"/>
        <v>0</v>
      </c>
      <c r="O70" s="265">
        <f t="shared" si="56"/>
        <v>0</v>
      </c>
      <c r="P70" s="266">
        <f>IF(O70/9*12&lt;N70,N70,O70/9*12)</f>
        <v>0</v>
      </c>
      <c r="Q70" s="266">
        <f t="shared" ref="Q70:R70" si="57">SUMIF($B$24:$B$43,$B70,Q$24:Q$43)+SUMIF($B$2:$B$19,$B70,Q$2:Q$19)+SUMIF($B$47:$B$48,$B70,Q$47:Q$48)</f>
        <v>0</v>
      </c>
      <c r="R70" s="315">
        <f t="shared" si="57"/>
        <v>0</v>
      </c>
      <c r="S70" s="7">
        <f t="shared" si="21"/>
        <v>0</v>
      </c>
      <c r="U70" s="315">
        <v>0</v>
      </c>
      <c r="V70" s="315">
        <v>0</v>
      </c>
    </row>
    <row r="71" spans="1:22" ht="15.75" customHeight="1" x14ac:dyDescent="0.25">
      <c r="A71" s="47" t="s">
        <v>1211</v>
      </c>
      <c r="B71" s="48"/>
      <c r="C71" s="282"/>
      <c r="D71" s="50">
        <f t="shared" ref="D71:G71" si="58">SUM(D53:D70)</f>
        <v>0</v>
      </c>
      <c r="E71" s="50" t="e">
        <f t="shared" si="58"/>
        <v>#REF!</v>
      </c>
      <c r="F71" s="50" t="e">
        <f t="shared" si="58"/>
        <v>#REF!</v>
      </c>
      <c r="G71" s="50" t="e">
        <f t="shared" si="58"/>
        <v>#REF!</v>
      </c>
      <c r="H71" s="42">
        <f t="shared" si="16"/>
        <v>0</v>
      </c>
      <c r="I71" s="50" t="e">
        <f t="shared" si="17"/>
        <v>#REF!</v>
      </c>
      <c r="J71" s="50">
        <f>SUM(J53:J70)</f>
        <v>-67300</v>
      </c>
      <c r="K71" s="282"/>
      <c r="L71" s="12">
        <f t="shared" ref="L71:S71" si="59">SUM(L53:L70)</f>
        <v>578931</v>
      </c>
      <c r="M71" s="12">
        <f t="shared" si="59"/>
        <v>583007.99</v>
      </c>
      <c r="N71" s="12">
        <f t="shared" si="59"/>
        <v>738316</v>
      </c>
      <c r="O71" s="12">
        <f t="shared" si="59"/>
        <v>418713.4800000001</v>
      </c>
      <c r="P71" s="50">
        <f t="shared" si="59"/>
        <v>592595.77033333329</v>
      </c>
      <c r="Q71" s="50">
        <f t="shared" si="59"/>
        <v>770400</v>
      </c>
      <c r="R71" s="12">
        <f t="shared" si="59"/>
        <v>703100</v>
      </c>
      <c r="S71" s="12">
        <f t="shared" si="59"/>
        <v>-67300</v>
      </c>
      <c r="U71" s="12">
        <v>175900</v>
      </c>
      <c r="V71" s="12">
        <v>527200</v>
      </c>
    </row>
    <row r="72" spans="1:22" ht="15.75" customHeight="1" x14ac:dyDescent="0.25">
      <c r="A72" s="6"/>
      <c r="B72" s="103"/>
      <c r="C72" s="383"/>
      <c r="D72" s="265"/>
      <c r="E72" s="265"/>
      <c r="F72" s="265"/>
      <c r="G72" s="265"/>
      <c r="H72" s="211"/>
      <c r="I72" s="5"/>
      <c r="J72" s="5"/>
      <c r="K72" s="383"/>
      <c r="L72" s="265"/>
      <c r="M72" s="265"/>
      <c r="N72" s="265"/>
      <c r="O72" s="265"/>
      <c r="P72" s="265"/>
      <c r="Q72" s="265"/>
      <c r="R72" s="5"/>
      <c r="S72" s="5"/>
      <c r="U72" s="387"/>
      <c r="V72" s="387"/>
    </row>
    <row r="73" spans="1:22" ht="15.75" customHeight="1" x14ac:dyDescent="0.25">
      <c r="A73" s="6" t="s">
        <v>1235</v>
      </c>
      <c r="B73" s="103" t="s">
        <v>532</v>
      </c>
      <c r="C73" s="383"/>
      <c r="D73" s="266">
        <f t="shared" ref="D73:D74" si="60">SUMIF($B$24:$B$43,$B73,D$24:D$43)+SUMIF($B$2:$B$19,$B73,D$2:D$19)+SUMIF($B$47:$B$48,$B73,D$47:D$48)</f>
        <v>0</v>
      </c>
      <c r="E73" s="142" t="e">
        <f>D73*#REF!</f>
        <v>#REF!</v>
      </c>
      <c r="F73" s="142" t="e">
        <f>D73*#REF!</f>
        <v>#REF!</v>
      </c>
      <c r="G73" s="142" t="e">
        <f>(D73*#REF!)*#REF!</f>
        <v>#REF!</v>
      </c>
      <c r="H73" s="33">
        <f t="shared" ref="H73:H75" si="61">IFERROR(((Q73-G73)/G73),0)</f>
        <v>0</v>
      </c>
      <c r="I73" s="16" t="e">
        <f t="shared" ref="I73:I75" si="62">Q73-G73</f>
        <v>#REF!</v>
      </c>
      <c r="J73" s="18"/>
      <c r="K73" s="383"/>
      <c r="L73" s="265">
        <f t="shared" ref="L73:O73" si="63">SUMIF($B$24:$B$43,$B73,L$24:L$43)+SUMIF($B$2:$B$19,$B73,L$2:L$19)+SUMIF($B$47:$B$48,$B73,L$47:L$48)</f>
        <v>0</v>
      </c>
      <c r="M73" s="265">
        <f t="shared" si="63"/>
        <v>21395</v>
      </c>
      <c r="N73" s="265">
        <f t="shared" si="63"/>
        <v>50000</v>
      </c>
      <c r="O73" s="265">
        <f t="shared" si="63"/>
        <v>0</v>
      </c>
      <c r="P73" s="386">
        <f t="shared" ref="P73:P74" si="64">N73</f>
        <v>50000</v>
      </c>
      <c r="Q73" s="266">
        <f t="shared" ref="Q73:R73" si="65">SUMIF($B$24:$B$43,$B73,Q$24:Q$43)+SUMIF($B$2:$B$19,$B73,Q$2:Q$19)+SUMIF($B$47:$B$48,$B73,Q$47:Q$48)</f>
        <v>0</v>
      </c>
      <c r="R73" s="315">
        <f t="shared" si="65"/>
        <v>0</v>
      </c>
      <c r="S73" s="7">
        <f t="shared" ref="S73:S74" si="66">R73-Q73</f>
        <v>0</v>
      </c>
      <c r="U73" s="7">
        <v>0</v>
      </c>
      <c r="V73" s="7">
        <v>0</v>
      </c>
    </row>
    <row r="74" spans="1:22" ht="15.75" customHeight="1" x14ac:dyDescent="0.25">
      <c r="A74" s="6" t="s">
        <v>1235</v>
      </c>
      <c r="B74" s="103" t="s">
        <v>99</v>
      </c>
      <c r="C74" s="383"/>
      <c r="D74" s="266">
        <f t="shared" si="60"/>
        <v>0</v>
      </c>
      <c r="E74" s="142" t="e">
        <f>D74*#REF!</f>
        <v>#REF!</v>
      </c>
      <c r="F74" s="142" t="e">
        <f>D74*#REF!</f>
        <v>#REF!</v>
      </c>
      <c r="G74" s="142" t="e">
        <f>(D74*#REF!)*#REF!</f>
        <v>#REF!</v>
      </c>
      <c r="H74" s="33">
        <f t="shared" si="61"/>
        <v>0</v>
      </c>
      <c r="I74" s="16" t="e">
        <f t="shared" si="62"/>
        <v>#REF!</v>
      </c>
      <c r="J74" s="16">
        <v>-95000</v>
      </c>
      <c r="K74" s="383"/>
      <c r="L74" s="265">
        <f t="shared" ref="L74:O74" si="67">SUMIF($B$24:$B$43,$B74,L$24:L$43)+SUMIF($B$2:$B$19,$B74,L$2:L$19)+SUMIF($B$47:$B$48,$B74,L$47:L$48)</f>
        <v>93217</v>
      </c>
      <c r="M74" s="265">
        <f t="shared" si="67"/>
        <v>109235.5</v>
      </c>
      <c r="N74" s="265">
        <f t="shared" si="67"/>
        <v>3750</v>
      </c>
      <c r="O74" s="265">
        <f t="shared" si="67"/>
        <v>0</v>
      </c>
      <c r="P74" s="386">
        <f t="shared" si="64"/>
        <v>3750</v>
      </c>
      <c r="Q74" s="266">
        <f>SUMIF($B$24:$B$43,$B74,Q$24:Q$43)+SUMIF($B$2:$B$19,$B74,Q$2:Q$19)+SUMIF($B$47:$B$48,$B74,Q$47:Q$48)+71250</f>
        <v>95000</v>
      </c>
      <c r="R74" s="315">
        <f>SUMIF($B$24:$B$43,$B74,R$24:R$43)+SUMIF($B$2:$B$19,$B74,R$2:R$19)+SUMIF($B$47:$B$48,$B74,R$47:R$48)</f>
        <v>0</v>
      </c>
      <c r="S74" s="7">
        <f t="shared" si="66"/>
        <v>-95000</v>
      </c>
      <c r="U74" s="7">
        <v>0</v>
      </c>
      <c r="V74" s="7">
        <v>0</v>
      </c>
    </row>
    <row r="75" spans="1:22" ht="15.75" customHeight="1" x14ac:dyDescent="0.25">
      <c r="A75" s="47" t="s">
        <v>1236</v>
      </c>
      <c r="B75" s="48"/>
      <c r="C75" s="282"/>
      <c r="D75" s="50">
        <f t="shared" ref="D75:G75" si="68">SUM(D73:D74)</f>
        <v>0</v>
      </c>
      <c r="E75" s="50" t="e">
        <f t="shared" si="68"/>
        <v>#REF!</v>
      </c>
      <c r="F75" s="50" t="e">
        <f t="shared" si="68"/>
        <v>#REF!</v>
      </c>
      <c r="G75" s="50" t="e">
        <f t="shared" si="68"/>
        <v>#REF!</v>
      </c>
      <c r="H75" s="42">
        <f t="shared" si="61"/>
        <v>0</v>
      </c>
      <c r="I75" s="50" t="e">
        <f t="shared" si="62"/>
        <v>#REF!</v>
      </c>
      <c r="J75" s="50">
        <f>SUM(J73:J74)</f>
        <v>-95000</v>
      </c>
      <c r="K75" s="282"/>
      <c r="L75" s="12">
        <f t="shared" ref="L75:S75" si="69">SUM(L73:L74)</f>
        <v>93217</v>
      </c>
      <c r="M75" s="12">
        <f t="shared" si="69"/>
        <v>130630.5</v>
      </c>
      <c r="N75" s="12">
        <f t="shared" si="69"/>
        <v>53750</v>
      </c>
      <c r="O75" s="12">
        <f t="shared" si="69"/>
        <v>0</v>
      </c>
      <c r="P75" s="50">
        <f t="shared" si="69"/>
        <v>53750</v>
      </c>
      <c r="Q75" s="50">
        <f t="shared" si="69"/>
        <v>95000</v>
      </c>
      <c r="R75" s="12">
        <f t="shared" si="69"/>
        <v>0</v>
      </c>
      <c r="S75" s="12">
        <f t="shared" si="69"/>
        <v>-95000</v>
      </c>
      <c r="U75" s="12">
        <v>0</v>
      </c>
      <c r="V75" s="12">
        <v>0</v>
      </c>
    </row>
    <row r="76" spans="1:22" ht="15.75" customHeight="1" x14ac:dyDescent="0.2">
      <c r="A76" s="5"/>
      <c r="B76" s="5"/>
      <c r="C76" s="388"/>
      <c r="D76" s="389">
        <f t="shared" ref="D76:G76" si="70">(D75+D71)-D44-D20-D49</f>
        <v>0</v>
      </c>
      <c r="E76" s="389" t="e">
        <f t="shared" si="70"/>
        <v>#REF!</v>
      </c>
      <c r="F76" s="389" t="e">
        <f t="shared" si="70"/>
        <v>#REF!</v>
      </c>
      <c r="G76" s="389" t="e">
        <f t="shared" si="70"/>
        <v>#REF!</v>
      </c>
      <c r="H76" s="5"/>
      <c r="I76" s="5"/>
      <c r="J76" s="5"/>
      <c r="K76" s="388"/>
      <c r="L76" s="390"/>
      <c r="M76" s="390"/>
      <c r="N76" s="390"/>
      <c r="O76" s="390"/>
      <c r="P76" s="390"/>
      <c r="Q76" s="390"/>
      <c r="R76" s="5"/>
      <c r="S76" s="5"/>
      <c r="U76" s="5"/>
      <c r="V76" s="5"/>
    </row>
    <row r="77" spans="1:22" ht="15.75" customHeight="1" x14ac:dyDescent="0.25">
      <c r="A77" s="47"/>
      <c r="B77" s="48"/>
      <c r="C77" s="325"/>
      <c r="D77" s="48"/>
      <c r="E77" s="48"/>
      <c r="F77" s="48"/>
      <c r="G77" s="391"/>
      <c r="H77" s="212"/>
      <c r="I77" s="12"/>
      <c r="J77" s="11"/>
      <c r="K77" s="325"/>
      <c r="L77" s="48"/>
      <c r="M77" s="48"/>
      <c r="N77" s="48"/>
      <c r="O77" s="48"/>
      <c r="P77" s="391"/>
      <c r="Q77" s="391"/>
      <c r="R77" s="48"/>
      <c r="S77" s="5"/>
      <c r="U77" s="5"/>
      <c r="V77" s="5"/>
    </row>
    <row r="78" spans="1:22" ht="15.75" customHeight="1" x14ac:dyDescent="0.25">
      <c r="A78" s="47" t="s">
        <v>1237</v>
      </c>
      <c r="B78" s="48"/>
      <c r="C78" s="282"/>
      <c r="D78" s="50">
        <f t="shared" ref="D78:G78" si="71">D71+D75</f>
        <v>0</v>
      </c>
      <c r="E78" s="50" t="e">
        <f t="shared" si="71"/>
        <v>#REF!</v>
      </c>
      <c r="F78" s="50" t="e">
        <f t="shared" si="71"/>
        <v>#REF!</v>
      </c>
      <c r="G78" s="50" t="e">
        <f t="shared" si="71"/>
        <v>#REF!</v>
      </c>
      <c r="H78" s="42">
        <f>IFERROR(((Q78-G78)/G78),0)</f>
        <v>0</v>
      </c>
      <c r="I78" s="50" t="e">
        <f t="shared" ref="I78:J78" si="72">I71+I75</f>
        <v>#REF!</v>
      </c>
      <c r="J78" s="50">
        <f t="shared" si="72"/>
        <v>-162300</v>
      </c>
      <c r="K78" s="282"/>
      <c r="L78" s="12">
        <f t="shared" ref="L78:S78" si="73">L71+L75</f>
        <v>672148</v>
      </c>
      <c r="M78" s="12">
        <f t="shared" si="73"/>
        <v>713638.49</v>
      </c>
      <c r="N78" s="12">
        <f t="shared" si="73"/>
        <v>792066</v>
      </c>
      <c r="O78" s="12">
        <f t="shared" si="73"/>
        <v>418713.4800000001</v>
      </c>
      <c r="P78" s="50">
        <f t="shared" si="73"/>
        <v>646345.77033333329</v>
      </c>
      <c r="Q78" s="50">
        <f t="shared" si="73"/>
        <v>865400</v>
      </c>
      <c r="R78" s="12">
        <f t="shared" si="73"/>
        <v>703100</v>
      </c>
      <c r="S78" s="12">
        <f t="shared" si="73"/>
        <v>-162300</v>
      </c>
      <c r="U78" s="12">
        <v>175775</v>
      </c>
      <c r="V78" s="12">
        <v>527325</v>
      </c>
    </row>
    <row r="79" spans="1:22" ht="15.75" customHeight="1" x14ac:dyDescent="0.2">
      <c r="A79" s="5"/>
      <c r="B79" s="5"/>
      <c r="C79" s="284"/>
      <c r="D79" s="5"/>
      <c r="E79" s="5"/>
      <c r="F79" s="5"/>
      <c r="G79" s="5"/>
      <c r="H79" s="5"/>
      <c r="I79" s="5"/>
      <c r="J79" s="5"/>
      <c r="K79" s="284"/>
      <c r="L79" s="5"/>
      <c r="M79" s="5"/>
      <c r="N79" s="5"/>
      <c r="O79" s="5"/>
      <c r="P79" s="5"/>
      <c r="Q79" s="5"/>
      <c r="R79" s="5"/>
      <c r="S79" s="5"/>
      <c r="U79" s="5"/>
      <c r="V79" s="5"/>
    </row>
    <row r="80" spans="1:22" ht="15.75" customHeight="1" x14ac:dyDescent="0.2">
      <c r="A80" s="11" t="s">
        <v>184</v>
      </c>
      <c r="B80" s="5"/>
      <c r="C80" s="284"/>
      <c r="D80" s="5"/>
      <c r="E80" s="5"/>
      <c r="F80" s="5"/>
      <c r="G80" s="5"/>
      <c r="H80" s="5"/>
      <c r="I80" s="5"/>
      <c r="J80" s="5"/>
      <c r="K80" s="284"/>
      <c r="L80" s="5"/>
      <c r="M80" s="5"/>
      <c r="N80" s="5"/>
      <c r="O80" s="5"/>
      <c r="P80" s="5"/>
      <c r="Q80" s="5"/>
      <c r="R80" s="5"/>
      <c r="S80" s="5"/>
      <c r="U80" s="5"/>
      <c r="V80" s="5"/>
    </row>
    <row r="81" spans="1:27" ht="15.75" customHeight="1" x14ac:dyDescent="0.25">
      <c r="A81" s="5"/>
      <c r="B81" s="5"/>
      <c r="C81" s="284"/>
      <c r="D81" s="18"/>
      <c r="E81" s="142" t="e">
        <f>D81*#REF!</f>
        <v>#REF!</v>
      </c>
      <c r="F81" s="142" t="e">
        <f>D81*#REF!</f>
        <v>#REF!</v>
      </c>
      <c r="G81" s="142" t="e">
        <f>(D81*#REF!)*#REF!</f>
        <v>#REF!</v>
      </c>
      <c r="H81" s="33">
        <f t="shared" ref="H81:H82" si="74">IFERROR(((Q81-G81)/G81),0)</f>
        <v>0</v>
      </c>
      <c r="I81" s="16" t="e">
        <f t="shared" ref="I81:I82" si="75">Q81-G81</f>
        <v>#REF!</v>
      </c>
      <c r="J81" s="18">
        <v>0</v>
      </c>
      <c r="K81" s="284"/>
      <c r="L81" s="6">
        <v>0</v>
      </c>
      <c r="M81" s="6">
        <v>0</v>
      </c>
      <c r="N81" s="6">
        <v>0</v>
      </c>
      <c r="O81" s="6">
        <v>0</v>
      </c>
      <c r="P81" s="18">
        <v>0</v>
      </c>
      <c r="Q81" s="18">
        <v>0</v>
      </c>
      <c r="R81" s="6">
        <v>0</v>
      </c>
      <c r="S81" s="6">
        <v>0</v>
      </c>
      <c r="U81" s="6">
        <v>0</v>
      </c>
      <c r="V81" s="6">
        <v>0</v>
      </c>
    </row>
    <row r="82" spans="1:27" ht="15.75" customHeight="1" x14ac:dyDescent="0.2">
      <c r="A82" s="11" t="s">
        <v>189</v>
      </c>
      <c r="B82" s="48"/>
      <c r="C82" s="282"/>
      <c r="D82" s="50">
        <f t="shared" ref="D82:G82" si="76">SUM(D81)</f>
        <v>0</v>
      </c>
      <c r="E82" s="50" t="e">
        <f t="shared" si="76"/>
        <v>#REF!</v>
      </c>
      <c r="F82" s="50" t="e">
        <f t="shared" si="76"/>
        <v>#REF!</v>
      </c>
      <c r="G82" s="50" t="e">
        <f t="shared" si="76"/>
        <v>#REF!</v>
      </c>
      <c r="H82" s="42">
        <f t="shared" si="74"/>
        <v>0</v>
      </c>
      <c r="I82" s="50" t="e">
        <f t="shared" si="75"/>
        <v>#REF!</v>
      </c>
      <c r="J82" s="50">
        <f>J81</f>
        <v>0</v>
      </c>
      <c r="K82" s="282"/>
      <c r="L82" s="12">
        <f t="shared" ref="L82:S82" si="77">SUM(L81)</f>
        <v>0</v>
      </c>
      <c r="M82" s="12">
        <f t="shared" si="77"/>
        <v>0</v>
      </c>
      <c r="N82" s="12">
        <f t="shared" si="77"/>
        <v>0</v>
      </c>
      <c r="O82" s="12">
        <f t="shared" si="77"/>
        <v>0</v>
      </c>
      <c r="P82" s="50">
        <f t="shared" si="77"/>
        <v>0</v>
      </c>
      <c r="Q82" s="50">
        <f t="shared" si="77"/>
        <v>0</v>
      </c>
      <c r="R82" s="12">
        <f t="shared" si="77"/>
        <v>0</v>
      </c>
      <c r="S82" s="12">
        <f t="shared" si="77"/>
        <v>0</v>
      </c>
      <c r="U82" s="12">
        <v>0</v>
      </c>
      <c r="V82" s="12">
        <v>0</v>
      </c>
    </row>
    <row r="83" spans="1:27" ht="15.75" customHeight="1" x14ac:dyDescent="0.2">
      <c r="A83" s="5"/>
      <c r="B83" s="5"/>
      <c r="C83" s="284"/>
      <c r="D83" s="5"/>
      <c r="E83" s="5"/>
      <c r="F83" s="5"/>
      <c r="G83" s="5"/>
      <c r="H83" s="5"/>
      <c r="I83" s="5"/>
      <c r="J83" s="5"/>
      <c r="K83" s="284"/>
      <c r="L83" s="5"/>
      <c r="M83" s="5"/>
      <c r="N83" s="5"/>
      <c r="O83" s="5"/>
      <c r="P83" s="5"/>
      <c r="Q83" s="5"/>
      <c r="R83" s="5"/>
      <c r="S83" s="5"/>
      <c r="U83" s="5"/>
      <c r="V83" s="5"/>
    </row>
    <row r="84" spans="1:27" ht="15.75" customHeight="1" x14ac:dyDescent="0.2">
      <c r="A84" s="11" t="s">
        <v>190</v>
      </c>
      <c r="B84" s="6"/>
      <c r="C84" s="286"/>
      <c r="D84" s="178">
        <f t="shared" ref="D84:G84" si="78">D78+D82</f>
        <v>0</v>
      </c>
      <c r="E84" s="178" t="e">
        <f t="shared" si="78"/>
        <v>#REF!</v>
      </c>
      <c r="F84" s="178" t="e">
        <f t="shared" si="78"/>
        <v>#REF!</v>
      </c>
      <c r="G84" s="178" t="e">
        <f t="shared" si="78"/>
        <v>#REF!</v>
      </c>
      <c r="H84" s="273">
        <f>IFERROR(((Q84-G84)/G84),0)</f>
        <v>0</v>
      </c>
      <c r="I84" s="178" t="e">
        <f>Q84-G84</f>
        <v>#REF!</v>
      </c>
      <c r="J84" s="178">
        <f>J78</f>
        <v>-162300</v>
      </c>
      <c r="K84" s="286"/>
      <c r="L84" s="227">
        <f t="shared" ref="L84:S84" si="79">L78+L82</f>
        <v>672148</v>
      </c>
      <c r="M84" s="227">
        <f t="shared" si="79"/>
        <v>713638.49</v>
      </c>
      <c r="N84" s="227">
        <f t="shared" si="79"/>
        <v>792066</v>
      </c>
      <c r="O84" s="227">
        <f t="shared" si="79"/>
        <v>418713.4800000001</v>
      </c>
      <c r="P84" s="178">
        <f t="shared" si="79"/>
        <v>646345.77033333329</v>
      </c>
      <c r="Q84" s="178">
        <f t="shared" si="79"/>
        <v>865400</v>
      </c>
      <c r="R84" s="227">
        <f t="shared" si="79"/>
        <v>703100</v>
      </c>
      <c r="S84" s="227">
        <f t="shared" si="79"/>
        <v>-162300</v>
      </c>
      <c r="U84" s="227">
        <v>175775</v>
      </c>
      <c r="V84" s="227">
        <v>527325</v>
      </c>
      <c r="W84" s="56"/>
      <c r="X84" s="56"/>
      <c r="Y84" s="56"/>
      <c r="Z84" s="56"/>
      <c r="AA84" s="56"/>
    </row>
    <row r="85" spans="1:27" ht="15.75" customHeight="1" x14ac:dyDescent="0.2">
      <c r="C85" s="287"/>
      <c r="K85" s="287"/>
      <c r="U85" s="392"/>
      <c r="V85" s="392"/>
    </row>
    <row r="86" spans="1:27" ht="15.75" customHeight="1" x14ac:dyDescent="0.2">
      <c r="C86" s="287"/>
      <c r="K86" s="287"/>
    </row>
    <row r="87" spans="1:27" ht="15.75" customHeight="1" x14ac:dyDescent="0.2">
      <c r="C87" s="288"/>
      <c r="K87" s="288"/>
      <c r="L87" s="173">
        <f t="shared" ref="L87:R87" si="80">L1</f>
        <v>0</v>
      </c>
      <c r="M87" s="173">
        <f t="shared" si="80"/>
        <v>0</v>
      </c>
      <c r="N87" s="173">
        <f t="shared" si="80"/>
        <v>0</v>
      </c>
      <c r="O87" s="173">
        <f t="shared" si="80"/>
        <v>0</v>
      </c>
      <c r="P87" s="173">
        <f t="shared" si="80"/>
        <v>0</v>
      </c>
      <c r="Q87" s="173">
        <f t="shared" si="80"/>
        <v>0</v>
      </c>
      <c r="R87" s="173">
        <f t="shared" si="80"/>
        <v>0</v>
      </c>
    </row>
    <row r="88" spans="1:27" ht="15.75" customHeight="1" x14ac:dyDescent="0.2">
      <c r="C88" s="289"/>
      <c r="K88" s="289"/>
      <c r="L88" s="393">
        <f t="shared" ref="L88:R88" si="81">L84</f>
        <v>672148</v>
      </c>
      <c r="M88" s="393">
        <f t="shared" si="81"/>
        <v>713638.49</v>
      </c>
      <c r="N88" s="393">
        <f t="shared" si="81"/>
        <v>792066</v>
      </c>
      <c r="O88" s="393">
        <f t="shared" si="81"/>
        <v>418713.4800000001</v>
      </c>
      <c r="P88" s="393">
        <f t="shared" si="81"/>
        <v>646345.77033333329</v>
      </c>
      <c r="Q88" s="393">
        <f t="shared" si="81"/>
        <v>865400</v>
      </c>
      <c r="R88" s="393">
        <f t="shared" si="81"/>
        <v>703100</v>
      </c>
    </row>
    <row r="89" spans="1:27" ht="15.75" customHeight="1" x14ac:dyDescent="0.2">
      <c r="C89" s="287"/>
      <c r="K89" s="287"/>
    </row>
    <row r="90" spans="1:27" ht="15.75" customHeight="1" x14ac:dyDescent="0.2">
      <c r="C90" s="287"/>
      <c r="K90" s="287"/>
    </row>
    <row r="91" spans="1:27" ht="15.75" customHeight="1" x14ac:dyDescent="0.2">
      <c r="C91" s="287"/>
      <c r="K91" s="287"/>
    </row>
    <row r="92" spans="1:27" ht="15.75" customHeight="1" x14ac:dyDescent="0.2">
      <c r="C92" s="287"/>
      <c r="K92" s="287"/>
    </row>
    <row r="93" spans="1:27" ht="15.75" customHeight="1" x14ac:dyDescent="0.2">
      <c r="C93" s="287"/>
      <c r="K93" s="287"/>
    </row>
    <row r="94" spans="1:27" ht="15.75" customHeight="1" x14ac:dyDescent="0.2">
      <c r="C94" s="287"/>
      <c r="K94" s="287"/>
    </row>
    <row r="95" spans="1:27" ht="15.75" customHeight="1" x14ac:dyDescent="0.2">
      <c r="C95" s="287"/>
      <c r="K95" s="287"/>
    </row>
    <row r="96" spans="1:27" ht="15.75" customHeight="1" x14ac:dyDescent="0.2">
      <c r="C96" s="287"/>
      <c r="K96" s="287"/>
    </row>
    <row r="97" spans="3:11" ht="15.75" customHeight="1" x14ac:dyDescent="0.2">
      <c r="C97" s="287"/>
      <c r="K97" s="287"/>
    </row>
    <row r="98" spans="3:11" ht="15.75" customHeight="1" x14ac:dyDescent="0.2">
      <c r="C98" s="287"/>
      <c r="K98" s="287"/>
    </row>
    <row r="99" spans="3:11" ht="15.75" customHeight="1" x14ac:dyDescent="0.2">
      <c r="C99" s="287"/>
      <c r="K99" s="287"/>
    </row>
    <row r="100" spans="3:11" ht="15.75" customHeight="1" x14ac:dyDescent="0.2">
      <c r="C100" s="287"/>
      <c r="K100" s="287"/>
    </row>
    <row r="101" spans="3:11" ht="15.75" customHeight="1" x14ac:dyDescent="0.2">
      <c r="C101" s="287"/>
      <c r="K101" s="287"/>
    </row>
    <row r="102" spans="3:11" ht="15.75" customHeight="1" x14ac:dyDescent="0.2">
      <c r="C102" s="287"/>
      <c r="K102" s="287"/>
    </row>
    <row r="103" spans="3:11" ht="15.75" customHeight="1" x14ac:dyDescent="0.2">
      <c r="C103" s="287"/>
      <c r="K103" s="287"/>
    </row>
    <row r="104" spans="3:11" ht="15.75" customHeight="1" x14ac:dyDescent="0.2">
      <c r="C104" s="287"/>
      <c r="K104" s="287"/>
    </row>
    <row r="105" spans="3:11" ht="15.75" customHeight="1" x14ac:dyDescent="0.2">
      <c r="C105" s="287"/>
      <c r="K105" s="287"/>
    </row>
    <row r="106" spans="3:11" ht="15.75" customHeight="1" x14ac:dyDescent="0.2">
      <c r="C106" s="287"/>
      <c r="K106" s="287"/>
    </row>
    <row r="107" spans="3:11" ht="15.75" customHeight="1" x14ac:dyDescent="0.2">
      <c r="C107" s="287"/>
      <c r="K107" s="287"/>
    </row>
    <row r="108" spans="3:11" ht="15.75" customHeight="1" x14ac:dyDescent="0.2">
      <c r="C108" s="287"/>
      <c r="K108" s="287"/>
    </row>
    <row r="109" spans="3:11" ht="15.75" customHeight="1" x14ac:dyDescent="0.2">
      <c r="C109" s="287"/>
      <c r="K109" s="287"/>
    </row>
    <row r="110" spans="3:11" ht="15.75" customHeight="1" x14ac:dyDescent="0.2">
      <c r="C110" s="287"/>
      <c r="K110" s="287"/>
    </row>
    <row r="111" spans="3:11" ht="15.75" customHeight="1" x14ac:dyDescent="0.2">
      <c r="C111" s="287"/>
      <c r="K111" s="287"/>
    </row>
    <row r="112" spans="3:11" ht="15.75" customHeight="1" x14ac:dyDescent="0.2">
      <c r="C112" s="287"/>
      <c r="K112" s="287"/>
    </row>
    <row r="113" spans="3:11" ht="15.75" customHeight="1" x14ac:dyDescent="0.2">
      <c r="C113" s="287"/>
      <c r="K113" s="287"/>
    </row>
    <row r="114" spans="3:11" ht="15.75" customHeight="1" x14ac:dyDescent="0.2">
      <c r="C114" s="287"/>
      <c r="K114" s="287"/>
    </row>
    <row r="115" spans="3:11" ht="15.75" customHeight="1" x14ac:dyDescent="0.2">
      <c r="C115" s="287"/>
      <c r="K115" s="287"/>
    </row>
    <row r="116" spans="3:11" ht="15.75" customHeight="1" x14ac:dyDescent="0.2">
      <c r="C116" s="287"/>
      <c r="K116" s="287"/>
    </row>
    <row r="117" spans="3:11" ht="15.75" customHeight="1" x14ac:dyDescent="0.2">
      <c r="C117" s="287"/>
      <c r="K117" s="287"/>
    </row>
    <row r="118" spans="3:11" ht="15.75" customHeight="1" x14ac:dyDescent="0.2">
      <c r="C118" s="287"/>
      <c r="K118" s="287"/>
    </row>
    <row r="119" spans="3:11" ht="15.75" customHeight="1" x14ac:dyDescent="0.2">
      <c r="C119" s="287"/>
      <c r="K119" s="287"/>
    </row>
    <row r="120" spans="3:11" ht="15.75" customHeight="1" x14ac:dyDescent="0.2">
      <c r="C120" s="287"/>
      <c r="K120" s="287"/>
    </row>
    <row r="121" spans="3:11" ht="15.75" customHeight="1" x14ac:dyDescent="0.2">
      <c r="C121" s="287"/>
      <c r="K121" s="287"/>
    </row>
    <row r="122" spans="3:11" ht="15.75" customHeight="1" x14ac:dyDescent="0.2">
      <c r="C122" s="287"/>
      <c r="K122" s="287"/>
    </row>
    <row r="123" spans="3:11" ht="15.75" customHeight="1" x14ac:dyDescent="0.2">
      <c r="C123" s="287"/>
      <c r="K123" s="287"/>
    </row>
    <row r="124" spans="3:11" ht="15.75" customHeight="1" x14ac:dyDescent="0.2">
      <c r="C124" s="287"/>
      <c r="K124" s="287"/>
    </row>
    <row r="125" spans="3:11" ht="15.75" customHeight="1" x14ac:dyDescent="0.2">
      <c r="C125" s="287"/>
      <c r="K125" s="287"/>
    </row>
    <row r="126" spans="3:11" ht="15.75" customHeight="1" x14ac:dyDescent="0.2">
      <c r="C126" s="287"/>
      <c r="K126" s="287"/>
    </row>
    <row r="127" spans="3:11" ht="15.75" customHeight="1" x14ac:dyDescent="0.2">
      <c r="C127" s="287"/>
      <c r="K127" s="287"/>
    </row>
    <row r="128" spans="3:11" ht="15.75" customHeight="1" x14ac:dyDescent="0.2">
      <c r="C128" s="287"/>
      <c r="K128" s="287"/>
    </row>
    <row r="129" spans="3:11" ht="15.75" customHeight="1" x14ac:dyDescent="0.2">
      <c r="C129" s="287"/>
      <c r="K129" s="287"/>
    </row>
    <row r="130" spans="3:11" ht="15.75" customHeight="1" x14ac:dyDescent="0.2">
      <c r="C130" s="287"/>
      <c r="K130" s="287"/>
    </row>
    <row r="131" spans="3:11" ht="15.75" customHeight="1" x14ac:dyDescent="0.2">
      <c r="C131" s="287"/>
      <c r="K131" s="287"/>
    </row>
    <row r="132" spans="3:11" ht="15.75" customHeight="1" x14ac:dyDescent="0.2">
      <c r="C132" s="287"/>
      <c r="K132" s="287"/>
    </row>
    <row r="133" spans="3:11" ht="15.75" customHeight="1" x14ac:dyDescent="0.2">
      <c r="C133" s="287"/>
      <c r="K133" s="287"/>
    </row>
    <row r="134" spans="3:11" ht="15.75" customHeight="1" x14ac:dyDescent="0.2">
      <c r="C134" s="287"/>
      <c r="K134" s="287"/>
    </row>
    <row r="135" spans="3:11" ht="15.75" customHeight="1" x14ac:dyDescent="0.2">
      <c r="C135" s="287"/>
      <c r="K135" s="287"/>
    </row>
    <row r="136" spans="3:11" ht="15.75" customHeight="1" x14ac:dyDescent="0.2">
      <c r="C136" s="287"/>
      <c r="K136" s="287"/>
    </row>
    <row r="137" spans="3:11" ht="15.75" customHeight="1" x14ac:dyDescent="0.2">
      <c r="C137" s="287"/>
      <c r="K137" s="287"/>
    </row>
    <row r="138" spans="3:11" ht="15.75" customHeight="1" x14ac:dyDescent="0.2">
      <c r="C138" s="287"/>
      <c r="K138" s="287"/>
    </row>
    <row r="139" spans="3:11" ht="15.75" customHeight="1" x14ac:dyDescent="0.2">
      <c r="C139" s="287"/>
      <c r="K139" s="287"/>
    </row>
    <row r="140" spans="3:11" ht="15.75" customHeight="1" x14ac:dyDescent="0.2">
      <c r="C140" s="287"/>
      <c r="K140" s="287"/>
    </row>
    <row r="141" spans="3:11" ht="15.75" customHeight="1" x14ac:dyDescent="0.2">
      <c r="C141" s="287"/>
      <c r="K141" s="287"/>
    </row>
    <row r="142" spans="3:11" ht="15.75" customHeight="1" x14ac:dyDescent="0.2">
      <c r="C142" s="287"/>
      <c r="K142" s="287"/>
    </row>
    <row r="143" spans="3:11" ht="15.75" customHeight="1" x14ac:dyDescent="0.2">
      <c r="C143" s="287"/>
      <c r="K143" s="287"/>
    </row>
    <row r="144" spans="3:11" ht="15.75" customHeight="1" x14ac:dyDescent="0.2">
      <c r="C144" s="287"/>
      <c r="K144" s="287"/>
    </row>
    <row r="145" spans="3:11" ht="15.75" customHeight="1" x14ac:dyDescent="0.2">
      <c r="C145" s="287"/>
      <c r="K145" s="287"/>
    </row>
    <row r="146" spans="3:11" ht="15.75" customHeight="1" x14ac:dyDescent="0.2">
      <c r="C146" s="287"/>
      <c r="K146" s="287"/>
    </row>
    <row r="147" spans="3:11" ht="15.75" customHeight="1" x14ac:dyDescent="0.2">
      <c r="C147" s="287"/>
      <c r="K147" s="287"/>
    </row>
    <row r="148" spans="3:11" ht="15.75" customHeight="1" x14ac:dyDescent="0.2">
      <c r="C148" s="287"/>
      <c r="K148" s="287"/>
    </row>
    <row r="149" spans="3:11" ht="15.75" customHeight="1" x14ac:dyDescent="0.2">
      <c r="C149" s="287"/>
      <c r="K149" s="287"/>
    </row>
    <row r="150" spans="3:11" ht="15.75" customHeight="1" x14ac:dyDescent="0.2">
      <c r="C150" s="287"/>
      <c r="K150" s="287"/>
    </row>
    <row r="151" spans="3:11" ht="15.75" customHeight="1" x14ac:dyDescent="0.2">
      <c r="C151" s="287"/>
      <c r="K151" s="287"/>
    </row>
    <row r="152" spans="3:11" ht="15.75" customHeight="1" x14ac:dyDescent="0.2">
      <c r="C152" s="287"/>
      <c r="K152" s="287"/>
    </row>
    <row r="153" spans="3:11" ht="15.75" customHeight="1" x14ac:dyDescent="0.2">
      <c r="C153" s="287"/>
      <c r="K153" s="287"/>
    </row>
    <row r="154" spans="3:11" ht="15.75" customHeight="1" x14ac:dyDescent="0.2">
      <c r="C154" s="287"/>
      <c r="K154" s="287"/>
    </row>
    <row r="155" spans="3:11" ht="15.75" customHeight="1" x14ac:dyDescent="0.2">
      <c r="C155" s="287"/>
      <c r="K155" s="287"/>
    </row>
    <row r="156" spans="3:11" ht="15.75" customHeight="1" x14ac:dyDescent="0.2">
      <c r="C156" s="287"/>
      <c r="K156" s="287"/>
    </row>
    <row r="157" spans="3:11" ht="15.75" customHeight="1" x14ac:dyDescent="0.2">
      <c r="C157" s="287"/>
      <c r="K157" s="287"/>
    </row>
    <row r="158" spans="3:11" ht="15.75" customHeight="1" x14ac:dyDescent="0.2">
      <c r="C158" s="287"/>
      <c r="K158" s="287"/>
    </row>
    <row r="159" spans="3:11" ht="15.75" customHeight="1" x14ac:dyDescent="0.2">
      <c r="C159" s="287"/>
      <c r="K159" s="287"/>
    </row>
    <row r="160" spans="3:11" ht="15.75" customHeight="1" x14ac:dyDescent="0.2">
      <c r="C160" s="287"/>
      <c r="K160" s="287"/>
    </row>
    <row r="161" spans="3:11" ht="15.75" customHeight="1" x14ac:dyDescent="0.2">
      <c r="C161" s="287"/>
      <c r="K161" s="287"/>
    </row>
    <row r="162" spans="3:11" ht="15.75" customHeight="1" x14ac:dyDescent="0.2">
      <c r="C162" s="287"/>
      <c r="K162" s="287"/>
    </row>
    <row r="163" spans="3:11" ht="15.75" customHeight="1" x14ac:dyDescent="0.2">
      <c r="C163" s="287"/>
      <c r="K163" s="287"/>
    </row>
    <row r="164" spans="3:11" ht="15.75" customHeight="1" x14ac:dyDescent="0.2">
      <c r="C164" s="287"/>
      <c r="K164" s="287"/>
    </row>
    <row r="165" spans="3:11" ht="15.75" customHeight="1" x14ac:dyDescent="0.2">
      <c r="C165" s="287"/>
      <c r="K165" s="287"/>
    </row>
    <row r="166" spans="3:11" ht="15.75" customHeight="1" x14ac:dyDescent="0.2">
      <c r="C166" s="287"/>
      <c r="K166" s="287"/>
    </row>
    <row r="167" spans="3:11" ht="15.75" customHeight="1" x14ac:dyDescent="0.2">
      <c r="C167" s="287"/>
      <c r="K167" s="287"/>
    </row>
    <row r="168" spans="3:11" ht="15.75" customHeight="1" x14ac:dyDescent="0.2">
      <c r="C168" s="287"/>
      <c r="K168" s="287"/>
    </row>
    <row r="169" spans="3:11" ht="15.75" customHeight="1" x14ac:dyDescent="0.2">
      <c r="C169" s="287"/>
      <c r="K169" s="287"/>
    </row>
    <row r="170" spans="3:11" ht="15.75" customHeight="1" x14ac:dyDescent="0.2">
      <c r="C170" s="287"/>
      <c r="K170" s="287"/>
    </row>
    <row r="171" spans="3:11" ht="15.75" customHeight="1" x14ac:dyDescent="0.2">
      <c r="C171" s="287"/>
      <c r="K171" s="287"/>
    </row>
    <row r="172" spans="3:11" ht="15.75" customHeight="1" x14ac:dyDescent="0.2">
      <c r="C172" s="287"/>
      <c r="K172" s="287"/>
    </row>
    <row r="173" spans="3:11" ht="15.75" customHeight="1" x14ac:dyDescent="0.2">
      <c r="C173" s="287"/>
      <c r="K173" s="287"/>
    </row>
    <row r="174" spans="3:11" ht="15.75" customHeight="1" x14ac:dyDescent="0.2">
      <c r="C174" s="287"/>
      <c r="K174" s="287"/>
    </row>
    <row r="175" spans="3:11" ht="15.75" customHeight="1" x14ac:dyDescent="0.2">
      <c r="C175" s="287"/>
      <c r="K175" s="287"/>
    </row>
    <row r="176" spans="3:11" ht="15.75" customHeight="1" x14ac:dyDescent="0.2">
      <c r="C176" s="287"/>
      <c r="K176" s="287"/>
    </row>
    <row r="177" spans="3:11" ht="15.75" customHeight="1" x14ac:dyDescent="0.2">
      <c r="C177" s="287"/>
      <c r="K177" s="287"/>
    </row>
    <row r="178" spans="3:11" ht="15.75" customHeight="1" x14ac:dyDescent="0.2">
      <c r="C178" s="287"/>
      <c r="K178" s="287"/>
    </row>
    <row r="179" spans="3:11" ht="15.75" customHeight="1" x14ac:dyDescent="0.2">
      <c r="C179" s="287"/>
      <c r="K179" s="287"/>
    </row>
    <row r="180" spans="3:11" ht="15.75" customHeight="1" x14ac:dyDescent="0.2">
      <c r="C180" s="287"/>
      <c r="K180" s="287"/>
    </row>
    <row r="181" spans="3:11" ht="15.75" customHeight="1" x14ac:dyDescent="0.2">
      <c r="C181" s="287"/>
      <c r="K181" s="287"/>
    </row>
    <row r="182" spans="3:11" ht="15.75" customHeight="1" x14ac:dyDescent="0.2">
      <c r="C182" s="287"/>
      <c r="K182" s="287"/>
    </row>
    <row r="183" spans="3:11" ht="15.75" customHeight="1" x14ac:dyDescent="0.2">
      <c r="C183" s="287"/>
      <c r="K183" s="287"/>
    </row>
    <row r="184" spans="3:11" ht="15.75" customHeight="1" x14ac:dyDescent="0.2">
      <c r="C184" s="287"/>
      <c r="K184" s="287"/>
    </row>
    <row r="185" spans="3:11" ht="15.75" customHeight="1" x14ac:dyDescent="0.2"/>
    <row r="186" spans="3:11" ht="15.75" customHeight="1" x14ac:dyDescent="0.2"/>
    <row r="187" spans="3:11" ht="15.75" customHeight="1" x14ac:dyDescent="0.2"/>
    <row r="188" spans="3:11" ht="15.75" customHeight="1" x14ac:dyDescent="0.2"/>
    <row r="189" spans="3:11" ht="15.75" customHeight="1" x14ac:dyDescent="0.2"/>
    <row r="190" spans="3:11" ht="15.75" customHeight="1" x14ac:dyDescent="0.2"/>
    <row r="191" spans="3:11" ht="15.75" customHeight="1" x14ac:dyDescent="0.2"/>
    <row r="192" spans="3:11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</sheetData>
  <conditionalFormatting sqref="H73:H75 H81">
    <cfRule type="cellIs" dxfId="3" priority="1" operator="lessThan">
      <formula>0</formula>
    </cfRule>
  </conditionalFormatting>
  <printOptions horizontalCentered="1" verticalCentered="1"/>
  <pageMargins left="0.25" right="0.25" top="0.75" bottom="0.75" header="0.3" footer="0.3"/>
  <pageSetup scale="78" fitToHeight="0" orientation="landscape" r:id="rId1"/>
  <headerFooter>
    <oddHeader>&amp;A</oddHeader>
    <oddFooter>Page &amp;P of &amp;N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topLeftCell="A59" workbookViewId="0"/>
  </sheetViews>
  <sheetFormatPr defaultColWidth="12.5703125" defaultRowHeight="15" customHeight="1" outlineLevelRow="1" outlineLevelCol="1" x14ac:dyDescent="0.2"/>
  <cols>
    <col min="2" max="2" width="32.28515625" customWidth="1"/>
    <col min="3" max="3" width="4.28515625" hidden="1" customWidth="1" outlineLevel="1"/>
    <col min="4" max="10" width="0.140625" hidden="1" customWidth="1" outlineLevel="1"/>
    <col min="11" max="11" width="4.28515625" hidden="1" customWidth="1" outlineLevel="1"/>
    <col min="12" max="12" width="12.5703125" collapsed="1"/>
    <col min="13" max="13" width="14.85546875" customWidth="1"/>
    <col min="18" max="18" width="12.85546875" customWidth="1"/>
    <col min="20" max="20" width="3.5703125" customWidth="1"/>
    <col min="22" max="22" width="12.28515625" customWidth="1"/>
  </cols>
  <sheetData>
    <row r="1" spans="1:19" ht="15.75" hidden="1" customHeight="1" outlineLevel="1" x14ac:dyDescent="0.2">
      <c r="A1" s="5"/>
      <c r="B1" s="5"/>
      <c r="C1" s="284"/>
      <c r="D1" s="5"/>
      <c r="E1" s="5"/>
      <c r="F1" s="5"/>
      <c r="G1" s="5"/>
      <c r="H1" s="5"/>
      <c r="I1" s="5"/>
      <c r="J1" s="5"/>
      <c r="K1" s="284"/>
      <c r="L1" s="5"/>
      <c r="M1" s="5"/>
      <c r="N1" s="5"/>
      <c r="O1" s="5"/>
      <c r="P1" s="5"/>
      <c r="Q1" s="5"/>
      <c r="R1" s="5"/>
      <c r="S1" s="5"/>
    </row>
    <row r="2" spans="1:19" ht="15.75" hidden="1" customHeight="1" outlineLevel="1" x14ac:dyDescent="0.2">
      <c r="A2" s="379" t="s">
        <v>50</v>
      </c>
      <c r="B2" s="379" t="s">
        <v>51</v>
      </c>
      <c r="C2" s="292"/>
      <c r="D2" s="379" t="s">
        <v>52</v>
      </c>
      <c r="E2" s="380" t="s">
        <v>53</v>
      </c>
      <c r="F2" s="380" t="s">
        <v>1212</v>
      </c>
      <c r="G2" s="380" t="s">
        <v>55</v>
      </c>
      <c r="H2" s="230" t="s">
        <v>56</v>
      </c>
      <c r="I2" s="230" t="s">
        <v>57</v>
      </c>
      <c r="J2" s="5"/>
      <c r="K2" s="292"/>
      <c r="L2" s="394" t="e">
        <f t="shared" ref="L2:S2" si="0">#REF!</f>
        <v>#REF!</v>
      </c>
      <c r="M2" s="394" t="e">
        <f t="shared" si="0"/>
        <v>#REF!</v>
      </c>
      <c r="N2" s="394" t="e">
        <f t="shared" si="0"/>
        <v>#REF!</v>
      </c>
      <c r="O2" s="394" t="e">
        <f t="shared" si="0"/>
        <v>#REF!</v>
      </c>
      <c r="P2" s="394" t="e">
        <f t="shared" si="0"/>
        <v>#REF!</v>
      </c>
      <c r="Q2" s="394" t="e">
        <f t="shared" si="0"/>
        <v>#REF!</v>
      </c>
      <c r="R2" s="394" t="e">
        <f t="shared" si="0"/>
        <v>#REF!</v>
      </c>
      <c r="S2" s="394" t="e">
        <f t="shared" si="0"/>
        <v>#REF!</v>
      </c>
    </row>
    <row r="3" spans="1:19" ht="15.75" hidden="1" customHeight="1" outlineLevel="1" x14ac:dyDescent="0.25">
      <c r="A3" s="6" t="s">
        <v>1238</v>
      </c>
      <c r="B3" s="6" t="s">
        <v>68</v>
      </c>
      <c r="C3" s="383"/>
      <c r="D3" s="265">
        <v>0</v>
      </c>
      <c r="E3" s="216" t="e">
        <f>D3*#REF!</f>
        <v>#REF!</v>
      </c>
      <c r="F3" s="216" t="e">
        <f>D3*#REF!</f>
        <v>#REF!</v>
      </c>
      <c r="G3" s="216" t="e">
        <f>(D3*#REF!)*#REF!</f>
        <v>#REF!</v>
      </c>
      <c r="H3" s="211">
        <f t="shared" ref="H3:H25" si="1">IFERROR(((Q3-D3)/D3),0)</f>
        <v>0</v>
      </c>
      <c r="I3" s="7" t="e">
        <f t="shared" ref="I3:I25" si="2">Q3-G3</f>
        <v>#REF!</v>
      </c>
      <c r="J3" s="5"/>
      <c r="K3" s="383"/>
      <c r="L3" s="265">
        <v>0</v>
      </c>
      <c r="M3" s="216">
        <v>106175.43</v>
      </c>
      <c r="N3" s="216">
        <v>67493</v>
      </c>
      <c r="O3" s="216">
        <f>VLOOKUP(A3,TB!A:F,3)</f>
        <v>29967.42</v>
      </c>
      <c r="P3" s="216"/>
      <c r="Q3" s="216">
        <v>86700</v>
      </c>
      <c r="R3" s="7">
        <f>VLOOKUP(A3,TB!A:F,6)</f>
        <v>86700</v>
      </c>
      <c r="S3" s="7">
        <f t="shared" ref="S3:S24" si="3">R3-Q3</f>
        <v>0</v>
      </c>
    </row>
    <row r="4" spans="1:19" ht="15.75" hidden="1" customHeight="1" outlineLevel="1" x14ac:dyDescent="0.25">
      <c r="A4" s="6" t="s">
        <v>1239</v>
      </c>
      <c r="B4" s="6" t="s">
        <v>70</v>
      </c>
      <c r="C4" s="383"/>
      <c r="D4" s="265">
        <v>0</v>
      </c>
      <c r="E4" s="216" t="e">
        <f>D4*#REF!</f>
        <v>#REF!</v>
      </c>
      <c r="F4" s="216" t="e">
        <f>D4*#REF!</f>
        <v>#REF!</v>
      </c>
      <c r="G4" s="216" t="e">
        <f>(D4*#REF!)*#REF!</f>
        <v>#REF!</v>
      </c>
      <c r="H4" s="211">
        <f t="shared" si="1"/>
        <v>0</v>
      </c>
      <c r="I4" s="7" t="e">
        <f t="shared" si="2"/>
        <v>#REF!</v>
      </c>
      <c r="J4" s="5"/>
      <c r="K4" s="383"/>
      <c r="L4" s="265">
        <v>0</v>
      </c>
      <c r="M4" s="216">
        <v>1510</v>
      </c>
      <c r="N4" s="216">
        <v>1375</v>
      </c>
      <c r="O4" s="216">
        <f>VLOOKUP(A4,TB!A:F,3)</f>
        <v>703.04</v>
      </c>
      <c r="P4" s="216"/>
      <c r="Q4" s="216">
        <v>1400</v>
      </c>
      <c r="R4" s="7">
        <f>VLOOKUP(A4,TB!A:F,6)</f>
        <v>1250</v>
      </c>
      <c r="S4" s="7">
        <f t="shared" si="3"/>
        <v>-150</v>
      </c>
    </row>
    <row r="5" spans="1:19" ht="15.75" hidden="1" customHeight="1" outlineLevel="1" x14ac:dyDescent="0.25">
      <c r="A5" s="6" t="s">
        <v>1240</v>
      </c>
      <c r="B5" s="6" t="s">
        <v>132</v>
      </c>
      <c r="C5" s="383"/>
      <c r="D5" s="265">
        <v>0</v>
      </c>
      <c r="E5" s="216" t="e">
        <f>D5*#REF!</f>
        <v>#REF!</v>
      </c>
      <c r="F5" s="216" t="e">
        <f>D5*#REF!</f>
        <v>#REF!</v>
      </c>
      <c r="G5" s="216" t="e">
        <f>(D5*#REF!)*#REF!</f>
        <v>#REF!</v>
      </c>
      <c r="H5" s="211">
        <f t="shared" si="1"/>
        <v>0</v>
      </c>
      <c r="I5" s="7" t="e">
        <f t="shared" si="2"/>
        <v>#REF!</v>
      </c>
      <c r="J5" s="5"/>
      <c r="K5" s="383"/>
      <c r="L5" s="265">
        <v>0</v>
      </c>
      <c r="M5" s="216">
        <v>0</v>
      </c>
      <c r="N5" s="216">
        <v>5000</v>
      </c>
      <c r="O5" s="216">
        <f>VLOOKUP(A5,TB!A:F,3)</f>
        <v>0</v>
      </c>
      <c r="P5" s="216"/>
      <c r="Q5" s="216">
        <v>5000</v>
      </c>
      <c r="R5" s="7">
        <f>VLOOKUP(A5,TB!A:F,6)</f>
        <v>5000</v>
      </c>
      <c r="S5" s="7">
        <f t="shared" si="3"/>
        <v>0</v>
      </c>
    </row>
    <row r="6" spans="1:19" ht="15.75" hidden="1" customHeight="1" outlineLevel="1" x14ac:dyDescent="0.25">
      <c r="A6" s="6" t="s">
        <v>1241</v>
      </c>
      <c r="B6" s="6" t="s">
        <v>108</v>
      </c>
      <c r="C6" s="383"/>
      <c r="D6" s="265">
        <v>0</v>
      </c>
      <c r="E6" s="216" t="e">
        <f>D6*#REF!</f>
        <v>#REF!</v>
      </c>
      <c r="F6" s="216" t="e">
        <f>D6*#REF!</f>
        <v>#REF!</v>
      </c>
      <c r="G6" s="216" t="e">
        <f>(D6*#REF!)*#REF!</f>
        <v>#REF!</v>
      </c>
      <c r="H6" s="211">
        <f t="shared" si="1"/>
        <v>0</v>
      </c>
      <c r="I6" s="7" t="e">
        <f t="shared" si="2"/>
        <v>#REF!</v>
      </c>
      <c r="J6" s="5"/>
      <c r="K6" s="383"/>
      <c r="L6" s="265">
        <v>0</v>
      </c>
      <c r="M6" s="216">
        <v>0</v>
      </c>
      <c r="N6" s="216">
        <v>0</v>
      </c>
      <c r="O6" s="216">
        <f>VLOOKUP(A6,TB!A:F,3)</f>
        <v>0</v>
      </c>
      <c r="P6" s="216"/>
      <c r="Q6" s="216">
        <v>0</v>
      </c>
      <c r="R6" s="7">
        <f>VLOOKUP(A6,TB!A:F,6)</f>
        <v>5000</v>
      </c>
      <c r="S6" s="7">
        <f t="shared" si="3"/>
        <v>5000</v>
      </c>
    </row>
    <row r="7" spans="1:19" ht="15.75" hidden="1" customHeight="1" outlineLevel="1" x14ac:dyDescent="0.25">
      <c r="A7" s="6" t="s">
        <v>1242</v>
      </c>
      <c r="B7" s="6" t="s">
        <v>72</v>
      </c>
      <c r="C7" s="383"/>
      <c r="D7" s="265">
        <v>0</v>
      </c>
      <c r="E7" s="216" t="e">
        <f>D7*#REF!</f>
        <v>#REF!</v>
      </c>
      <c r="F7" s="216" t="e">
        <f>D7*#REF!</f>
        <v>#REF!</v>
      </c>
      <c r="G7" s="216" t="e">
        <f>(D7*#REF!)*#REF!</f>
        <v>#REF!</v>
      </c>
      <c r="H7" s="211">
        <f t="shared" si="1"/>
        <v>0</v>
      </c>
      <c r="I7" s="7" t="e">
        <f t="shared" si="2"/>
        <v>#REF!</v>
      </c>
      <c r="J7" s="5"/>
      <c r="K7" s="383"/>
      <c r="L7" s="265">
        <v>0</v>
      </c>
      <c r="M7" s="216">
        <v>54378.400000000001</v>
      </c>
      <c r="N7" s="216">
        <v>45371</v>
      </c>
      <c r="O7" s="216">
        <f>VLOOKUP(A7,TB!A:F,3)</f>
        <v>15366.86</v>
      </c>
      <c r="P7" s="216"/>
      <c r="Q7" s="216">
        <v>44400</v>
      </c>
      <c r="R7" s="7">
        <f>VLOOKUP(A7,TB!A:F,6)</f>
        <v>44400</v>
      </c>
      <c r="S7" s="7">
        <f t="shared" si="3"/>
        <v>0</v>
      </c>
    </row>
    <row r="8" spans="1:19" ht="15.75" hidden="1" customHeight="1" outlineLevel="1" x14ac:dyDescent="0.25">
      <c r="A8" s="6" t="s">
        <v>1243</v>
      </c>
      <c r="B8" s="6" t="s">
        <v>74</v>
      </c>
      <c r="C8" s="383"/>
      <c r="D8" s="265">
        <v>0</v>
      </c>
      <c r="E8" s="216" t="e">
        <f>D8*#REF!</f>
        <v>#REF!</v>
      </c>
      <c r="F8" s="216" t="e">
        <f>D8*#REF!</f>
        <v>#REF!</v>
      </c>
      <c r="G8" s="216" t="e">
        <f>(D8*#REF!)*#REF!</f>
        <v>#REF!</v>
      </c>
      <c r="H8" s="211">
        <f t="shared" si="1"/>
        <v>0</v>
      </c>
      <c r="I8" s="7" t="e">
        <f t="shared" si="2"/>
        <v>#REF!</v>
      </c>
      <c r="J8" s="5"/>
      <c r="K8" s="383"/>
      <c r="L8" s="265">
        <v>0</v>
      </c>
      <c r="M8" s="216">
        <v>1831.5</v>
      </c>
      <c r="N8" s="216">
        <v>1075</v>
      </c>
      <c r="O8" s="216">
        <f>VLOOKUP(A8,TB!A:F,3)</f>
        <v>72.75</v>
      </c>
      <c r="P8" s="216"/>
      <c r="Q8" s="216">
        <v>1075</v>
      </c>
      <c r="R8" s="7">
        <f>VLOOKUP(A8,TB!A:F,6)</f>
        <v>1000</v>
      </c>
      <c r="S8" s="7">
        <f t="shared" si="3"/>
        <v>-75</v>
      </c>
    </row>
    <row r="9" spans="1:19" ht="15.75" hidden="1" customHeight="1" outlineLevel="1" x14ac:dyDescent="0.25">
      <c r="A9" s="6" t="s">
        <v>1244</v>
      </c>
      <c r="B9" s="6" t="s">
        <v>76</v>
      </c>
      <c r="C9" s="383"/>
      <c r="D9" s="265">
        <v>0</v>
      </c>
      <c r="E9" s="216" t="e">
        <f>D9*#REF!</f>
        <v>#REF!</v>
      </c>
      <c r="F9" s="216" t="e">
        <f>D9*#REF!</f>
        <v>#REF!</v>
      </c>
      <c r="G9" s="216" t="e">
        <f>(D9*#REF!)*#REF!</f>
        <v>#REF!</v>
      </c>
      <c r="H9" s="211">
        <f t="shared" si="1"/>
        <v>0</v>
      </c>
      <c r="I9" s="7" t="e">
        <f t="shared" si="2"/>
        <v>#REF!</v>
      </c>
      <c r="J9" s="5"/>
      <c r="K9" s="383"/>
      <c r="L9" s="265">
        <v>0</v>
      </c>
      <c r="M9" s="216">
        <v>3827.31</v>
      </c>
      <c r="N9" s="216">
        <v>2875</v>
      </c>
      <c r="O9" s="216">
        <f>VLOOKUP(A9,TB!A:F,3)</f>
        <v>223.95</v>
      </c>
      <c r="P9" s="216"/>
      <c r="Q9" s="216">
        <v>3500</v>
      </c>
      <c r="R9" s="7">
        <f>VLOOKUP(A9,TB!A:F,6)</f>
        <v>2500</v>
      </c>
      <c r="S9" s="7">
        <f t="shared" si="3"/>
        <v>-1000</v>
      </c>
    </row>
    <row r="10" spans="1:19" ht="15.75" hidden="1" customHeight="1" outlineLevel="1" x14ac:dyDescent="0.25">
      <c r="A10" s="6" t="s">
        <v>1245</v>
      </c>
      <c r="B10" s="6" t="s">
        <v>80</v>
      </c>
      <c r="C10" s="383"/>
      <c r="D10" s="265">
        <v>0</v>
      </c>
      <c r="E10" s="216" t="e">
        <f>D10*#REF!</f>
        <v>#REF!</v>
      </c>
      <c r="F10" s="216" t="e">
        <f>D10*#REF!</f>
        <v>#REF!</v>
      </c>
      <c r="G10" s="216" t="e">
        <f>(D10*#REF!)*#REF!</f>
        <v>#REF!</v>
      </c>
      <c r="H10" s="211">
        <f t="shared" si="1"/>
        <v>0</v>
      </c>
      <c r="I10" s="7" t="e">
        <f t="shared" si="2"/>
        <v>#REF!</v>
      </c>
      <c r="J10" s="5"/>
      <c r="K10" s="383"/>
      <c r="L10" s="265">
        <v>0</v>
      </c>
      <c r="M10" s="216">
        <v>1142.8</v>
      </c>
      <c r="N10" s="216">
        <v>2375</v>
      </c>
      <c r="O10" s="216">
        <f>VLOOKUP(A10,TB!A:F,3)</f>
        <v>346.32</v>
      </c>
      <c r="P10" s="216"/>
      <c r="Q10" s="216">
        <v>1375</v>
      </c>
      <c r="R10" s="7">
        <f>VLOOKUP(A10,TB!A:F,6)</f>
        <v>1250</v>
      </c>
      <c r="S10" s="7">
        <f t="shared" si="3"/>
        <v>-125</v>
      </c>
    </row>
    <row r="11" spans="1:19" ht="15.75" hidden="1" customHeight="1" outlineLevel="1" x14ac:dyDescent="0.25">
      <c r="A11" s="6" t="s">
        <v>1246</v>
      </c>
      <c r="B11" s="6" t="s">
        <v>82</v>
      </c>
      <c r="C11" s="383"/>
      <c r="D11" s="265">
        <v>0</v>
      </c>
      <c r="E11" s="216" t="e">
        <f>D11*#REF!</f>
        <v>#REF!</v>
      </c>
      <c r="F11" s="216" t="e">
        <f>D11*#REF!</f>
        <v>#REF!</v>
      </c>
      <c r="G11" s="216" t="e">
        <f>(D11*#REF!)*#REF!</f>
        <v>#REF!</v>
      </c>
      <c r="H11" s="211">
        <f t="shared" si="1"/>
        <v>0</v>
      </c>
      <c r="I11" s="7" t="e">
        <f t="shared" si="2"/>
        <v>#REF!</v>
      </c>
      <c r="J11" s="5"/>
      <c r="K11" s="383"/>
      <c r="L11" s="265">
        <v>0</v>
      </c>
      <c r="M11" s="216">
        <v>10887.79</v>
      </c>
      <c r="N11" s="216">
        <v>6125</v>
      </c>
      <c r="O11" s="216">
        <f>VLOOKUP(A11,TB!A:F,3)</f>
        <v>757.05</v>
      </c>
      <c r="P11" s="216"/>
      <c r="Q11" s="216">
        <v>6125</v>
      </c>
      <c r="R11" s="7">
        <f>VLOOKUP(A11,TB!A:F,6)</f>
        <v>5000</v>
      </c>
      <c r="S11" s="7">
        <f t="shared" si="3"/>
        <v>-1125</v>
      </c>
    </row>
    <row r="12" spans="1:19" ht="15.75" hidden="1" customHeight="1" outlineLevel="1" x14ac:dyDescent="0.25">
      <c r="A12" s="6" t="s">
        <v>1247</v>
      </c>
      <c r="B12" s="6" t="s">
        <v>115</v>
      </c>
      <c r="C12" s="383"/>
      <c r="D12" s="265">
        <v>0</v>
      </c>
      <c r="E12" s="216" t="e">
        <f>D12*#REF!</f>
        <v>#REF!</v>
      </c>
      <c r="F12" s="216" t="e">
        <f>D12*#REF!</f>
        <v>#REF!</v>
      </c>
      <c r="G12" s="216" t="e">
        <f>(D12*#REF!)*#REF!</f>
        <v>#REF!</v>
      </c>
      <c r="H12" s="211">
        <f t="shared" si="1"/>
        <v>0</v>
      </c>
      <c r="I12" s="7" t="e">
        <f t="shared" si="2"/>
        <v>#REF!</v>
      </c>
      <c r="J12" s="5"/>
      <c r="K12" s="383"/>
      <c r="L12" s="265">
        <v>0</v>
      </c>
      <c r="M12" s="216">
        <v>299</v>
      </c>
      <c r="N12" s="216">
        <v>1250</v>
      </c>
      <c r="O12" s="216">
        <f>VLOOKUP(A12,TB!A:F,3)</f>
        <v>0</v>
      </c>
      <c r="P12" s="216"/>
      <c r="Q12" s="216">
        <v>1500</v>
      </c>
      <c r="R12" s="7">
        <f>VLOOKUP(A12,TB!A:F,6)</f>
        <v>1000</v>
      </c>
      <c r="S12" s="7">
        <f t="shared" si="3"/>
        <v>-500</v>
      </c>
    </row>
    <row r="13" spans="1:19" ht="15.75" hidden="1" customHeight="1" outlineLevel="1" x14ac:dyDescent="0.25">
      <c r="A13" s="6" t="s">
        <v>1248</v>
      </c>
      <c r="B13" s="6" t="s">
        <v>84</v>
      </c>
      <c r="C13" s="383"/>
      <c r="D13" s="265">
        <v>0</v>
      </c>
      <c r="E13" s="216" t="e">
        <f>D13*#REF!</f>
        <v>#REF!</v>
      </c>
      <c r="F13" s="216" t="e">
        <f>D13*#REF!</f>
        <v>#REF!</v>
      </c>
      <c r="G13" s="216" t="e">
        <f>(D13*#REF!)*#REF!</f>
        <v>#REF!</v>
      </c>
      <c r="H13" s="211">
        <f t="shared" si="1"/>
        <v>0</v>
      </c>
      <c r="I13" s="7" t="e">
        <f t="shared" si="2"/>
        <v>#REF!</v>
      </c>
      <c r="J13" s="5"/>
      <c r="K13" s="383"/>
      <c r="L13" s="265">
        <v>0</v>
      </c>
      <c r="M13" s="216">
        <v>2483.3200000000002</v>
      </c>
      <c r="N13" s="216">
        <v>1900</v>
      </c>
      <c r="O13" s="216">
        <f>VLOOKUP(A13,TB!A:F,3)</f>
        <v>408.42</v>
      </c>
      <c r="P13" s="216"/>
      <c r="Q13" s="216">
        <v>1900</v>
      </c>
      <c r="R13" s="7">
        <f>VLOOKUP(A13,TB!A:F,6)</f>
        <v>1650</v>
      </c>
      <c r="S13" s="7">
        <f t="shared" si="3"/>
        <v>-250</v>
      </c>
    </row>
    <row r="14" spans="1:19" ht="15.75" hidden="1" customHeight="1" outlineLevel="1" x14ac:dyDescent="0.25">
      <c r="A14" s="6" t="s">
        <v>1249</v>
      </c>
      <c r="B14" s="6" t="s">
        <v>86</v>
      </c>
      <c r="C14" s="383"/>
      <c r="D14" s="265">
        <v>0</v>
      </c>
      <c r="E14" s="216" t="e">
        <f>D14*#REF!</f>
        <v>#REF!</v>
      </c>
      <c r="F14" s="216" t="e">
        <f>D14*#REF!</f>
        <v>#REF!</v>
      </c>
      <c r="G14" s="216" t="e">
        <f>(D14*#REF!)*#REF!</f>
        <v>#REF!</v>
      </c>
      <c r="H14" s="211">
        <f t="shared" si="1"/>
        <v>0</v>
      </c>
      <c r="I14" s="7" t="e">
        <f t="shared" si="2"/>
        <v>#REF!</v>
      </c>
      <c r="J14" s="5"/>
      <c r="K14" s="383"/>
      <c r="L14" s="265">
        <v>0</v>
      </c>
      <c r="M14" s="216">
        <v>112463.24</v>
      </c>
      <c r="N14" s="216">
        <v>48750</v>
      </c>
      <c r="O14" s="216">
        <f>VLOOKUP(A14,TB!A:F,3)</f>
        <v>20595.189999999999</v>
      </c>
      <c r="P14" s="216"/>
      <c r="Q14" s="216">
        <v>41250</v>
      </c>
      <c r="R14" s="7">
        <f>VLOOKUP(A14,TB!A:F,6)</f>
        <v>40000</v>
      </c>
      <c r="S14" s="7">
        <f t="shared" si="3"/>
        <v>-1250</v>
      </c>
    </row>
    <row r="15" spans="1:19" ht="15.75" hidden="1" customHeight="1" outlineLevel="1" x14ac:dyDescent="0.25">
      <c r="A15" s="6" t="s">
        <v>1250</v>
      </c>
      <c r="B15" s="6" t="s">
        <v>88</v>
      </c>
      <c r="C15" s="383"/>
      <c r="D15" s="265">
        <v>0</v>
      </c>
      <c r="E15" s="216" t="e">
        <f>D15*#REF!</f>
        <v>#REF!</v>
      </c>
      <c r="F15" s="216" t="e">
        <f>D15*#REF!</f>
        <v>#REF!</v>
      </c>
      <c r="G15" s="216" t="e">
        <f>(D15*#REF!)*#REF!</f>
        <v>#REF!</v>
      </c>
      <c r="H15" s="211">
        <f t="shared" si="1"/>
        <v>0</v>
      </c>
      <c r="I15" s="7" t="e">
        <f t="shared" si="2"/>
        <v>#REF!</v>
      </c>
      <c r="J15" s="5"/>
      <c r="K15" s="383"/>
      <c r="L15" s="265">
        <v>0</v>
      </c>
      <c r="M15" s="216">
        <v>6297.17</v>
      </c>
      <c r="N15" s="216">
        <v>4600</v>
      </c>
      <c r="O15" s="216">
        <f>VLOOKUP(A15,TB!A:F,3)</f>
        <v>3040.13</v>
      </c>
      <c r="P15" s="216"/>
      <c r="Q15" s="216">
        <v>4850</v>
      </c>
      <c r="R15" s="7">
        <f>VLOOKUP(A15,TB!A:F,6)</f>
        <v>4850</v>
      </c>
      <c r="S15" s="7">
        <f t="shared" si="3"/>
        <v>0</v>
      </c>
    </row>
    <row r="16" spans="1:19" ht="15.75" hidden="1" customHeight="1" outlineLevel="1" x14ac:dyDescent="0.25">
      <c r="A16" s="6" t="s">
        <v>1251</v>
      </c>
      <c r="B16" s="6" t="s">
        <v>1252</v>
      </c>
      <c r="C16" s="383"/>
      <c r="D16" s="265">
        <v>0</v>
      </c>
      <c r="E16" s="216" t="e">
        <f>D16*#REF!</f>
        <v>#REF!</v>
      </c>
      <c r="F16" s="216" t="e">
        <f>D16*#REF!</f>
        <v>#REF!</v>
      </c>
      <c r="G16" s="216" t="e">
        <f>(D16*#REF!)*#REF!</f>
        <v>#REF!</v>
      </c>
      <c r="H16" s="211">
        <f t="shared" si="1"/>
        <v>0</v>
      </c>
      <c r="I16" s="7" t="e">
        <f t="shared" si="2"/>
        <v>#REF!</v>
      </c>
      <c r="J16" s="5"/>
      <c r="K16" s="383"/>
      <c r="L16" s="265">
        <v>0</v>
      </c>
      <c r="M16" s="216">
        <v>0</v>
      </c>
      <c r="N16" s="216">
        <v>56962</v>
      </c>
      <c r="O16" s="216">
        <f>VLOOKUP(A16,TB!A:F,3)</f>
        <v>1812.5</v>
      </c>
      <c r="P16" s="216"/>
      <c r="Q16" s="216">
        <v>2500</v>
      </c>
      <c r="R16" s="7">
        <f>VLOOKUP(A16,TB!A:F,6)</f>
        <v>2500</v>
      </c>
      <c r="S16" s="7">
        <f t="shared" si="3"/>
        <v>0</v>
      </c>
    </row>
    <row r="17" spans="1:19" ht="15.75" hidden="1" customHeight="1" outlineLevel="1" x14ac:dyDescent="0.25">
      <c r="A17" s="6" t="s">
        <v>1253</v>
      </c>
      <c r="B17" s="6" t="s">
        <v>1254</v>
      </c>
      <c r="C17" s="383"/>
      <c r="D17" s="265">
        <v>0</v>
      </c>
      <c r="E17" s="216" t="e">
        <f>D17*#REF!</f>
        <v>#REF!</v>
      </c>
      <c r="F17" s="216" t="e">
        <f>D17*#REF!</f>
        <v>#REF!</v>
      </c>
      <c r="G17" s="216" t="e">
        <f>(D17*#REF!)*#REF!</f>
        <v>#REF!</v>
      </c>
      <c r="H17" s="211">
        <f t="shared" si="1"/>
        <v>0</v>
      </c>
      <c r="I17" s="7" t="e">
        <f t="shared" si="2"/>
        <v>#REF!</v>
      </c>
      <c r="J17" s="5"/>
      <c r="K17" s="383"/>
      <c r="L17" s="265">
        <v>0</v>
      </c>
      <c r="M17" s="216">
        <v>19032.650000000001</v>
      </c>
      <c r="N17" s="216">
        <v>10000</v>
      </c>
      <c r="O17" s="216">
        <f>VLOOKUP(A17,TB!A:F,3)</f>
        <v>5906.93</v>
      </c>
      <c r="P17" s="216"/>
      <c r="Q17" s="216">
        <v>10000</v>
      </c>
      <c r="R17" s="7">
        <f>VLOOKUP(A17,TB!A:F,6)</f>
        <v>10000</v>
      </c>
      <c r="S17" s="7">
        <f t="shared" si="3"/>
        <v>0</v>
      </c>
    </row>
    <row r="18" spans="1:19" ht="15.75" hidden="1" customHeight="1" outlineLevel="1" x14ac:dyDescent="0.25">
      <c r="A18" s="6" t="s">
        <v>1255</v>
      </c>
      <c r="B18" s="6" t="s">
        <v>1256</v>
      </c>
      <c r="C18" s="383"/>
      <c r="D18" s="265">
        <v>0</v>
      </c>
      <c r="E18" s="216" t="e">
        <f>D18*#REF!</f>
        <v>#REF!</v>
      </c>
      <c r="F18" s="216" t="e">
        <f>D18*#REF!</f>
        <v>#REF!</v>
      </c>
      <c r="G18" s="216" t="e">
        <f>(D18*#REF!)*#REF!</f>
        <v>#REF!</v>
      </c>
      <c r="H18" s="211">
        <f t="shared" si="1"/>
        <v>0</v>
      </c>
      <c r="I18" s="7" t="e">
        <f t="shared" si="2"/>
        <v>#REF!</v>
      </c>
      <c r="J18" s="5"/>
      <c r="K18" s="383"/>
      <c r="L18" s="265">
        <v>0</v>
      </c>
      <c r="M18" s="216">
        <v>23747.88</v>
      </c>
      <c r="N18" s="216">
        <v>6250</v>
      </c>
      <c r="O18" s="216">
        <f>VLOOKUP(A18,TB!A:F,3)</f>
        <v>9107.19</v>
      </c>
      <c r="P18" s="216"/>
      <c r="Q18" s="216">
        <v>15000</v>
      </c>
      <c r="R18" s="7">
        <f>VLOOKUP(A18,TB!A:F,6)</f>
        <v>15000</v>
      </c>
      <c r="S18" s="7">
        <f t="shared" si="3"/>
        <v>0</v>
      </c>
    </row>
    <row r="19" spans="1:19" ht="15.75" hidden="1" customHeight="1" outlineLevel="1" x14ac:dyDescent="0.25">
      <c r="A19" s="6" t="s">
        <v>1257</v>
      </c>
      <c r="B19" s="6" t="s">
        <v>1258</v>
      </c>
      <c r="C19" s="383"/>
      <c r="D19" s="265">
        <v>0</v>
      </c>
      <c r="E19" s="216" t="e">
        <f>D19*#REF!</f>
        <v>#REF!</v>
      </c>
      <c r="F19" s="216" t="e">
        <f>D19*#REF!</f>
        <v>#REF!</v>
      </c>
      <c r="G19" s="216" t="e">
        <f>(D19*#REF!)*#REF!</f>
        <v>#REF!</v>
      </c>
      <c r="H19" s="211">
        <f t="shared" si="1"/>
        <v>0</v>
      </c>
      <c r="I19" s="7" t="e">
        <f t="shared" si="2"/>
        <v>#REF!</v>
      </c>
      <c r="J19" s="5"/>
      <c r="K19" s="383"/>
      <c r="L19" s="265">
        <v>0</v>
      </c>
      <c r="M19" s="216">
        <v>3993.58</v>
      </c>
      <c r="N19" s="216">
        <v>25000</v>
      </c>
      <c r="O19" s="216">
        <f>VLOOKUP(A19,TB!A:F,3)</f>
        <v>5968.07</v>
      </c>
      <c r="P19" s="216"/>
      <c r="Q19" s="216">
        <v>6250</v>
      </c>
      <c r="R19" s="7">
        <f>VLOOKUP(A19,TB!A:F,6)</f>
        <v>6250</v>
      </c>
      <c r="S19" s="7">
        <f t="shared" si="3"/>
        <v>0</v>
      </c>
    </row>
    <row r="20" spans="1:19" ht="15.75" hidden="1" customHeight="1" outlineLevel="1" x14ac:dyDescent="0.25">
      <c r="A20" s="6" t="s">
        <v>1259</v>
      </c>
      <c r="B20" s="6" t="s">
        <v>90</v>
      </c>
      <c r="C20" s="383"/>
      <c r="D20" s="265">
        <v>0</v>
      </c>
      <c r="E20" s="216" t="e">
        <f>D20*#REF!</f>
        <v>#REF!</v>
      </c>
      <c r="F20" s="216" t="e">
        <f>D20*#REF!</f>
        <v>#REF!</v>
      </c>
      <c r="G20" s="216" t="e">
        <f>(D20*#REF!)*#REF!</f>
        <v>#REF!</v>
      </c>
      <c r="H20" s="211">
        <f t="shared" si="1"/>
        <v>0</v>
      </c>
      <c r="I20" s="7" t="e">
        <f t="shared" si="2"/>
        <v>#REF!</v>
      </c>
      <c r="J20" s="5"/>
      <c r="K20" s="383"/>
      <c r="L20" s="265">
        <v>0</v>
      </c>
      <c r="M20" s="216">
        <v>0</v>
      </c>
      <c r="N20" s="216">
        <v>1500</v>
      </c>
      <c r="O20" s="216">
        <f>VLOOKUP(A20,TB!A:F,3)</f>
        <v>770.53</v>
      </c>
      <c r="P20" s="216"/>
      <c r="Q20" s="216">
        <v>1500</v>
      </c>
      <c r="R20" s="7">
        <f>VLOOKUP(A20,TB!A:F,6)</f>
        <v>1250</v>
      </c>
      <c r="S20" s="7">
        <f t="shared" si="3"/>
        <v>-250</v>
      </c>
    </row>
    <row r="21" spans="1:19" ht="15.75" hidden="1" customHeight="1" outlineLevel="1" x14ac:dyDescent="0.25">
      <c r="A21" s="6" t="s">
        <v>1260</v>
      </c>
      <c r="B21" s="6" t="s">
        <v>1261</v>
      </c>
      <c r="C21" s="383"/>
      <c r="D21" s="265">
        <v>0</v>
      </c>
      <c r="E21" s="216" t="e">
        <f>D21*#REF!</f>
        <v>#REF!</v>
      </c>
      <c r="F21" s="216" t="e">
        <f>D21*#REF!</f>
        <v>#REF!</v>
      </c>
      <c r="G21" s="216" t="e">
        <f>(D21*#REF!)*#REF!</f>
        <v>#REF!</v>
      </c>
      <c r="H21" s="211">
        <f t="shared" si="1"/>
        <v>0</v>
      </c>
      <c r="I21" s="7" t="e">
        <f t="shared" si="2"/>
        <v>#REF!</v>
      </c>
      <c r="J21" s="5"/>
      <c r="K21" s="383"/>
      <c r="L21" s="265">
        <v>0</v>
      </c>
      <c r="M21" s="216">
        <v>0</v>
      </c>
      <c r="N21" s="216">
        <v>0</v>
      </c>
      <c r="O21" s="216">
        <f>VLOOKUP(A21,TB!A:F,3)</f>
        <v>0</v>
      </c>
      <c r="P21" s="216"/>
      <c r="Q21" s="216">
        <v>25000</v>
      </c>
      <c r="R21" s="7">
        <f>VLOOKUP(A21,TB!A:F,6)</f>
        <v>25000</v>
      </c>
      <c r="S21" s="7">
        <f t="shared" si="3"/>
        <v>0</v>
      </c>
    </row>
    <row r="22" spans="1:19" ht="15.75" hidden="1" customHeight="1" outlineLevel="1" x14ac:dyDescent="0.25">
      <c r="A22" s="6" t="s">
        <v>1262</v>
      </c>
      <c r="B22" s="6" t="s">
        <v>92</v>
      </c>
      <c r="C22" s="383"/>
      <c r="D22" s="265">
        <v>0</v>
      </c>
      <c r="E22" s="216" t="e">
        <f>D22*#REF!</f>
        <v>#REF!</v>
      </c>
      <c r="F22" s="216" t="e">
        <f>D22*#REF!</f>
        <v>#REF!</v>
      </c>
      <c r="G22" s="216" t="e">
        <f>(D22*#REF!)*#REF!</f>
        <v>#REF!</v>
      </c>
      <c r="H22" s="211">
        <f t="shared" si="1"/>
        <v>0</v>
      </c>
      <c r="I22" s="7" t="e">
        <f t="shared" si="2"/>
        <v>#REF!</v>
      </c>
      <c r="J22" s="5"/>
      <c r="K22" s="383"/>
      <c r="L22" s="265">
        <v>0</v>
      </c>
      <c r="M22" s="216">
        <v>1048.4100000000001</v>
      </c>
      <c r="N22" s="216">
        <v>1000</v>
      </c>
      <c r="O22" s="216">
        <f>VLOOKUP(A22,TB!A:F,3)</f>
        <v>757.16</v>
      </c>
      <c r="P22" s="216"/>
      <c r="Q22" s="216">
        <v>1000</v>
      </c>
      <c r="R22" s="7">
        <f>VLOOKUP(A22,TB!A:F,6)</f>
        <v>1000</v>
      </c>
      <c r="S22" s="7">
        <f t="shared" si="3"/>
        <v>0</v>
      </c>
    </row>
    <row r="23" spans="1:19" ht="15.75" hidden="1" customHeight="1" outlineLevel="1" x14ac:dyDescent="0.25">
      <c r="A23" s="6" t="s">
        <v>1263</v>
      </c>
      <c r="B23" s="6" t="s">
        <v>99</v>
      </c>
      <c r="C23" s="280"/>
      <c r="D23" s="216">
        <v>0</v>
      </c>
      <c r="E23" s="216" t="e">
        <f>D23*#REF!</f>
        <v>#REF!</v>
      </c>
      <c r="F23" s="216" t="e">
        <f>D23*#REF!</f>
        <v>#REF!</v>
      </c>
      <c r="G23" s="216" t="e">
        <f>(D23*#REF!)*#REF!</f>
        <v>#REF!</v>
      </c>
      <c r="H23" s="211">
        <f t="shared" si="1"/>
        <v>0</v>
      </c>
      <c r="I23" s="7" t="e">
        <f t="shared" si="2"/>
        <v>#REF!</v>
      </c>
      <c r="J23" s="5"/>
      <c r="K23" s="280"/>
      <c r="L23" s="216">
        <v>0</v>
      </c>
      <c r="M23" s="216">
        <v>30018.99</v>
      </c>
      <c r="N23" s="216">
        <v>0</v>
      </c>
      <c r="O23" s="216">
        <f>VLOOKUP(A23,TB!A:F,3)</f>
        <v>0</v>
      </c>
      <c r="P23" s="216"/>
      <c r="Q23" s="216">
        <v>0</v>
      </c>
      <c r="R23" s="7">
        <f>VLOOKUP(A23,TB!A:F,6)</f>
        <v>0</v>
      </c>
      <c r="S23" s="7">
        <f t="shared" si="3"/>
        <v>0</v>
      </c>
    </row>
    <row r="24" spans="1:19" ht="15.75" hidden="1" customHeight="1" outlineLevel="1" x14ac:dyDescent="0.25">
      <c r="A24" s="6" t="s">
        <v>1264</v>
      </c>
      <c r="B24" s="6" t="s">
        <v>1265</v>
      </c>
      <c r="C24" s="280"/>
      <c r="D24" s="216">
        <v>0</v>
      </c>
      <c r="E24" s="216" t="e">
        <f>D24*#REF!</f>
        <v>#REF!</v>
      </c>
      <c r="F24" s="216" t="e">
        <f>D24*#REF!</f>
        <v>#REF!</v>
      </c>
      <c r="G24" s="216" t="e">
        <f>(D24*#REF!)*#REF!</f>
        <v>#REF!</v>
      </c>
      <c r="H24" s="211">
        <f t="shared" si="1"/>
        <v>0</v>
      </c>
      <c r="I24" s="7" t="e">
        <f t="shared" si="2"/>
        <v>#REF!</v>
      </c>
      <c r="J24" s="5"/>
      <c r="K24" s="280"/>
      <c r="L24" s="216">
        <v>0</v>
      </c>
      <c r="M24" s="216">
        <v>966.19</v>
      </c>
      <c r="N24" s="216">
        <v>0</v>
      </c>
      <c r="O24" s="216">
        <f>VLOOKUP(A24,TB!A:F,3)</f>
        <v>0</v>
      </c>
      <c r="P24" s="216"/>
      <c r="Q24" s="216">
        <v>0</v>
      </c>
      <c r="R24" s="7">
        <f>VLOOKUP(A24,TB!A:F,6)</f>
        <v>0</v>
      </c>
      <c r="S24" s="7">
        <f t="shared" si="3"/>
        <v>0</v>
      </c>
    </row>
    <row r="25" spans="1:19" ht="15.75" hidden="1" customHeight="1" outlineLevel="1" x14ac:dyDescent="0.25">
      <c r="A25" s="47" t="s">
        <v>1266</v>
      </c>
      <c r="B25" s="48"/>
      <c r="C25" s="325"/>
      <c r="D25" s="48">
        <f t="shared" ref="D25:G25" si="4">SUM(D3:D24)</f>
        <v>0</v>
      </c>
      <c r="E25" s="48" t="e">
        <f t="shared" si="4"/>
        <v>#REF!</v>
      </c>
      <c r="F25" s="48" t="e">
        <f t="shared" si="4"/>
        <v>#REF!</v>
      </c>
      <c r="G25" s="48" t="e">
        <f t="shared" si="4"/>
        <v>#REF!</v>
      </c>
      <c r="H25" s="212">
        <f t="shared" si="1"/>
        <v>0</v>
      </c>
      <c r="I25" s="12" t="e">
        <f t="shared" si="2"/>
        <v>#REF!</v>
      </c>
      <c r="J25" s="5"/>
      <c r="K25" s="325"/>
      <c r="L25" s="48">
        <f t="shared" ref="L25:S25" si="5">SUM(L3:L24)</f>
        <v>0</v>
      </c>
      <c r="M25" s="48">
        <f t="shared" si="5"/>
        <v>380103.66</v>
      </c>
      <c r="N25" s="48">
        <f t="shared" si="5"/>
        <v>288901</v>
      </c>
      <c r="O25" s="48">
        <f t="shared" si="5"/>
        <v>95803.510000000009</v>
      </c>
      <c r="P25" s="48">
        <f t="shared" si="5"/>
        <v>0</v>
      </c>
      <c r="Q25" s="48">
        <f t="shared" si="5"/>
        <v>260325</v>
      </c>
      <c r="R25" s="48">
        <f t="shared" si="5"/>
        <v>260600</v>
      </c>
      <c r="S25" s="48">
        <f t="shared" si="5"/>
        <v>275</v>
      </c>
    </row>
    <row r="26" spans="1:19" ht="15.75" hidden="1" customHeight="1" outlineLevel="1" x14ac:dyDescent="0.2">
      <c r="A26" s="5"/>
      <c r="B26" s="5"/>
      <c r="C26" s="284"/>
      <c r="D26" s="5"/>
      <c r="E26" s="5"/>
      <c r="F26" s="5"/>
      <c r="G26" s="5"/>
      <c r="H26" s="5"/>
      <c r="I26" s="5"/>
      <c r="J26" s="5"/>
      <c r="K26" s="284"/>
      <c r="L26" s="5"/>
      <c r="M26" s="5"/>
      <c r="N26" s="5"/>
      <c r="O26" s="5"/>
      <c r="P26" s="5"/>
      <c r="Q26" s="5"/>
      <c r="R26" s="5"/>
      <c r="S26" s="5"/>
    </row>
    <row r="27" spans="1:19" ht="15.75" hidden="1" customHeight="1" outlineLevel="1" x14ac:dyDescent="0.2">
      <c r="A27" s="5"/>
      <c r="B27" s="5"/>
      <c r="C27" s="284"/>
      <c r="D27" s="5"/>
      <c r="E27" s="5"/>
      <c r="F27" s="5"/>
      <c r="G27" s="5"/>
      <c r="H27" s="5"/>
      <c r="I27" s="5"/>
      <c r="J27" s="5"/>
      <c r="K27" s="284"/>
      <c r="L27" s="5"/>
      <c r="M27" s="5"/>
      <c r="N27" s="5"/>
      <c r="O27" s="5"/>
      <c r="P27" s="5"/>
      <c r="Q27" s="5"/>
      <c r="R27" s="5"/>
      <c r="S27" s="5"/>
    </row>
    <row r="28" spans="1:19" ht="15.75" hidden="1" customHeight="1" outlineLevel="1" x14ac:dyDescent="0.2">
      <c r="A28" s="379" t="s">
        <v>50</v>
      </c>
      <c r="B28" s="379" t="s">
        <v>51</v>
      </c>
      <c r="C28" s="292"/>
      <c r="D28" s="379" t="s">
        <v>52</v>
      </c>
      <c r="E28" s="380" t="s">
        <v>53</v>
      </c>
      <c r="F28" s="380" t="s">
        <v>1212</v>
      </c>
      <c r="G28" s="380" t="s">
        <v>55</v>
      </c>
      <c r="H28" s="230" t="s">
        <v>56</v>
      </c>
      <c r="I28" s="230" t="s">
        <v>57</v>
      </c>
      <c r="J28" s="5"/>
      <c r="K28" s="292"/>
      <c r="L28" s="379" t="s">
        <v>59</v>
      </c>
      <c r="M28" s="379" t="s">
        <v>60</v>
      </c>
      <c r="N28" s="379" t="s">
        <v>436</v>
      </c>
      <c r="O28" s="379" t="s">
        <v>437</v>
      </c>
      <c r="P28" s="3" t="s">
        <v>541</v>
      </c>
      <c r="Q28" s="381" t="s">
        <v>438</v>
      </c>
      <c r="R28" s="293" t="s">
        <v>65</v>
      </c>
      <c r="S28" s="3" t="s">
        <v>586</v>
      </c>
    </row>
    <row r="29" spans="1:19" ht="15.75" hidden="1" customHeight="1" outlineLevel="1" x14ac:dyDescent="0.25">
      <c r="A29" s="6" t="s">
        <v>1267</v>
      </c>
      <c r="B29" s="6" t="s">
        <v>68</v>
      </c>
      <c r="C29" s="383"/>
      <c r="D29" s="265">
        <v>135153</v>
      </c>
      <c r="E29" s="216" t="e">
        <f>D29*#REF!</f>
        <v>#REF!</v>
      </c>
      <c r="F29" s="216" t="e">
        <f>D29*#REF!</f>
        <v>#REF!</v>
      </c>
      <c r="G29" s="216" t="e">
        <f>(D29*#REF!)*#REF!</f>
        <v>#REF!</v>
      </c>
      <c r="H29" s="211">
        <f t="shared" ref="H29:H51" si="6">IFERROR(((Q29-D29)/D29),0)</f>
        <v>0.92374568082099551</v>
      </c>
      <c r="I29" s="7" t="e">
        <f t="shared" ref="I29:I51" si="7">Q29-G29</f>
        <v>#REF!</v>
      </c>
      <c r="J29" s="5"/>
      <c r="K29" s="383"/>
      <c r="L29" s="265">
        <v>165644</v>
      </c>
      <c r="M29" s="216">
        <v>106174.58</v>
      </c>
      <c r="N29" s="216">
        <v>210796</v>
      </c>
      <c r="O29" s="216">
        <f>VLOOKUP(A29,TB!A:F,3)</f>
        <v>84345.69</v>
      </c>
      <c r="P29" s="216"/>
      <c r="Q29" s="216">
        <v>260000</v>
      </c>
      <c r="R29" s="7">
        <f>VLOOKUP(A29,TB!A:F,6)</f>
        <v>260000</v>
      </c>
      <c r="S29" s="7">
        <f t="shared" ref="S29:S50" si="8">R29-Q29</f>
        <v>0</v>
      </c>
    </row>
    <row r="30" spans="1:19" ht="15.75" hidden="1" customHeight="1" outlineLevel="1" x14ac:dyDescent="0.25">
      <c r="A30" s="6" t="s">
        <v>1268</v>
      </c>
      <c r="B30" s="6" t="s">
        <v>70</v>
      </c>
      <c r="C30" s="383"/>
      <c r="D30" s="265">
        <v>91</v>
      </c>
      <c r="E30" s="216" t="e">
        <f>D30*#REF!</f>
        <v>#REF!</v>
      </c>
      <c r="F30" s="216" t="e">
        <f>D30*#REF!</f>
        <v>#REF!</v>
      </c>
      <c r="G30" s="216" t="e">
        <f>(D30*#REF!)*#REF!</f>
        <v>#REF!</v>
      </c>
      <c r="H30" s="211">
        <f t="shared" si="6"/>
        <v>45.153846153846153</v>
      </c>
      <c r="I30" s="7" t="e">
        <f t="shared" si="7"/>
        <v>#REF!</v>
      </c>
      <c r="J30" s="5"/>
      <c r="K30" s="383"/>
      <c r="L30" s="265">
        <v>1609</v>
      </c>
      <c r="M30" s="216">
        <v>1509.98</v>
      </c>
      <c r="N30" s="216">
        <v>4125</v>
      </c>
      <c r="O30" s="216">
        <f>VLOOKUP(A30,TB!A:F,3)</f>
        <v>2003.9</v>
      </c>
      <c r="P30" s="216"/>
      <c r="Q30" s="216">
        <v>4200</v>
      </c>
      <c r="R30" s="7">
        <f>VLOOKUP(A30,TB!A:F,6)</f>
        <v>3750</v>
      </c>
      <c r="S30" s="7">
        <f t="shared" si="8"/>
        <v>-450</v>
      </c>
    </row>
    <row r="31" spans="1:19" ht="15.75" hidden="1" customHeight="1" outlineLevel="1" x14ac:dyDescent="0.25">
      <c r="A31" s="6" t="s">
        <v>1269</v>
      </c>
      <c r="B31" s="6" t="s">
        <v>132</v>
      </c>
      <c r="C31" s="383"/>
      <c r="D31" s="265">
        <v>8564</v>
      </c>
      <c r="E31" s="216" t="e">
        <f>D31*#REF!</f>
        <v>#REF!</v>
      </c>
      <c r="F31" s="216" t="e">
        <f>D31*#REF!</f>
        <v>#REF!</v>
      </c>
      <c r="G31" s="216" t="e">
        <f>(D31*#REF!)*#REF!</f>
        <v>#REF!</v>
      </c>
      <c r="H31" s="211">
        <f t="shared" si="6"/>
        <v>0.75151798225128441</v>
      </c>
      <c r="I31" s="7" t="e">
        <f t="shared" si="7"/>
        <v>#REF!</v>
      </c>
      <c r="J31" s="5"/>
      <c r="K31" s="383"/>
      <c r="L31" s="265">
        <v>0</v>
      </c>
      <c r="M31" s="216">
        <v>0</v>
      </c>
      <c r="N31" s="216">
        <v>11250</v>
      </c>
      <c r="O31" s="216">
        <f>VLOOKUP(A31,TB!A:F,3)</f>
        <v>0</v>
      </c>
      <c r="P31" s="216"/>
      <c r="Q31" s="216">
        <v>15000</v>
      </c>
      <c r="R31" s="7">
        <f>VLOOKUP(A31,TB!A:F,6)</f>
        <v>15000</v>
      </c>
      <c r="S31" s="7">
        <f t="shared" si="8"/>
        <v>0</v>
      </c>
    </row>
    <row r="32" spans="1:19" ht="15.75" hidden="1" customHeight="1" outlineLevel="1" x14ac:dyDescent="0.25">
      <c r="A32" s="6" t="s">
        <v>1270</v>
      </c>
      <c r="B32" s="6" t="s">
        <v>72</v>
      </c>
      <c r="C32" s="383"/>
      <c r="D32" s="265">
        <v>53743</v>
      </c>
      <c r="E32" s="216" t="e">
        <f>D32*#REF!</f>
        <v>#REF!</v>
      </c>
      <c r="F32" s="216" t="e">
        <f>D32*#REF!</f>
        <v>#REF!</v>
      </c>
      <c r="G32" s="216" t="e">
        <f>(D32*#REF!)*#REF!</f>
        <v>#REF!</v>
      </c>
      <c r="H32" s="211">
        <f t="shared" si="6"/>
        <v>1.4710194816069069</v>
      </c>
      <c r="I32" s="7" t="e">
        <f t="shared" si="7"/>
        <v>#REF!</v>
      </c>
      <c r="J32" s="5"/>
      <c r="K32" s="383"/>
      <c r="L32" s="265">
        <v>77954</v>
      </c>
      <c r="M32" s="216">
        <v>54377.22</v>
      </c>
      <c r="N32" s="216">
        <v>129708</v>
      </c>
      <c r="O32" s="216">
        <f>VLOOKUP(A32,TB!A:F,3)</f>
        <v>40852.400000000001</v>
      </c>
      <c r="P32" s="216"/>
      <c r="Q32" s="216">
        <v>132800</v>
      </c>
      <c r="R32" s="7">
        <f>VLOOKUP(A32,TB!A:F,6)</f>
        <v>132800</v>
      </c>
      <c r="S32" s="7">
        <f t="shared" si="8"/>
        <v>0</v>
      </c>
    </row>
    <row r="33" spans="1:19" ht="15.75" hidden="1" customHeight="1" outlineLevel="1" x14ac:dyDescent="0.25">
      <c r="A33" s="6" t="s">
        <v>1271</v>
      </c>
      <c r="B33" s="6" t="s">
        <v>74</v>
      </c>
      <c r="C33" s="383"/>
      <c r="D33" s="265">
        <v>2336</v>
      </c>
      <c r="E33" s="216" t="e">
        <f>D33*#REF!</f>
        <v>#REF!</v>
      </c>
      <c r="F33" s="216" t="e">
        <f>D33*#REF!</f>
        <v>#REF!</v>
      </c>
      <c r="G33" s="216" t="e">
        <f>(D33*#REF!)*#REF!</f>
        <v>#REF!</v>
      </c>
      <c r="H33" s="211">
        <f t="shared" si="6"/>
        <v>0.38056506849315069</v>
      </c>
      <c r="I33" s="7" t="e">
        <f t="shared" si="7"/>
        <v>#REF!</v>
      </c>
      <c r="J33" s="5"/>
      <c r="K33" s="383"/>
      <c r="L33" s="265">
        <v>2000</v>
      </c>
      <c r="M33" s="216">
        <v>1831.5</v>
      </c>
      <c r="N33" s="216">
        <v>3225</v>
      </c>
      <c r="O33" s="216">
        <f>VLOOKUP(A33,TB!A:F,3)</f>
        <v>218.25</v>
      </c>
      <c r="P33" s="216"/>
      <c r="Q33" s="216">
        <v>3225</v>
      </c>
      <c r="R33" s="7">
        <f>VLOOKUP(A33,TB!A:F,6)</f>
        <v>3000</v>
      </c>
      <c r="S33" s="7">
        <f t="shared" si="8"/>
        <v>-225</v>
      </c>
    </row>
    <row r="34" spans="1:19" ht="15.75" hidden="1" customHeight="1" outlineLevel="1" x14ac:dyDescent="0.25">
      <c r="A34" s="6" t="s">
        <v>1272</v>
      </c>
      <c r="B34" s="6" t="s">
        <v>76</v>
      </c>
      <c r="C34" s="383"/>
      <c r="D34" s="265">
        <v>3083</v>
      </c>
      <c r="E34" s="216" t="e">
        <f>D34*#REF!</f>
        <v>#REF!</v>
      </c>
      <c r="F34" s="216" t="e">
        <f>D34*#REF!</f>
        <v>#REF!</v>
      </c>
      <c r="G34" s="216" t="e">
        <f>(D34*#REF!)*#REF!</f>
        <v>#REF!</v>
      </c>
      <c r="H34" s="211">
        <f t="shared" si="6"/>
        <v>2.4057735971456373</v>
      </c>
      <c r="I34" s="7" t="e">
        <f t="shared" si="7"/>
        <v>#REF!</v>
      </c>
      <c r="J34" s="5"/>
      <c r="K34" s="383"/>
      <c r="L34" s="265">
        <v>5064</v>
      </c>
      <c r="M34" s="216">
        <v>3827.31</v>
      </c>
      <c r="N34" s="216">
        <v>8625</v>
      </c>
      <c r="O34" s="216">
        <f>VLOOKUP(A34,TB!A:F,3)</f>
        <v>671.85</v>
      </c>
      <c r="P34" s="216"/>
      <c r="Q34" s="216">
        <v>10500</v>
      </c>
      <c r="R34" s="7">
        <f>VLOOKUP(A34,TB!A:F,6)</f>
        <v>7500</v>
      </c>
      <c r="S34" s="7">
        <f t="shared" si="8"/>
        <v>-3000</v>
      </c>
    </row>
    <row r="35" spans="1:19" ht="15.75" hidden="1" customHeight="1" outlineLevel="1" x14ac:dyDescent="0.25">
      <c r="A35" s="6" t="s">
        <v>1273</v>
      </c>
      <c r="B35" s="6" t="s">
        <v>80</v>
      </c>
      <c r="C35" s="383"/>
      <c r="D35" s="265">
        <v>1744</v>
      </c>
      <c r="E35" s="216" t="e">
        <f>D35*#REF!</f>
        <v>#REF!</v>
      </c>
      <c r="F35" s="216" t="e">
        <f>D35*#REF!</f>
        <v>#REF!</v>
      </c>
      <c r="G35" s="216" t="e">
        <f>(D35*#REF!)*#REF!</f>
        <v>#REF!</v>
      </c>
      <c r="H35" s="211">
        <f t="shared" si="6"/>
        <v>1.3652522935779816</v>
      </c>
      <c r="I35" s="7" t="e">
        <f t="shared" si="7"/>
        <v>#REF!</v>
      </c>
      <c r="J35" s="5"/>
      <c r="K35" s="383"/>
      <c r="L35" s="265">
        <v>2693</v>
      </c>
      <c r="M35" s="216">
        <v>1142.79</v>
      </c>
      <c r="N35" s="216">
        <v>7125</v>
      </c>
      <c r="O35" s="216">
        <f>VLOOKUP(A35,TB!A:F,3)</f>
        <v>1038.94</v>
      </c>
      <c r="P35" s="216"/>
      <c r="Q35" s="216">
        <v>4125</v>
      </c>
      <c r="R35" s="7">
        <f>VLOOKUP(A35,TB!A:F,6)</f>
        <v>3750</v>
      </c>
      <c r="S35" s="7">
        <f t="shared" si="8"/>
        <v>-375</v>
      </c>
    </row>
    <row r="36" spans="1:19" ht="15.75" hidden="1" customHeight="1" outlineLevel="1" x14ac:dyDescent="0.25">
      <c r="A36" s="6" t="s">
        <v>1274</v>
      </c>
      <c r="B36" s="6" t="s">
        <v>82</v>
      </c>
      <c r="C36" s="383"/>
      <c r="D36" s="265">
        <v>6615</v>
      </c>
      <c r="E36" s="216" t="e">
        <f>D36*#REF!</f>
        <v>#REF!</v>
      </c>
      <c r="F36" s="216" t="e">
        <f>D36*#REF!</f>
        <v>#REF!</v>
      </c>
      <c r="G36" s="216" t="e">
        <f>(D36*#REF!)*#REF!</f>
        <v>#REF!</v>
      </c>
      <c r="H36" s="211">
        <f t="shared" si="6"/>
        <v>1.7777777777777777</v>
      </c>
      <c r="I36" s="7" t="e">
        <f t="shared" si="7"/>
        <v>#REF!</v>
      </c>
      <c r="J36" s="5"/>
      <c r="K36" s="383"/>
      <c r="L36" s="265">
        <v>17015</v>
      </c>
      <c r="M36" s="216">
        <v>10927.29</v>
      </c>
      <c r="N36" s="216">
        <v>18375</v>
      </c>
      <c r="O36" s="216">
        <f>VLOOKUP(A36,TB!A:F,3)</f>
        <v>2271.16</v>
      </c>
      <c r="P36" s="216"/>
      <c r="Q36" s="216">
        <v>18375</v>
      </c>
      <c r="R36" s="7">
        <f>VLOOKUP(A36,TB!A:F,6)</f>
        <v>15000</v>
      </c>
      <c r="S36" s="7">
        <f t="shared" si="8"/>
        <v>-3375</v>
      </c>
    </row>
    <row r="37" spans="1:19" ht="15.75" hidden="1" customHeight="1" outlineLevel="1" x14ac:dyDescent="0.25">
      <c r="A37" s="6" t="s">
        <v>1275</v>
      </c>
      <c r="B37" s="6" t="s">
        <v>115</v>
      </c>
      <c r="C37" s="383"/>
      <c r="D37" s="265">
        <v>894</v>
      </c>
      <c r="E37" s="216" t="e">
        <f>D37*#REF!</f>
        <v>#REF!</v>
      </c>
      <c r="F37" s="216" t="e">
        <f>D37*#REF!</f>
        <v>#REF!</v>
      </c>
      <c r="G37" s="216" t="e">
        <f>(D37*#REF!)*#REF!</f>
        <v>#REF!</v>
      </c>
      <c r="H37" s="211">
        <f t="shared" si="6"/>
        <v>4.0335570469798654</v>
      </c>
      <c r="I37" s="7" t="e">
        <f t="shared" si="7"/>
        <v>#REF!</v>
      </c>
      <c r="J37" s="5"/>
      <c r="K37" s="383"/>
      <c r="L37" s="265">
        <v>2758</v>
      </c>
      <c r="M37" s="216">
        <v>299</v>
      </c>
      <c r="N37" s="216">
        <v>3750</v>
      </c>
      <c r="O37" s="216">
        <f>VLOOKUP(A37,TB!A:F,3)</f>
        <v>0</v>
      </c>
      <c r="P37" s="216"/>
      <c r="Q37" s="216">
        <v>4500</v>
      </c>
      <c r="R37" s="7">
        <f>VLOOKUP(A37,TB!A:F,6)</f>
        <v>3000</v>
      </c>
      <c r="S37" s="7">
        <f t="shared" si="8"/>
        <v>-1500</v>
      </c>
    </row>
    <row r="38" spans="1:19" ht="15.75" hidden="1" customHeight="1" outlineLevel="1" x14ac:dyDescent="0.25">
      <c r="A38" s="6" t="s">
        <v>1276</v>
      </c>
      <c r="B38" s="6" t="s">
        <v>84</v>
      </c>
      <c r="C38" s="383"/>
      <c r="D38" s="265">
        <v>1645</v>
      </c>
      <c r="E38" s="216" t="e">
        <f>D38*#REF!</f>
        <v>#REF!</v>
      </c>
      <c r="F38" s="216" t="e">
        <f>D38*#REF!</f>
        <v>#REF!</v>
      </c>
      <c r="G38" s="216" t="e">
        <f>(D38*#REF!)*#REF!</f>
        <v>#REF!</v>
      </c>
      <c r="H38" s="211">
        <f t="shared" si="6"/>
        <v>2.4650455927051671</v>
      </c>
      <c r="I38" s="7" t="e">
        <f t="shared" si="7"/>
        <v>#REF!</v>
      </c>
      <c r="J38" s="5"/>
      <c r="K38" s="383"/>
      <c r="L38" s="265">
        <v>3727</v>
      </c>
      <c r="M38" s="216">
        <v>2501.8000000000002</v>
      </c>
      <c r="N38" s="216">
        <v>5700</v>
      </c>
      <c r="O38" s="216">
        <f>VLOOKUP(A38,TB!A:F,3)</f>
        <v>1225.25</v>
      </c>
      <c r="P38" s="216"/>
      <c r="Q38" s="216">
        <v>5700</v>
      </c>
      <c r="R38" s="7">
        <f>VLOOKUP(A38,TB!A:F,6)</f>
        <v>4950</v>
      </c>
      <c r="S38" s="7">
        <f t="shared" si="8"/>
        <v>-750</v>
      </c>
    </row>
    <row r="39" spans="1:19" ht="15.75" hidden="1" customHeight="1" outlineLevel="1" x14ac:dyDescent="0.25">
      <c r="A39" s="6" t="s">
        <v>1277</v>
      </c>
      <c r="B39" s="6" t="s">
        <v>86</v>
      </c>
      <c r="C39" s="383"/>
      <c r="D39" s="265">
        <v>0</v>
      </c>
      <c r="E39" s="216" t="e">
        <f>D39*#REF!</f>
        <v>#REF!</v>
      </c>
      <c r="F39" s="216" t="e">
        <f>D39*#REF!</f>
        <v>#REF!</v>
      </c>
      <c r="G39" s="216" t="e">
        <f>(D39*#REF!)*#REF!</f>
        <v>#REF!</v>
      </c>
      <c r="H39" s="211">
        <f t="shared" si="6"/>
        <v>0</v>
      </c>
      <c r="I39" s="7" t="e">
        <f t="shared" si="7"/>
        <v>#REF!</v>
      </c>
      <c r="J39" s="5"/>
      <c r="K39" s="383"/>
      <c r="L39" s="265">
        <v>100347</v>
      </c>
      <c r="M39" s="216">
        <v>112463.24</v>
      </c>
      <c r="N39" s="216">
        <v>193583</v>
      </c>
      <c r="O39" s="216">
        <f>VLOOKUP(A39,TB!A:F,3)</f>
        <v>61785.59</v>
      </c>
      <c r="P39" s="216"/>
      <c r="Q39" s="216">
        <v>123750</v>
      </c>
      <c r="R39" s="7">
        <f>VLOOKUP(A39,TB!A:F,6)</f>
        <v>120000</v>
      </c>
      <c r="S39" s="7">
        <f t="shared" si="8"/>
        <v>-3750</v>
      </c>
    </row>
    <row r="40" spans="1:19" ht="15.75" hidden="1" customHeight="1" outlineLevel="1" x14ac:dyDescent="0.25">
      <c r="A40" s="6" t="s">
        <v>1278</v>
      </c>
      <c r="B40" s="6" t="s">
        <v>88</v>
      </c>
      <c r="C40" s="383"/>
      <c r="D40" s="265">
        <v>2303</v>
      </c>
      <c r="E40" s="216" t="e">
        <f>D40*#REF!</f>
        <v>#REF!</v>
      </c>
      <c r="F40" s="216" t="e">
        <f>D40*#REF!</f>
        <v>#REF!</v>
      </c>
      <c r="G40" s="216" t="e">
        <f>(D40*#REF!)*#REF!</f>
        <v>#REF!</v>
      </c>
      <c r="H40" s="211">
        <f t="shared" si="6"/>
        <v>5.3178462874511503</v>
      </c>
      <c r="I40" s="7" t="e">
        <f t="shared" si="7"/>
        <v>#REF!</v>
      </c>
      <c r="J40" s="5"/>
      <c r="K40" s="383"/>
      <c r="L40" s="265">
        <v>12748</v>
      </c>
      <c r="M40" s="216">
        <v>6297.17</v>
      </c>
      <c r="N40" s="216">
        <v>13800</v>
      </c>
      <c r="O40" s="216">
        <f>VLOOKUP(A40,TB!A:F,3)</f>
        <v>9120.3799999999992</v>
      </c>
      <c r="P40" s="216"/>
      <c r="Q40" s="216">
        <v>14550</v>
      </c>
      <c r="R40" s="7">
        <f>VLOOKUP(A40,TB!A:F,6)</f>
        <v>14550</v>
      </c>
      <c r="S40" s="7">
        <f t="shared" si="8"/>
        <v>0</v>
      </c>
    </row>
    <row r="41" spans="1:19" ht="15.75" hidden="1" customHeight="1" outlineLevel="1" x14ac:dyDescent="0.25">
      <c r="A41" s="6" t="s">
        <v>1279</v>
      </c>
      <c r="B41" s="6" t="s">
        <v>1252</v>
      </c>
      <c r="C41" s="383"/>
      <c r="D41" s="265">
        <v>81302</v>
      </c>
      <c r="E41" s="216" t="e">
        <f>D41*#REF!</f>
        <v>#REF!</v>
      </c>
      <c r="F41" s="216" t="e">
        <f>D41*#REF!</f>
        <v>#REF!</v>
      </c>
      <c r="G41" s="216" t="e">
        <f>(D41*#REF!)*#REF!</f>
        <v>#REF!</v>
      </c>
      <c r="H41" s="211">
        <f t="shared" si="6"/>
        <v>-0.90775134683033631</v>
      </c>
      <c r="I41" s="7" t="e">
        <f t="shared" si="7"/>
        <v>#REF!</v>
      </c>
      <c r="J41" s="5"/>
      <c r="K41" s="383"/>
      <c r="L41" s="265">
        <v>0</v>
      </c>
      <c r="M41" s="216">
        <v>0</v>
      </c>
      <c r="N41" s="216">
        <v>25654</v>
      </c>
      <c r="O41" s="216">
        <f>VLOOKUP(A41,TB!A:F,3)</f>
        <v>4875</v>
      </c>
      <c r="P41" s="216"/>
      <c r="Q41" s="216">
        <v>7500</v>
      </c>
      <c r="R41" s="7">
        <f>VLOOKUP(A41,TB!A:F,6)</f>
        <v>7500</v>
      </c>
      <c r="S41" s="7">
        <f t="shared" si="8"/>
        <v>0</v>
      </c>
    </row>
    <row r="42" spans="1:19" ht="15.75" hidden="1" customHeight="1" outlineLevel="1" x14ac:dyDescent="0.25">
      <c r="A42" s="6" t="s">
        <v>1280</v>
      </c>
      <c r="B42" s="6" t="s">
        <v>1254</v>
      </c>
      <c r="C42" s="383"/>
      <c r="D42" s="265">
        <v>27264</v>
      </c>
      <c r="E42" s="216" t="e">
        <f>D42*#REF!</f>
        <v>#REF!</v>
      </c>
      <c r="F42" s="216" t="e">
        <f>D42*#REF!</f>
        <v>#REF!</v>
      </c>
      <c r="G42" s="216" t="e">
        <f>(D42*#REF!)*#REF!</f>
        <v>#REF!</v>
      </c>
      <c r="H42" s="211">
        <f t="shared" si="6"/>
        <v>0.10035211267605634</v>
      </c>
      <c r="I42" s="7" t="e">
        <f t="shared" si="7"/>
        <v>#REF!</v>
      </c>
      <c r="J42" s="5"/>
      <c r="K42" s="383"/>
      <c r="L42" s="265">
        <v>32082</v>
      </c>
      <c r="M42" s="216">
        <v>19032.650000000001</v>
      </c>
      <c r="N42" s="216">
        <v>30000</v>
      </c>
      <c r="O42" s="216">
        <f>VLOOKUP(A42,TB!A:F,3)</f>
        <v>16033.47</v>
      </c>
      <c r="P42" s="216"/>
      <c r="Q42" s="216">
        <v>30000</v>
      </c>
      <c r="R42" s="7">
        <f>VLOOKUP(A42,TB!A:F,6)</f>
        <v>30000</v>
      </c>
      <c r="S42" s="7">
        <f t="shared" si="8"/>
        <v>0</v>
      </c>
    </row>
    <row r="43" spans="1:19" ht="15.75" hidden="1" customHeight="1" outlineLevel="1" x14ac:dyDescent="0.25">
      <c r="A43" s="6" t="s">
        <v>1281</v>
      </c>
      <c r="B43" s="6" t="s">
        <v>1282</v>
      </c>
      <c r="C43" s="383"/>
      <c r="D43" s="265">
        <v>975</v>
      </c>
      <c r="E43" s="216" t="e">
        <f>D43*#REF!</f>
        <v>#REF!</v>
      </c>
      <c r="F43" s="216" t="e">
        <f>D43*#REF!</f>
        <v>#REF!</v>
      </c>
      <c r="G43" s="216" t="e">
        <f>(D43*#REF!)*#REF!</f>
        <v>#REF!</v>
      </c>
      <c r="H43" s="211">
        <f t="shared" si="6"/>
        <v>-1</v>
      </c>
      <c r="I43" s="7" t="e">
        <f t="shared" si="7"/>
        <v>#REF!</v>
      </c>
      <c r="J43" s="5"/>
      <c r="K43" s="383"/>
      <c r="L43" s="265">
        <v>0</v>
      </c>
      <c r="M43" s="216">
        <v>0</v>
      </c>
      <c r="N43" s="216">
        <v>0</v>
      </c>
      <c r="O43" s="216">
        <v>0</v>
      </c>
      <c r="P43" s="216"/>
      <c r="Q43" s="216">
        <v>0</v>
      </c>
      <c r="R43" s="7">
        <v>0</v>
      </c>
      <c r="S43" s="7">
        <f t="shared" si="8"/>
        <v>0</v>
      </c>
    </row>
    <row r="44" spans="1:19" ht="15.75" hidden="1" customHeight="1" outlineLevel="1" x14ac:dyDescent="0.25">
      <c r="A44" s="6" t="s">
        <v>1283</v>
      </c>
      <c r="B44" s="6" t="s">
        <v>1256</v>
      </c>
      <c r="C44" s="383"/>
      <c r="D44" s="265">
        <v>29633</v>
      </c>
      <c r="E44" s="216" t="e">
        <f>D44*#REF!</f>
        <v>#REF!</v>
      </c>
      <c r="F44" s="216" t="e">
        <f>D44*#REF!</f>
        <v>#REF!</v>
      </c>
      <c r="G44" s="216" t="e">
        <f>(D44*#REF!)*#REF!</f>
        <v>#REF!</v>
      </c>
      <c r="H44" s="211">
        <f t="shared" si="6"/>
        <v>0.51857726183646613</v>
      </c>
      <c r="I44" s="7" t="e">
        <f t="shared" si="7"/>
        <v>#REF!</v>
      </c>
      <c r="J44" s="5"/>
      <c r="K44" s="383"/>
      <c r="L44" s="265">
        <v>57975</v>
      </c>
      <c r="M44" s="216">
        <v>23747.88</v>
      </c>
      <c r="N44" s="216">
        <v>46750</v>
      </c>
      <c r="O44" s="216">
        <f>VLOOKUP(A44,TB!A:F,3)</f>
        <v>55321.599999999999</v>
      </c>
      <c r="P44" s="216"/>
      <c r="Q44" s="216">
        <v>45000</v>
      </c>
      <c r="R44" s="7">
        <f>VLOOKUP(A44,TB!A:F,6)</f>
        <v>45000</v>
      </c>
      <c r="S44" s="7">
        <f t="shared" si="8"/>
        <v>0</v>
      </c>
    </row>
    <row r="45" spans="1:19" ht="15.75" hidden="1" customHeight="1" outlineLevel="1" x14ac:dyDescent="0.25">
      <c r="A45" s="6" t="s">
        <v>1284</v>
      </c>
      <c r="B45" s="6" t="s">
        <v>1258</v>
      </c>
      <c r="C45" s="383"/>
      <c r="D45" s="265">
        <v>3962</v>
      </c>
      <c r="E45" s="216" t="e">
        <f>D45*#REF!</f>
        <v>#REF!</v>
      </c>
      <c r="F45" s="216" t="e">
        <f>D45*#REF!</f>
        <v>#REF!</v>
      </c>
      <c r="G45" s="216" t="e">
        <f>(D45*#REF!)*#REF!</f>
        <v>#REF!</v>
      </c>
      <c r="H45" s="211">
        <f t="shared" si="6"/>
        <v>3.7324583543664818</v>
      </c>
      <c r="I45" s="7" t="e">
        <f t="shared" si="7"/>
        <v>#REF!</v>
      </c>
      <c r="J45" s="5"/>
      <c r="K45" s="383"/>
      <c r="L45" s="265">
        <v>5254</v>
      </c>
      <c r="M45" s="216">
        <v>3993.56</v>
      </c>
      <c r="N45" s="216">
        <v>0</v>
      </c>
      <c r="O45" s="216">
        <f>VLOOKUP(A45,TB!A:F,3)</f>
        <v>0</v>
      </c>
      <c r="P45" s="216"/>
      <c r="Q45" s="216">
        <v>18750</v>
      </c>
      <c r="R45" s="7">
        <f>VLOOKUP(A45,TB!A:F,6)</f>
        <v>18750</v>
      </c>
      <c r="S45" s="7">
        <f t="shared" si="8"/>
        <v>0</v>
      </c>
    </row>
    <row r="46" spans="1:19" ht="15.75" hidden="1" customHeight="1" outlineLevel="1" x14ac:dyDescent="0.25">
      <c r="A46" s="6" t="s">
        <v>1285</v>
      </c>
      <c r="B46" s="6" t="s">
        <v>90</v>
      </c>
      <c r="C46" s="383"/>
      <c r="D46" s="265">
        <v>0</v>
      </c>
      <c r="E46" s="216" t="e">
        <f>D46*#REF!</f>
        <v>#REF!</v>
      </c>
      <c r="F46" s="216" t="e">
        <f>D46*#REF!</f>
        <v>#REF!</v>
      </c>
      <c r="G46" s="216" t="e">
        <f>(D46*#REF!)*#REF!</f>
        <v>#REF!</v>
      </c>
      <c r="H46" s="211">
        <f t="shared" si="6"/>
        <v>0</v>
      </c>
      <c r="I46" s="7" t="e">
        <f t="shared" si="7"/>
        <v>#REF!</v>
      </c>
      <c r="J46" s="5"/>
      <c r="K46" s="383"/>
      <c r="L46" s="265">
        <v>0</v>
      </c>
      <c r="M46" s="216">
        <v>0</v>
      </c>
      <c r="N46" s="216">
        <v>4500</v>
      </c>
      <c r="O46" s="216">
        <f>VLOOKUP(A46,TB!A:F,3)</f>
        <v>2311.61</v>
      </c>
      <c r="P46" s="216"/>
      <c r="Q46" s="216">
        <v>4500</v>
      </c>
      <c r="R46" s="7">
        <f>VLOOKUP(A46,TB!A:F,6)</f>
        <v>3750</v>
      </c>
      <c r="S46" s="7">
        <f t="shared" si="8"/>
        <v>-750</v>
      </c>
    </row>
    <row r="47" spans="1:19" ht="15.75" hidden="1" customHeight="1" outlineLevel="1" x14ac:dyDescent="0.25">
      <c r="A47" s="6" t="s">
        <v>1286</v>
      </c>
      <c r="B47" s="6" t="s">
        <v>1261</v>
      </c>
      <c r="C47" s="383"/>
      <c r="D47" s="265">
        <v>0</v>
      </c>
      <c r="E47" s="216" t="e">
        <f>D47*#REF!</f>
        <v>#REF!</v>
      </c>
      <c r="F47" s="216" t="e">
        <f>D47*#REF!</f>
        <v>#REF!</v>
      </c>
      <c r="G47" s="216" t="e">
        <f>(D47*#REF!)*#REF!</f>
        <v>#REF!</v>
      </c>
      <c r="H47" s="211">
        <f t="shared" si="6"/>
        <v>0</v>
      </c>
      <c r="I47" s="7" t="e">
        <f t="shared" si="7"/>
        <v>#REF!</v>
      </c>
      <c r="J47" s="5"/>
      <c r="K47" s="383"/>
      <c r="L47" s="265">
        <v>101202</v>
      </c>
      <c r="M47" s="216">
        <v>0</v>
      </c>
      <c r="N47" s="216">
        <v>0</v>
      </c>
      <c r="O47" s="216">
        <f>VLOOKUP(A47,TB!A:F,3)</f>
        <v>49127</v>
      </c>
      <c r="P47" s="216"/>
      <c r="Q47" s="216">
        <v>75000</v>
      </c>
      <c r="R47" s="7">
        <f>VLOOKUP(A47,TB!A:F,6)</f>
        <v>75000</v>
      </c>
      <c r="S47" s="7">
        <f t="shared" si="8"/>
        <v>0</v>
      </c>
    </row>
    <row r="48" spans="1:19" ht="15.75" hidden="1" customHeight="1" outlineLevel="1" x14ac:dyDescent="0.25">
      <c r="A48" s="6" t="s">
        <v>1287</v>
      </c>
      <c r="B48" s="6" t="s">
        <v>92</v>
      </c>
      <c r="C48" s="383"/>
      <c r="D48" s="265">
        <v>1910</v>
      </c>
      <c r="E48" s="216" t="e">
        <f>D48*#REF!</f>
        <v>#REF!</v>
      </c>
      <c r="F48" s="216" t="e">
        <f>D48*#REF!</f>
        <v>#REF!</v>
      </c>
      <c r="G48" s="216" t="e">
        <f>(D48*#REF!)*#REF!</f>
        <v>#REF!</v>
      </c>
      <c r="H48" s="211">
        <f t="shared" si="6"/>
        <v>0.5706806282722513</v>
      </c>
      <c r="I48" s="7" t="e">
        <f t="shared" si="7"/>
        <v>#REF!</v>
      </c>
      <c r="J48" s="5"/>
      <c r="K48" s="383"/>
      <c r="L48" s="265">
        <v>2694</v>
      </c>
      <c r="M48" s="216">
        <v>1048.4100000000001</v>
      </c>
      <c r="N48" s="216">
        <v>3000</v>
      </c>
      <c r="O48" s="216">
        <f>VLOOKUP(A48,TB!A:F,3)</f>
        <v>2259.8200000000002</v>
      </c>
      <c r="P48" s="216"/>
      <c r="Q48" s="216">
        <v>3000</v>
      </c>
      <c r="R48" s="7">
        <f>VLOOKUP(A48,TB!A:F,6)</f>
        <v>3000</v>
      </c>
      <c r="S48" s="7">
        <f t="shared" si="8"/>
        <v>0</v>
      </c>
    </row>
    <row r="49" spans="1:31" ht="15.75" hidden="1" customHeight="1" outlineLevel="1" x14ac:dyDescent="0.25">
      <c r="A49" s="6" t="s">
        <v>1288</v>
      </c>
      <c r="B49" s="6" t="s">
        <v>99</v>
      </c>
      <c r="C49" s="280"/>
      <c r="D49" s="216">
        <v>0</v>
      </c>
      <c r="E49" s="216" t="e">
        <f>D49*#REF!</f>
        <v>#REF!</v>
      </c>
      <c r="F49" s="216" t="e">
        <f>D49*#REF!</f>
        <v>#REF!</v>
      </c>
      <c r="G49" s="216" t="e">
        <f>(D49*#REF!)*#REF!</f>
        <v>#REF!</v>
      </c>
      <c r="H49" s="211">
        <f t="shared" si="6"/>
        <v>0</v>
      </c>
      <c r="I49" s="7" t="e">
        <f t="shared" si="7"/>
        <v>#REF!</v>
      </c>
      <c r="J49" s="5"/>
      <c r="K49" s="280"/>
      <c r="L49" s="216">
        <v>146003</v>
      </c>
      <c r="M49" s="216">
        <v>30019</v>
      </c>
      <c r="N49" s="216">
        <v>0</v>
      </c>
      <c r="O49" s="216">
        <f>VLOOKUP(A49,TB!A:F,3)</f>
        <v>0</v>
      </c>
      <c r="P49" s="216"/>
      <c r="Q49" s="216">
        <v>0</v>
      </c>
      <c r="R49" s="7">
        <f>VLOOKUP(A49,TB!A:F,6)</f>
        <v>0</v>
      </c>
      <c r="S49" s="7">
        <f t="shared" si="8"/>
        <v>0</v>
      </c>
    </row>
    <row r="50" spans="1:31" ht="21" hidden="1" customHeight="1" outlineLevel="1" x14ac:dyDescent="0.25">
      <c r="A50" s="6" t="s">
        <v>1289</v>
      </c>
      <c r="B50" s="6" t="s">
        <v>1265</v>
      </c>
      <c r="C50" s="280"/>
      <c r="D50" s="216">
        <v>0</v>
      </c>
      <c r="E50" s="216" t="e">
        <f>D50*#REF!</f>
        <v>#REF!</v>
      </c>
      <c r="F50" s="216" t="e">
        <f>D50*#REF!</f>
        <v>#REF!</v>
      </c>
      <c r="G50" s="216" t="e">
        <f>(D50*#REF!)*#REF!</f>
        <v>#REF!</v>
      </c>
      <c r="H50" s="211">
        <f t="shared" si="6"/>
        <v>0</v>
      </c>
      <c r="I50" s="7" t="e">
        <f t="shared" si="7"/>
        <v>#REF!</v>
      </c>
      <c r="J50" s="5"/>
      <c r="K50" s="280"/>
      <c r="L50" s="216">
        <v>0</v>
      </c>
      <c r="M50" s="216">
        <v>-966.19</v>
      </c>
      <c r="N50" s="216">
        <v>0</v>
      </c>
      <c r="O50" s="216">
        <f>VLOOKUP(A50,TB!A:F,3)</f>
        <v>0</v>
      </c>
      <c r="P50" s="216"/>
      <c r="Q50" s="216">
        <v>0</v>
      </c>
      <c r="R50" s="7">
        <f>VLOOKUP(A50,TB!A:F,6)</f>
        <v>0</v>
      </c>
      <c r="S50" s="7">
        <f t="shared" si="8"/>
        <v>0</v>
      </c>
    </row>
    <row r="51" spans="1:31" ht="15.75" hidden="1" customHeight="1" outlineLevel="1" x14ac:dyDescent="0.25">
      <c r="A51" s="47" t="s">
        <v>1266</v>
      </c>
      <c r="B51" s="48"/>
      <c r="C51" s="325"/>
      <c r="D51" s="48">
        <f t="shared" ref="D51:G51" si="9">SUM(D29:D50)</f>
        <v>361217</v>
      </c>
      <c r="E51" s="48" t="e">
        <f t="shared" si="9"/>
        <v>#REF!</v>
      </c>
      <c r="F51" s="48" t="e">
        <f t="shared" si="9"/>
        <v>#REF!</v>
      </c>
      <c r="G51" s="48" t="e">
        <f t="shared" si="9"/>
        <v>#REF!</v>
      </c>
      <c r="H51" s="212">
        <f t="shared" si="6"/>
        <v>1.1606818062272817</v>
      </c>
      <c r="I51" s="12" t="e">
        <f t="shared" si="7"/>
        <v>#REF!</v>
      </c>
      <c r="J51" s="5"/>
      <c r="K51" s="325"/>
      <c r="L51" s="48">
        <f t="shared" ref="L51:S51" si="10">SUM(L29:L50)</f>
        <v>736769</v>
      </c>
      <c r="M51" s="48">
        <f t="shared" si="10"/>
        <v>378227.19</v>
      </c>
      <c r="N51" s="48">
        <f t="shared" si="10"/>
        <v>719966</v>
      </c>
      <c r="O51" s="48">
        <f t="shared" si="10"/>
        <v>333461.90999999997</v>
      </c>
      <c r="P51" s="48">
        <f t="shared" si="10"/>
        <v>0</v>
      </c>
      <c r="Q51" s="48">
        <f t="shared" si="10"/>
        <v>780475</v>
      </c>
      <c r="R51" s="48">
        <f t="shared" si="10"/>
        <v>766300</v>
      </c>
      <c r="S51" s="48">
        <f t="shared" si="10"/>
        <v>-14175</v>
      </c>
    </row>
    <row r="52" spans="1:31" ht="15.75" hidden="1" customHeight="1" outlineLevel="1" x14ac:dyDescent="0.2">
      <c r="A52" s="5"/>
      <c r="B52" s="5"/>
      <c r="C52" s="284"/>
      <c r="D52" s="5"/>
      <c r="E52" s="5"/>
      <c r="F52" s="5"/>
      <c r="G52" s="5"/>
      <c r="H52" s="5"/>
      <c r="I52" s="5"/>
      <c r="J52" s="5"/>
      <c r="K52" s="284"/>
      <c r="L52" s="5"/>
      <c r="M52" s="5"/>
      <c r="N52" s="5"/>
      <c r="O52" s="5"/>
      <c r="P52" s="5"/>
      <c r="Q52" s="5"/>
      <c r="R52" s="5"/>
      <c r="S52" s="5"/>
    </row>
    <row r="53" spans="1:31" ht="15.75" hidden="1" customHeight="1" outlineLevel="1" x14ac:dyDescent="0.2">
      <c r="A53" s="379" t="s">
        <v>50</v>
      </c>
      <c r="B53" s="379" t="s">
        <v>51</v>
      </c>
      <c r="C53" s="292"/>
      <c r="D53" s="379" t="s">
        <v>52</v>
      </c>
      <c r="E53" s="380" t="s">
        <v>53</v>
      </c>
      <c r="F53" s="380" t="s">
        <v>1212</v>
      </c>
      <c r="G53" s="380" t="s">
        <v>55</v>
      </c>
      <c r="H53" s="230" t="s">
        <v>56</v>
      </c>
      <c r="I53" s="230" t="s">
        <v>57</v>
      </c>
      <c r="J53" s="5"/>
      <c r="K53" s="292"/>
      <c r="L53" s="379" t="s">
        <v>59</v>
      </c>
      <c r="M53" s="379" t="s">
        <v>60</v>
      </c>
      <c r="N53" s="379" t="s">
        <v>436</v>
      </c>
      <c r="O53" s="379" t="s">
        <v>437</v>
      </c>
      <c r="P53" s="3" t="s">
        <v>541</v>
      </c>
      <c r="Q53" s="381" t="s">
        <v>438</v>
      </c>
      <c r="R53" s="293" t="s">
        <v>65</v>
      </c>
      <c r="S53" s="3" t="s">
        <v>586</v>
      </c>
    </row>
    <row r="54" spans="1:31" ht="15.75" hidden="1" customHeight="1" outlineLevel="1" x14ac:dyDescent="0.25">
      <c r="A54" s="267" t="s">
        <v>1290</v>
      </c>
      <c r="B54" s="6" t="s">
        <v>532</v>
      </c>
      <c r="C54" s="382"/>
      <c r="D54" s="225">
        <v>0</v>
      </c>
      <c r="E54" s="281" t="e">
        <f>D54*#REF!</f>
        <v>#REF!</v>
      </c>
      <c r="F54" s="281" t="e">
        <f>D54*#REF!</f>
        <v>#REF!</v>
      </c>
      <c r="G54" s="281" t="e">
        <f>(D54*#REF!)*#REF!</f>
        <v>#REF!</v>
      </c>
      <c r="H54" s="223"/>
      <c r="I54" s="267"/>
      <c r="J54" s="267"/>
      <c r="K54" s="382"/>
      <c r="L54" s="225">
        <v>0</v>
      </c>
      <c r="M54" s="225">
        <v>0</v>
      </c>
      <c r="N54" s="201">
        <v>50000</v>
      </c>
      <c r="O54" s="216">
        <f>VLOOKUP(A54,TB!A:F,3)</f>
        <v>0</v>
      </c>
      <c r="P54" s="201"/>
      <c r="Q54" s="201">
        <v>3000000</v>
      </c>
      <c r="R54" s="7">
        <f>VLOOKUP(A54,TB!A:F,6)</f>
        <v>3000000</v>
      </c>
      <c r="S54" s="7">
        <f t="shared" ref="S54:S57" si="11">R54-Q54</f>
        <v>0</v>
      </c>
      <c r="V54" s="83"/>
      <c r="W54" s="83"/>
      <c r="X54" s="83"/>
      <c r="Y54" s="83"/>
      <c r="Z54" s="83"/>
      <c r="AA54" s="83"/>
      <c r="AB54" s="83"/>
    </row>
    <row r="55" spans="1:31" ht="15.75" hidden="1" customHeight="1" outlineLevel="1" x14ac:dyDescent="0.25">
      <c r="A55" s="267" t="s">
        <v>1291</v>
      </c>
      <c r="B55" s="267" t="s">
        <v>1292</v>
      </c>
      <c r="C55" s="382"/>
      <c r="D55" s="225">
        <v>0</v>
      </c>
      <c r="E55" s="281" t="e">
        <f>D55*#REF!</f>
        <v>#REF!</v>
      </c>
      <c r="F55" s="281" t="e">
        <f>D55*#REF!</f>
        <v>#REF!</v>
      </c>
      <c r="G55" s="281" t="e">
        <f>(D55*#REF!)*#REF!</f>
        <v>#REF!</v>
      </c>
      <c r="H55" s="223"/>
      <c r="I55" s="267"/>
      <c r="J55" s="267"/>
      <c r="K55" s="382"/>
      <c r="L55" s="225">
        <v>0</v>
      </c>
      <c r="M55" s="225">
        <v>0</v>
      </c>
      <c r="N55" s="201">
        <v>1061066</v>
      </c>
      <c r="O55" s="216">
        <f>VLOOKUP(A55,TB!A:F,3)</f>
        <v>637084.72</v>
      </c>
      <c r="P55" s="201"/>
      <c r="Q55" s="201">
        <v>0</v>
      </c>
      <c r="R55" s="7">
        <f>VLOOKUP(A55,TB!A:F,6)</f>
        <v>0</v>
      </c>
      <c r="S55" s="7">
        <f t="shared" si="11"/>
        <v>0</v>
      </c>
      <c r="V55" s="83"/>
      <c r="W55" s="83"/>
      <c r="X55" s="83"/>
      <c r="Y55" s="83"/>
      <c r="Z55" s="83"/>
      <c r="AA55" s="83"/>
      <c r="AB55" s="83"/>
    </row>
    <row r="56" spans="1:31" ht="15.75" hidden="1" customHeight="1" outlineLevel="1" x14ac:dyDescent="0.25">
      <c r="A56" s="6" t="s">
        <v>1293</v>
      </c>
      <c r="B56" s="6" t="s">
        <v>532</v>
      </c>
      <c r="C56" s="382"/>
      <c r="D56" s="112">
        <v>0</v>
      </c>
      <c r="E56" s="216" t="e">
        <f>D56*#REF!</f>
        <v>#REF!</v>
      </c>
      <c r="F56" s="216" t="e">
        <f>D56*#REF!</f>
        <v>#REF!</v>
      </c>
      <c r="G56" s="216" t="e">
        <f>(D56*#REF!)*#REF!</f>
        <v>#REF!</v>
      </c>
      <c r="H56" s="211">
        <f t="shared" ref="H56:H58" si="12">IFERROR(((Q56-D56)/D56),0)</f>
        <v>0</v>
      </c>
      <c r="I56" s="7" t="e">
        <f t="shared" ref="I56:I58" si="13">Q56-G56</f>
        <v>#REF!</v>
      </c>
      <c r="J56" s="5"/>
      <c r="K56" s="382"/>
      <c r="L56" s="112">
        <v>0</v>
      </c>
      <c r="M56" s="112">
        <v>0</v>
      </c>
      <c r="N56" s="36">
        <v>1891604</v>
      </c>
      <c r="O56" s="216">
        <f>VLOOKUP(A56,TB!A:F,3)</f>
        <v>1239.1099999999999</v>
      </c>
      <c r="P56" s="36"/>
      <c r="Q56" s="36">
        <v>1000000</v>
      </c>
      <c r="R56" s="7">
        <f>VLOOKUP(A56,TB!A:F,6)</f>
        <v>1000000</v>
      </c>
      <c r="S56" s="7">
        <f t="shared" si="11"/>
        <v>0</v>
      </c>
    </row>
    <row r="57" spans="1:31" ht="15.75" hidden="1" customHeight="1" outlineLevel="1" x14ac:dyDescent="0.25">
      <c r="A57" s="6" t="s">
        <v>1294</v>
      </c>
      <c r="B57" s="6" t="s">
        <v>99</v>
      </c>
      <c r="C57" s="382"/>
      <c r="D57" s="112">
        <v>0</v>
      </c>
      <c r="E57" s="216" t="e">
        <f>D57*#REF!</f>
        <v>#REF!</v>
      </c>
      <c r="F57" s="216" t="e">
        <f>D57*#REF!</f>
        <v>#REF!</v>
      </c>
      <c r="G57" s="216" t="e">
        <f>(D57*#REF!)*#REF!</f>
        <v>#REF!</v>
      </c>
      <c r="H57" s="211">
        <f t="shared" si="12"/>
        <v>0</v>
      </c>
      <c r="I57" s="7" t="e">
        <f t="shared" si="13"/>
        <v>#REF!</v>
      </c>
      <c r="J57" s="5"/>
      <c r="K57" s="382"/>
      <c r="L57" s="112">
        <v>0</v>
      </c>
      <c r="M57" s="112">
        <v>0</v>
      </c>
      <c r="N57" s="112">
        <v>0</v>
      </c>
      <c r="O57" s="216">
        <v>0</v>
      </c>
      <c r="P57" s="112"/>
      <c r="Q57" s="112">
        <v>0</v>
      </c>
      <c r="R57" s="7">
        <v>0</v>
      </c>
      <c r="S57" s="7">
        <f t="shared" si="11"/>
        <v>0</v>
      </c>
    </row>
    <row r="58" spans="1:31" ht="15.75" hidden="1" customHeight="1" outlineLevel="1" x14ac:dyDescent="0.25">
      <c r="A58" s="47" t="s">
        <v>1266</v>
      </c>
      <c r="B58" s="48"/>
      <c r="C58" s="325"/>
      <c r="D58" s="48">
        <f t="shared" ref="D58:G58" si="14">SUM(D56:D57)</f>
        <v>0</v>
      </c>
      <c r="E58" s="48" t="e">
        <f t="shared" si="14"/>
        <v>#REF!</v>
      </c>
      <c r="F58" s="48" t="e">
        <f t="shared" si="14"/>
        <v>#REF!</v>
      </c>
      <c r="G58" s="48" t="e">
        <f t="shared" si="14"/>
        <v>#REF!</v>
      </c>
      <c r="H58" s="212">
        <f t="shared" si="12"/>
        <v>0</v>
      </c>
      <c r="I58" s="12" t="e">
        <f t="shared" si="13"/>
        <v>#REF!</v>
      </c>
      <c r="J58" s="5"/>
      <c r="K58" s="325"/>
      <c r="L58" s="12">
        <f t="shared" ref="L58:M58" si="15">SUM(L56:L57)</f>
        <v>0</v>
      </c>
      <c r="M58" s="12">
        <f t="shared" si="15"/>
        <v>0</v>
      </c>
      <c r="N58" s="12">
        <f t="shared" ref="N58:S58" si="16">SUM(N54:N57)</f>
        <v>3002670</v>
      </c>
      <c r="O58" s="12">
        <f t="shared" si="16"/>
        <v>638323.82999999996</v>
      </c>
      <c r="P58" s="12">
        <f t="shared" si="16"/>
        <v>0</v>
      </c>
      <c r="Q58" s="12">
        <f t="shared" si="16"/>
        <v>4000000</v>
      </c>
      <c r="R58" s="12">
        <f t="shared" si="16"/>
        <v>4000000</v>
      </c>
      <c r="S58" s="12">
        <f t="shared" si="16"/>
        <v>0</v>
      </c>
    </row>
    <row r="59" spans="1:31" ht="24.75" customHeight="1" collapsed="1" x14ac:dyDescent="0.3">
      <c r="A59" s="395" t="s">
        <v>1295</v>
      </c>
      <c r="B59" s="6"/>
      <c r="C59" s="383"/>
      <c r="D59" s="266"/>
      <c r="E59" s="142"/>
      <c r="F59" s="142"/>
      <c r="G59" s="142"/>
      <c r="H59" s="33"/>
      <c r="I59" s="18"/>
      <c r="J59" s="109"/>
      <c r="K59" s="383"/>
      <c r="L59" s="265"/>
      <c r="M59" s="265"/>
      <c r="N59" s="265"/>
      <c r="O59" s="265"/>
      <c r="P59" s="266"/>
      <c r="Q59" s="266"/>
      <c r="R59" s="265"/>
      <c r="S59" s="5"/>
    </row>
    <row r="60" spans="1:31" ht="50.25" customHeight="1" x14ac:dyDescent="0.2">
      <c r="A60" s="3" t="s">
        <v>50</v>
      </c>
      <c r="B60" s="3" t="s">
        <v>51</v>
      </c>
      <c r="C60" s="21"/>
      <c r="D60" s="22" t="s">
        <v>52</v>
      </c>
      <c r="E60" s="23" t="s">
        <v>53</v>
      </c>
      <c r="F60" s="23" t="s">
        <v>54</v>
      </c>
      <c r="G60" s="23" t="s">
        <v>55</v>
      </c>
      <c r="H60" s="100" t="s">
        <v>56</v>
      </c>
      <c r="I60" s="23" t="s">
        <v>57</v>
      </c>
      <c r="J60" s="129" t="s">
        <v>58</v>
      </c>
      <c r="K60" s="130"/>
      <c r="L60" s="27" t="s">
        <v>59</v>
      </c>
      <c r="M60" s="27" t="s">
        <v>60</v>
      </c>
      <c r="N60" s="27" t="s">
        <v>61</v>
      </c>
      <c r="O60" s="27" t="s">
        <v>62</v>
      </c>
      <c r="P60" s="27" t="s">
        <v>63</v>
      </c>
      <c r="Q60" s="27" t="s">
        <v>64</v>
      </c>
      <c r="R60" s="27" t="s">
        <v>65</v>
      </c>
      <c r="S60" s="27" t="s">
        <v>66</v>
      </c>
      <c r="T60" s="207"/>
      <c r="U60" s="27" t="s">
        <v>1191</v>
      </c>
      <c r="V60" s="27" t="s">
        <v>1192</v>
      </c>
      <c r="X60" s="28"/>
      <c r="Y60" s="28"/>
      <c r="Z60" s="28"/>
      <c r="AA60" s="28"/>
      <c r="AB60" s="28"/>
      <c r="AC60" s="28"/>
      <c r="AD60" s="28"/>
      <c r="AE60" s="28"/>
    </row>
    <row r="61" spans="1:31" ht="15.75" customHeight="1" x14ac:dyDescent="0.25">
      <c r="A61" s="6" t="s">
        <v>1235</v>
      </c>
      <c r="B61" s="6" t="s">
        <v>68</v>
      </c>
      <c r="C61" s="383"/>
      <c r="D61" s="266">
        <f t="shared" ref="D61:D80" si="17">SUMIF($B$3:$B$24,$B61,D$3:D$24)+SUMIF($B$29:$B$50,$B61,D$29:D$50)+SUMIF($B$56:$B$57,$B61,D$56:D$57)</f>
        <v>135153</v>
      </c>
      <c r="E61" s="142" t="e">
        <f>D61*#REF!</f>
        <v>#REF!</v>
      </c>
      <c r="F61" s="142" t="e">
        <f>D61*#REF!</f>
        <v>#REF!</v>
      </c>
      <c r="G61" s="142" t="e">
        <f>(D61*#REF!)*#REF!</f>
        <v>#REF!</v>
      </c>
      <c r="H61" s="33">
        <f t="shared" ref="H61:H81" si="18">IFERROR(((Q61-G61)/G61),0)</f>
        <v>0</v>
      </c>
      <c r="I61" s="16" t="e">
        <f t="shared" ref="I61:I81" si="19">Q61-G61</f>
        <v>#REF!</v>
      </c>
      <c r="J61" s="109"/>
      <c r="K61" s="383"/>
      <c r="L61" s="265">
        <f t="shared" ref="L61:O61" si="20">SUMIF($B$3:$B$24,$B61,L$3:L$24)+SUMIF($B$29:$B$50,$B61,L$29:L$50)+SUMIF($B$56:$B$57,$B61,L$56:L$57)</f>
        <v>165644</v>
      </c>
      <c r="M61" s="265">
        <f t="shared" si="20"/>
        <v>212350.01</v>
      </c>
      <c r="N61" s="265">
        <f t="shared" si="20"/>
        <v>278289</v>
      </c>
      <c r="O61" s="265">
        <f t="shared" si="20"/>
        <v>114313.11</v>
      </c>
      <c r="P61" s="266">
        <f t="shared" ref="P61:P64" si="21">O61/20*26</f>
        <v>148607.04300000001</v>
      </c>
      <c r="Q61" s="266">
        <f t="shared" ref="Q61:R61" si="22">SUMIF($B$3:$B$24,$B61,Q$3:Q$24)+SUMIF($B$29:$B$50,$B61,Q$29:Q$50)+SUMIF($B$56:$B$57,$B61,Q$56:Q$57)</f>
        <v>346700</v>
      </c>
      <c r="R61" s="265">
        <f t="shared" si="22"/>
        <v>346700</v>
      </c>
      <c r="S61" s="7">
        <f t="shared" ref="S61:S80" si="23">R61-Q61</f>
        <v>0</v>
      </c>
      <c r="U61" s="7">
        <v>86700</v>
      </c>
      <c r="V61" s="7">
        <v>260000</v>
      </c>
    </row>
    <row r="62" spans="1:31" ht="15.75" customHeight="1" x14ac:dyDescent="0.25">
      <c r="A62" s="6" t="s">
        <v>1235</v>
      </c>
      <c r="B62" s="6" t="s">
        <v>70</v>
      </c>
      <c r="C62" s="383"/>
      <c r="D62" s="266">
        <f t="shared" si="17"/>
        <v>91</v>
      </c>
      <c r="E62" s="142" t="e">
        <f>D62*#REF!</f>
        <v>#REF!</v>
      </c>
      <c r="F62" s="142" t="e">
        <f>D62*#REF!</f>
        <v>#REF!</v>
      </c>
      <c r="G62" s="142" t="e">
        <f>(D62*#REF!)*#REF!</f>
        <v>#REF!</v>
      </c>
      <c r="H62" s="33">
        <f t="shared" si="18"/>
        <v>0</v>
      </c>
      <c r="I62" s="16" t="e">
        <f t="shared" si="19"/>
        <v>#REF!</v>
      </c>
      <c r="J62" s="16">
        <v>-600</v>
      </c>
      <c r="K62" s="383"/>
      <c r="L62" s="265">
        <f t="shared" ref="L62:O62" si="24">SUMIF($B$3:$B$24,$B62,L$3:L$24)+SUMIF($B$29:$B$50,$B62,L$29:L$50)+SUMIF($B$56:$B$57,$B62,L$56:L$57)</f>
        <v>1609</v>
      </c>
      <c r="M62" s="265">
        <f t="shared" si="24"/>
        <v>3019.98</v>
      </c>
      <c r="N62" s="265">
        <f t="shared" si="24"/>
        <v>5500</v>
      </c>
      <c r="O62" s="265">
        <f t="shared" si="24"/>
        <v>2706.94</v>
      </c>
      <c r="P62" s="266">
        <f t="shared" si="21"/>
        <v>3519.0220000000004</v>
      </c>
      <c r="Q62" s="266">
        <f t="shared" ref="Q62:R62" si="25">SUMIF($B$3:$B$24,$B62,Q$3:Q$24)+SUMIF($B$29:$B$50,$B62,Q$29:Q$50)+SUMIF($B$56:$B$57,$B62,Q$56:Q$57)</f>
        <v>5600</v>
      </c>
      <c r="R62" s="265">
        <f t="shared" si="25"/>
        <v>5000</v>
      </c>
      <c r="S62" s="7">
        <f t="shared" si="23"/>
        <v>-600</v>
      </c>
      <c r="U62" s="7">
        <v>1250</v>
      </c>
      <c r="V62" s="7">
        <v>3750</v>
      </c>
    </row>
    <row r="63" spans="1:31" ht="15.75" customHeight="1" x14ac:dyDescent="0.25">
      <c r="A63" s="6" t="s">
        <v>1235</v>
      </c>
      <c r="B63" s="6" t="s">
        <v>132</v>
      </c>
      <c r="C63" s="383"/>
      <c r="D63" s="266">
        <f t="shared" si="17"/>
        <v>8564</v>
      </c>
      <c r="E63" s="142" t="e">
        <f>D63*#REF!</f>
        <v>#REF!</v>
      </c>
      <c r="F63" s="142" t="e">
        <f>D63*#REF!</f>
        <v>#REF!</v>
      </c>
      <c r="G63" s="142" t="e">
        <f>(D63*#REF!)*#REF!</f>
        <v>#REF!</v>
      </c>
      <c r="H63" s="33">
        <f t="shared" si="18"/>
        <v>0</v>
      </c>
      <c r="I63" s="16" t="e">
        <f t="shared" si="19"/>
        <v>#REF!</v>
      </c>
      <c r="J63" s="16"/>
      <c r="K63" s="383"/>
      <c r="L63" s="265">
        <f t="shared" ref="L63:O63" si="26">SUMIF($B$3:$B$24,$B63,L$3:L$24)+SUMIF($B$29:$B$50,$B63,L$29:L$50)+SUMIF($B$56:$B$57,$B63,L$56:L$57)</f>
        <v>0</v>
      </c>
      <c r="M63" s="265">
        <f t="shared" si="26"/>
        <v>0</v>
      </c>
      <c r="N63" s="265">
        <f t="shared" si="26"/>
        <v>16250</v>
      </c>
      <c r="O63" s="265">
        <f t="shared" si="26"/>
        <v>0</v>
      </c>
      <c r="P63" s="266">
        <f t="shared" si="21"/>
        <v>0</v>
      </c>
      <c r="Q63" s="266">
        <f t="shared" ref="Q63:R63" si="27">SUMIF($B$3:$B$24,$B63,Q$3:Q$24)+SUMIF($B$29:$B$50,$B63,Q$29:Q$50)+SUMIF($B$56:$B$57,$B63,Q$56:Q$57)</f>
        <v>20000</v>
      </c>
      <c r="R63" s="265">
        <f t="shared" si="27"/>
        <v>20000</v>
      </c>
      <c r="S63" s="7">
        <f t="shared" si="23"/>
        <v>0</v>
      </c>
      <c r="U63" s="7">
        <v>5000</v>
      </c>
      <c r="V63" s="7">
        <v>15000</v>
      </c>
    </row>
    <row r="64" spans="1:31" ht="15.75" customHeight="1" x14ac:dyDescent="0.25">
      <c r="A64" s="6" t="s">
        <v>1235</v>
      </c>
      <c r="B64" s="6" t="s">
        <v>72</v>
      </c>
      <c r="C64" s="383"/>
      <c r="D64" s="266">
        <f t="shared" si="17"/>
        <v>53743</v>
      </c>
      <c r="E64" s="142" t="e">
        <f>D64*#REF!</f>
        <v>#REF!</v>
      </c>
      <c r="F64" s="142" t="e">
        <f>D64*#REF!</f>
        <v>#REF!</v>
      </c>
      <c r="G64" s="142" t="e">
        <f>(D64*#REF!)*#REF!</f>
        <v>#REF!</v>
      </c>
      <c r="H64" s="33">
        <f t="shared" si="18"/>
        <v>0</v>
      </c>
      <c r="I64" s="16" t="e">
        <f t="shared" si="19"/>
        <v>#REF!</v>
      </c>
      <c r="J64" s="16"/>
      <c r="K64" s="383"/>
      <c r="L64" s="265">
        <f t="shared" ref="L64:O64" si="28">SUMIF($B$3:$B$24,$B64,L$3:L$24)+SUMIF($B$29:$B$50,$B64,L$29:L$50)+SUMIF($B$56:$B$57,$B64,L$56:L$57)</f>
        <v>77954</v>
      </c>
      <c r="M64" s="265">
        <f t="shared" si="28"/>
        <v>108755.62</v>
      </c>
      <c r="N64" s="265">
        <f t="shared" si="28"/>
        <v>175079</v>
      </c>
      <c r="O64" s="265">
        <f t="shared" si="28"/>
        <v>56219.26</v>
      </c>
      <c r="P64" s="266">
        <f t="shared" si="21"/>
        <v>73085.038</v>
      </c>
      <c r="Q64" s="266">
        <f t="shared" ref="Q64:R64" si="29">SUMIF($B$3:$B$24,$B64,Q$3:Q$24)+SUMIF($B$29:$B$50,$B64,Q$29:Q$50)+SUMIF($B$56:$B$57,$B64,Q$56:Q$57)</f>
        <v>177200</v>
      </c>
      <c r="R64" s="265">
        <f t="shared" si="29"/>
        <v>177200</v>
      </c>
      <c r="S64" s="7">
        <f t="shared" si="23"/>
        <v>0</v>
      </c>
      <c r="U64" s="7">
        <v>44400</v>
      </c>
      <c r="V64" s="7">
        <v>132800</v>
      </c>
    </row>
    <row r="65" spans="1:22" ht="15.75" customHeight="1" x14ac:dyDescent="0.25">
      <c r="A65" s="6" t="s">
        <v>1235</v>
      </c>
      <c r="B65" s="6" t="s">
        <v>74</v>
      </c>
      <c r="C65" s="383"/>
      <c r="D65" s="266">
        <f t="shared" si="17"/>
        <v>2336</v>
      </c>
      <c r="E65" s="142" t="e">
        <f>D65*#REF!</f>
        <v>#REF!</v>
      </c>
      <c r="F65" s="142" t="e">
        <f>D65*#REF!</f>
        <v>#REF!</v>
      </c>
      <c r="G65" s="142" t="e">
        <f>(D65*#REF!)*#REF!</f>
        <v>#REF!</v>
      </c>
      <c r="H65" s="33">
        <f t="shared" si="18"/>
        <v>0</v>
      </c>
      <c r="I65" s="16" t="e">
        <f t="shared" si="19"/>
        <v>#REF!</v>
      </c>
      <c r="J65" s="16">
        <v>-300</v>
      </c>
      <c r="K65" s="383"/>
      <c r="L65" s="265">
        <f t="shared" ref="L65:O65" si="30">SUMIF($B$3:$B$24,$B65,L$3:L$24)+SUMIF($B$29:$B$50,$B65,L$29:L$50)+SUMIF($B$56:$B$57,$B65,L$56:L$57)</f>
        <v>2000</v>
      </c>
      <c r="M65" s="265">
        <f t="shared" si="30"/>
        <v>3663</v>
      </c>
      <c r="N65" s="265">
        <f t="shared" si="30"/>
        <v>4300</v>
      </c>
      <c r="O65" s="265">
        <f t="shared" si="30"/>
        <v>291</v>
      </c>
      <c r="P65" s="266">
        <f t="shared" ref="P65:P71" si="31">O65/9*12</f>
        <v>388</v>
      </c>
      <c r="Q65" s="266">
        <f t="shared" ref="Q65:R65" si="32">SUMIF($B$3:$B$24,$B65,Q$3:Q$24)+SUMIF($B$29:$B$50,$B65,Q$29:Q$50)+SUMIF($B$56:$B$57,$B65,Q$56:Q$57)</f>
        <v>4300</v>
      </c>
      <c r="R65" s="265">
        <f t="shared" si="32"/>
        <v>4000</v>
      </c>
      <c r="S65" s="7">
        <f t="shared" si="23"/>
        <v>-300</v>
      </c>
      <c r="U65" s="7">
        <v>1000</v>
      </c>
      <c r="V65" s="7">
        <v>3000</v>
      </c>
    </row>
    <row r="66" spans="1:22" ht="15.75" customHeight="1" x14ac:dyDescent="0.25">
      <c r="A66" s="6" t="s">
        <v>1235</v>
      </c>
      <c r="B66" s="6" t="s">
        <v>76</v>
      </c>
      <c r="C66" s="383"/>
      <c r="D66" s="266">
        <f t="shared" si="17"/>
        <v>3083</v>
      </c>
      <c r="E66" s="142" t="e">
        <f>D66*#REF!</f>
        <v>#REF!</v>
      </c>
      <c r="F66" s="142" t="e">
        <f>D66*#REF!</f>
        <v>#REF!</v>
      </c>
      <c r="G66" s="142" t="e">
        <f>(D66*#REF!)*#REF!</f>
        <v>#REF!</v>
      </c>
      <c r="H66" s="33">
        <f t="shared" si="18"/>
        <v>0</v>
      </c>
      <c r="I66" s="16" t="e">
        <f t="shared" si="19"/>
        <v>#REF!</v>
      </c>
      <c r="J66" s="16">
        <v>-4000</v>
      </c>
      <c r="K66" s="383"/>
      <c r="L66" s="265">
        <f t="shared" ref="L66:O66" si="33">SUMIF($B$3:$B$24,$B66,L$3:L$24)+SUMIF($B$29:$B$50,$B66,L$29:L$50)+SUMIF($B$56:$B$57,$B66,L$56:L$57)</f>
        <v>5064</v>
      </c>
      <c r="M66" s="265">
        <f t="shared" si="33"/>
        <v>7654.62</v>
      </c>
      <c r="N66" s="265">
        <f t="shared" si="33"/>
        <v>11500</v>
      </c>
      <c r="O66" s="265">
        <f t="shared" si="33"/>
        <v>895.8</v>
      </c>
      <c r="P66" s="266">
        <f t="shared" si="31"/>
        <v>1194.4000000000001</v>
      </c>
      <c r="Q66" s="266">
        <f t="shared" ref="Q66:R66" si="34">SUMIF($B$3:$B$24,$B66,Q$3:Q$24)+SUMIF($B$29:$B$50,$B66,Q$29:Q$50)+SUMIF($B$56:$B$57,$B66,Q$56:Q$57)</f>
        <v>14000</v>
      </c>
      <c r="R66" s="265">
        <f t="shared" si="34"/>
        <v>10000</v>
      </c>
      <c r="S66" s="7">
        <f t="shared" si="23"/>
        <v>-4000</v>
      </c>
      <c r="U66" s="7">
        <v>2500</v>
      </c>
      <c r="V66" s="7">
        <v>7500</v>
      </c>
    </row>
    <row r="67" spans="1:22" ht="15.75" customHeight="1" x14ac:dyDescent="0.25">
      <c r="A67" s="6" t="s">
        <v>1235</v>
      </c>
      <c r="B67" s="6" t="s">
        <v>80</v>
      </c>
      <c r="C67" s="383"/>
      <c r="D67" s="266">
        <f t="shared" si="17"/>
        <v>1744</v>
      </c>
      <c r="E67" s="142" t="e">
        <f>D67*#REF!</f>
        <v>#REF!</v>
      </c>
      <c r="F67" s="142" t="e">
        <f>D67*#REF!</f>
        <v>#REF!</v>
      </c>
      <c r="G67" s="142" t="e">
        <f>(D67*#REF!)*#REF!</f>
        <v>#REF!</v>
      </c>
      <c r="H67" s="33">
        <f t="shared" si="18"/>
        <v>0</v>
      </c>
      <c r="I67" s="16" t="e">
        <f t="shared" si="19"/>
        <v>#REF!</v>
      </c>
      <c r="J67" s="16">
        <v>-500</v>
      </c>
      <c r="K67" s="383"/>
      <c r="L67" s="265">
        <f t="shared" ref="L67:O67" si="35">SUMIF($B$3:$B$24,$B67,L$3:L$24)+SUMIF($B$29:$B$50,$B67,L$29:L$50)+SUMIF($B$56:$B$57,$B67,L$56:L$57)</f>
        <v>2693</v>
      </c>
      <c r="M67" s="265">
        <f t="shared" si="35"/>
        <v>2285.59</v>
      </c>
      <c r="N67" s="265">
        <f t="shared" si="35"/>
        <v>9500</v>
      </c>
      <c r="O67" s="265">
        <f t="shared" si="35"/>
        <v>1385.26</v>
      </c>
      <c r="P67" s="266">
        <f t="shared" si="31"/>
        <v>1847.0133333333333</v>
      </c>
      <c r="Q67" s="266">
        <f t="shared" ref="Q67:R67" si="36">SUMIF($B$3:$B$24,$B67,Q$3:Q$24)+SUMIF($B$29:$B$50,$B67,Q$29:Q$50)+SUMIF($B$56:$B$57,$B67,Q$56:Q$57)</f>
        <v>5500</v>
      </c>
      <c r="R67" s="265">
        <f t="shared" si="36"/>
        <v>5000</v>
      </c>
      <c r="S67" s="7">
        <f t="shared" si="23"/>
        <v>-500</v>
      </c>
      <c r="U67" s="7">
        <v>1250</v>
      </c>
      <c r="V67" s="7">
        <v>3750</v>
      </c>
    </row>
    <row r="68" spans="1:22" ht="15.75" customHeight="1" x14ac:dyDescent="0.25">
      <c r="A68" s="6" t="s">
        <v>1235</v>
      </c>
      <c r="B68" s="6" t="s">
        <v>82</v>
      </c>
      <c r="C68" s="383"/>
      <c r="D68" s="266">
        <f t="shared" si="17"/>
        <v>6615</v>
      </c>
      <c r="E68" s="142" t="e">
        <f>D68*#REF!</f>
        <v>#REF!</v>
      </c>
      <c r="F68" s="142" t="e">
        <f>D68*#REF!</f>
        <v>#REF!</v>
      </c>
      <c r="G68" s="142" t="e">
        <f>(D68*#REF!)*#REF!</f>
        <v>#REF!</v>
      </c>
      <c r="H68" s="33">
        <f t="shared" si="18"/>
        <v>0</v>
      </c>
      <c r="I68" s="16" t="e">
        <f t="shared" si="19"/>
        <v>#REF!</v>
      </c>
      <c r="J68" s="16">
        <v>-4500</v>
      </c>
      <c r="K68" s="383"/>
      <c r="L68" s="265">
        <f t="shared" ref="L68:O68" si="37">SUMIF($B$3:$B$24,$B68,L$3:L$24)+SUMIF($B$29:$B$50,$B68,L$29:L$50)+SUMIF($B$56:$B$57,$B68,L$56:L$57)</f>
        <v>17015</v>
      </c>
      <c r="M68" s="265">
        <f t="shared" si="37"/>
        <v>21815.08</v>
      </c>
      <c r="N68" s="265">
        <f t="shared" si="37"/>
        <v>24500</v>
      </c>
      <c r="O68" s="265">
        <f t="shared" si="37"/>
        <v>3028.21</v>
      </c>
      <c r="P68" s="266">
        <f t="shared" si="31"/>
        <v>4037.6133333333332</v>
      </c>
      <c r="Q68" s="266">
        <f t="shared" ref="Q68:R68" si="38">SUMIF($B$3:$B$24,$B68,Q$3:Q$24)+SUMIF($B$29:$B$50,$B68,Q$29:Q$50)+SUMIF($B$56:$B$57,$B68,Q$56:Q$57)</f>
        <v>24500</v>
      </c>
      <c r="R68" s="265">
        <f t="shared" si="38"/>
        <v>20000</v>
      </c>
      <c r="S68" s="7">
        <f t="shared" si="23"/>
        <v>-4500</v>
      </c>
      <c r="U68" s="7">
        <v>5000</v>
      </c>
      <c r="V68" s="7">
        <v>15000</v>
      </c>
    </row>
    <row r="69" spans="1:22" ht="15.75" customHeight="1" x14ac:dyDescent="0.25">
      <c r="A69" s="6" t="s">
        <v>1235</v>
      </c>
      <c r="B69" s="6" t="s">
        <v>115</v>
      </c>
      <c r="C69" s="383"/>
      <c r="D69" s="266">
        <f t="shared" si="17"/>
        <v>894</v>
      </c>
      <c r="E69" s="142" t="e">
        <f>D69*#REF!</f>
        <v>#REF!</v>
      </c>
      <c r="F69" s="142" t="e">
        <f>D69*#REF!</f>
        <v>#REF!</v>
      </c>
      <c r="G69" s="142" t="e">
        <f>(D69*#REF!)*#REF!</f>
        <v>#REF!</v>
      </c>
      <c r="H69" s="33">
        <f t="shared" si="18"/>
        <v>0</v>
      </c>
      <c r="I69" s="16" t="e">
        <f t="shared" si="19"/>
        <v>#REF!</v>
      </c>
      <c r="J69" s="16">
        <v>-2000</v>
      </c>
      <c r="K69" s="383"/>
      <c r="L69" s="265">
        <f t="shared" ref="L69:O69" si="39">SUMIF($B$3:$B$24,$B69,L$3:L$24)+SUMIF($B$29:$B$50,$B69,L$29:L$50)+SUMIF($B$56:$B$57,$B69,L$56:L$57)</f>
        <v>2758</v>
      </c>
      <c r="M69" s="265">
        <f t="shared" si="39"/>
        <v>598</v>
      </c>
      <c r="N69" s="265">
        <f t="shared" si="39"/>
        <v>5000</v>
      </c>
      <c r="O69" s="265">
        <f t="shared" si="39"/>
        <v>0</v>
      </c>
      <c r="P69" s="266">
        <f t="shared" si="31"/>
        <v>0</v>
      </c>
      <c r="Q69" s="266">
        <f t="shared" ref="Q69:R69" si="40">SUMIF($B$3:$B$24,$B69,Q$3:Q$24)+SUMIF($B$29:$B$50,$B69,Q$29:Q$50)+SUMIF($B$56:$B$57,$B69,Q$56:Q$57)</f>
        <v>6000</v>
      </c>
      <c r="R69" s="265">
        <f t="shared" si="40"/>
        <v>4000</v>
      </c>
      <c r="S69" s="7">
        <f t="shared" si="23"/>
        <v>-2000</v>
      </c>
      <c r="U69" s="7">
        <v>1000</v>
      </c>
      <c r="V69" s="7">
        <v>3000</v>
      </c>
    </row>
    <row r="70" spans="1:22" ht="15.75" customHeight="1" x14ac:dyDescent="0.25">
      <c r="A70" s="6" t="s">
        <v>1235</v>
      </c>
      <c r="B70" s="6" t="s">
        <v>84</v>
      </c>
      <c r="C70" s="383"/>
      <c r="D70" s="266">
        <f t="shared" si="17"/>
        <v>1645</v>
      </c>
      <c r="E70" s="142" t="e">
        <f>D70*#REF!</f>
        <v>#REF!</v>
      </c>
      <c r="F70" s="142" t="e">
        <f>D70*#REF!</f>
        <v>#REF!</v>
      </c>
      <c r="G70" s="142" t="e">
        <f>(D70*#REF!)*#REF!</f>
        <v>#REF!</v>
      </c>
      <c r="H70" s="33">
        <f t="shared" si="18"/>
        <v>0</v>
      </c>
      <c r="I70" s="16" t="e">
        <f t="shared" si="19"/>
        <v>#REF!</v>
      </c>
      <c r="J70" s="16">
        <v>-1000</v>
      </c>
      <c r="K70" s="383"/>
      <c r="L70" s="265">
        <f t="shared" ref="L70:O70" si="41">SUMIF($B$3:$B$24,$B70,L$3:L$24)+SUMIF($B$29:$B$50,$B70,L$29:L$50)+SUMIF($B$56:$B$57,$B70,L$56:L$57)</f>
        <v>3727</v>
      </c>
      <c r="M70" s="265">
        <f t="shared" si="41"/>
        <v>4985.1200000000008</v>
      </c>
      <c r="N70" s="265">
        <f t="shared" si="41"/>
        <v>7600</v>
      </c>
      <c r="O70" s="265">
        <f t="shared" si="41"/>
        <v>1633.67</v>
      </c>
      <c r="P70" s="266">
        <f t="shared" si="31"/>
        <v>2178.2266666666669</v>
      </c>
      <c r="Q70" s="266">
        <f t="shared" ref="Q70:R70" si="42">SUMIF($B$3:$B$24,$B70,Q$3:Q$24)+SUMIF($B$29:$B$50,$B70,Q$29:Q$50)+SUMIF($B$56:$B$57,$B70,Q$56:Q$57)</f>
        <v>7600</v>
      </c>
      <c r="R70" s="265">
        <f t="shared" si="42"/>
        <v>6600</v>
      </c>
      <c r="S70" s="7">
        <f t="shared" si="23"/>
        <v>-1000</v>
      </c>
      <c r="U70" s="7">
        <v>1650</v>
      </c>
      <c r="V70" s="7">
        <v>4950</v>
      </c>
    </row>
    <row r="71" spans="1:22" ht="15.75" customHeight="1" x14ac:dyDescent="0.25">
      <c r="A71" s="6" t="s">
        <v>1235</v>
      </c>
      <c r="B71" s="6" t="s">
        <v>86</v>
      </c>
      <c r="C71" s="383"/>
      <c r="D71" s="266">
        <f t="shared" si="17"/>
        <v>0</v>
      </c>
      <c r="E71" s="142" t="e">
        <f>D71*#REF!</f>
        <v>#REF!</v>
      </c>
      <c r="F71" s="142" t="e">
        <f>D71*#REF!</f>
        <v>#REF!</v>
      </c>
      <c r="G71" s="142" t="e">
        <f>(D71*#REF!)*#REF!</f>
        <v>#REF!</v>
      </c>
      <c r="H71" s="33">
        <f t="shared" si="18"/>
        <v>0</v>
      </c>
      <c r="I71" s="16" t="e">
        <f t="shared" si="19"/>
        <v>#REF!</v>
      </c>
      <c r="J71" s="16">
        <v>-5000</v>
      </c>
      <c r="K71" s="383"/>
      <c r="L71" s="265">
        <f t="shared" ref="L71:O71" si="43">SUMIF($B$3:$B$24,$B71,L$3:L$24)+SUMIF($B$29:$B$50,$B71,L$29:L$50)+SUMIF($B$56:$B$57,$B71,L$56:L$57)</f>
        <v>100347</v>
      </c>
      <c r="M71" s="265">
        <f t="shared" si="43"/>
        <v>224926.48</v>
      </c>
      <c r="N71" s="265">
        <f t="shared" si="43"/>
        <v>242333</v>
      </c>
      <c r="O71" s="265">
        <f t="shared" si="43"/>
        <v>82380.78</v>
      </c>
      <c r="P71" s="266">
        <f t="shared" si="31"/>
        <v>109841.04000000001</v>
      </c>
      <c r="Q71" s="266">
        <f t="shared" ref="Q71:R71" si="44">SUMIF($B$3:$B$24,$B71,Q$3:Q$24)+SUMIF($B$29:$B$50,$B71,Q$29:Q$50)+SUMIF($B$56:$B$57,$B71,Q$56:Q$57)</f>
        <v>165000</v>
      </c>
      <c r="R71" s="265">
        <f t="shared" si="44"/>
        <v>160000</v>
      </c>
      <c r="S71" s="7">
        <f t="shared" si="23"/>
        <v>-5000</v>
      </c>
      <c r="U71" s="7">
        <v>40000</v>
      </c>
      <c r="V71" s="7">
        <v>120000</v>
      </c>
    </row>
    <row r="72" spans="1:22" ht="15.75" customHeight="1" x14ac:dyDescent="0.25">
      <c r="A72" s="6" t="s">
        <v>1235</v>
      </c>
      <c r="B72" s="6" t="s">
        <v>88</v>
      </c>
      <c r="C72" s="383"/>
      <c r="D72" s="266">
        <f t="shared" si="17"/>
        <v>2303</v>
      </c>
      <c r="E72" s="142" t="e">
        <f>D72*#REF!</f>
        <v>#REF!</v>
      </c>
      <c r="F72" s="142" t="e">
        <f>D72*#REF!</f>
        <v>#REF!</v>
      </c>
      <c r="G72" s="142" t="e">
        <f>(D72*#REF!)*#REF!</f>
        <v>#REF!</v>
      </c>
      <c r="H72" s="33">
        <f t="shared" si="18"/>
        <v>0</v>
      </c>
      <c r="I72" s="16" t="e">
        <f t="shared" si="19"/>
        <v>#REF!</v>
      </c>
      <c r="J72" s="16"/>
      <c r="K72" s="383"/>
      <c r="L72" s="265">
        <f t="shared" ref="L72:O72" si="45">SUMIF($B$3:$B$24,$B72,L$3:L$24)+SUMIF($B$29:$B$50,$B72,L$29:L$50)+SUMIF($B$56:$B$57,$B72,L$56:L$57)</f>
        <v>12748</v>
      </c>
      <c r="M72" s="265">
        <f t="shared" si="45"/>
        <v>12594.34</v>
      </c>
      <c r="N72" s="265">
        <f t="shared" si="45"/>
        <v>18400</v>
      </c>
      <c r="O72" s="265">
        <f t="shared" si="45"/>
        <v>12160.509999999998</v>
      </c>
      <c r="P72" s="386">
        <f>IF(O72/9*12&lt;N72,N72,O72/9*12)</f>
        <v>18400</v>
      </c>
      <c r="Q72" s="266">
        <f t="shared" ref="Q72:R72" si="46">SUMIF($B$3:$B$24,$B72,Q$3:Q$24)+SUMIF($B$29:$B$50,$B72,Q$29:Q$50)+SUMIF($B$56:$B$57,$B72,Q$56:Q$57)</f>
        <v>19400</v>
      </c>
      <c r="R72" s="265">
        <f t="shared" si="46"/>
        <v>19400</v>
      </c>
      <c r="S72" s="7">
        <f t="shared" si="23"/>
        <v>0</v>
      </c>
      <c r="U72" s="7">
        <v>4850</v>
      </c>
      <c r="V72" s="7">
        <v>14550</v>
      </c>
    </row>
    <row r="73" spans="1:22" ht="15.75" customHeight="1" x14ac:dyDescent="0.25">
      <c r="A73" s="6" t="s">
        <v>1235</v>
      </c>
      <c r="B73" s="6" t="s">
        <v>1252</v>
      </c>
      <c r="C73" s="383"/>
      <c r="D73" s="266">
        <f t="shared" si="17"/>
        <v>81302</v>
      </c>
      <c r="E73" s="142" t="e">
        <f>D73*#REF!</f>
        <v>#REF!</v>
      </c>
      <c r="F73" s="142" t="e">
        <f>D73*#REF!</f>
        <v>#REF!</v>
      </c>
      <c r="G73" s="142" t="e">
        <f>(D73*#REF!)*#REF!</f>
        <v>#REF!</v>
      </c>
      <c r="H73" s="33">
        <f t="shared" si="18"/>
        <v>0</v>
      </c>
      <c r="I73" s="16" t="e">
        <f t="shared" si="19"/>
        <v>#REF!</v>
      </c>
      <c r="J73" s="16"/>
      <c r="K73" s="383"/>
      <c r="L73" s="265">
        <f t="shared" ref="L73:O73" si="47">SUMIF($B$3:$B$24,$B73,L$3:L$24)+SUMIF($B$29:$B$50,$B73,L$29:L$50)+SUMIF($B$56:$B$57,$B73,L$56:L$57)</f>
        <v>0</v>
      </c>
      <c r="M73" s="265">
        <f t="shared" si="47"/>
        <v>0</v>
      </c>
      <c r="N73" s="265">
        <f t="shared" si="47"/>
        <v>82616</v>
      </c>
      <c r="O73" s="265">
        <f t="shared" si="47"/>
        <v>6687.5</v>
      </c>
      <c r="P73" s="266">
        <f>O73/9*12</f>
        <v>8916.6666666666661</v>
      </c>
      <c r="Q73" s="266">
        <f t="shared" ref="Q73:R73" si="48">SUMIF($B$3:$B$24,$B73,Q$3:Q$24)+SUMIF($B$29:$B$50,$B73,Q$29:Q$50)+SUMIF($B$56:$B$57,$B73,Q$56:Q$57)</f>
        <v>10000</v>
      </c>
      <c r="R73" s="265">
        <f t="shared" si="48"/>
        <v>10000</v>
      </c>
      <c r="S73" s="7">
        <f t="shared" si="23"/>
        <v>0</v>
      </c>
      <c r="U73" s="7">
        <v>2500</v>
      </c>
      <c r="V73" s="7">
        <v>7500</v>
      </c>
    </row>
    <row r="74" spans="1:22" ht="15.75" customHeight="1" x14ac:dyDescent="0.25">
      <c r="A74" s="6" t="s">
        <v>1235</v>
      </c>
      <c r="B74" s="6" t="s">
        <v>1254</v>
      </c>
      <c r="C74" s="383"/>
      <c r="D74" s="266">
        <f t="shared" si="17"/>
        <v>27264</v>
      </c>
      <c r="E74" s="142" t="e">
        <f>D74*#REF!</f>
        <v>#REF!</v>
      </c>
      <c r="F74" s="142" t="e">
        <f>D74*#REF!</f>
        <v>#REF!</v>
      </c>
      <c r="G74" s="142" t="e">
        <f>(D74*#REF!)*#REF!</f>
        <v>#REF!</v>
      </c>
      <c r="H74" s="33">
        <f t="shared" si="18"/>
        <v>0</v>
      </c>
      <c r="I74" s="16" t="e">
        <f t="shared" si="19"/>
        <v>#REF!</v>
      </c>
      <c r="J74" s="16"/>
      <c r="K74" s="383"/>
      <c r="L74" s="265">
        <f t="shared" ref="L74:O74" si="49">SUMIF($B$3:$B$24,$B74,L$3:L$24)+SUMIF($B$29:$B$50,$B74,L$29:L$50)+SUMIF($B$56:$B$57,$B74,L$56:L$57)</f>
        <v>32082</v>
      </c>
      <c r="M74" s="265">
        <f t="shared" si="49"/>
        <v>38065.300000000003</v>
      </c>
      <c r="N74" s="265">
        <f t="shared" si="49"/>
        <v>40000</v>
      </c>
      <c r="O74" s="265">
        <f t="shared" si="49"/>
        <v>21940.400000000001</v>
      </c>
      <c r="P74" s="386">
        <f t="shared" ref="P74:P75" si="50">IF(O74/9*12&lt;N74,N74,O74/9*12)</f>
        <v>40000</v>
      </c>
      <c r="Q74" s="266">
        <f t="shared" ref="Q74:R74" si="51">SUMIF($B$3:$B$24,$B74,Q$3:Q$24)+SUMIF($B$29:$B$50,$B74,Q$29:Q$50)+SUMIF($B$56:$B$57,$B74,Q$56:Q$57)</f>
        <v>40000</v>
      </c>
      <c r="R74" s="265">
        <f t="shared" si="51"/>
        <v>40000</v>
      </c>
      <c r="S74" s="7">
        <f t="shared" si="23"/>
        <v>0</v>
      </c>
      <c r="U74" s="7">
        <v>10000</v>
      </c>
      <c r="V74" s="7">
        <v>30000</v>
      </c>
    </row>
    <row r="75" spans="1:22" ht="15.75" customHeight="1" x14ac:dyDescent="0.25">
      <c r="A75" s="6" t="s">
        <v>1235</v>
      </c>
      <c r="B75" s="6" t="s">
        <v>1282</v>
      </c>
      <c r="C75" s="383"/>
      <c r="D75" s="266">
        <f t="shared" si="17"/>
        <v>975</v>
      </c>
      <c r="E75" s="142" t="e">
        <f>D75*#REF!</f>
        <v>#REF!</v>
      </c>
      <c r="F75" s="142" t="e">
        <f>D75*#REF!</f>
        <v>#REF!</v>
      </c>
      <c r="G75" s="142" t="e">
        <f>(D75*#REF!)*#REF!</f>
        <v>#REF!</v>
      </c>
      <c r="H75" s="33">
        <f t="shared" si="18"/>
        <v>0</v>
      </c>
      <c r="I75" s="16" t="e">
        <f t="shared" si="19"/>
        <v>#REF!</v>
      </c>
      <c r="J75" s="16"/>
      <c r="K75" s="383"/>
      <c r="L75" s="265">
        <f t="shared" ref="L75:O75" si="52">SUMIF($B$3:$B$24,$B75,L$3:L$24)+SUMIF($B$29:$B$50,$B75,L$29:L$50)+SUMIF($B$56:$B$57,$B75,L$56:L$57)</f>
        <v>0</v>
      </c>
      <c r="M75" s="265">
        <f t="shared" si="52"/>
        <v>0</v>
      </c>
      <c r="N75" s="265">
        <f t="shared" si="52"/>
        <v>0</v>
      </c>
      <c r="O75" s="265">
        <f t="shared" si="52"/>
        <v>0</v>
      </c>
      <c r="P75" s="266">
        <f t="shared" si="50"/>
        <v>0</v>
      </c>
      <c r="Q75" s="266">
        <f t="shared" ref="Q75:R75" si="53">SUMIF($B$3:$B$24,$B75,Q$3:Q$24)+SUMIF($B$29:$B$50,$B75,Q$29:Q$50)+SUMIF($B$56:$B$57,$B75,Q$56:Q$57)</f>
        <v>0</v>
      </c>
      <c r="R75" s="265">
        <f t="shared" si="53"/>
        <v>0</v>
      </c>
      <c r="S75" s="7">
        <f t="shared" si="23"/>
        <v>0</v>
      </c>
      <c r="U75" s="7">
        <v>0</v>
      </c>
      <c r="V75" s="7">
        <v>0</v>
      </c>
    </row>
    <row r="76" spans="1:22" ht="15.75" customHeight="1" x14ac:dyDescent="0.25">
      <c r="A76" s="6" t="s">
        <v>1235</v>
      </c>
      <c r="B76" s="6" t="s">
        <v>1256</v>
      </c>
      <c r="C76" s="383"/>
      <c r="D76" s="266">
        <f t="shared" si="17"/>
        <v>29633</v>
      </c>
      <c r="E76" s="142" t="e">
        <f>D76*#REF!</f>
        <v>#REF!</v>
      </c>
      <c r="F76" s="142" t="e">
        <f>D76*#REF!</f>
        <v>#REF!</v>
      </c>
      <c r="G76" s="142" t="e">
        <f>(D76*#REF!)*#REF!</f>
        <v>#REF!</v>
      </c>
      <c r="H76" s="33">
        <f t="shared" si="18"/>
        <v>0</v>
      </c>
      <c r="I76" s="16" t="e">
        <f t="shared" si="19"/>
        <v>#REF!</v>
      </c>
      <c r="J76" s="16"/>
      <c r="K76" s="383"/>
      <c r="L76" s="265">
        <f t="shared" ref="L76:O76" si="54">SUMIF($B$3:$B$24,$B76,L$3:L$24)+SUMIF($B$29:$B$50,$B76,L$29:L$50)+SUMIF($B$56:$B$57,$B76,L$56:L$57)</f>
        <v>57975</v>
      </c>
      <c r="M76" s="265">
        <f t="shared" si="54"/>
        <v>47495.76</v>
      </c>
      <c r="N76" s="265">
        <f t="shared" si="54"/>
        <v>53000</v>
      </c>
      <c r="O76" s="265">
        <f t="shared" si="54"/>
        <v>64428.79</v>
      </c>
      <c r="P76" s="386">
        <f>O76</f>
        <v>64428.79</v>
      </c>
      <c r="Q76" s="266">
        <f t="shared" ref="Q76:R76" si="55">SUMIF($B$3:$B$24,$B76,Q$3:Q$24)+SUMIF($B$29:$B$50,$B76,Q$29:Q$50)+SUMIF($B$56:$B$57,$B76,Q$56:Q$57)</f>
        <v>60000</v>
      </c>
      <c r="R76" s="265">
        <f t="shared" si="55"/>
        <v>60000</v>
      </c>
      <c r="S76" s="7">
        <f t="shared" si="23"/>
        <v>0</v>
      </c>
      <c r="U76" s="7">
        <v>15000</v>
      </c>
      <c r="V76" s="7">
        <v>45000</v>
      </c>
    </row>
    <row r="77" spans="1:22" ht="15.75" customHeight="1" x14ac:dyDescent="0.25">
      <c r="A77" s="6" t="s">
        <v>1235</v>
      </c>
      <c r="B77" s="6" t="s">
        <v>1258</v>
      </c>
      <c r="C77" s="383"/>
      <c r="D77" s="266">
        <f t="shared" si="17"/>
        <v>3962</v>
      </c>
      <c r="E77" s="142" t="e">
        <f>D77*#REF!</f>
        <v>#REF!</v>
      </c>
      <c r="F77" s="142" t="e">
        <f>D77*#REF!</f>
        <v>#REF!</v>
      </c>
      <c r="G77" s="142" t="e">
        <f>(D77*#REF!)*#REF!</f>
        <v>#REF!</v>
      </c>
      <c r="H77" s="33">
        <f t="shared" si="18"/>
        <v>0</v>
      </c>
      <c r="I77" s="16" t="e">
        <f t="shared" si="19"/>
        <v>#REF!</v>
      </c>
      <c r="J77" s="16"/>
      <c r="K77" s="383"/>
      <c r="L77" s="265">
        <f t="shared" ref="L77:O77" si="56">SUMIF($B$3:$B$24,$B77,L$3:L$24)+SUMIF($B$29:$B$50,$B77,L$29:L$50)+SUMIF($B$56:$B$57,$B77,L$56:L$57)</f>
        <v>5254</v>
      </c>
      <c r="M77" s="265">
        <f t="shared" si="56"/>
        <v>7987.1399999999994</v>
      </c>
      <c r="N77" s="265">
        <f t="shared" si="56"/>
        <v>25000</v>
      </c>
      <c r="O77" s="265">
        <f t="shared" si="56"/>
        <v>5968.07</v>
      </c>
      <c r="P77" s="266">
        <f>O77/9*12</f>
        <v>7957.4266666666663</v>
      </c>
      <c r="Q77" s="266">
        <f t="shared" ref="Q77:R77" si="57">SUMIF($B$3:$B$24,$B77,Q$3:Q$24)+SUMIF($B$29:$B$50,$B77,Q$29:Q$50)+SUMIF($B$56:$B$57,$B77,Q$56:Q$57)</f>
        <v>25000</v>
      </c>
      <c r="R77" s="265">
        <f t="shared" si="57"/>
        <v>25000</v>
      </c>
      <c r="S77" s="7">
        <f t="shared" si="23"/>
        <v>0</v>
      </c>
      <c r="U77" s="7">
        <v>6250</v>
      </c>
      <c r="V77" s="7">
        <v>18750</v>
      </c>
    </row>
    <row r="78" spans="1:22" ht="15.75" customHeight="1" x14ac:dyDescent="0.25">
      <c r="A78" s="6" t="s">
        <v>1235</v>
      </c>
      <c r="B78" s="6" t="s">
        <v>90</v>
      </c>
      <c r="C78" s="383"/>
      <c r="D78" s="266">
        <f t="shared" si="17"/>
        <v>0</v>
      </c>
      <c r="E78" s="142" t="e">
        <f>D78*#REF!</f>
        <v>#REF!</v>
      </c>
      <c r="F78" s="142" t="e">
        <f>D78*#REF!</f>
        <v>#REF!</v>
      </c>
      <c r="G78" s="142" t="e">
        <f>(D78*#REF!)*#REF!</f>
        <v>#REF!</v>
      </c>
      <c r="H78" s="33">
        <f t="shared" si="18"/>
        <v>0</v>
      </c>
      <c r="I78" s="16" t="e">
        <f t="shared" si="19"/>
        <v>#REF!</v>
      </c>
      <c r="J78" s="16">
        <v>-1000</v>
      </c>
      <c r="K78" s="383"/>
      <c r="L78" s="265">
        <f t="shared" ref="L78:O78" si="58">SUMIF($B$3:$B$24,$B78,L$3:L$24)+SUMIF($B$29:$B$50,$B78,L$29:L$50)+SUMIF($B$56:$B$57,$B78,L$56:L$57)</f>
        <v>0</v>
      </c>
      <c r="M78" s="265">
        <f t="shared" si="58"/>
        <v>0</v>
      </c>
      <c r="N78" s="265">
        <f t="shared" si="58"/>
        <v>6000</v>
      </c>
      <c r="O78" s="265">
        <f t="shared" si="58"/>
        <v>3082.1400000000003</v>
      </c>
      <c r="P78" s="386">
        <f>IF(O78/9*12&lt;N78,N78,O78/9*12)</f>
        <v>6000</v>
      </c>
      <c r="Q78" s="266">
        <f t="shared" ref="Q78:R78" si="59">SUMIF($B$3:$B$24,$B78,Q$3:Q$24)+SUMIF($B$29:$B$50,$B78,Q$29:Q$50)+SUMIF($B$56:$B$57,$B78,Q$56:Q$57)</f>
        <v>6000</v>
      </c>
      <c r="R78" s="265">
        <f t="shared" si="59"/>
        <v>5000</v>
      </c>
      <c r="S78" s="7">
        <f t="shared" si="23"/>
        <v>-1000</v>
      </c>
      <c r="U78" s="7">
        <v>1250</v>
      </c>
      <c r="V78" s="7">
        <v>3750</v>
      </c>
    </row>
    <row r="79" spans="1:22" ht="15.75" customHeight="1" x14ac:dyDescent="0.25">
      <c r="A79" s="6" t="s">
        <v>1235</v>
      </c>
      <c r="B79" s="6" t="s">
        <v>1261</v>
      </c>
      <c r="C79" s="383"/>
      <c r="D79" s="266">
        <f t="shared" si="17"/>
        <v>0</v>
      </c>
      <c r="E79" s="142" t="e">
        <f>D79*#REF!</f>
        <v>#REF!</v>
      </c>
      <c r="F79" s="142" t="e">
        <f>D79*#REF!</f>
        <v>#REF!</v>
      </c>
      <c r="G79" s="142" t="e">
        <f>(D79*#REF!)*#REF!</f>
        <v>#REF!</v>
      </c>
      <c r="H79" s="33">
        <f t="shared" si="18"/>
        <v>0</v>
      </c>
      <c r="I79" s="16" t="e">
        <f t="shared" si="19"/>
        <v>#REF!</v>
      </c>
      <c r="J79" s="109"/>
      <c r="K79" s="383"/>
      <c r="L79" s="265">
        <f t="shared" ref="L79:O79" si="60">SUMIF($B$3:$B$24,$B79,L$3:L$24)+SUMIF($B$29:$B$50,$B79,L$29:L$50)+SUMIF($B$56:$B$57,$B79,L$56:L$57)</f>
        <v>101202</v>
      </c>
      <c r="M79" s="265">
        <f t="shared" si="60"/>
        <v>0</v>
      </c>
      <c r="N79" s="265">
        <f t="shared" si="60"/>
        <v>0</v>
      </c>
      <c r="O79" s="265">
        <f t="shared" si="60"/>
        <v>49127</v>
      </c>
      <c r="P79" s="386">
        <f>O79</f>
        <v>49127</v>
      </c>
      <c r="Q79" s="266">
        <f t="shared" ref="Q79:R79" si="61">SUMIF($B$3:$B$24,$B79,Q$3:Q$24)+SUMIF($B$29:$B$50,$B79,Q$29:Q$50)+SUMIF($B$56:$B$57,$B79,Q$56:Q$57)</f>
        <v>100000</v>
      </c>
      <c r="R79" s="265">
        <f t="shared" si="61"/>
        <v>100000</v>
      </c>
      <c r="S79" s="7">
        <f t="shared" si="23"/>
        <v>0</v>
      </c>
      <c r="U79" s="7">
        <v>25000</v>
      </c>
      <c r="V79" s="7">
        <v>75000</v>
      </c>
    </row>
    <row r="80" spans="1:22" ht="15.75" customHeight="1" x14ac:dyDescent="0.25">
      <c r="A80" s="6" t="s">
        <v>1235</v>
      </c>
      <c r="B80" s="6" t="s">
        <v>92</v>
      </c>
      <c r="C80" s="383"/>
      <c r="D80" s="266">
        <f t="shared" si="17"/>
        <v>1910</v>
      </c>
      <c r="E80" s="142" t="e">
        <f>D80*#REF!</f>
        <v>#REF!</v>
      </c>
      <c r="F80" s="142" t="e">
        <f>D80*#REF!</f>
        <v>#REF!</v>
      </c>
      <c r="G80" s="142" t="e">
        <f>(D80*#REF!)*#REF!</f>
        <v>#REF!</v>
      </c>
      <c r="H80" s="33">
        <f t="shared" si="18"/>
        <v>0</v>
      </c>
      <c r="I80" s="16" t="e">
        <f t="shared" si="19"/>
        <v>#REF!</v>
      </c>
      <c r="J80" s="109"/>
      <c r="K80" s="383"/>
      <c r="L80" s="265">
        <f t="shared" ref="L80:O80" si="62">SUMIF($B$3:$B$24,$B80,L$3:L$24)+SUMIF($B$29:$B$50,$B80,L$29:L$50)+SUMIF($B$56:$B$57,$B80,L$56:L$57)</f>
        <v>2694</v>
      </c>
      <c r="M80" s="265">
        <f t="shared" si="62"/>
        <v>2096.8200000000002</v>
      </c>
      <c r="N80" s="265">
        <f t="shared" si="62"/>
        <v>4000</v>
      </c>
      <c r="O80" s="265">
        <f t="shared" si="62"/>
        <v>3016.98</v>
      </c>
      <c r="P80" s="386">
        <f>N80</f>
        <v>4000</v>
      </c>
      <c r="Q80" s="266">
        <f t="shared" ref="Q80:R80" si="63">SUMIF($B$3:$B$24,$B80,Q$3:Q$24)+SUMIF($B$29:$B$50,$B80,Q$29:Q$50)+SUMIF($B$56:$B$57,$B80,Q$56:Q$57)</f>
        <v>4000</v>
      </c>
      <c r="R80" s="265">
        <f t="shared" si="63"/>
        <v>4000</v>
      </c>
      <c r="S80" s="7">
        <f t="shared" si="23"/>
        <v>0</v>
      </c>
      <c r="U80" s="7">
        <v>1000</v>
      </c>
      <c r="V80" s="7">
        <v>3000</v>
      </c>
    </row>
    <row r="81" spans="1:28" ht="15.75" customHeight="1" x14ac:dyDescent="0.25">
      <c r="A81" s="47" t="s">
        <v>1266</v>
      </c>
      <c r="B81" s="48"/>
      <c r="C81" s="282"/>
      <c r="D81" s="50">
        <f t="shared" ref="D81:G81" si="64">SUM(D61:D80)</f>
        <v>361217</v>
      </c>
      <c r="E81" s="50" t="e">
        <f t="shared" si="64"/>
        <v>#REF!</v>
      </c>
      <c r="F81" s="50" t="e">
        <f t="shared" si="64"/>
        <v>#REF!</v>
      </c>
      <c r="G81" s="50" t="e">
        <f t="shared" si="64"/>
        <v>#REF!</v>
      </c>
      <c r="H81" s="42">
        <f t="shared" si="18"/>
        <v>0</v>
      </c>
      <c r="I81" s="50" t="e">
        <f t="shared" si="19"/>
        <v>#REF!</v>
      </c>
      <c r="J81" s="50">
        <f>SUM(J61:J80)</f>
        <v>-18900</v>
      </c>
      <c r="K81" s="282"/>
      <c r="L81" s="12">
        <f t="shared" ref="L81:S81" si="65">SUM(L61:L80)</f>
        <v>590766</v>
      </c>
      <c r="M81" s="12">
        <f t="shared" si="65"/>
        <v>698292.86</v>
      </c>
      <c r="N81" s="12">
        <f t="shared" si="65"/>
        <v>1008867</v>
      </c>
      <c r="O81" s="12">
        <f t="shared" si="65"/>
        <v>429265.42000000004</v>
      </c>
      <c r="P81" s="50">
        <f t="shared" si="65"/>
        <v>543527.27966666664</v>
      </c>
      <c r="Q81" s="50">
        <f t="shared" si="65"/>
        <v>1040800</v>
      </c>
      <c r="R81" s="12">
        <f t="shared" si="65"/>
        <v>1021900</v>
      </c>
      <c r="S81" s="12">
        <f t="shared" si="65"/>
        <v>-18900</v>
      </c>
      <c r="U81" s="12">
        <f t="shared" ref="U81:V81" si="66">SUM(U61:U80)</f>
        <v>255600</v>
      </c>
      <c r="V81" s="12">
        <f t="shared" si="66"/>
        <v>766300</v>
      </c>
    </row>
    <row r="82" spans="1:28" ht="15.75" customHeight="1" x14ac:dyDescent="0.25">
      <c r="A82" s="6"/>
      <c r="B82" s="6"/>
      <c r="C82" s="383"/>
      <c r="D82" s="265"/>
      <c r="E82" s="265"/>
      <c r="F82" s="265"/>
      <c r="G82" s="265"/>
      <c r="H82" s="211"/>
      <c r="I82" s="5"/>
      <c r="J82" s="5"/>
      <c r="K82" s="383"/>
      <c r="L82" s="265"/>
      <c r="M82" s="265"/>
      <c r="N82" s="265"/>
      <c r="O82" s="265"/>
      <c r="P82" s="265"/>
      <c r="Q82" s="265"/>
      <c r="R82" s="5"/>
      <c r="S82" s="5"/>
      <c r="U82" s="5"/>
      <c r="V82" s="5"/>
    </row>
    <row r="83" spans="1:28" ht="15.75" customHeight="1" x14ac:dyDescent="0.25">
      <c r="A83" s="6" t="s">
        <v>1235</v>
      </c>
      <c r="B83" s="6" t="s">
        <v>99</v>
      </c>
      <c r="C83" s="383"/>
      <c r="D83" s="266">
        <f t="shared" ref="D83:D86" si="67">SUMIF($B$3:$B$24,$B83,D$3:D$24)+SUMIF($B$29:$B$50,$B83,D$29:D$50)+SUMIF($B$56:$B$57,$B83,D$56:D$57)</f>
        <v>0</v>
      </c>
      <c r="E83" s="142" t="e">
        <f>D83*#REF!</f>
        <v>#REF!</v>
      </c>
      <c r="F83" s="142" t="e">
        <f>D83*#REF!</f>
        <v>#REF!</v>
      </c>
      <c r="G83" s="142" t="e">
        <f>(D83*#REF!)*#REF!</f>
        <v>#REF!</v>
      </c>
      <c r="H83" s="33">
        <f t="shared" ref="H83:H87" si="68">IFERROR(((Q83-G83)/G83),0)</f>
        <v>0</v>
      </c>
      <c r="I83" s="16" t="e">
        <f t="shared" ref="I83:I87" si="69">Q83-G83</f>
        <v>#REF!</v>
      </c>
      <c r="J83" s="18"/>
      <c r="K83" s="383"/>
      <c r="L83" s="265">
        <f t="shared" ref="L83:M83" si="70">SUMIF($B$3:$B$24,$B83,L$3:L$24)+SUMIF($B$29:$B$50,$B83,L$29:L$50)+SUMIF($B$56:$B$57,$B83,L$56:L$57)</f>
        <v>146003</v>
      </c>
      <c r="M83" s="265">
        <f t="shared" si="70"/>
        <v>60037.990000000005</v>
      </c>
      <c r="N83" s="265">
        <f t="shared" ref="N83:N86" si="71">SUMIF($B$3:$B$24,$B83,N$3:N$24)+SUMIF($B$29:$B$50,$B83,N$29:N$50)+SUMIF($B$54:$B$57,$B83,N$54:N$57)</f>
        <v>0</v>
      </c>
      <c r="O83" s="265">
        <f t="shared" ref="O83:O86" si="72">SUMIF($B$3:$B$24,$B83,O$3:O$24)+SUMIF($B$29:$B$50,$B83,O$29:O$50)+SUMIF($B$56:$B$57,$B83,O$56:O$57)</f>
        <v>0</v>
      </c>
      <c r="P83" s="266">
        <f>O83</f>
        <v>0</v>
      </c>
      <c r="Q83" s="266">
        <f t="shared" ref="Q83:R83" si="73">SUMIF($B$3:$B$24,$B83,Q$3:Q$24)+SUMIF($B$29:$B$50,$B83,Q$29:Q$50)+SUMIF($B$54:$B$57,$B83,Q$54:Q$57)</f>
        <v>0</v>
      </c>
      <c r="R83" s="315">
        <f t="shared" si="73"/>
        <v>0</v>
      </c>
      <c r="S83" s="7">
        <f t="shared" ref="S83:S86" si="74">R83-Q83</f>
        <v>0</v>
      </c>
      <c r="U83" s="7">
        <v>0</v>
      </c>
      <c r="V83" s="7">
        <v>0</v>
      </c>
    </row>
    <row r="84" spans="1:28" ht="15.75" customHeight="1" x14ac:dyDescent="0.25">
      <c r="A84" s="6" t="s">
        <v>1235</v>
      </c>
      <c r="B84" s="6" t="s">
        <v>1292</v>
      </c>
      <c r="C84" s="383"/>
      <c r="D84" s="266">
        <f t="shared" si="67"/>
        <v>0</v>
      </c>
      <c r="E84" s="142" t="e">
        <f>D84*#REF!</f>
        <v>#REF!</v>
      </c>
      <c r="F84" s="142" t="e">
        <f>D84*#REF!</f>
        <v>#REF!</v>
      </c>
      <c r="G84" s="142" t="e">
        <f>(D84*#REF!)*#REF!</f>
        <v>#REF!</v>
      </c>
      <c r="H84" s="33">
        <f t="shared" si="68"/>
        <v>0</v>
      </c>
      <c r="I84" s="16" t="e">
        <f t="shared" si="69"/>
        <v>#REF!</v>
      </c>
      <c r="J84" s="18"/>
      <c r="K84" s="383"/>
      <c r="L84" s="265">
        <f t="shared" ref="L84:M84" si="75">SUMIF($B$3:$B$24,$B84,L$3:L$24)+SUMIF($B$29:$B$50,$B84,L$29:L$50)+SUMIF($B$56:$B$57,$B84,L$56:L$57)</f>
        <v>0</v>
      </c>
      <c r="M84" s="265">
        <f t="shared" si="75"/>
        <v>0</v>
      </c>
      <c r="N84" s="265">
        <f t="shared" si="71"/>
        <v>1061066</v>
      </c>
      <c r="O84" s="265">
        <f t="shared" si="72"/>
        <v>0</v>
      </c>
      <c r="P84" s="386">
        <f>N84</f>
        <v>1061066</v>
      </c>
      <c r="Q84" s="266">
        <f t="shared" ref="Q84:R84" si="76">SUMIF($B$3:$B$24,$B84,Q$3:Q$24)+SUMIF($B$29:$B$50,$B84,Q$29:Q$50)+SUMIF($B$54:$B$57,$B84,Q$54:Q$57)</f>
        <v>0</v>
      </c>
      <c r="R84" s="315">
        <f t="shared" si="76"/>
        <v>0</v>
      </c>
      <c r="S84" s="7">
        <f t="shared" si="74"/>
        <v>0</v>
      </c>
      <c r="U84" s="7">
        <v>0</v>
      </c>
      <c r="V84" s="7">
        <v>0</v>
      </c>
    </row>
    <row r="85" spans="1:28" ht="15.75" customHeight="1" x14ac:dyDescent="0.25">
      <c r="A85" s="6" t="s">
        <v>1235</v>
      </c>
      <c r="B85" s="6" t="s">
        <v>1265</v>
      </c>
      <c r="C85" s="383"/>
      <c r="D85" s="266">
        <f t="shared" si="67"/>
        <v>0</v>
      </c>
      <c r="E85" s="142" t="e">
        <f>D85*#REF!</f>
        <v>#REF!</v>
      </c>
      <c r="F85" s="142" t="e">
        <f>D85*#REF!</f>
        <v>#REF!</v>
      </c>
      <c r="G85" s="142" t="e">
        <f>(D85*#REF!)*#REF!</f>
        <v>#REF!</v>
      </c>
      <c r="H85" s="33">
        <f t="shared" si="68"/>
        <v>0</v>
      </c>
      <c r="I85" s="16" t="e">
        <f t="shared" si="69"/>
        <v>#REF!</v>
      </c>
      <c r="J85" s="18"/>
      <c r="K85" s="383"/>
      <c r="L85" s="265">
        <f t="shared" ref="L85:M85" si="77">SUMIF($B$3:$B$24,$B85,L$3:L$24)+SUMIF($B$29:$B$50,$B85,L$29:L$50)+SUMIF($B$56:$B$57,$B85,L$56:L$57)</f>
        <v>0</v>
      </c>
      <c r="M85" s="265">
        <f t="shared" si="77"/>
        <v>0</v>
      </c>
      <c r="N85" s="265">
        <f t="shared" si="71"/>
        <v>0</v>
      </c>
      <c r="O85" s="265">
        <f t="shared" si="72"/>
        <v>0</v>
      </c>
      <c r="P85" s="266">
        <v>0</v>
      </c>
      <c r="Q85" s="266">
        <f t="shared" ref="Q85:R85" si="78">SUMIF($B$3:$B$24,$B85,Q$3:Q$24)+SUMIF($B$29:$B$50,$B85,Q$29:Q$50)+SUMIF($B$54:$B$57,$B85,Q$54:Q$57)</f>
        <v>0</v>
      </c>
      <c r="R85" s="315">
        <f t="shared" si="78"/>
        <v>0</v>
      </c>
      <c r="S85" s="7">
        <f t="shared" si="74"/>
        <v>0</v>
      </c>
      <c r="U85" s="7">
        <v>0</v>
      </c>
      <c r="V85" s="7">
        <v>0</v>
      </c>
    </row>
    <row r="86" spans="1:28" ht="15.75" customHeight="1" x14ac:dyDescent="0.25">
      <c r="A86" s="6" t="s">
        <v>1235</v>
      </c>
      <c r="B86" s="6" t="str">
        <f>B56</f>
        <v>IMPROVEMENTS</v>
      </c>
      <c r="C86" s="383"/>
      <c r="D86" s="266">
        <f t="shared" si="67"/>
        <v>0</v>
      </c>
      <c r="E86" s="142" t="e">
        <f>D86*#REF!</f>
        <v>#REF!</v>
      </c>
      <c r="F86" s="142" t="e">
        <f>D86*#REF!</f>
        <v>#REF!</v>
      </c>
      <c r="G86" s="142" t="e">
        <f>(D86*#REF!)*#REF!</f>
        <v>#REF!</v>
      </c>
      <c r="H86" s="33">
        <f t="shared" si="68"/>
        <v>0</v>
      </c>
      <c r="I86" s="16" t="e">
        <f t="shared" si="69"/>
        <v>#REF!</v>
      </c>
      <c r="J86" s="18"/>
      <c r="K86" s="383"/>
      <c r="L86" s="265">
        <f t="shared" ref="L86:M86" si="79">SUMIF($B$3:$B$24,$B86,L$3:L$24)+SUMIF($B$29:$B$50,$B86,L$29:L$50)+SUMIF($B$56:$B$57,$B86,L$56:L$57)</f>
        <v>0</v>
      </c>
      <c r="M86" s="265">
        <f t="shared" si="79"/>
        <v>0</v>
      </c>
      <c r="N86" s="265">
        <f t="shared" si="71"/>
        <v>1941604</v>
      </c>
      <c r="O86" s="265">
        <f t="shared" si="72"/>
        <v>1239.1099999999999</v>
      </c>
      <c r="P86" s="386">
        <f>N86</f>
        <v>1941604</v>
      </c>
      <c r="Q86" s="266">
        <f>SUMIF($B$3:$B$24,$B86,Q$3:Q$24)+SUMIF($B$29:$B$50,$B86,Q$29:Q$50)+SUMIF($B$54:$B$57,$B86,Q$54:Q$57)</f>
        <v>4000000</v>
      </c>
      <c r="R86" s="315">
        <v>0</v>
      </c>
      <c r="S86" s="7">
        <f t="shared" si="74"/>
        <v>-4000000</v>
      </c>
      <c r="U86" s="7">
        <v>1000000</v>
      </c>
      <c r="V86" s="7">
        <v>3000000</v>
      </c>
    </row>
    <row r="87" spans="1:28" ht="15.75" customHeight="1" x14ac:dyDescent="0.25">
      <c r="A87" s="47" t="s">
        <v>1296</v>
      </c>
      <c r="B87" s="48"/>
      <c r="C87" s="282"/>
      <c r="D87" s="50">
        <f t="shared" ref="D87:G87" si="80">SUM(D83:D86)</f>
        <v>0</v>
      </c>
      <c r="E87" s="50" t="e">
        <f t="shared" si="80"/>
        <v>#REF!</v>
      </c>
      <c r="F87" s="50" t="e">
        <f t="shared" si="80"/>
        <v>#REF!</v>
      </c>
      <c r="G87" s="50" t="e">
        <f t="shared" si="80"/>
        <v>#REF!</v>
      </c>
      <c r="H87" s="42">
        <f t="shared" si="68"/>
        <v>0</v>
      </c>
      <c r="I87" s="50" t="e">
        <f t="shared" si="69"/>
        <v>#REF!</v>
      </c>
      <c r="J87" s="50">
        <f>SUM(J83:J86)</f>
        <v>0</v>
      </c>
      <c r="K87" s="282"/>
      <c r="L87" s="12">
        <f t="shared" ref="L87:S87" si="81">SUM(L83:L86)</f>
        <v>146003</v>
      </c>
      <c r="M87" s="12">
        <f t="shared" si="81"/>
        <v>60037.990000000005</v>
      </c>
      <c r="N87" s="12">
        <f t="shared" si="81"/>
        <v>3002670</v>
      </c>
      <c r="O87" s="12">
        <f t="shared" si="81"/>
        <v>1239.1099999999999</v>
      </c>
      <c r="P87" s="50">
        <f t="shared" si="81"/>
        <v>3002670</v>
      </c>
      <c r="Q87" s="50">
        <f t="shared" si="81"/>
        <v>4000000</v>
      </c>
      <c r="R87" s="12">
        <f t="shared" si="81"/>
        <v>0</v>
      </c>
      <c r="S87" s="12">
        <f t="shared" si="81"/>
        <v>-4000000</v>
      </c>
      <c r="U87" s="12">
        <f t="shared" ref="U87:V87" si="82">SUM(U83:U86)</f>
        <v>1000000</v>
      </c>
      <c r="V87" s="12">
        <f t="shared" si="82"/>
        <v>3000000</v>
      </c>
    </row>
    <row r="88" spans="1:28" ht="15.75" customHeight="1" x14ac:dyDescent="0.2">
      <c r="A88" s="396"/>
      <c r="B88" s="396"/>
      <c r="C88" s="397"/>
      <c r="D88" s="398">
        <f t="shared" ref="D88:G88" si="83">(D87+D81)-D51-D25-D58</f>
        <v>0</v>
      </c>
      <c r="E88" s="398" t="e">
        <f t="shared" si="83"/>
        <v>#REF!</v>
      </c>
      <c r="F88" s="398" t="e">
        <f t="shared" si="83"/>
        <v>#REF!</v>
      </c>
      <c r="G88" s="398" t="e">
        <f t="shared" si="83"/>
        <v>#REF!</v>
      </c>
      <c r="H88" s="396"/>
      <c r="I88" s="396"/>
      <c r="J88" s="396"/>
      <c r="K88" s="397"/>
      <c r="L88" s="396"/>
      <c r="M88" s="396"/>
      <c r="N88" s="396"/>
      <c r="O88" s="396"/>
      <c r="P88" s="396"/>
      <c r="Q88" s="396"/>
      <c r="R88" s="396"/>
      <c r="S88" s="5"/>
      <c r="U88" s="5"/>
      <c r="V88" s="5"/>
      <c r="W88" s="92"/>
      <c r="X88" s="92"/>
      <c r="Y88" s="92"/>
      <c r="Z88" s="92"/>
      <c r="AA88" s="92"/>
      <c r="AB88" s="92"/>
    </row>
    <row r="89" spans="1:28" ht="15.75" customHeight="1" x14ac:dyDescent="0.25">
      <c r="A89" s="47" t="s">
        <v>1297</v>
      </c>
      <c r="B89" s="48"/>
      <c r="C89" s="282"/>
      <c r="D89" s="50">
        <f t="shared" ref="D89:G89" si="84">D87+D81</f>
        <v>361217</v>
      </c>
      <c r="E89" s="50" t="e">
        <f t="shared" si="84"/>
        <v>#REF!</v>
      </c>
      <c r="F89" s="50" t="e">
        <f t="shared" si="84"/>
        <v>#REF!</v>
      </c>
      <c r="G89" s="50" t="e">
        <f t="shared" si="84"/>
        <v>#REF!</v>
      </c>
      <c r="H89" s="42">
        <f>IFERROR(((Q89-G89)/G89),0)</f>
        <v>0</v>
      </c>
      <c r="I89" s="50" t="e">
        <f t="shared" ref="I89:J89" si="85">I87+I81</f>
        <v>#REF!</v>
      </c>
      <c r="J89" s="50">
        <f t="shared" si="85"/>
        <v>-18900</v>
      </c>
      <c r="K89" s="282"/>
      <c r="L89" s="12">
        <f t="shared" ref="L89:S89" si="86">L87+L81</f>
        <v>736769</v>
      </c>
      <c r="M89" s="12">
        <f t="shared" si="86"/>
        <v>758330.85</v>
      </c>
      <c r="N89" s="12">
        <f t="shared" si="86"/>
        <v>4011537</v>
      </c>
      <c r="O89" s="12">
        <f t="shared" si="86"/>
        <v>430504.53</v>
      </c>
      <c r="P89" s="50">
        <f t="shared" si="86"/>
        <v>3546197.2796666669</v>
      </c>
      <c r="Q89" s="50">
        <f t="shared" si="86"/>
        <v>5040800</v>
      </c>
      <c r="R89" s="12">
        <f t="shared" si="86"/>
        <v>1021900</v>
      </c>
      <c r="S89" s="12">
        <f t="shared" si="86"/>
        <v>-4018900</v>
      </c>
      <c r="U89" s="12">
        <f t="shared" ref="U89:V89" si="87">U87+U81</f>
        <v>1255600</v>
      </c>
      <c r="V89" s="12">
        <f t="shared" si="87"/>
        <v>3766300</v>
      </c>
    </row>
    <row r="90" spans="1:28" ht="15.75" customHeight="1" x14ac:dyDescent="0.2">
      <c r="A90" s="5"/>
      <c r="B90" s="5"/>
      <c r="C90" s="284"/>
      <c r="D90" s="5"/>
      <c r="E90" s="5"/>
      <c r="F90" s="5"/>
      <c r="G90" s="5"/>
      <c r="H90" s="5"/>
      <c r="I90" s="5"/>
      <c r="J90" s="5"/>
      <c r="K90" s="284"/>
      <c r="L90" s="5"/>
      <c r="M90" s="5"/>
      <c r="N90" s="5"/>
      <c r="O90" s="5"/>
      <c r="P90" s="5"/>
      <c r="Q90" s="5"/>
      <c r="R90" s="5"/>
      <c r="S90" s="5"/>
      <c r="U90" s="5"/>
      <c r="V90" s="5"/>
    </row>
    <row r="91" spans="1:28" ht="15.75" customHeight="1" x14ac:dyDescent="0.2">
      <c r="A91" s="11" t="s">
        <v>184</v>
      </c>
      <c r="B91" s="5"/>
      <c r="C91" s="284"/>
      <c r="D91" s="5"/>
      <c r="E91" s="5"/>
      <c r="F91" s="5"/>
      <c r="G91" s="5"/>
      <c r="H91" s="5"/>
      <c r="I91" s="5"/>
      <c r="J91" s="5"/>
      <c r="K91" s="284"/>
      <c r="L91" s="5"/>
      <c r="M91" s="5"/>
      <c r="N91" s="5"/>
      <c r="O91" s="5"/>
      <c r="P91" s="5"/>
      <c r="Q91" s="5"/>
      <c r="R91" s="5"/>
      <c r="S91" s="5"/>
      <c r="U91" s="5"/>
      <c r="V91" s="5"/>
    </row>
    <row r="92" spans="1:28" ht="15.75" customHeight="1" x14ac:dyDescent="0.25">
      <c r="A92" s="6" t="s">
        <v>1298</v>
      </c>
      <c r="B92" s="6" t="s">
        <v>1299</v>
      </c>
      <c r="C92" s="285"/>
      <c r="D92" s="16">
        <v>-7000</v>
      </c>
      <c r="E92" s="32" t="e">
        <f>D92*#REF!</f>
        <v>#REF!</v>
      </c>
      <c r="F92" s="32" t="e">
        <f>D92*#REF!</f>
        <v>#REF!</v>
      </c>
      <c r="G92" s="32" t="e">
        <f>(D92*#REF!)*#REF!</f>
        <v>#REF!</v>
      </c>
      <c r="H92" s="33">
        <f t="shared" ref="H92:H101" si="88">IFERROR(((Q92-G92)/G92),0)</f>
        <v>0</v>
      </c>
      <c r="I92" s="16" t="e">
        <f t="shared" ref="I92:I101" si="89">Q92-G92</f>
        <v>#REF!</v>
      </c>
      <c r="J92" s="18"/>
      <c r="K92" s="285"/>
      <c r="L92" s="7">
        <v>-30305</v>
      </c>
      <c r="M92" s="7">
        <v>-606792</v>
      </c>
      <c r="N92" s="7">
        <v>-28000</v>
      </c>
      <c r="O92" s="216">
        <f>VLOOKUP(A92,TB!A:F,3)</f>
        <v>-28229.96</v>
      </c>
      <c r="P92" s="16">
        <f>O92</f>
        <v>-28229.96</v>
      </c>
      <c r="Q92" s="16">
        <v>-30000</v>
      </c>
      <c r="R92" s="7">
        <f>VLOOKUP(A92,TB!A:F,6)</f>
        <v>-30000</v>
      </c>
      <c r="S92" s="7">
        <f t="shared" ref="S92:S100" si="90">R92-Q92</f>
        <v>0</v>
      </c>
      <c r="U92" s="7">
        <v>-7500</v>
      </c>
      <c r="V92" s="7">
        <v>-22500</v>
      </c>
    </row>
    <row r="93" spans="1:28" ht="15.75" customHeight="1" x14ac:dyDescent="0.25">
      <c r="A93" s="6" t="s">
        <v>1300</v>
      </c>
      <c r="B93" s="6" t="s">
        <v>1299</v>
      </c>
      <c r="C93" s="284"/>
      <c r="D93" s="18">
        <v>0</v>
      </c>
      <c r="E93" s="142">
        <v>0</v>
      </c>
      <c r="F93" s="142">
        <v>0</v>
      </c>
      <c r="G93" s="142">
        <v>0</v>
      </c>
      <c r="H93" s="33">
        <f t="shared" si="88"/>
        <v>0</v>
      </c>
      <c r="I93" s="16">
        <f t="shared" si="89"/>
        <v>-25000</v>
      </c>
      <c r="J93" s="18"/>
      <c r="K93" s="284"/>
      <c r="L93" s="6">
        <v>0</v>
      </c>
      <c r="M93" s="6">
        <v>0</v>
      </c>
      <c r="N93" s="7">
        <v>-25000</v>
      </c>
      <c r="O93" s="216">
        <f>VLOOKUP(A93,TB!A:F,3)</f>
        <v>0</v>
      </c>
      <c r="P93" s="322">
        <f t="shared" ref="P93:P100" si="91">N93</f>
        <v>-25000</v>
      </c>
      <c r="Q93" s="16">
        <v>-25000</v>
      </c>
      <c r="R93" s="7">
        <f>P93</f>
        <v>-25000</v>
      </c>
      <c r="S93" s="7">
        <f t="shared" si="90"/>
        <v>0</v>
      </c>
      <c r="U93" s="7">
        <v>-6250</v>
      </c>
      <c r="V93" s="7">
        <v>-18750</v>
      </c>
    </row>
    <row r="94" spans="1:28" ht="15.75" customHeight="1" x14ac:dyDescent="0.25">
      <c r="A94" s="6" t="s">
        <v>1301</v>
      </c>
      <c r="B94" s="6" t="s">
        <v>1302</v>
      </c>
      <c r="C94" s="284"/>
      <c r="D94" s="18">
        <v>-20</v>
      </c>
      <c r="E94" s="142">
        <v>0</v>
      </c>
      <c r="F94" s="142">
        <v>0</v>
      </c>
      <c r="G94" s="142">
        <v>0</v>
      </c>
      <c r="H94" s="33">
        <f t="shared" si="88"/>
        <v>0</v>
      </c>
      <c r="I94" s="16">
        <f t="shared" si="89"/>
        <v>-20000</v>
      </c>
      <c r="J94" s="18"/>
      <c r="K94" s="284"/>
      <c r="L94" s="6">
        <v>0</v>
      </c>
      <c r="M94" s="6">
        <v>0</v>
      </c>
      <c r="N94" s="7">
        <v>-30000</v>
      </c>
      <c r="O94" s="216">
        <f>VLOOKUP(A94,TB!A:F,3)</f>
        <v>0</v>
      </c>
      <c r="P94" s="322">
        <f t="shared" si="91"/>
        <v>-30000</v>
      </c>
      <c r="Q94" s="16">
        <v>-20000</v>
      </c>
      <c r="R94" s="7">
        <f>VLOOKUP(A94,TB!A:F,6)</f>
        <v>-20000</v>
      </c>
      <c r="S94" s="7">
        <f t="shared" si="90"/>
        <v>0</v>
      </c>
      <c r="U94" s="7">
        <v>-5000</v>
      </c>
      <c r="V94" s="7">
        <v>-15000</v>
      </c>
    </row>
    <row r="95" spans="1:28" ht="15.75" customHeight="1" x14ac:dyDescent="0.25">
      <c r="A95" s="6" t="s">
        <v>1303</v>
      </c>
      <c r="B95" s="6" t="s">
        <v>1304</v>
      </c>
      <c r="C95" s="285"/>
      <c r="D95" s="16">
        <v>-5660</v>
      </c>
      <c r="E95" s="142">
        <v>0</v>
      </c>
      <c r="F95" s="142">
        <v>0</v>
      </c>
      <c r="G95" s="142">
        <v>0</v>
      </c>
      <c r="H95" s="33">
        <f t="shared" si="88"/>
        <v>0</v>
      </c>
      <c r="I95" s="16">
        <f t="shared" si="89"/>
        <v>-10000</v>
      </c>
      <c r="J95" s="18"/>
      <c r="K95" s="285"/>
      <c r="L95" s="7">
        <v>-10398</v>
      </c>
      <c r="M95" s="7">
        <v>-9705.7000000000007</v>
      </c>
      <c r="N95" s="7">
        <v>-8000</v>
      </c>
      <c r="O95" s="216">
        <f>VLOOKUP(A95,TB!A:F,3)</f>
        <v>-6916.9</v>
      </c>
      <c r="P95" s="16">
        <f t="shared" si="91"/>
        <v>-8000</v>
      </c>
      <c r="Q95" s="16">
        <v>-10000</v>
      </c>
      <c r="R95" s="7">
        <f>VLOOKUP(A95,TB!A:F,6)</f>
        <v>-10000</v>
      </c>
      <c r="S95" s="7">
        <f t="shared" si="90"/>
        <v>0</v>
      </c>
      <c r="U95" s="7">
        <v>-2500</v>
      </c>
      <c r="V95" s="7">
        <v>-7500</v>
      </c>
    </row>
    <row r="96" spans="1:28" ht="15.75" customHeight="1" x14ac:dyDescent="0.25">
      <c r="A96" s="6" t="s">
        <v>1305</v>
      </c>
      <c r="B96" s="6" t="s">
        <v>1306</v>
      </c>
      <c r="C96" s="285"/>
      <c r="D96" s="16">
        <v>-3950</v>
      </c>
      <c r="E96" s="142">
        <v>0</v>
      </c>
      <c r="F96" s="142">
        <v>0</v>
      </c>
      <c r="G96" s="142">
        <v>0</v>
      </c>
      <c r="H96" s="33">
        <f t="shared" si="88"/>
        <v>0</v>
      </c>
      <c r="I96" s="16">
        <f t="shared" si="89"/>
        <v>-12000</v>
      </c>
      <c r="J96" s="18"/>
      <c r="K96" s="285"/>
      <c r="L96" s="7">
        <v>-12650</v>
      </c>
      <c r="M96" s="7">
        <v>-14600</v>
      </c>
      <c r="N96" s="7">
        <v>-12000</v>
      </c>
      <c r="O96" s="216">
        <f>VLOOKUP(A96,TB!A:F,3)</f>
        <v>-7800</v>
      </c>
      <c r="P96" s="16">
        <f t="shared" si="91"/>
        <v>-12000</v>
      </c>
      <c r="Q96" s="16">
        <v>-12000</v>
      </c>
      <c r="R96" s="7">
        <f>VLOOKUP(A96,TB!A:F,6)</f>
        <v>-12000</v>
      </c>
      <c r="S96" s="7">
        <f t="shared" si="90"/>
        <v>0</v>
      </c>
      <c r="U96" s="7">
        <v>-3000</v>
      </c>
      <c r="V96" s="7">
        <v>-9000</v>
      </c>
    </row>
    <row r="97" spans="1:27" ht="15.75" customHeight="1" x14ac:dyDescent="0.25">
      <c r="A97" s="6" t="s">
        <v>1307</v>
      </c>
      <c r="B97" s="6" t="s">
        <v>1308</v>
      </c>
      <c r="C97" s="284"/>
      <c r="D97" s="18">
        <v>0</v>
      </c>
      <c r="E97" s="142">
        <v>0</v>
      </c>
      <c r="F97" s="142">
        <v>0</v>
      </c>
      <c r="G97" s="142">
        <v>0</v>
      </c>
      <c r="H97" s="33">
        <f t="shared" si="88"/>
        <v>0</v>
      </c>
      <c r="I97" s="16">
        <f t="shared" si="89"/>
        <v>-22000</v>
      </c>
      <c r="J97" s="18"/>
      <c r="K97" s="284"/>
      <c r="L97" s="7">
        <v>-23925</v>
      </c>
      <c r="M97" s="7">
        <v>-22150</v>
      </c>
      <c r="N97" s="7">
        <v>-22000</v>
      </c>
      <c r="O97" s="216">
        <f>VLOOKUP(A97,TB!A:F,3)</f>
        <v>-16100</v>
      </c>
      <c r="P97" s="16">
        <f t="shared" si="91"/>
        <v>-22000</v>
      </c>
      <c r="Q97" s="16">
        <v>-22000</v>
      </c>
      <c r="R97" s="7">
        <f>VLOOKUP(A97,TB!A:F,6)</f>
        <v>-22000</v>
      </c>
      <c r="S97" s="7">
        <f t="shared" si="90"/>
        <v>0</v>
      </c>
      <c r="U97" s="7">
        <v>-5500</v>
      </c>
      <c r="V97" s="7">
        <v>-16500</v>
      </c>
    </row>
    <row r="98" spans="1:27" ht="15.75" customHeight="1" x14ac:dyDescent="0.25">
      <c r="A98" s="6" t="s">
        <v>1309</v>
      </c>
      <c r="B98" s="6" t="s">
        <v>1310</v>
      </c>
      <c r="C98" s="285"/>
      <c r="D98" s="16">
        <v>-85500</v>
      </c>
      <c r="E98" s="142">
        <v>0</v>
      </c>
      <c r="F98" s="142">
        <v>0</v>
      </c>
      <c r="G98" s="142">
        <v>0</v>
      </c>
      <c r="H98" s="33">
        <f t="shared" si="88"/>
        <v>0</v>
      </c>
      <c r="I98" s="16">
        <f t="shared" si="89"/>
        <v>0</v>
      </c>
      <c r="J98" s="18"/>
      <c r="K98" s="285"/>
      <c r="L98" s="7">
        <v>-132476</v>
      </c>
      <c r="M98" s="7">
        <v>-184012.24</v>
      </c>
      <c r="N98" s="6">
        <v>0</v>
      </c>
      <c r="O98" s="216">
        <f>VLOOKUP(A98,TB!A:F,3)</f>
        <v>0</v>
      </c>
      <c r="P98" s="16">
        <f t="shared" si="91"/>
        <v>0</v>
      </c>
      <c r="Q98" s="18">
        <v>0</v>
      </c>
      <c r="R98" s="7">
        <f>VLOOKUP(A98,TB!A:F,6)</f>
        <v>0</v>
      </c>
      <c r="S98" s="7">
        <f t="shared" si="90"/>
        <v>0</v>
      </c>
      <c r="U98" s="7">
        <v>0</v>
      </c>
      <c r="V98" s="7">
        <v>0</v>
      </c>
    </row>
    <row r="99" spans="1:27" ht="15.75" customHeight="1" x14ac:dyDescent="0.25">
      <c r="A99" s="267" t="s">
        <v>1311</v>
      </c>
      <c r="B99" s="267" t="s">
        <v>1312</v>
      </c>
      <c r="C99" s="284"/>
      <c r="D99" s="18">
        <v>0</v>
      </c>
      <c r="E99" s="142">
        <v>0</v>
      </c>
      <c r="F99" s="142">
        <v>0</v>
      </c>
      <c r="G99" s="142">
        <v>0</v>
      </c>
      <c r="H99" s="33">
        <f t="shared" si="88"/>
        <v>0</v>
      </c>
      <c r="I99" s="16">
        <f t="shared" si="89"/>
        <v>-920000</v>
      </c>
      <c r="J99" s="18"/>
      <c r="K99" s="284"/>
      <c r="L99" s="267">
        <v>0</v>
      </c>
      <c r="M99" s="267">
        <v>0</v>
      </c>
      <c r="N99" s="213">
        <v>-798775</v>
      </c>
      <c r="O99" s="216">
        <f>VLOOKUP(A99,TB!A:F,3)</f>
        <v>0</v>
      </c>
      <c r="P99" s="322">
        <f t="shared" si="91"/>
        <v>-798775</v>
      </c>
      <c r="Q99" s="16">
        <v>-920000</v>
      </c>
      <c r="R99" s="7">
        <v>0</v>
      </c>
      <c r="S99" s="7">
        <f t="shared" si="90"/>
        <v>920000</v>
      </c>
      <c r="U99" s="7">
        <v>-230000</v>
      </c>
      <c r="V99" s="7">
        <v>-690000</v>
      </c>
    </row>
    <row r="100" spans="1:27" ht="15.75" customHeight="1" x14ac:dyDescent="0.25">
      <c r="A100" s="267" t="s">
        <v>1313</v>
      </c>
      <c r="B100" s="267" t="s">
        <v>1310</v>
      </c>
      <c r="C100" s="284"/>
      <c r="D100" s="18">
        <v>0</v>
      </c>
      <c r="E100" s="142">
        <v>0</v>
      </c>
      <c r="F100" s="142">
        <v>0</v>
      </c>
      <c r="G100" s="142">
        <v>0</v>
      </c>
      <c r="H100" s="33">
        <f t="shared" si="88"/>
        <v>0</v>
      </c>
      <c r="I100" s="16">
        <f t="shared" si="89"/>
        <v>-2760000</v>
      </c>
      <c r="J100" s="18"/>
      <c r="K100" s="284"/>
      <c r="L100" s="267">
        <v>0</v>
      </c>
      <c r="M100" s="267">
        <v>0</v>
      </c>
      <c r="N100" s="213">
        <v>-272025</v>
      </c>
      <c r="O100" s="216">
        <f>VLOOKUP(A100,TB!A:F,3)</f>
        <v>0</v>
      </c>
      <c r="P100" s="322">
        <f t="shared" si="91"/>
        <v>-272025</v>
      </c>
      <c r="Q100" s="16">
        <v>-2760000</v>
      </c>
      <c r="R100" s="7">
        <v>0</v>
      </c>
      <c r="S100" s="7">
        <f t="shared" si="90"/>
        <v>2760000</v>
      </c>
      <c r="U100" s="7">
        <v>-690000</v>
      </c>
      <c r="V100" s="7">
        <v>-2070000</v>
      </c>
    </row>
    <row r="101" spans="1:27" ht="15.75" customHeight="1" x14ac:dyDescent="0.2">
      <c r="A101" s="11" t="s">
        <v>189</v>
      </c>
      <c r="B101" s="48"/>
      <c r="C101" s="282"/>
      <c r="D101" s="50">
        <f t="shared" ref="D101:G101" si="92">SUM(D92:D100)</f>
        <v>-102130</v>
      </c>
      <c r="E101" s="50" t="e">
        <f t="shared" si="92"/>
        <v>#REF!</v>
      </c>
      <c r="F101" s="50" t="e">
        <f t="shared" si="92"/>
        <v>#REF!</v>
      </c>
      <c r="G101" s="50" t="e">
        <f t="shared" si="92"/>
        <v>#REF!</v>
      </c>
      <c r="H101" s="42">
        <f t="shared" si="88"/>
        <v>0</v>
      </c>
      <c r="I101" s="50" t="e">
        <f t="shared" si="89"/>
        <v>#REF!</v>
      </c>
      <c r="J101" s="50">
        <f>SUM(J92:J100)</f>
        <v>0</v>
      </c>
      <c r="K101" s="282"/>
      <c r="L101" s="12">
        <f t="shared" ref="L101:S101" si="93">SUM(L92:L100)</f>
        <v>-209754</v>
      </c>
      <c r="M101" s="12">
        <f t="shared" si="93"/>
        <v>-837259.94</v>
      </c>
      <c r="N101" s="12">
        <f t="shared" si="93"/>
        <v>-1195800</v>
      </c>
      <c r="O101" s="12">
        <f t="shared" si="93"/>
        <v>-59046.86</v>
      </c>
      <c r="P101" s="50">
        <f t="shared" si="93"/>
        <v>-1196029.96</v>
      </c>
      <c r="Q101" s="50">
        <f t="shared" si="93"/>
        <v>-3799000</v>
      </c>
      <c r="R101" s="12">
        <f t="shared" si="93"/>
        <v>-119000</v>
      </c>
      <c r="S101" s="12">
        <f t="shared" si="93"/>
        <v>3680000</v>
      </c>
      <c r="U101" s="12">
        <f t="shared" ref="U101:V101" si="94">SUM(U92:U100)</f>
        <v>-949750</v>
      </c>
      <c r="V101" s="12">
        <f t="shared" si="94"/>
        <v>-2849250</v>
      </c>
    </row>
    <row r="102" spans="1:27" ht="15.75" customHeight="1" x14ac:dyDescent="0.2">
      <c r="A102" s="5"/>
      <c r="B102" s="5"/>
      <c r="C102" s="284"/>
      <c r="D102" s="5"/>
      <c r="E102" s="5"/>
      <c r="F102" s="5"/>
      <c r="G102" s="5"/>
      <c r="H102" s="5"/>
      <c r="I102" s="5"/>
      <c r="J102" s="5"/>
      <c r="K102" s="284"/>
      <c r="L102" s="5"/>
      <c r="M102" s="5"/>
      <c r="N102" s="5"/>
      <c r="O102" s="5"/>
      <c r="P102" s="5"/>
      <c r="Q102" s="5"/>
      <c r="R102" s="5"/>
      <c r="S102" s="5"/>
      <c r="U102" s="5"/>
      <c r="V102" s="5"/>
    </row>
    <row r="103" spans="1:27" ht="15.75" customHeight="1" x14ac:dyDescent="0.2">
      <c r="A103" s="11" t="s">
        <v>190</v>
      </c>
      <c r="B103" s="6"/>
      <c r="C103" s="286"/>
      <c r="D103" s="178">
        <f t="shared" ref="D103:G103" si="95">D89+D101</f>
        <v>259087</v>
      </c>
      <c r="E103" s="178" t="e">
        <f t="shared" si="95"/>
        <v>#REF!</v>
      </c>
      <c r="F103" s="178" t="e">
        <f t="shared" si="95"/>
        <v>#REF!</v>
      </c>
      <c r="G103" s="178" t="e">
        <f t="shared" si="95"/>
        <v>#REF!</v>
      </c>
      <c r="H103" s="273">
        <f>IFERROR(((Q103-G103)/G103),0)</f>
        <v>0</v>
      </c>
      <c r="I103" s="178" t="e">
        <f>Q103-G103</f>
        <v>#REF!</v>
      </c>
      <c r="J103" s="178">
        <f>J101+J94</f>
        <v>0</v>
      </c>
      <c r="K103" s="286"/>
      <c r="L103" s="227">
        <f t="shared" ref="L103:S103" si="96">L89+L101</f>
        <v>527015</v>
      </c>
      <c r="M103" s="227">
        <f t="shared" si="96"/>
        <v>-78929.089999999967</v>
      </c>
      <c r="N103" s="227">
        <f t="shared" si="96"/>
        <v>2815737</v>
      </c>
      <c r="O103" s="227">
        <f t="shared" si="96"/>
        <v>371457.67000000004</v>
      </c>
      <c r="P103" s="178">
        <f t="shared" si="96"/>
        <v>2350167.3196666669</v>
      </c>
      <c r="Q103" s="178">
        <f t="shared" si="96"/>
        <v>1241800</v>
      </c>
      <c r="R103" s="227">
        <f t="shared" si="96"/>
        <v>902900</v>
      </c>
      <c r="S103" s="227">
        <f t="shared" si="96"/>
        <v>-338900</v>
      </c>
      <c r="U103" s="227">
        <f t="shared" ref="U103:V103" si="97">U89+U101</f>
        <v>305850</v>
      </c>
      <c r="V103" s="227">
        <f t="shared" si="97"/>
        <v>917050</v>
      </c>
      <c r="W103" s="56"/>
      <c r="X103" s="56"/>
      <c r="Y103" s="56"/>
      <c r="Z103" s="56"/>
      <c r="AA103" s="56"/>
    </row>
    <row r="104" spans="1:27" ht="15.75" customHeight="1" x14ac:dyDescent="0.2">
      <c r="C104" s="287"/>
      <c r="K104" s="287"/>
    </row>
    <row r="105" spans="1:27" ht="15.75" customHeight="1" x14ac:dyDescent="0.2">
      <c r="C105" s="287"/>
      <c r="K105" s="287"/>
    </row>
    <row r="106" spans="1:27" ht="15.75" customHeight="1" x14ac:dyDescent="0.2">
      <c r="C106" s="288"/>
      <c r="K106" s="288"/>
      <c r="L106" s="61" t="str">
        <f t="shared" ref="L106:R106" si="98">L60</f>
        <v>2023 Actual</v>
      </c>
      <c r="M106" s="61" t="str">
        <f t="shared" si="98"/>
        <v>2024 Actual</v>
      </c>
      <c r="N106" s="61" t="str">
        <f t="shared" si="98"/>
        <v>Approved
  2025
 Budget</v>
      </c>
      <c r="O106" s="61" t="str">
        <f t="shared" si="98"/>
        <v>2025 YTD Actual</v>
      </c>
      <c r="P106" s="61" t="str">
        <f t="shared" si="98"/>
        <v xml:space="preserve">Projected 2025 </v>
      </c>
      <c r="Q106" s="61" t="str">
        <f t="shared" si="98"/>
        <v>2026
 Requested
 Budget</v>
      </c>
      <c r="R106" s="61" t="str">
        <f t="shared" si="98"/>
        <v>2026 
Tentative 
Budget</v>
      </c>
      <c r="S106" s="57"/>
    </row>
    <row r="107" spans="1:27" ht="15.75" customHeight="1" x14ac:dyDescent="0.2">
      <c r="C107" s="289"/>
      <c r="K107" s="289"/>
      <c r="L107" s="63">
        <f t="shared" ref="L107:R107" si="99">L103</f>
        <v>527015</v>
      </c>
      <c r="M107" s="63">
        <f t="shared" si="99"/>
        <v>-78929.089999999967</v>
      </c>
      <c r="N107" s="63">
        <f t="shared" si="99"/>
        <v>2815737</v>
      </c>
      <c r="O107" s="63">
        <f t="shared" si="99"/>
        <v>371457.67000000004</v>
      </c>
      <c r="P107" s="63">
        <f t="shared" si="99"/>
        <v>2350167.3196666669</v>
      </c>
      <c r="Q107" s="63">
        <f t="shared" si="99"/>
        <v>1241800</v>
      </c>
      <c r="R107" s="63">
        <f t="shared" si="99"/>
        <v>902900</v>
      </c>
      <c r="S107" s="51"/>
    </row>
    <row r="108" spans="1:27" ht="15.75" customHeight="1" x14ac:dyDescent="0.2">
      <c r="C108" s="287"/>
      <c r="K108" s="287"/>
    </row>
    <row r="109" spans="1:27" ht="15.75" customHeight="1" x14ac:dyDescent="0.2">
      <c r="C109" s="287"/>
      <c r="K109" s="287"/>
    </row>
    <row r="110" spans="1:27" ht="15.75" customHeight="1" x14ac:dyDescent="0.2">
      <c r="C110" s="287"/>
      <c r="K110" s="287"/>
    </row>
    <row r="111" spans="1:27" ht="15.75" customHeight="1" x14ac:dyDescent="0.2">
      <c r="C111" s="287"/>
      <c r="K111" s="287"/>
    </row>
    <row r="112" spans="1:27" ht="15.75" customHeight="1" x14ac:dyDescent="0.2">
      <c r="C112" s="287"/>
      <c r="K112" s="287"/>
    </row>
    <row r="113" spans="3:11" ht="15.75" customHeight="1" x14ac:dyDescent="0.2">
      <c r="C113" s="287"/>
      <c r="K113" s="287"/>
    </row>
    <row r="114" spans="3:11" ht="15.75" customHeight="1" x14ac:dyDescent="0.2">
      <c r="C114" s="287"/>
      <c r="K114" s="287"/>
    </row>
    <row r="115" spans="3:11" ht="15.75" customHeight="1" x14ac:dyDescent="0.2">
      <c r="C115" s="287"/>
      <c r="K115" s="287"/>
    </row>
    <row r="116" spans="3:11" ht="15.75" customHeight="1" x14ac:dyDescent="0.2">
      <c r="C116" s="287"/>
      <c r="K116" s="287"/>
    </row>
    <row r="117" spans="3:11" ht="15.75" customHeight="1" x14ac:dyDescent="0.2">
      <c r="C117" s="287"/>
      <c r="K117" s="287"/>
    </row>
    <row r="118" spans="3:11" ht="15.75" customHeight="1" x14ac:dyDescent="0.2">
      <c r="C118" s="287"/>
      <c r="K118" s="287"/>
    </row>
    <row r="119" spans="3:11" ht="15.75" customHeight="1" x14ac:dyDescent="0.2">
      <c r="C119" s="287"/>
      <c r="K119" s="287"/>
    </row>
    <row r="120" spans="3:11" ht="15.75" customHeight="1" x14ac:dyDescent="0.2">
      <c r="C120" s="287"/>
      <c r="K120" s="287"/>
    </row>
    <row r="121" spans="3:11" ht="15.75" customHeight="1" x14ac:dyDescent="0.2">
      <c r="C121" s="287"/>
      <c r="K121" s="287"/>
    </row>
    <row r="122" spans="3:11" ht="15.75" customHeight="1" x14ac:dyDescent="0.2">
      <c r="C122" s="287"/>
      <c r="K122" s="287"/>
    </row>
    <row r="123" spans="3:11" ht="15.75" customHeight="1" x14ac:dyDescent="0.2">
      <c r="C123" s="287"/>
      <c r="K123" s="287"/>
    </row>
    <row r="124" spans="3:11" ht="15.75" customHeight="1" x14ac:dyDescent="0.2">
      <c r="C124" s="287"/>
      <c r="K124" s="287"/>
    </row>
    <row r="125" spans="3:11" ht="15.75" customHeight="1" x14ac:dyDescent="0.2">
      <c r="C125" s="287"/>
      <c r="K125" s="287"/>
    </row>
    <row r="126" spans="3:11" ht="15.75" customHeight="1" x14ac:dyDescent="0.2">
      <c r="C126" s="287"/>
      <c r="K126" s="287"/>
    </row>
    <row r="127" spans="3:11" ht="15.75" customHeight="1" x14ac:dyDescent="0.2">
      <c r="C127" s="287"/>
      <c r="K127" s="287"/>
    </row>
    <row r="128" spans="3:11" ht="15.75" customHeight="1" x14ac:dyDescent="0.2">
      <c r="C128" s="287"/>
      <c r="K128" s="287"/>
    </row>
    <row r="129" spans="3:11" ht="15.75" customHeight="1" x14ac:dyDescent="0.2">
      <c r="C129" s="287"/>
      <c r="K129" s="287"/>
    </row>
    <row r="130" spans="3:11" ht="15.75" customHeight="1" x14ac:dyDescent="0.2">
      <c r="C130" s="287"/>
      <c r="K130" s="287"/>
    </row>
    <row r="131" spans="3:11" ht="15.75" customHeight="1" x14ac:dyDescent="0.2">
      <c r="C131" s="287"/>
      <c r="K131" s="287"/>
    </row>
    <row r="132" spans="3:11" ht="15.75" customHeight="1" x14ac:dyDescent="0.2">
      <c r="C132" s="287"/>
      <c r="K132" s="287"/>
    </row>
    <row r="133" spans="3:11" ht="15.75" customHeight="1" x14ac:dyDescent="0.2">
      <c r="C133" s="287"/>
      <c r="K133" s="287"/>
    </row>
    <row r="134" spans="3:11" ht="15.75" customHeight="1" x14ac:dyDescent="0.2">
      <c r="C134" s="287"/>
      <c r="K134" s="287"/>
    </row>
    <row r="135" spans="3:11" ht="15.75" customHeight="1" x14ac:dyDescent="0.2">
      <c r="C135" s="287"/>
      <c r="K135" s="287"/>
    </row>
    <row r="136" spans="3:11" ht="15.75" customHeight="1" x14ac:dyDescent="0.2">
      <c r="C136" s="287"/>
      <c r="K136" s="287"/>
    </row>
    <row r="137" spans="3:11" ht="15.75" customHeight="1" x14ac:dyDescent="0.2">
      <c r="C137" s="287"/>
      <c r="K137" s="287"/>
    </row>
    <row r="138" spans="3:11" ht="15.75" customHeight="1" x14ac:dyDescent="0.2">
      <c r="C138" s="287"/>
      <c r="K138" s="287"/>
    </row>
    <row r="139" spans="3:11" ht="15.75" customHeight="1" x14ac:dyDescent="0.2">
      <c r="C139" s="287"/>
      <c r="K139" s="287"/>
    </row>
    <row r="140" spans="3:11" ht="15.75" customHeight="1" x14ac:dyDescent="0.2">
      <c r="C140" s="287"/>
      <c r="K140" s="287"/>
    </row>
    <row r="141" spans="3:11" ht="15.75" customHeight="1" x14ac:dyDescent="0.2">
      <c r="C141" s="287"/>
      <c r="K141" s="287"/>
    </row>
    <row r="142" spans="3:11" ht="15.75" customHeight="1" x14ac:dyDescent="0.2">
      <c r="C142" s="287"/>
      <c r="K142" s="287"/>
    </row>
    <row r="143" spans="3:11" ht="15.75" customHeight="1" x14ac:dyDescent="0.2">
      <c r="C143" s="287"/>
      <c r="K143" s="287"/>
    </row>
    <row r="144" spans="3:11" ht="15.75" customHeight="1" x14ac:dyDescent="0.2">
      <c r="C144" s="287"/>
      <c r="K144" s="287"/>
    </row>
    <row r="145" spans="3:11" ht="15.75" customHeight="1" x14ac:dyDescent="0.2">
      <c r="C145" s="287"/>
      <c r="K145" s="287"/>
    </row>
    <row r="146" spans="3:11" ht="15.75" customHeight="1" x14ac:dyDescent="0.2">
      <c r="C146" s="287"/>
      <c r="K146" s="287"/>
    </row>
    <row r="147" spans="3:11" ht="15.75" customHeight="1" x14ac:dyDescent="0.2">
      <c r="C147" s="287"/>
      <c r="K147" s="287"/>
    </row>
    <row r="148" spans="3:11" ht="15.75" customHeight="1" x14ac:dyDescent="0.2">
      <c r="C148" s="287"/>
      <c r="K148" s="287"/>
    </row>
    <row r="149" spans="3:11" ht="15.75" customHeight="1" x14ac:dyDescent="0.2">
      <c r="C149" s="287"/>
      <c r="K149" s="287"/>
    </row>
    <row r="150" spans="3:11" ht="15.75" customHeight="1" x14ac:dyDescent="0.2">
      <c r="C150" s="287"/>
      <c r="K150" s="287"/>
    </row>
    <row r="151" spans="3:11" ht="15.75" customHeight="1" x14ac:dyDescent="0.2">
      <c r="C151" s="287"/>
      <c r="K151" s="287"/>
    </row>
    <row r="152" spans="3:11" ht="15.75" customHeight="1" x14ac:dyDescent="0.2">
      <c r="C152" s="287"/>
      <c r="K152" s="287"/>
    </row>
    <row r="153" spans="3:11" ht="15.75" customHeight="1" x14ac:dyDescent="0.2">
      <c r="C153" s="287"/>
      <c r="K153" s="287"/>
    </row>
    <row r="154" spans="3:11" ht="15.75" customHeight="1" x14ac:dyDescent="0.2">
      <c r="C154" s="287"/>
      <c r="K154" s="287"/>
    </row>
    <row r="155" spans="3:11" ht="15.75" customHeight="1" x14ac:dyDescent="0.2">
      <c r="C155" s="287"/>
      <c r="K155" s="287"/>
    </row>
    <row r="156" spans="3:11" ht="15.75" customHeight="1" x14ac:dyDescent="0.2">
      <c r="C156" s="287"/>
      <c r="K156" s="287"/>
    </row>
    <row r="157" spans="3:11" ht="15.75" customHeight="1" x14ac:dyDescent="0.2">
      <c r="C157" s="287"/>
      <c r="K157" s="287"/>
    </row>
    <row r="158" spans="3:11" ht="15.75" customHeight="1" x14ac:dyDescent="0.2">
      <c r="C158" s="287"/>
      <c r="K158" s="287"/>
    </row>
    <row r="159" spans="3:11" ht="15.75" customHeight="1" x14ac:dyDescent="0.2">
      <c r="C159" s="287"/>
      <c r="K159" s="287"/>
    </row>
    <row r="160" spans="3:11" ht="15.75" customHeight="1" x14ac:dyDescent="0.2">
      <c r="C160" s="287"/>
      <c r="K160" s="287"/>
    </row>
    <row r="161" spans="3:11" ht="15.75" customHeight="1" x14ac:dyDescent="0.2">
      <c r="C161" s="287"/>
      <c r="K161" s="287"/>
    </row>
    <row r="162" spans="3:11" ht="15.75" customHeight="1" x14ac:dyDescent="0.2">
      <c r="C162" s="287"/>
      <c r="K162" s="287"/>
    </row>
    <row r="163" spans="3:11" ht="15.75" customHeight="1" x14ac:dyDescent="0.2">
      <c r="C163" s="287"/>
      <c r="K163" s="287"/>
    </row>
    <row r="164" spans="3:11" ht="15.75" customHeight="1" x14ac:dyDescent="0.2">
      <c r="C164" s="287"/>
      <c r="K164" s="287"/>
    </row>
    <row r="165" spans="3:11" ht="15.75" customHeight="1" x14ac:dyDescent="0.2">
      <c r="C165" s="287"/>
      <c r="K165" s="287"/>
    </row>
    <row r="166" spans="3:11" ht="15.75" customHeight="1" x14ac:dyDescent="0.2">
      <c r="C166" s="287"/>
      <c r="K166" s="287"/>
    </row>
    <row r="167" spans="3:11" ht="15.75" customHeight="1" x14ac:dyDescent="0.2">
      <c r="C167" s="287"/>
      <c r="K167" s="287"/>
    </row>
    <row r="168" spans="3:11" ht="15.75" customHeight="1" x14ac:dyDescent="0.2">
      <c r="C168" s="287"/>
      <c r="K168" s="287"/>
    </row>
    <row r="169" spans="3:11" ht="15.75" customHeight="1" x14ac:dyDescent="0.2">
      <c r="C169" s="287"/>
      <c r="K169" s="287"/>
    </row>
    <row r="170" spans="3:11" ht="15.75" customHeight="1" x14ac:dyDescent="0.2">
      <c r="C170" s="287"/>
      <c r="K170" s="287"/>
    </row>
    <row r="171" spans="3:11" ht="15.75" customHeight="1" x14ac:dyDescent="0.2">
      <c r="C171" s="287"/>
      <c r="K171" s="287"/>
    </row>
    <row r="172" spans="3:11" ht="15.75" customHeight="1" x14ac:dyDescent="0.2">
      <c r="C172" s="287"/>
      <c r="K172" s="287"/>
    </row>
    <row r="173" spans="3:11" ht="15.75" customHeight="1" x14ac:dyDescent="0.2">
      <c r="C173" s="287"/>
      <c r="K173" s="287"/>
    </row>
    <row r="174" spans="3:11" ht="15.75" customHeight="1" x14ac:dyDescent="0.2">
      <c r="C174" s="287"/>
      <c r="K174" s="287"/>
    </row>
    <row r="175" spans="3:11" ht="15.75" customHeight="1" x14ac:dyDescent="0.2">
      <c r="C175" s="287"/>
      <c r="K175" s="287"/>
    </row>
    <row r="176" spans="3:11" ht="15.75" customHeight="1" x14ac:dyDescent="0.2">
      <c r="C176" s="287"/>
      <c r="K176" s="287"/>
    </row>
    <row r="177" spans="3:11" ht="15.75" customHeight="1" x14ac:dyDescent="0.2">
      <c r="C177" s="287"/>
      <c r="K177" s="287"/>
    </row>
    <row r="178" spans="3:11" ht="15.75" customHeight="1" x14ac:dyDescent="0.2">
      <c r="C178" s="287"/>
      <c r="K178" s="287"/>
    </row>
    <row r="179" spans="3:11" ht="15.75" customHeight="1" x14ac:dyDescent="0.2">
      <c r="C179" s="287"/>
      <c r="K179" s="287"/>
    </row>
    <row r="180" spans="3:11" ht="15.75" customHeight="1" x14ac:dyDescent="0.2">
      <c r="C180" s="287"/>
      <c r="K180" s="287"/>
    </row>
    <row r="181" spans="3:11" ht="15.75" customHeight="1" x14ac:dyDescent="0.2">
      <c r="C181" s="287"/>
      <c r="K181" s="287"/>
    </row>
    <row r="182" spans="3:11" ht="15.75" customHeight="1" x14ac:dyDescent="0.2">
      <c r="C182" s="287"/>
      <c r="K182" s="287"/>
    </row>
    <row r="183" spans="3:11" ht="15.75" customHeight="1" x14ac:dyDescent="0.2">
      <c r="C183" s="287"/>
      <c r="K183" s="287"/>
    </row>
    <row r="184" spans="3:11" ht="15.75" customHeight="1" x14ac:dyDescent="0.2">
      <c r="C184" s="287"/>
      <c r="K184" s="287"/>
    </row>
    <row r="185" spans="3:11" ht="15.75" customHeight="1" x14ac:dyDescent="0.2">
      <c r="C185" s="287"/>
      <c r="K185" s="287"/>
    </row>
    <row r="186" spans="3:11" ht="15.75" customHeight="1" x14ac:dyDescent="0.2">
      <c r="C186" s="287"/>
      <c r="K186" s="287"/>
    </row>
    <row r="187" spans="3:11" ht="15.75" customHeight="1" x14ac:dyDescent="0.2">
      <c r="C187" s="287"/>
      <c r="K187" s="287"/>
    </row>
    <row r="188" spans="3:11" ht="15.75" customHeight="1" x14ac:dyDescent="0.2">
      <c r="C188" s="287"/>
      <c r="K188" s="287"/>
    </row>
    <row r="189" spans="3:11" ht="15.75" customHeight="1" x14ac:dyDescent="0.2">
      <c r="C189" s="287"/>
      <c r="K189" s="287"/>
    </row>
    <row r="190" spans="3:11" ht="15.75" customHeight="1" x14ac:dyDescent="0.2">
      <c r="C190" s="287"/>
      <c r="K190" s="287"/>
    </row>
    <row r="191" spans="3:11" ht="15.75" customHeight="1" x14ac:dyDescent="0.2">
      <c r="C191" s="287"/>
      <c r="K191" s="287"/>
    </row>
    <row r="192" spans="3:11" ht="15.75" customHeight="1" x14ac:dyDescent="0.2">
      <c r="C192" s="287"/>
      <c r="K192" s="287"/>
    </row>
    <row r="193" spans="3:11" ht="15.75" customHeight="1" x14ac:dyDescent="0.2">
      <c r="C193" s="287"/>
      <c r="K193" s="287"/>
    </row>
    <row r="194" spans="3:11" ht="15.75" customHeight="1" x14ac:dyDescent="0.2">
      <c r="C194" s="287"/>
      <c r="K194" s="287"/>
    </row>
    <row r="195" spans="3:11" ht="15.75" customHeight="1" x14ac:dyDescent="0.2">
      <c r="C195" s="287"/>
      <c r="K195" s="287"/>
    </row>
    <row r="196" spans="3:11" ht="15.75" customHeight="1" x14ac:dyDescent="0.2">
      <c r="C196" s="287"/>
      <c r="K196" s="287"/>
    </row>
    <row r="197" spans="3:11" ht="15.75" customHeight="1" x14ac:dyDescent="0.2">
      <c r="C197" s="287"/>
      <c r="K197" s="287"/>
    </row>
    <row r="198" spans="3:11" ht="15.75" customHeight="1" x14ac:dyDescent="0.2">
      <c r="C198" s="287"/>
      <c r="K198" s="287"/>
    </row>
    <row r="199" spans="3:11" ht="15.75" customHeight="1" x14ac:dyDescent="0.2">
      <c r="C199" s="287"/>
      <c r="K199" s="287"/>
    </row>
    <row r="200" spans="3:11" ht="15.75" customHeight="1" x14ac:dyDescent="0.2">
      <c r="C200" s="287"/>
      <c r="K200" s="287"/>
    </row>
    <row r="201" spans="3:11" ht="15.75" customHeight="1" x14ac:dyDescent="0.2">
      <c r="C201" s="287"/>
      <c r="K201" s="287"/>
    </row>
    <row r="202" spans="3:11" ht="15.75" customHeight="1" x14ac:dyDescent="0.2">
      <c r="C202" s="287"/>
      <c r="K202" s="287"/>
    </row>
    <row r="203" spans="3:11" ht="15.75" customHeight="1" x14ac:dyDescent="0.2">
      <c r="C203" s="287"/>
      <c r="K203" s="287"/>
    </row>
    <row r="204" spans="3:11" ht="15.75" customHeight="1" x14ac:dyDescent="0.2">
      <c r="C204" s="287"/>
      <c r="K204" s="287"/>
    </row>
    <row r="205" spans="3:11" ht="15.75" customHeight="1" x14ac:dyDescent="0.2">
      <c r="C205" s="287"/>
      <c r="K205" s="287"/>
    </row>
    <row r="206" spans="3:11" ht="15.75" customHeight="1" x14ac:dyDescent="0.2">
      <c r="C206" s="287"/>
      <c r="K206" s="287"/>
    </row>
    <row r="207" spans="3:11" ht="15.75" customHeight="1" x14ac:dyDescent="0.2">
      <c r="C207" s="287"/>
      <c r="K207" s="287"/>
    </row>
    <row r="208" spans="3:11" ht="15.75" customHeight="1" x14ac:dyDescent="0.2">
      <c r="C208" s="287"/>
      <c r="K208" s="287"/>
    </row>
    <row r="209" spans="3:11" ht="15.75" customHeight="1" x14ac:dyDescent="0.2">
      <c r="C209" s="287"/>
      <c r="K209" s="287"/>
    </row>
    <row r="210" spans="3:11" ht="15.75" customHeight="1" x14ac:dyDescent="0.2">
      <c r="C210" s="287"/>
      <c r="K210" s="287"/>
    </row>
    <row r="211" spans="3:11" ht="15.75" customHeight="1" x14ac:dyDescent="0.2">
      <c r="C211" s="287"/>
      <c r="K211" s="287"/>
    </row>
    <row r="212" spans="3:11" ht="15.75" customHeight="1" x14ac:dyDescent="0.2">
      <c r="C212" s="287"/>
      <c r="K212" s="287"/>
    </row>
    <row r="213" spans="3:11" ht="15.75" customHeight="1" x14ac:dyDescent="0.2">
      <c r="C213" s="287"/>
      <c r="K213" s="287"/>
    </row>
    <row r="214" spans="3:11" ht="15.75" customHeight="1" x14ac:dyDescent="0.2">
      <c r="C214" s="287"/>
      <c r="K214" s="287"/>
    </row>
    <row r="215" spans="3:11" ht="15.75" customHeight="1" x14ac:dyDescent="0.2">
      <c r="C215" s="287"/>
      <c r="K215" s="287"/>
    </row>
    <row r="216" spans="3:11" ht="15.75" customHeight="1" x14ac:dyDescent="0.2">
      <c r="C216" s="287"/>
      <c r="K216" s="287"/>
    </row>
    <row r="217" spans="3:11" ht="15.75" customHeight="1" x14ac:dyDescent="0.2">
      <c r="C217" s="287"/>
      <c r="K217" s="287"/>
    </row>
    <row r="218" spans="3:11" ht="15.75" customHeight="1" x14ac:dyDescent="0.2">
      <c r="C218" s="287"/>
      <c r="K218" s="287"/>
    </row>
    <row r="219" spans="3:11" ht="15.75" customHeight="1" x14ac:dyDescent="0.2">
      <c r="C219" s="287"/>
      <c r="K219" s="287"/>
    </row>
    <row r="220" spans="3:11" ht="15.75" customHeight="1" x14ac:dyDescent="0.2">
      <c r="C220" s="287"/>
      <c r="K220" s="287"/>
    </row>
    <row r="221" spans="3:11" ht="15.75" customHeight="1" x14ac:dyDescent="0.2">
      <c r="C221" s="287"/>
      <c r="K221" s="287"/>
    </row>
    <row r="222" spans="3:11" ht="15.75" customHeight="1" x14ac:dyDescent="0.2">
      <c r="C222" s="287"/>
      <c r="K222" s="287"/>
    </row>
    <row r="223" spans="3:11" ht="15.75" customHeight="1" x14ac:dyDescent="0.2">
      <c r="C223" s="287"/>
      <c r="K223" s="287"/>
    </row>
    <row r="224" spans="3:11" ht="15.75" customHeight="1" x14ac:dyDescent="0.2">
      <c r="C224" s="287"/>
      <c r="K224" s="287"/>
    </row>
    <row r="225" spans="3:11" ht="15.75" customHeight="1" x14ac:dyDescent="0.2">
      <c r="C225" s="287"/>
      <c r="K225" s="287"/>
    </row>
    <row r="226" spans="3:11" ht="15.75" customHeight="1" x14ac:dyDescent="0.2">
      <c r="C226" s="287"/>
      <c r="K226" s="287"/>
    </row>
    <row r="227" spans="3:11" ht="15.75" customHeight="1" x14ac:dyDescent="0.2">
      <c r="C227" s="287"/>
      <c r="K227" s="287"/>
    </row>
    <row r="228" spans="3:11" ht="15.75" customHeight="1" x14ac:dyDescent="0.2">
      <c r="C228" s="287"/>
      <c r="K228" s="287"/>
    </row>
    <row r="229" spans="3:11" ht="15.75" customHeight="1" x14ac:dyDescent="0.2">
      <c r="C229" s="287"/>
      <c r="K229" s="287"/>
    </row>
    <row r="230" spans="3:11" ht="15.75" customHeight="1" x14ac:dyDescent="0.2">
      <c r="C230" s="287"/>
      <c r="K230" s="287"/>
    </row>
    <row r="231" spans="3:11" ht="15.75" customHeight="1" x14ac:dyDescent="0.2">
      <c r="C231" s="287"/>
      <c r="K231" s="287"/>
    </row>
    <row r="232" spans="3:11" ht="15.75" customHeight="1" x14ac:dyDescent="0.2">
      <c r="C232" s="287"/>
      <c r="K232" s="287"/>
    </row>
    <row r="233" spans="3:11" ht="15.75" customHeight="1" x14ac:dyDescent="0.2">
      <c r="C233" s="287"/>
      <c r="K233" s="287"/>
    </row>
    <row r="234" spans="3:11" ht="15.75" customHeight="1" x14ac:dyDescent="0.2">
      <c r="C234" s="287"/>
      <c r="K234" s="287"/>
    </row>
    <row r="235" spans="3:11" ht="15.75" customHeight="1" x14ac:dyDescent="0.2">
      <c r="C235" s="287"/>
      <c r="K235" s="287"/>
    </row>
    <row r="236" spans="3:11" ht="15.75" customHeight="1" x14ac:dyDescent="0.2">
      <c r="C236" s="287"/>
      <c r="K236" s="287"/>
    </row>
    <row r="237" spans="3:11" ht="15.75" customHeight="1" x14ac:dyDescent="0.2">
      <c r="C237" s="287"/>
      <c r="K237" s="287"/>
    </row>
    <row r="238" spans="3:11" ht="15.75" customHeight="1" x14ac:dyDescent="0.2">
      <c r="C238" s="287"/>
      <c r="K238" s="287"/>
    </row>
    <row r="239" spans="3:11" ht="15.75" customHeight="1" x14ac:dyDescent="0.2">
      <c r="C239" s="287"/>
      <c r="K239" s="287"/>
    </row>
    <row r="240" spans="3:11" ht="15.75" customHeight="1" x14ac:dyDescent="0.2">
      <c r="C240" s="287"/>
      <c r="K240" s="287"/>
    </row>
    <row r="241" spans="3:11" ht="15.75" customHeight="1" x14ac:dyDescent="0.2">
      <c r="C241" s="287"/>
      <c r="K241" s="287"/>
    </row>
    <row r="242" spans="3:11" ht="15.75" customHeight="1" x14ac:dyDescent="0.2">
      <c r="C242" s="287"/>
      <c r="K242" s="287"/>
    </row>
    <row r="243" spans="3:11" ht="15.75" customHeight="1" x14ac:dyDescent="0.2">
      <c r="C243" s="287"/>
      <c r="K243" s="287"/>
    </row>
    <row r="244" spans="3:11" ht="15.75" customHeight="1" x14ac:dyDescent="0.2">
      <c r="C244" s="287"/>
      <c r="K244" s="287"/>
    </row>
    <row r="245" spans="3:11" ht="15.75" customHeight="1" x14ac:dyDescent="0.2">
      <c r="C245" s="287"/>
      <c r="K245" s="287"/>
    </row>
    <row r="246" spans="3:11" ht="15.75" customHeight="1" x14ac:dyDescent="0.2">
      <c r="C246" s="287"/>
      <c r="K246" s="287"/>
    </row>
    <row r="247" spans="3:11" ht="15.75" customHeight="1" x14ac:dyDescent="0.2">
      <c r="C247" s="287"/>
      <c r="K247" s="287"/>
    </row>
    <row r="248" spans="3:11" ht="15.75" customHeight="1" x14ac:dyDescent="0.2">
      <c r="C248" s="287"/>
      <c r="K248" s="287"/>
    </row>
    <row r="249" spans="3:11" ht="15.75" customHeight="1" x14ac:dyDescent="0.2">
      <c r="C249" s="287"/>
      <c r="K249" s="287"/>
    </row>
    <row r="250" spans="3:11" ht="15.75" customHeight="1" x14ac:dyDescent="0.2">
      <c r="C250" s="287"/>
      <c r="K250" s="287"/>
    </row>
    <row r="251" spans="3:11" ht="15.75" customHeight="1" x14ac:dyDescent="0.2">
      <c r="C251" s="287"/>
      <c r="K251" s="287"/>
    </row>
    <row r="252" spans="3:11" ht="15.75" customHeight="1" x14ac:dyDescent="0.2">
      <c r="C252" s="287"/>
      <c r="K252" s="287"/>
    </row>
    <row r="253" spans="3:11" ht="15.75" customHeight="1" x14ac:dyDescent="0.2">
      <c r="C253" s="287"/>
      <c r="K253" s="287"/>
    </row>
    <row r="254" spans="3:11" ht="15.75" customHeight="1" x14ac:dyDescent="0.2">
      <c r="C254" s="287"/>
      <c r="K254" s="287"/>
    </row>
    <row r="255" spans="3:11" ht="15.75" customHeight="1" x14ac:dyDescent="0.2">
      <c r="C255" s="287"/>
      <c r="K255" s="287"/>
    </row>
    <row r="256" spans="3:11" ht="15.75" customHeight="1" x14ac:dyDescent="0.2">
      <c r="C256" s="287"/>
      <c r="K256" s="287"/>
    </row>
    <row r="257" spans="3:11" ht="15.75" customHeight="1" x14ac:dyDescent="0.2">
      <c r="C257" s="287"/>
      <c r="K257" s="287"/>
    </row>
    <row r="258" spans="3:11" ht="15.75" customHeight="1" x14ac:dyDescent="0.2">
      <c r="C258" s="287"/>
      <c r="K258" s="287"/>
    </row>
    <row r="259" spans="3:11" ht="15.75" customHeight="1" x14ac:dyDescent="0.2">
      <c r="C259" s="287"/>
      <c r="K259" s="287"/>
    </row>
    <row r="260" spans="3:11" ht="15.75" customHeight="1" x14ac:dyDescent="0.2">
      <c r="C260" s="287"/>
      <c r="K260" s="287"/>
    </row>
    <row r="261" spans="3:11" ht="15.75" customHeight="1" x14ac:dyDescent="0.2">
      <c r="C261" s="287"/>
      <c r="K261" s="287"/>
    </row>
    <row r="262" spans="3:11" ht="15.75" customHeight="1" x14ac:dyDescent="0.2">
      <c r="C262" s="287"/>
      <c r="K262" s="287"/>
    </row>
    <row r="263" spans="3:11" ht="15.75" customHeight="1" x14ac:dyDescent="0.2">
      <c r="C263" s="287"/>
      <c r="K263" s="287"/>
    </row>
    <row r="264" spans="3:11" ht="15.75" customHeight="1" x14ac:dyDescent="0.2">
      <c r="C264" s="287"/>
      <c r="K264" s="287"/>
    </row>
    <row r="265" spans="3:11" ht="15.75" customHeight="1" x14ac:dyDescent="0.2">
      <c r="C265" s="287"/>
      <c r="K265" s="287"/>
    </row>
    <row r="266" spans="3:11" ht="15.75" customHeight="1" x14ac:dyDescent="0.2">
      <c r="C266" s="287"/>
      <c r="K266" s="287"/>
    </row>
    <row r="267" spans="3:11" ht="15.75" customHeight="1" x14ac:dyDescent="0.2">
      <c r="C267" s="287"/>
      <c r="K267" s="287"/>
    </row>
    <row r="268" spans="3:11" ht="15.75" customHeight="1" x14ac:dyDescent="0.2">
      <c r="C268" s="287"/>
      <c r="K268" s="287"/>
    </row>
    <row r="269" spans="3:11" ht="15.75" customHeight="1" x14ac:dyDescent="0.2">
      <c r="C269" s="287"/>
      <c r="K269" s="287"/>
    </row>
    <row r="270" spans="3:11" ht="15.75" customHeight="1" x14ac:dyDescent="0.2">
      <c r="C270" s="287"/>
      <c r="K270" s="287"/>
    </row>
    <row r="271" spans="3:11" ht="15.75" customHeight="1" x14ac:dyDescent="0.2">
      <c r="C271" s="287"/>
      <c r="K271" s="287"/>
    </row>
    <row r="272" spans="3:11" ht="15.75" customHeight="1" x14ac:dyDescent="0.2">
      <c r="C272" s="287"/>
      <c r="K272" s="287"/>
    </row>
    <row r="273" spans="3:11" ht="15.75" customHeight="1" x14ac:dyDescent="0.2">
      <c r="C273" s="287"/>
      <c r="K273" s="287"/>
    </row>
    <row r="274" spans="3:11" ht="15.75" customHeight="1" x14ac:dyDescent="0.2">
      <c r="C274" s="287"/>
      <c r="K274" s="287"/>
    </row>
    <row r="275" spans="3:11" ht="15.75" customHeight="1" x14ac:dyDescent="0.2">
      <c r="C275" s="287"/>
      <c r="K275" s="287"/>
    </row>
    <row r="276" spans="3:11" ht="15.75" customHeight="1" x14ac:dyDescent="0.2">
      <c r="C276" s="287"/>
      <c r="K276" s="287"/>
    </row>
    <row r="277" spans="3:11" ht="15.75" customHeight="1" x14ac:dyDescent="0.2">
      <c r="C277" s="287"/>
      <c r="K277" s="287"/>
    </row>
    <row r="278" spans="3:11" ht="15.75" customHeight="1" x14ac:dyDescent="0.2">
      <c r="C278" s="287"/>
      <c r="K278" s="287"/>
    </row>
    <row r="279" spans="3:11" ht="15.75" customHeight="1" x14ac:dyDescent="0.2">
      <c r="C279" s="287"/>
      <c r="K279" s="287"/>
    </row>
    <row r="280" spans="3:11" ht="15.75" customHeight="1" x14ac:dyDescent="0.2">
      <c r="C280" s="287"/>
      <c r="K280" s="287"/>
    </row>
    <row r="281" spans="3:11" ht="15.75" customHeight="1" x14ac:dyDescent="0.2">
      <c r="C281" s="287"/>
      <c r="K281" s="287"/>
    </row>
    <row r="282" spans="3:11" ht="15.75" customHeight="1" x14ac:dyDescent="0.2">
      <c r="C282" s="287"/>
      <c r="K282" s="287"/>
    </row>
    <row r="283" spans="3:11" ht="15.75" customHeight="1" x14ac:dyDescent="0.2">
      <c r="C283" s="287"/>
      <c r="K283" s="287"/>
    </row>
    <row r="284" spans="3:11" ht="15.75" customHeight="1" x14ac:dyDescent="0.2">
      <c r="C284" s="287"/>
      <c r="K284" s="287"/>
    </row>
    <row r="285" spans="3:11" ht="15.75" customHeight="1" x14ac:dyDescent="0.2">
      <c r="C285" s="287"/>
      <c r="K285" s="287"/>
    </row>
    <row r="286" spans="3:11" ht="15.75" customHeight="1" x14ac:dyDescent="0.2">
      <c r="C286" s="287"/>
      <c r="K286" s="287"/>
    </row>
    <row r="287" spans="3:11" ht="15.75" customHeight="1" x14ac:dyDescent="0.2">
      <c r="C287" s="287"/>
      <c r="K287" s="287"/>
    </row>
    <row r="288" spans="3:11" ht="15.75" customHeight="1" x14ac:dyDescent="0.2">
      <c r="C288" s="287"/>
      <c r="K288" s="287"/>
    </row>
    <row r="289" spans="3:11" ht="15.75" customHeight="1" x14ac:dyDescent="0.2">
      <c r="C289" s="287"/>
      <c r="K289" s="287"/>
    </row>
    <row r="290" spans="3:11" ht="15.75" customHeight="1" x14ac:dyDescent="0.2">
      <c r="C290" s="287"/>
      <c r="K290" s="287"/>
    </row>
    <row r="291" spans="3:11" ht="15.75" customHeight="1" x14ac:dyDescent="0.2">
      <c r="C291" s="287"/>
      <c r="K291" s="287"/>
    </row>
    <row r="292" spans="3:11" ht="15.75" customHeight="1" x14ac:dyDescent="0.2">
      <c r="C292" s="287"/>
      <c r="K292" s="287"/>
    </row>
    <row r="293" spans="3:11" ht="15.75" customHeight="1" x14ac:dyDescent="0.2">
      <c r="C293" s="287"/>
      <c r="K293" s="287"/>
    </row>
    <row r="294" spans="3:11" ht="15.75" customHeight="1" x14ac:dyDescent="0.2">
      <c r="C294" s="287"/>
      <c r="K294" s="287"/>
    </row>
    <row r="295" spans="3:11" ht="15.75" customHeight="1" x14ac:dyDescent="0.2">
      <c r="C295" s="287"/>
      <c r="K295" s="287"/>
    </row>
    <row r="296" spans="3:11" ht="15.75" customHeight="1" x14ac:dyDescent="0.2">
      <c r="C296" s="287"/>
      <c r="K296" s="287"/>
    </row>
    <row r="297" spans="3:11" ht="15.75" customHeight="1" x14ac:dyDescent="0.2">
      <c r="C297" s="287"/>
      <c r="K297" s="287"/>
    </row>
    <row r="298" spans="3:11" ht="15.75" customHeight="1" x14ac:dyDescent="0.2">
      <c r="C298" s="287"/>
      <c r="K298" s="287"/>
    </row>
    <row r="299" spans="3:11" ht="15.75" customHeight="1" x14ac:dyDescent="0.2">
      <c r="C299" s="287"/>
      <c r="K299" s="287"/>
    </row>
    <row r="300" spans="3:11" ht="15.75" customHeight="1" x14ac:dyDescent="0.2">
      <c r="C300" s="287"/>
      <c r="K300" s="287"/>
    </row>
    <row r="301" spans="3:11" ht="15.75" customHeight="1" x14ac:dyDescent="0.2">
      <c r="C301" s="287"/>
      <c r="K301" s="287"/>
    </row>
    <row r="302" spans="3:11" ht="15.75" customHeight="1" x14ac:dyDescent="0.2">
      <c r="C302" s="287"/>
      <c r="K302" s="287"/>
    </row>
    <row r="303" spans="3:11" ht="15.75" customHeight="1" x14ac:dyDescent="0.2">
      <c r="C303" s="287"/>
      <c r="K303" s="287"/>
    </row>
    <row r="304" spans="3:11" ht="15.75" customHeight="1" x14ac:dyDescent="0.2">
      <c r="C304" s="287"/>
      <c r="K304" s="287"/>
    </row>
    <row r="305" spans="3:11" ht="15.75" customHeight="1" x14ac:dyDescent="0.2">
      <c r="C305" s="287"/>
      <c r="K305" s="287"/>
    </row>
    <row r="306" spans="3:11" ht="15.75" customHeight="1" x14ac:dyDescent="0.2">
      <c r="C306" s="287"/>
      <c r="K306" s="287"/>
    </row>
    <row r="307" spans="3:11" ht="15.75" customHeight="1" x14ac:dyDescent="0.2">
      <c r="C307" s="287"/>
      <c r="K307" s="287"/>
    </row>
    <row r="308" spans="3:11" ht="15.75" customHeight="1" x14ac:dyDescent="0.2"/>
    <row r="309" spans="3:11" ht="15.75" customHeight="1" x14ac:dyDescent="0.2"/>
    <row r="310" spans="3:11" ht="15.75" customHeight="1" x14ac:dyDescent="0.2"/>
    <row r="311" spans="3:11" ht="15.75" customHeight="1" x14ac:dyDescent="0.2"/>
    <row r="312" spans="3:11" ht="15.75" customHeight="1" x14ac:dyDescent="0.2"/>
    <row r="313" spans="3:11" ht="15.75" customHeight="1" x14ac:dyDescent="0.2"/>
    <row r="314" spans="3:11" ht="15.75" customHeight="1" x14ac:dyDescent="0.2"/>
    <row r="315" spans="3:11" ht="15.75" customHeight="1" x14ac:dyDescent="0.2"/>
    <row r="316" spans="3:11" ht="15.75" customHeight="1" x14ac:dyDescent="0.2"/>
    <row r="317" spans="3:11" ht="15.75" customHeight="1" x14ac:dyDescent="0.2"/>
    <row r="318" spans="3:11" ht="15.75" customHeight="1" x14ac:dyDescent="0.2"/>
    <row r="319" spans="3:11" ht="15.75" customHeight="1" x14ac:dyDescent="0.2"/>
    <row r="320" spans="3:11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conditionalFormatting sqref="H3:H25 H29:H51 H54:H59 H61:H81 H83:H87 H89 H92:H100">
    <cfRule type="cellIs" dxfId="2" priority="1" operator="lessThan">
      <formula>0</formula>
    </cfRule>
  </conditionalFormatting>
  <printOptions horizontalCentered="1" verticalCentered="1"/>
  <pageMargins left="0.25" right="0.25" top="0.75" bottom="0.75" header="0.3" footer="0.3"/>
  <pageSetup scale="77" fitToHeight="0" orientation="landscape" r:id="rId1"/>
  <headerFooter>
    <oddHeader>&amp;A</oddHeader>
    <oddFooter>Page &amp;P of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/>
  </sheetViews>
  <sheetFormatPr defaultColWidth="12.5703125" defaultRowHeight="15" customHeight="1" outlineLevelRow="1" outlineLevelCol="1" x14ac:dyDescent="0.2"/>
  <cols>
    <col min="2" max="2" width="32.28515625" customWidth="1"/>
    <col min="3" max="3" width="4.28515625" hidden="1" customWidth="1" outlineLevel="1"/>
    <col min="4" max="10" width="0.140625" hidden="1" customWidth="1" outlineLevel="1"/>
    <col min="11" max="11" width="4.28515625" hidden="1" customWidth="1" outlineLevel="1"/>
    <col min="12" max="12" width="12.5703125" collapsed="1"/>
    <col min="13" max="13" width="14.85546875" customWidth="1"/>
    <col min="18" max="18" width="13.5703125" customWidth="1"/>
    <col min="22" max="22" width="5.7109375" customWidth="1"/>
  </cols>
  <sheetData>
    <row r="1" spans="1:31" ht="28.5" customHeight="1" x14ac:dyDescent="0.25">
      <c r="A1" s="205" t="s">
        <v>1314</v>
      </c>
      <c r="B1" s="5"/>
      <c r="C1" s="15"/>
      <c r="D1" s="16"/>
      <c r="E1" s="16"/>
      <c r="F1" s="16"/>
      <c r="G1" s="16"/>
      <c r="H1" s="18"/>
      <c r="I1" s="16"/>
      <c r="J1" s="16"/>
      <c r="K1" s="15"/>
      <c r="L1" s="7"/>
      <c r="M1" s="7"/>
      <c r="N1" s="7"/>
      <c r="O1" s="7"/>
      <c r="P1" s="7"/>
      <c r="Q1" s="7"/>
      <c r="R1" s="7"/>
      <c r="S1" s="7"/>
      <c r="T1" s="206"/>
      <c r="W1" s="19"/>
      <c r="X1" s="20"/>
    </row>
    <row r="2" spans="1:31" ht="50.25" customHeight="1" x14ac:dyDescent="0.2">
      <c r="A2" s="3" t="s">
        <v>50</v>
      </c>
      <c r="B2" s="3" t="s">
        <v>51</v>
      </c>
      <c r="C2" s="21"/>
      <c r="D2" s="22" t="s">
        <v>52</v>
      </c>
      <c r="E2" s="23" t="s">
        <v>53</v>
      </c>
      <c r="F2" s="23" t="s">
        <v>54</v>
      </c>
      <c r="G2" s="23" t="s">
        <v>55</v>
      </c>
      <c r="H2" s="100" t="s">
        <v>56</v>
      </c>
      <c r="I2" s="23" t="s">
        <v>57</v>
      </c>
      <c r="J2" s="129" t="s">
        <v>58</v>
      </c>
      <c r="K2" s="130"/>
      <c r="L2" s="27" t="s">
        <v>59</v>
      </c>
      <c r="M2" s="27" t="s">
        <v>60</v>
      </c>
      <c r="N2" s="27" t="s">
        <v>61</v>
      </c>
      <c r="O2" s="27" t="s">
        <v>62</v>
      </c>
      <c r="P2" s="27" t="s">
        <v>63</v>
      </c>
      <c r="Q2" s="27" t="s">
        <v>64</v>
      </c>
      <c r="R2" s="27" t="s">
        <v>65</v>
      </c>
      <c r="S2" s="27" t="s">
        <v>66</v>
      </c>
      <c r="T2" s="207"/>
      <c r="U2" s="28"/>
      <c r="V2" s="19"/>
      <c r="X2" s="28"/>
      <c r="Y2" s="28"/>
      <c r="Z2" s="28"/>
      <c r="AA2" s="28"/>
      <c r="AB2" s="28"/>
      <c r="AC2" s="28"/>
      <c r="AD2" s="28"/>
      <c r="AE2" s="28"/>
    </row>
    <row r="3" spans="1:31" ht="15.75" hidden="1" customHeight="1" outlineLevel="1" x14ac:dyDescent="0.2">
      <c r="A3" s="3" t="s">
        <v>50</v>
      </c>
      <c r="B3" s="3" t="s">
        <v>51</v>
      </c>
      <c r="C3" s="292"/>
      <c r="D3" s="3" t="s">
        <v>52</v>
      </c>
      <c r="E3" s="380" t="s">
        <v>53</v>
      </c>
      <c r="F3" s="380" t="s">
        <v>1212</v>
      </c>
      <c r="G3" s="380" t="s">
        <v>55</v>
      </c>
      <c r="H3" s="230" t="s">
        <v>56</v>
      </c>
      <c r="I3" s="230" t="s">
        <v>57</v>
      </c>
      <c r="J3" s="5"/>
      <c r="K3" s="292"/>
      <c r="L3" s="3" t="s">
        <v>59</v>
      </c>
      <c r="M3" s="3" t="s">
        <v>60</v>
      </c>
      <c r="N3" s="3" t="s">
        <v>436</v>
      </c>
      <c r="O3" s="3" t="s">
        <v>437</v>
      </c>
      <c r="P3" s="3" t="s">
        <v>541</v>
      </c>
      <c r="Q3" s="293" t="s">
        <v>438</v>
      </c>
      <c r="R3" s="399" t="s">
        <v>1315</v>
      </c>
      <c r="S3" s="5"/>
    </row>
    <row r="4" spans="1:31" ht="15.75" hidden="1" customHeight="1" outlineLevel="1" x14ac:dyDescent="0.25">
      <c r="A4" s="11" t="s">
        <v>1316</v>
      </c>
      <c r="B4" s="6"/>
      <c r="C4" s="280"/>
      <c r="D4" s="216"/>
      <c r="E4" s="216"/>
      <c r="F4" s="216"/>
      <c r="G4" s="216"/>
      <c r="H4" s="211"/>
      <c r="I4" s="5"/>
      <c r="J4" s="5"/>
      <c r="K4" s="280"/>
      <c r="L4" s="216"/>
      <c r="M4" s="314"/>
      <c r="N4" s="36"/>
      <c r="O4" s="268"/>
      <c r="P4" s="36"/>
      <c r="Q4" s="36"/>
      <c r="R4" s="5"/>
      <c r="S4" s="5"/>
    </row>
    <row r="5" spans="1:31" ht="15.75" hidden="1" customHeight="1" outlineLevel="1" x14ac:dyDescent="0.25">
      <c r="A5" s="6" t="s">
        <v>1317</v>
      </c>
      <c r="B5" s="6" t="s">
        <v>68</v>
      </c>
      <c r="C5" s="280"/>
      <c r="D5" s="216">
        <v>0</v>
      </c>
      <c r="E5" s="216" t="e">
        <f>D5*#REF!</f>
        <v>#REF!</v>
      </c>
      <c r="F5" s="216" t="e">
        <f>D5*#REF!</f>
        <v>#REF!</v>
      </c>
      <c r="G5" s="216" t="e">
        <f>(D5*#REF!)*#REF!</f>
        <v>#REF!</v>
      </c>
      <c r="H5" s="211">
        <f t="shared" ref="H5:H38" si="0">IFERROR(((Q5-D5)/D5),0)</f>
        <v>0</v>
      </c>
      <c r="I5" s="7" t="e">
        <f t="shared" ref="I5:I38" si="1">Q5-G5</f>
        <v>#REF!</v>
      </c>
      <c r="J5" s="5"/>
      <c r="K5" s="280"/>
      <c r="L5" s="216">
        <v>0</v>
      </c>
      <c r="M5" s="314">
        <v>1303631.52</v>
      </c>
      <c r="N5" s="36">
        <v>1357613</v>
      </c>
      <c r="O5" s="268">
        <f>VLOOKUP(A5,TB!A:F,3)</f>
        <v>1050956.6000000001</v>
      </c>
      <c r="P5" s="36"/>
      <c r="Q5" s="36">
        <v>1555800</v>
      </c>
      <c r="R5" s="281">
        <f>VLOOKUP(A5,TB!A:F,6)</f>
        <v>1555800</v>
      </c>
      <c r="S5" s="5"/>
    </row>
    <row r="6" spans="1:31" ht="15.75" hidden="1" customHeight="1" outlineLevel="1" x14ac:dyDescent="0.25">
      <c r="A6" s="6" t="s">
        <v>1318</v>
      </c>
      <c r="B6" s="6" t="s">
        <v>70</v>
      </c>
      <c r="C6" s="280"/>
      <c r="D6" s="216">
        <v>0</v>
      </c>
      <c r="E6" s="216" t="e">
        <f>D6*#REF!</f>
        <v>#REF!</v>
      </c>
      <c r="F6" s="216" t="e">
        <f>D6*#REF!</f>
        <v>#REF!</v>
      </c>
      <c r="G6" s="216" t="e">
        <f>(D6*#REF!)*#REF!</f>
        <v>#REF!</v>
      </c>
      <c r="H6" s="211">
        <f t="shared" si="0"/>
        <v>0</v>
      </c>
      <c r="I6" s="7" t="e">
        <f t="shared" si="1"/>
        <v>#REF!</v>
      </c>
      <c r="J6" s="5"/>
      <c r="K6" s="280"/>
      <c r="L6" s="216">
        <v>0</v>
      </c>
      <c r="M6" s="318">
        <v>32089.37</v>
      </c>
      <c r="N6" s="36">
        <v>60000</v>
      </c>
      <c r="O6" s="268">
        <f>VLOOKUP(A6,TB!A:F,3)</f>
        <v>29658.04</v>
      </c>
      <c r="P6" s="36"/>
      <c r="Q6" s="36">
        <v>60000</v>
      </c>
      <c r="R6" s="281">
        <f>VLOOKUP(A6,TB!A:F,6)</f>
        <v>51000</v>
      </c>
      <c r="S6" s="5"/>
    </row>
    <row r="7" spans="1:31" ht="15.75" hidden="1" customHeight="1" outlineLevel="1" x14ac:dyDescent="0.25">
      <c r="A7" s="6" t="s">
        <v>1319</v>
      </c>
      <c r="B7" s="6" t="s">
        <v>108</v>
      </c>
      <c r="C7" s="280"/>
      <c r="D7" s="216">
        <v>0</v>
      </c>
      <c r="E7" s="216" t="e">
        <f>D7*#REF!</f>
        <v>#REF!</v>
      </c>
      <c r="F7" s="216" t="e">
        <f>D7*#REF!</f>
        <v>#REF!</v>
      </c>
      <c r="G7" s="216" t="e">
        <f>(D7*#REF!)*#REF!</f>
        <v>#REF!</v>
      </c>
      <c r="H7" s="211">
        <f t="shared" si="0"/>
        <v>0</v>
      </c>
      <c r="I7" s="7" t="e">
        <f t="shared" si="1"/>
        <v>#REF!</v>
      </c>
      <c r="J7" s="5"/>
      <c r="K7" s="280"/>
      <c r="L7" s="216">
        <v>0</v>
      </c>
      <c r="M7" s="318">
        <v>131517.19</v>
      </c>
      <c r="N7" s="36">
        <v>155000</v>
      </c>
      <c r="O7" s="268">
        <f>VLOOKUP(A7,TB!A:F,3)</f>
        <v>145641.20000000001</v>
      </c>
      <c r="P7" s="36"/>
      <c r="Q7" s="36">
        <v>162000</v>
      </c>
      <c r="R7" s="281">
        <f>VLOOKUP(A7,TB!A:F,6)</f>
        <v>162000</v>
      </c>
      <c r="S7" s="5"/>
    </row>
    <row r="8" spans="1:31" ht="15.75" hidden="1" customHeight="1" outlineLevel="1" x14ac:dyDescent="0.25">
      <c r="A8" s="6" t="s">
        <v>1320</v>
      </c>
      <c r="B8" s="6" t="s">
        <v>72</v>
      </c>
      <c r="C8" s="280"/>
      <c r="D8" s="216">
        <v>0</v>
      </c>
      <c r="E8" s="216" t="e">
        <f>D8*#REF!</f>
        <v>#REF!</v>
      </c>
      <c r="F8" s="216" t="e">
        <f>D8*#REF!</f>
        <v>#REF!</v>
      </c>
      <c r="G8" s="216" t="e">
        <f>(D8*#REF!)*#REF!</f>
        <v>#REF!</v>
      </c>
      <c r="H8" s="211">
        <f t="shared" si="0"/>
        <v>0</v>
      </c>
      <c r="I8" s="7" t="e">
        <f t="shared" si="1"/>
        <v>#REF!</v>
      </c>
      <c r="J8" s="5"/>
      <c r="K8" s="280"/>
      <c r="L8" s="216">
        <v>0</v>
      </c>
      <c r="M8" s="318">
        <v>664047.79</v>
      </c>
      <c r="N8" s="36">
        <v>796852</v>
      </c>
      <c r="O8" s="268">
        <f>VLOOKUP(A8,TB!A:F,3)</f>
        <v>517654.03</v>
      </c>
      <c r="P8" s="36"/>
      <c r="Q8" s="36">
        <v>761700</v>
      </c>
      <c r="R8" s="281">
        <f>VLOOKUP(A8,TB!A:F,6)</f>
        <v>761700</v>
      </c>
      <c r="S8" s="5"/>
    </row>
    <row r="9" spans="1:31" ht="15.75" hidden="1" customHeight="1" outlineLevel="1" x14ac:dyDescent="0.25">
      <c r="A9" s="6" t="s">
        <v>1321</v>
      </c>
      <c r="B9" s="6" t="s">
        <v>892</v>
      </c>
      <c r="C9" s="280"/>
      <c r="D9" s="216">
        <v>0</v>
      </c>
      <c r="E9" s="216" t="e">
        <f>D9*#REF!</f>
        <v>#REF!</v>
      </c>
      <c r="F9" s="216" t="e">
        <f>D9*#REF!</f>
        <v>#REF!</v>
      </c>
      <c r="G9" s="216" t="e">
        <f>(D9*#REF!)*#REF!</f>
        <v>#REF!</v>
      </c>
      <c r="H9" s="211">
        <f t="shared" si="0"/>
        <v>0</v>
      </c>
      <c r="I9" s="7" t="e">
        <f t="shared" si="1"/>
        <v>#REF!</v>
      </c>
      <c r="J9" s="5"/>
      <c r="K9" s="280"/>
      <c r="L9" s="216">
        <v>0</v>
      </c>
      <c r="M9" s="318">
        <v>8610</v>
      </c>
      <c r="N9" s="36">
        <v>13000</v>
      </c>
      <c r="O9" s="268">
        <f>VLOOKUP(A9,TB!A:F,3)</f>
        <v>6870</v>
      </c>
      <c r="P9" s="36"/>
      <c r="Q9" s="36">
        <v>20000</v>
      </c>
      <c r="R9" s="281">
        <f>VLOOKUP(A9,TB!A:F,6)</f>
        <v>18000</v>
      </c>
      <c r="S9" s="5"/>
    </row>
    <row r="10" spans="1:31" ht="15.75" hidden="1" customHeight="1" outlineLevel="1" x14ac:dyDescent="0.25">
      <c r="A10" s="6" t="s">
        <v>1322</v>
      </c>
      <c r="B10" s="6" t="s">
        <v>451</v>
      </c>
      <c r="C10" s="280"/>
      <c r="D10" s="216">
        <v>0</v>
      </c>
      <c r="E10" s="216" t="e">
        <f>D10*#REF!</f>
        <v>#REF!</v>
      </c>
      <c r="F10" s="216" t="e">
        <f>D10*#REF!</f>
        <v>#REF!</v>
      </c>
      <c r="G10" s="216" t="e">
        <f>(D10*#REF!)*#REF!</f>
        <v>#REF!</v>
      </c>
      <c r="H10" s="211">
        <f t="shared" si="0"/>
        <v>0</v>
      </c>
      <c r="I10" s="7" t="e">
        <f t="shared" si="1"/>
        <v>#REF!</v>
      </c>
      <c r="J10" s="5"/>
      <c r="K10" s="280"/>
      <c r="L10" s="216">
        <v>0</v>
      </c>
      <c r="M10" s="318">
        <v>0</v>
      </c>
      <c r="N10" s="36">
        <v>32700</v>
      </c>
      <c r="O10" s="268">
        <f>VLOOKUP(A10,TB!A:F,3)</f>
        <v>2341.5</v>
      </c>
      <c r="P10" s="36"/>
      <c r="Q10" s="36">
        <v>0</v>
      </c>
      <c r="R10" s="281">
        <f>VLOOKUP(A10,TB!A:F,6)</f>
        <v>10000</v>
      </c>
      <c r="S10" s="5"/>
    </row>
    <row r="11" spans="1:31" ht="15.75" hidden="1" customHeight="1" outlineLevel="1" x14ac:dyDescent="0.25">
      <c r="A11" s="6" t="s">
        <v>1323</v>
      </c>
      <c r="B11" s="6" t="s">
        <v>74</v>
      </c>
      <c r="C11" s="280"/>
      <c r="D11" s="216">
        <v>0</v>
      </c>
      <c r="E11" s="216" t="e">
        <f>D11*#REF!</f>
        <v>#REF!</v>
      </c>
      <c r="F11" s="216" t="e">
        <f>D11*#REF!</f>
        <v>#REF!</v>
      </c>
      <c r="G11" s="216" t="e">
        <f>(D11*#REF!)*#REF!</f>
        <v>#REF!</v>
      </c>
      <c r="H11" s="211">
        <f t="shared" si="0"/>
        <v>0</v>
      </c>
      <c r="I11" s="7" t="e">
        <f t="shared" si="1"/>
        <v>#REF!</v>
      </c>
      <c r="J11" s="5"/>
      <c r="K11" s="280"/>
      <c r="L11" s="216">
        <v>0</v>
      </c>
      <c r="M11" s="318">
        <v>369.26</v>
      </c>
      <c r="N11" s="36">
        <v>7000</v>
      </c>
      <c r="O11" s="268">
        <f>VLOOKUP(A11,TB!A:F,3)</f>
        <v>1231.23</v>
      </c>
      <c r="P11" s="36"/>
      <c r="Q11" s="36">
        <v>16000</v>
      </c>
      <c r="R11" s="281">
        <f>VLOOKUP(A11,TB!A:F,6)</f>
        <v>11000</v>
      </c>
      <c r="S11" s="5"/>
    </row>
    <row r="12" spans="1:31" ht="15.75" hidden="1" customHeight="1" outlineLevel="1" x14ac:dyDescent="0.25">
      <c r="A12" s="6" t="s">
        <v>1324</v>
      </c>
      <c r="B12" s="6" t="s">
        <v>76</v>
      </c>
      <c r="C12" s="280"/>
      <c r="D12" s="216">
        <v>0</v>
      </c>
      <c r="E12" s="216" t="e">
        <f>D12*#REF!</f>
        <v>#REF!</v>
      </c>
      <c r="F12" s="216" t="e">
        <f>D12*#REF!</f>
        <v>#REF!</v>
      </c>
      <c r="G12" s="216" t="e">
        <f>(D12*#REF!)*#REF!</f>
        <v>#REF!</v>
      </c>
      <c r="H12" s="211">
        <f t="shared" si="0"/>
        <v>0</v>
      </c>
      <c r="I12" s="7" t="e">
        <f t="shared" si="1"/>
        <v>#REF!</v>
      </c>
      <c r="J12" s="5"/>
      <c r="K12" s="280"/>
      <c r="L12" s="216">
        <v>0</v>
      </c>
      <c r="M12" s="318">
        <v>10547.08</v>
      </c>
      <c r="N12" s="36">
        <v>10000</v>
      </c>
      <c r="O12" s="268">
        <f>VLOOKUP(A12,TB!A:F,3)</f>
        <v>6398.47</v>
      </c>
      <c r="P12" s="36"/>
      <c r="Q12" s="36">
        <v>12000</v>
      </c>
      <c r="R12" s="281">
        <f>VLOOKUP(A12,TB!A:F,6)</f>
        <v>8000</v>
      </c>
      <c r="S12" s="5"/>
    </row>
    <row r="13" spans="1:31" ht="15.75" hidden="1" customHeight="1" outlineLevel="1" x14ac:dyDescent="0.25">
      <c r="A13" s="6" t="s">
        <v>1325</v>
      </c>
      <c r="B13" s="6" t="s">
        <v>80</v>
      </c>
      <c r="C13" s="280"/>
      <c r="D13" s="216">
        <v>0</v>
      </c>
      <c r="E13" s="216" t="e">
        <f>D13*#REF!</f>
        <v>#REF!</v>
      </c>
      <c r="F13" s="216" t="e">
        <f>D13*#REF!</f>
        <v>#REF!</v>
      </c>
      <c r="G13" s="216" t="e">
        <f>(D13*#REF!)*#REF!</f>
        <v>#REF!</v>
      </c>
      <c r="H13" s="211">
        <f t="shared" si="0"/>
        <v>0</v>
      </c>
      <c r="I13" s="7" t="e">
        <f t="shared" si="1"/>
        <v>#REF!</v>
      </c>
      <c r="J13" s="5"/>
      <c r="K13" s="280"/>
      <c r="L13" s="216">
        <v>0</v>
      </c>
      <c r="M13" s="318">
        <v>10322.370000000001</v>
      </c>
      <c r="N13" s="36">
        <v>12000</v>
      </c>
      <c r="O13" s="268">
        <f>VLOOKUP(A13,TB!A:F,3)</f>
        <v>10668.39</v>
      </c>
      <c r="P13" s="36"/>
      <c r="Q13" s="36">
        <v>14000</v>
      </c>
      <c r="R13" s="281">
        <f>VLOOKUP(A13,TB!A:F,6)</f>
        <v>12000</v>
      </c>
      <c r="S13" s="5"/>
    </row>
    <row r="14" spans="1:31" ht="15.75" hidden="1" customHeight="1" outlineLevel="1" x14ac:dyDescent="0.25">
      <c r="A14" s="6" t="s">
        <v>1326</v>
      </c>
      <c r="B14" s="6" t="s">
        <v>82</v>
      </c>
      <c r="C14" s="280"/>
      <c r="D14" s="216">
        <v>0</v>
      </c>
      <c r="E14" s="216" t="e">
        <f>D14*#REF!</f>
        <v>#REF!</v>
      </c>
      <c r="F14" s="216" t="e">
        <f>D14*#REF!</f>
        <v>#REF!</v>
      </c>
      <c r="G14" s="216" t="e">
        <f>(D14*#REF!)*#REF!</f>
        <v>#REF!</v>
      </c>
      <c r="H14" s="211">
        <f t="shared" si="0"/>
        <v>0</v>
      </c>
      <c r="I14" s="7" t="e">
        <f t="shared" si="1"/>
        <v>#REF!</v>
      </c>
      <c r="J14" s="5"/>
      <c r="K14" s="280"/>
      <c r="L14" s="216">
        <v>0</v>
      </c>
      <c r="M14" s="318">
        <v>357040.84</v>
      </c>
      <c r="N14" s="36">
        <v>345000</v>
      </c>
      <c r="O14" s="268">
        <f>VLOOKUP(A14,TB!A:F,3)</f>
        <v>252852.31</v>
      </c>
      <c r="P14" s="36"/>
      <c r="Q14" s="36">
        <v>420000</v>
      </c>
      <c r="R14" s="281">
        <f>VLOOKUP(A14,TB!A:F,6)</f>
        <v>400000</v>
      </c>
      <c r="S14" s="5"/>
    </row>
    <row r="15" spans="1:31" ht="15.75" hidden="1" customHeight="1" outlineLevel="1" x14ac:dyDescent="0.25">
      <c r="A15" s="6" t="s">
        <v>1327</v>
      </c>
      <c r="B15" s="6" t="s">
        <v>115</v>
      </c>
      <c r="C15" s="280"/>
      <c r="D15" s="216">
        <v>0</v>
      </c>
      <c r="E15" s="216" t="e">
        <f>D15*#REF!</f>
        <v>#REF!</v>
      </c>
      <c r="F15" s="216" t="e">
        <f>D15*#REF!</f>
        <v>#REF!</v>
      </c>
      <c r="G15" s="216" t="e">
        <f>(D15*#REF!)*#REF!</f>
        <v>#REF!</v>
      </c>
      <c r="H15" s="211">
        <f t="shared" si="0"/>
        <v>0</v>
      </c>
      <c r="I15" s="7" t="e">
        <f t="shared" si="1"/>
        <v>#REF!</v>
      </c>
      <c r="J15" s="5"/>
      <c r="K15" s="280"/>
      <c r="L15" s="216">
        <v>0</v>
      </c>
      <c r="M15" s="318">
        <v>46020.42</v>
      </c>
      <c r="N15" s="36">
        <v>80500</v>
      </c>
      <c r="O15" s="268">
        <f>VLOOKUP(A15,TB!A:F,3)</f>
        <v>46859.57</v>
      </c>
      <c r="P15" s="36"/>
      <c r="Q15" s="36">
        <v>90000</v>
      </c>
      <c r="R15" s="281">
        <f>VLOOKUP(A15,TB!A:F,6)</f>
        <v>70000</v>
      </c>
      <c r="S15" s="5"/>
    </row>
    <row r="16" spans="1:31" ht="15.75" hidden="1" customHeight="1" outlineLevel="1" x14ac:dyDescent="0.25">
      <c r="A16" s="6" t="s">
        <v>1328</v>
      </c>
      <c r="B16" s="6" t="s">
        <v>210</v>
      </c>
      <c r="C16" s="280"/>
      <c r="D16" s="216">
        <v>0</v>
      </c>
      <c r="E16" s="216" t="e">
        <f>D16*#REF!</f>
        <v>#REF!</v>
      </c>
      <c r="F16" s="216" t="e">
        <f>D16*#REF!</f>
        <v>#REF!</v>
      </c>
      <c r="G16" s="216" t="e">
        <f>(D16*#REF!)*#REF!</f>
        <v>#REF!</v>
      </c>
      <c r="H16" s="211">
        <f t="shared" si="0"/>
        <v>0</v>
      </c>
      <c r="I16" s="7" t="e">
        <f t="shared" si="1"/>
        <v>#REF!</v>
      </c>
      <c r="J16" s="5"/>
      <c r="K16" s="280"/>
      <c r="L16" s="216">
        <v>0</v>
      </c>
      <c r="M16" s="318">
        <v>270243.69</v>
      </c>
      <c r="N16" s="36">
        <v>0</v>
      </c>
      <c r="O16" s="268">
        <f>VLOOKUP(A16,TB!A:F,3)</f>
        <v>0</v>
      </c>
      <c r="P16" s="36"/>
      <c r="Q16" s="36">
        <v>0</v>
      </c>
      <c r="R16" s="281">
        <f>VLOOKUP(A16,TB!A:F,6)</f>
        <v>0</v>
      </c>
      <c r="S16" s="5"/>
    </row>
    <row r="17" spans="1:19" ht="15.75" hidden="1" customHeight="1" outlineLevel="1" x14ac:dyDescent="0.25">
      <c r="A17" s="6" t="s">
        <v>1329</v>
      </c>
      <c r="B17" s="6" t="s">
        <v>277</v>
      </c>
      <c r="C17" s="280"/>
      <c r="D17" s="216">
        <v>0</v>
      </c>
      <c r="E17" s="216" t="e">
        <f>D17*#REF!</f>
        <v>#REF!</v>
      </c>
      <c r="F17" s="216" t="e">
        <f>D17*#REF!</f>
        <v>#REF!</v>
      </c>
      <c r="G17" s="216" t="e">
        <f>(D17*#REF!)*#REF!</f>
        <v>#REF!</v>
      </c>
      <c r="H17" s="211">
        <f t="shared" si="0"/>
        <v>0</v>
      </c>
      <c r="I17" s="7" t="e">
        <f t="shared" si="1"/>
        <v>#REF!</v>
      </c>
      <c r="J17" s="5"/>
      <c r="K17" s="280"/>
      <c r="L17" s="216">
        <v>0</v>
      </c>
      <c r="M17" s="318">
        <v>0</v>
      </c>
      <c r="N17" s="36">
        <v>0</v>
      </c>
      <c r="O17" s="268">
        <f>VLOOKUP(A17,TB!A:F,3)</f>
        <v>0</v>
      </c>
      <c r="P17" s="36"/>
      <c r="Q17" s="36">
        <v>0</v>
      </c>
      <c r="R17" s="281">
        <f>VLOOKUP(A17,TB!A:F,6)</f>
        <v>0</v>
      </c>
      <c r="S17" s="5"/>
    </row>
    <row r="18" spans="1:19" ht="15.75" hidden="1" customHeight="1" outlineLevel="1" x14ac:dyDescent="0.25">
      <c r="A18" s="6" t="s">
        <v>1330</v>
      </c>
      <c r="B18" s="6" t="s">
        <v>84</v>
      </c>
      <c r="C18" s="280"/>
      <c r="D18" s="216">
        <v>0</v>
      </c>
      <c r="E18" s="216" t="e">
        <f>D18*#REF!</f>
        <v>#REF!</v>
      </c>
      <c r="F18" s="216" t="e">
        <f>D18*#REF!</f>
        <v>#REF!</v>
      </c>
      <c r="G18" s="216" t="e">
        <f>(D18*#REF!)*#REF!</f>
        <v>#REF!</v>
      </c>
      <c r="H18" s="211">
        <f t="shared" si="0"/>
        <v>0</v>
      </c>
      <c r="I18" s="7" t="e">
        <f t="shared" si="1"/>
        <v>#REF!</v>
      </c>
      <c r="J18" s="5"/>
      <c r="K18" s="280"/>
      <c r="L18" s="216">
        <v>0</v>
      </c>
      <c r="M18" s="318">
        <v>28376.560000000001</v>
      </c>
      <c r="N18" s="36">
        <v>31900</v>
      </c>
      <c r="O18" s="268">
        <f>VLOOKUP(A18,TB!A:F,3)</f>
        <v>25189.119999999999</v>
      </c>
      <c r="P18" s="36"/>
      <c r="Q18" s="36">
        <v>32000</v>
      </c>
      <c r="R18" s="281">
        <f>VLOOKUP(A18,TB!A:F,6)</f>
        <v>30000</v>
      </c>
      <c r="S18" s="5"/>
    </row>
    <row r="19" spans="1:19" ht="15.75" hidden="1" customHeight="1" outlineLevel="1" x14ac:dyDescent="0.25">
      <c r="A19" s="6" t="s">
        <v>1331</v>
      </c>
      <c r="B19" s="6" t="s">
        <v>210</v>
      </c>
      <c r="C19" s="280"/>
      <c r="D19" s="216">
        <v>0</v>
      </c>
      <c r="E19" s="216" t="e">
        <f>D19*#REF!</f>
        <v>#REF!</v>
      </c>
      <c r="F19" s="216" t="e">
        <f>D19*#REF!</f>
        <v>#REF!</v>
      </c>
      <c r="G19" s="216" t="e">
        <f>(D19*#REF!)*#REF!</f>
        <v>#REF!</v>
      </c>
      <c r="H19" s="211">
        <f t="shared" si="0"/>
        <v>0</v>
      </c>
      <c r="I19" s="7" t="e">
        <f t="shared" si="1"/>
        <v>#REF!</v>
      </c>
      <c r="J19" s="5"/>
      <c r="K19" s="280"/>
      <c r="L19" s="216">
        <v>0</v>
      </c>
      <c r="M19" s="318">
        <v>39083.25</v>
      </c>
      <c r="N19" s="36">
        <v>325000</v>
      </c>
      <c r="O19" s="268">
        <f>VLOOKUP(A19,TB!A:F,3)</f>
        <v>197494.8</v>
      </c>
      <c r="P19" s="36"/>
      <c r="Q19" s="36">
        <v>325000</v>
      </c>
      <c r="R19" s="281">
        <f>VLOOKUP(A19,TB!A:F,6)</f>
        <v>325000</v>
      </c>
      <c r="S19" s="5"/>
    </row>
    <row r="20" spans="1:19" ht="15.75" hidden="1" customHeight="1" outlineLevel="1" x14ac:dyDescent="0.25">
      <c r="A20" s="6" t="s">
        <v>1332</v>
      </c>
      <c r="B20" s="6" t="s">
        <v>86</v>
      </c>
      <c r="C20" s="280"/>
      <c r="D20" s="216">
        <v>0</v>
      </c>
      <c r="E20" s="216" t="e">
        <f>D20*#REF!</f>
        <v>#REF!</v>
      </c>
      <c r="F20" s="216" t="e">
        <f>D20*#REF!</f>
        <v>#REF!</v>
      </c>
      <c r="G20" s="216" t="e">
        <f>(D20*#REF!)*#REF!</f>
        <v>#REF!</v>
      </c>
      <c r="H20" s="211">
        <f t="shared" si="0"/>
        <v>0</v>
      </c>
      <c r="I20" s="7" t="e">
        <f t="shared" si="1"/>
        <v>#REF!</v>
      </c>
      <c r="J20" s="5"/>
      <c r="K20" s="280"/>
      <c r="L20" s="216">
        <v>0</v>
      </c>
      <c r="M20" s="318">
        <v>4105</v>
      </c>
      <c r="N20" s="36">
        <v>20500</v>
      </c>
      <c r="O20" s="268">
        <f>VLOOKUP(A20,TB!A:F,3)</f>
        <v>3105</v>
      </c>
      <c r="P20" s="36"/>
      <c r="Q20" s="36">
        <v>15000</v>
      </c>
      <c r="R20" s="281">
        <f>VLOOKUP(A20,TB!A:F,6)</f>
        <v>12500</v>
      </c>
      <c r="S20" s="5"/>
    </row>
    <row r="21" spans="1:19" ht="15.75" hidden="1" customHeight="1" outlineLevel="1" x14ac:dyDescent="0.25">
      <c r="A21" s="6" t="s">
        <v>1333</v>
      </c>
      <c r="B21" s="6" t="s">
        <v>88</v>
      </c>
      <c r="C21" s="280"/>
      <c r="D21" s="216">
        <v>0</v>
      </c>
      <c r="E21" s="216" t="e">
        <f>D21*#REF!</f>
        <v>#REF!</v>
      </c>
      <c r="F21" s="216" t="e">
        <f>D21*#REF!</f>
        <v>#REF!</v>
      </c>
      <c r="G21" s="216" t="e">
        <f>(D21*#REF!)*#REF!</f>
        <v>#REF!</v>
      </c>
      <c r="H21" s="211">
        <f t="shared" si="0"/>
        <v>0</v>
      </c>
      <c r="I21" s="7" t="e">
        <f t="shared" si="1"/>
        <v>#REF!</v>
      </c>
      <c r="J21" s="5"/>
      <c r="K21" s="280"/>
      <c r="L21" s="216">
        <v>0</v>
      </c>
      <c r="M21" s="318">
        <v>1340.22</v>
      </c>
      <c r="N21" s="36">
        <v>14000</v>
      </c>
      <c r="O21" s="268">
        <f>VLOOKUP(A21,TB!A:F,3)</f>
        <v>0</v>
      </c>
      <c r="P21" s="36"/>
      <c r="Q21" s="36">
        <v>30500</v>
      </c>
      <c r="R21" s="281">
        <f>VLOOKUP(A21,TB!A:F,6)</f>
        <v>30500</v>
      </c>
      <c r="S21" s="5"/>
    </row>
    <row r="22" spans="1:19" ht="15.75" hidden="1" customHeight="1" outlineLevel="1" x14ac:dyDescent="0.25">
      <c r="A22" s="6" t="s">
        <v>1334</v>
      </c>
      <c r="B22" s="6" t="s">
        <v>90</v>
      </c>
      <c r="C22" s="280"/>
      <c r="D22" s="216">
        <v>0</v>
      </c>
      <c r="E22" s="216" t="e">
        <f>D22*#REF!</f>
        <v>#REF!</v>
      </c>
      <c r="F22" s="216" t="e">
        <f>D22*#REF!</f>
        <v>#REF!</v>
      </c>
      <c r="G22" s="216" t="e">
        <f>(D22*#REF!)*#REF!</f>
        <v>#REF!</v>
      </c>
      <c r="H22" s="211">
        <f t="shared" si="0"/>
        <v>0</v>
      </c>
      <c r="I22" s="7" t="e">
        <f t="shared" si="1"/>
        <v>#REF!</v>
      </c>
      <c r="J22" s="5"/>
      <c r="K22" s="280"/>
      <c r="L22" s="216">
        <v>0</v>
      </c>
      <c r="M22" s="318">
        <v>0</v>
      </c>
      <c r="N22" s="36">
        <v>18000</v>
      </c>
      <c r="O22" s="268">
        <f>VLOOKUP(A22,TB!A:F,3)</f>
        <v>3020</v>
      </c>
      <c r="P22" s="36"/>
      <c r="Q22" s="36">
        <v>20000</v>
      </c>
      <c r="R22" s="281">
        <f>VLOOKUP(A22,TB!A:F,6)</f>
        <v>15000</v>
      </c>
      <c r="S22" s="5"/>
    </row>
    <row r="23" spans="1:19" ht="15.75" hidden="1" customHeight="1" outlineLevel="1" x14ac:dyDescent="0.25">
      <c r="A23" s="6" t="s">
        <v>1335</v>
      </c>
      <c r="B23" s="6" t="s">
        <v>1336</v>
      </c>
      <c r="C23" s="280"/>
      <c r="D23" s="216">
        <v>0</v>
      </c>
      <c r="E23" s="216" t="e">
        <f>D23*#REF!</f>
        <v>#REF!</v>
      </c>
      <c r="F23" s="216" t="e">
        <f>D23*#REF!</f>
        <v>#REF!</v>
      </c>
      <c r="G23" s="216" t="e">
        <f>(D23*#REF!)*#REF!</f>
        <v>#REF!</v>
      </c>
      <c r="H23" s="211">
        <f t="shared" si="0"/>
        <v>0</v>
      </c>
      <c r="I23" s="7" t="e">
        <f t="shared" si="1"/>
        <v>#REF!</v>
      </c>
      <c r="J23" s="5"/>
      <c r="K23" s="280"/>
      <c r="L23" s="216">
        <v>0</v>
      </c>
      <c r="M23" s="318">
        <v>217849.61</v>
      </c>
      <c r="N23" s="36">
        <v>451000</v>
      </c>
      <c r="O23" s="268">
        <f>VLOOKUP(A23,TB!A:F,3)</f>
        <v>274221.46999999997</v>
      </c>
      <c r="P23" s="36"/>
      <c r="Q23" s="36">
        <v>631000</v>
      </c>
      <c r="R23" s="281">
        <f>VLOOKUP(A23,TB!A:F,6)</f>
        <v>531000</v>
      </c>
      <c r="S23" s="5"/>
    </row>
    <row r="24" spans="1:19" ht="15.75" hidden="1" customHeight="1" outlineLevel="1" x14ac:dyDescent="0.25">
      <c r="A24" s="6" t="s">
        <v>1337</v>
      </c>
      <c r="B24" s="6" t="s">
        <v>1338</v>
      </c>
      <c r="C24" s="280"/>
      <c r="D24" s="216">
        <v>0</v>
      </c>
      <c r="E24" s="216" t="e">
        <f>D24*#REF!</f>
        <v>#REF!</v>
      </c>
      <c r="F24" s="216" t="e">
        <f>D24*#REF!</f>
        <v>#REF!</v>
      </c>
      <c r="G24" s="216" t="e">
        <f>(D24*#REF!)*#REF!</f>
        <v>#REF!</v>
      </c>
      <c r="H24" s="211">
        <f t="shared" si="0"/>
        <v>0</v>
      </c>
      <c r="I24" s="7" t="e">
        <f t="shared" si="1"/>
        <v>#REF!</v>
      </c>
      <c r="J24" s="5"/>
      <c r="K24" s="280"/>
      <c r="L24" s="216">
        <v>0</v>
      </c>
      <c r="M24" s="318">
        <v>590200.48</v>
      </c>
      <c r="N24" s="36">
        <v>880000</v>
      </c>
      <c r="O24" s="268">
        <f>VLOOKUP(A24,TB!A:F,3)</f>
        <v>865782.95</v>
      </c>
      <c r="P24" s="36"/>
      <c r="Q24" s="36">
        <v>880000</v>
      </c>
      <c r="R24" s="281">
        <f>VLOOKUP(A24,TB!A:F,6)</f>
        <v>880000</v>
      </c>
      <c r="S24" s="5"/>
    </row>
    <row r="25" spans="1:19" ht="15.75" hidden="1" customHeight="1" outlineLevel="1" x14ac:dyDescent="0.25">
      <c r="A25" s="6" t="s">
        <v>1339</v>
      </c>
      <c r="B25" s="6" t="s">
        <v>1340</v>
      </c>
      <c r="C25" s="280"/>
      <c r="D25" s="216">
        <v>0</v>
      </c>
      <c r="E25" s="216" t="e">
        <f>D25*#REF!</f>
        <v>#REF!</v>
      </c>
      <c r="F25" s="216" t="e">
        <f>D25*#REF!</f>
        <v>#REF!</v>
      </c>
      <c r="G25" s="216" t="e">
        <f>(D25*#REF!)*#REF!</f>
        <v>#REF!</v>
      </c>
      <c r="H25" s="211">
        <f t="shared" si="0"/>
        <v>0</v>
      </c>
      <c r="I25" s="7" t="e">
        <f t="shared" si="1"/>
        <v>#REF!</v>
      </c>
      <c r="J25" s="5"/>
      <c r="K25" s="280"/>
      <c r="L25" s="216">
        <v>0</v>
      </c>
      <c r="M25" s="318">
        <v>460200.43</v>
      </c>
      <c r="N25" s="36">
        <v>500000</v>
      </c>
      <c r="O25" s="268">
        <f>VLOOKUP(A25,TB!A:F,3)</f>
        <v>563094.27</v>
      </c>
      <c r="P25" s="36"/>
      <c r="Q25" s="36">
        <v>500000</v>
      </c>
      <c r="R25" s="281">
        <f>VLOOKUP(A25,TB!A:F,6)</f>
        <v>500000</v>
      </c>
      <c r="S25" s="5"/>
    </row>
    <row r="26" spans="1:19" ht="15.75" hidden="1" customHeight="1" outlineLevel="1" x14ac:dyDescent="0.25">
      <c r="A26" s="6" t="s">
        <v>1341</v>
      </c>
      <c r="B26" s="6" t="s">
        <v>1342</v>
      </c>
      <c r="C26" s="280"/>
      <c r="D26" s="216">
        <v>0</v>
      </c>
      <c r="E26" s="216" t="e">
        <f>D26*#REF!</f>
        <v>#REF!</v>
      </c>
      <c r="F26" s="216" t="e">
        <f>D26*#REF!</f>
        <v>#REF!</v>
      </c>
      <c r="G26" s="216" t="e">
        <f>(D26*#REF!)*#REF!</f>
        <v>#REF!</v>
      </c>
      <c r="H26" s="211">
        <f t="shared" si="0"/>
        <v>0</v>
      </c>
      <c r="I26" s="7" t="e">
        <f t="shared" si="1"/>
        <v>#REF!</v>
      </c>
      <c r="J26" s="5"/>
      <c r="K26" s="280"/>
      <c r="L26" s="216">
        <v>0</v>
      </c>
      <c r="M26" s="318">
        <v>62750.04</v>
      </c>
      <c r="N26" s="36">
        <v>75000</v>
      </c>
      <c r="O26" s="268">
        <f>VLOOKUP(A26,TB!A:F,3)</f>
        <v>13646.33</v>
      </c>
      <c r="P26" s="36"/>
      <c r="Q26" s="36">
        <v>75000</v>
      </c>
      <c r="R26" s="281">
        <f>VLOOKUP(A26,TB!A:F,6)</f>
        <v>50000</v>
      </c>
      <c r="S26" s="5"/>
    </row>
    <row r="27" spans="1:19" ht="15.75" hidden="1" customHeight="1" outlineLevel="1" x14ac:dyDescent="0.25">
      <c r="A27" s="6" t="s">
        <v>1343</v>
      </c>
      <c r="B27" s="6" t="s">
        <v>1344</v>
      </c>
      <c r="C27" s="280"/>
      <c r="D27" s="216">
        <v>0</v>
      </c>
      <c r="E27" s="216" t="e">
        <f>D27*#REF!</f>
        <v>#REF!</v>
      </c>
      <c r="F27" s="216" t="e">
        <f>D27*#REF!</f>
        <v>#REF!</v>
      </c>
      <c r="G27" s="216" t="e">
        <f>(D27*#REF!)*#REF!</f>
        <v>#REF!</v>
      </c>
      <c r="H27" s="211">
        <f t="shared" si="0"/>
        <v>0</v>
      </c>
      <c r="I27" s="7" t="e">
        <f t="shared" si="1"/>
        <v>#REF!</v>
      </c>
      <c r="J27" s="5"/>
      <c r="K27" s="280"/>
      <c r="L27" s="216">
        <v>0</v>
      </c>
      <c r="M27" s="318">
        <v>190680.21</v>
      </c>
      <c r="N27" s="36">
        <v>275000</v>
      </c>
      <c r="O27" s="268">
        <f>VLOOKUP(A27,TB!A:F,3)</f>
        <v>154538.87</v>
      </c>
      <c r="P27" s="36"/>
      <c r="Q27" s="36">
        <v>250000</v>
      </c>
      <c r="R27" s="281">
        <f>VLOOKUP(A27,TB!A:F,6)</f>
        <v>250000</v>
      </c>
      <c r="S27" s="5"/>
    </row>
    <row r="28" spans="1:19" ht="15.75" hidden="1" customHeight="1" outlineLevel="1" x14ac:dyDescent="0.25">
      <c r="A28" s="6" t="s">
        <v>1345</v>
      </c>
      <c r="B28" s="6" t="s">
        <v>1346</v>
      </c>
      <c r="C28" s="280"/>
      <c r="D28" s="216">
        <v>0</v>
      </c>
      <c r="E28" s="216" t="e">
        <f>D28*#REF!</f>
        <v>#REF!</v>
      </c>
      <c r="F28" s="216" t="e">
        <f>D28*#REF!</f>
        <v>#REF!</v>
      </c>
      <c r="G28" s="216" t="e">
        <f>(D28*#REF!)*#REF!</f>
        <v>#REF!</v>
      </c>
      <c r="H28" s="211">
        <f t="shared" si="0"/>
        <v>0</v>
      </c>
      <c r="I28" s="7" t="e">
        <f t="shared" si="1"/>
        <v>#REF!</v>
      </c>
      <c r="J28" s="5"/>
      <c r="K28" s="280"/>
      <c r="L28" s="216">
        <v>0</v>
      </c>
      <c r="M28" s="318">
        <v>147663.1</v>
      </c>
      <c r="N28" s="36">
        <v>158000</v>
      </c>
      <c r="O28" s="268">
        <f>VLOOKUP(A28,TB!A:F,3)</f>
        <v>155781.79999999999</v>
      </c>
      <c r="P28" s="36"/>
      <c r="Q28" s="36">
        <v>170000</v>
      </c>
      <c r="R28" s="281">
        <f>VLOOKUP(A28,TB!A:F,6)</f>
        <v>170000</v>
      </c>
      <c r="S28" s="5"/>
    </row>
    <row r="29" spans="1:19" ht="15.75" hidden="1" customHeight="1" outlineLevel="1" x14ac:dyDescent="0.25">
      <c r="A29" s="6" t="s">
        <v>1347</v>
      </c>
      <c r="B29" s="6" t="s">
        <v>1348</v>
      </c>
      <c r="C29" s="280"/>
      <c r="D29" s="216">
        <v>0</v>
      </c>
      <c r="E29" s="216" t="e">
        <f>D29*#REF!</f>
        <v>#REF!</v>
      </c>
      <c r="F29" s="216" t="e">
        <f>D29*#REF!</f>
        <v>#REF!</v>
      </c>
      <c r="G29" s="216" t="e">
        <f>(D29*#REF!)*#REF!</f>
        <v>#REF!</v>
      </c>
      <c r="H29" s="211">
        <f t="shared" si="0"/>
        <v>0</v>
      </c>
      <c r="I29" s="7" t="e">
        <f t="shared" si="1"/>
        <v>#REF!</v>
      </c>
      <c r="J29" s="5"/>
      <c r="K29" s="280"/>
      <c r="L29" s="216">
        <v>0</v>
      </c>
      <c r="M29" s="318">
        <v>60488.14</v>
      </c>
      <c r="N29" s="36">
        <v>80000</v>
      </c>
      <c r="O29" s="268">
        <f>VLOOKUP(A29,TB!A:F,3)</f>
        <v>3241.35</v>
      </c>
      <c r="P29" s="36"/>
      <c r="Q29" s="36">
        <v>85000</v>
      </c>
      <c r="R29" s="281">
        <f>VLOOKUP(A29,TB!A:F,6)</f>
        <v>75000</v>
      </c>
      <c r="S29" s="5"/>
    </row>
    <row r="30" spans="1:19" ht="15.75" hidden="1" customHeight="1" outlineLevel="1" x14ac:dyDescent="0.25">
      <c r="A30" s="6" t="s">
        <v>1349</v>
      </c>
      <c r="B30" s="6" t="s">
        <v>1350</v>
      </c>
      <c r="C30" s="280"/>
      <c r="D30" s="216">
        <v>0</v>
      </c>
      <c r="E30" s="216" t="e">
        <f>D30*#REF!</f>
        <v>#REF!</v>
      </c>
      <c r="F30" s="216" t="e">
        <f>D30*#REF!</f>
        <v>#REF!</v>
      </c>
      <c r="G30" s="216" t="e">
        <f>(D30*#REF!)*#REF!</f>
        <v>#REF!</v>
      </c>
      <c r="H30" s="211">
        <f t="shared" si="0"/>
        <v>0</v>
      </c>
      <c r="I30" s="7" t="e">
        <f t="shared" si="1"/>
        <v>#REF!</v>
      </c>
      <c r="J30" s="5"/>
      <c r="K30" s="280"/>
      <c r="L30" s="216">
        <v>0</v>
      </c>
      <c r="M30" s="318">
        <v>13442.79</v>
      </c>
      <c r="N30" s="36">
        <v>58000</v>
      </c>
      <c r="O30" s="268">
        <f>VLOOKUP(A30,TB!A:F,3)</f>
        <v>27006.34</v>
      </c>
      <c r="P30" s="36"/>
      <c r="Q30" s="36">
        <v>65000</v>
      </c>
      <c r="R30" s="281">
        <f>VLOOKUP(A30,TB!A:F,6)</f>
        <v>60000</v>
      </c>
      <c r="S30" s="5"/>
    </row>
    <row r="31" spans="1:19" ht="15.75" hidden="1" customHeight="1" outlineLevel="1" x14ac:dyDescent="0.25">
      <c r="A31" s="6" t="s">
        <v>1351</v>
      </c>
      <c r="B31" s="6" t="s">
        <v>468</v>
      </c>
      <c r="C31" s="280"/>
      <c r="D31" s="216">
        <v>0</v>
      </c>
      <c r="E31" s="216" t="e">
        <f>D31*#REF!</f>
        <v>#REF!</v>
      </c>
      <c r="F31" s="216" t="e">
        <f>D31*#REF!</f>
        <v>#REF!</v>
      </c>
      <c r="G31" s="216" t="e">
        <f>(D31*#REF!)*#REF!</f>
        <v>#REF!</v>
      </c>
      <c r="H31" s="211">
        <f t="shared" si="0"/>
        <v>0</v>
      </c>
      <c r="I31" s="7" t="e">
        <f t="shared" si="1"/>
        <v>#REF!</v>
      </c>
      <c r="J31" s="5"/>
      <c r="K31" s="280"/>
      <c r="L31" s="216">
        <v>0</v>
      </c>
      <c r="M31" s="318">
        <v>0</v>
      </c>
      <c r="N31" s="36">
        <v>20000</v>
      </c>
      <c r="O31" s="268">
        <f>VLOOKUP(A31,TB!A:F,3)</f>
        <v>8250.58</v>
      </c>
      <c r="P31" s="36"/>
      <c r="Q31" s="36">
        <v>22000</v>
      </c>
      <c r="R31" s="281">
        <f>VLOOKUP(A31,TB!A:F,6)</f>
        <v>20000</v>
      </c>
      <c r="S31" s="5"/>
    </row>
    <row r="32" spans="1:19" ht="15.75" hidden="1" customHeight="1" outlineLevel="1" x14ac:dyDescent="0.25">
      <c r="A32" s="6" t="s">
        <v>1352</v>
      </c>
      <c r="B32" s="6" t="s">
        <v>92</v>
      </c>
      <c r="C32" s="280"/>
      <c r="D32" s="216">
        <v>0</v>
      </c>
      <c r="E32" s="216" t="e">
        <f>D32*#REF!</f>
        <v>#REF!</v>
      </c>
      <c r="F32" s="216" t="e">
        <f>D32*#REF!</f>
        <v>#REF!</v>
      </c>
      <c r="G32" s="216" t="e">
        <f>(D32*#REF!)*#REF!</f>
        <v>#REF!</v>
      </c>
      <c r="H32" s="211">
        <f t="shared" si="0"/>
        <v>0</v>
      </c>
      <c r="I32" s="7" t="e">
        <f t="shared" si="1"/>
        <v>#REF!</v>
      </c>
      <c r="J32" s="5"/>
      <c r="K32" s="280"/>
      <c r="L32" s="216">
        <v>0</v>
      </c>
      <c r="M32" s="318">
        <v>91471.91</v>
      </c>
      <c r="N32" s="36">
        <v>81000</v>
      </c>
      <c r="O32" s="268">
        <f>VLOOKUP(A32,TB!A:F,3)</f>
        <v>102814.84</v>
      </c>
      <c r="P32" s="36"/>
      <c r="Q32" s="36">
        <v>100000</v>
      </c>
      <c r="R32" s="281">
        <f>VLOOKUP(A32,TB!A:F,6)</f>
        <v>100000</v>
      </c>
      <c r="S32" s="5"/>
    </row>
    <row r="33" spans="1:28" ht="15.75" hidden="1" customHeight="1" outlineLevel="1" x14ac:dyDescent="0.25">
      <c r="A33" s="6" t="s">
        <v>1353</v>
      </c>
      <c r="B33" s="6" t="s">
        <v>94</v>
      </c>
      <c r="C33" s="280"/>
      <c r="D33" s="216">
        <v>0</v>
      </c>
      <c r="E33" s="216" t="e">
        <f>D33*#REF!</f>
        <v>#REF!</v>
      </c>
      <c r="F33" s="216" t="e">
        <f>D33*#REF!</f>
        <v>#REF!</v>
      </c>
      <c r="G33" s="216" t="e">
        <f>(D33*#REF!)*#REF!</f>
        <v>#REF!</v>
      </c>
      <c r="H33" s="211">
        <f t="shared" si="0"/>
        <v>0</v>
      </c>
      <c r="I33" s="7" t="e">
        <f t="shared" si="1"/>
        <v>#REF!</v>
      </c>
      <c r="J33" s="5"/>
      <c r="K33" s="280"/>
      <c r="L33" s="216">
        <v>0</v>
      </c>
      <c r="M33" s="318">
        <v>0</v>
      </c>
      <c r="N33" s="36">
        <v>10000</v>
      </c>
      <c r="O33" s="268">
        <f>VLOOKUP(A33,TB!A:F,3)</f>
        <v>0</v>
      </c>
      <c r="P33" s="36"/>
      <c r="Q33" s="36">
        <v>10000</v>
      </c>
      <c r="R33" s="281">
        <f>VLOOKUP(A33,TB!A:F,6)</f>
        <v>5000</v>
      </c>
      <c r="S33" s="5"/>
    </row>
    <row r="34" spans="1:28" ht="15.75" hidden="1" customHeight="1" outlineLevel="1" x14ac:dyDescent="0.25">
      <c r="A34" s="6" t="s">
        <v>1354</v>
      </c>
      <c r="B34" s="6" t="s">
        <v>1355</v>
      </c>
      <c r="C34" s="280"/>
      <c r="D34" s="216">
        <v>0</v>
      </c>
      <c r="E34" s="216" t="e">
        <f>D34*#REF!</f>
        <v>#REF!</v>
      </c>
      <c r="F34" s="216" t="e">
        <f>D34*#REF!</f>
        <v>#REF!</v>
      </c>
      <c r="G34" s="216" t="e">
        <f>(D34*#REF!)*#REF!</f>
        <v>#REF!</v>
      </c>
      <c r="H34" s="211">
        <f t="shared" si="0"/>
        <v>0</v>
      </c>
      <c r="I34" s="7" t="e">
        <f t="shared" si="1"/>
        <v>#REF!</v>
      </c>
      <c r="J34" s="5"/>
      <c r="K34" s="280"/>
      <c r="L34" s="216">
        <v>0</v>
      </c>
      <c r="M34" s="318">
        <v>5000</v>
      </c>
      <c r="N34" s="36">
        <v>0</v>
      </c>
      <c r="O34" s="268">
        <f>VLOOKUP(A34,TB!A:F,3)</f>
        <v>0</v>
      </c>
      <c r="P34" s="36"/>
      <c r="Q34" s="36">
        <v>0</v>
      </c>
      <c r="R34" s="281">
        <f>VLOOKUP(A34,TB!A:F,6)</f>
        <v>0</v>
      </c>
      <c r="S34" s="5"/>
    </row>
    <row r="35" spans="1:28" ht="15.75" hidden="1" customHeight="1" outlineLevel="1" x14ac:dyDescent="0.25">
      <c r="A35" s="6" t="s">
        <v>1356</v>
      </c>
      <c r="B35" s="6" t="s">
        <v>532</v>
      </c>
      <c r="C35" s="280"/>
      <c r="D35" s="216">
        <v>0</v>
      </c>
      <c r="E35" s="216" t="e">
        <f>D35*#REF!</f>
        <v>#REF!</v>
      </c>
      <c r="F35" s="216" t="e">
        <f>D35*#REF!</f>
        <v>#REF!</v>
      </c>
      <c r="G35" s="216" t="e">
        <f>(D35*#REF!)*#REF!</f>
        <v>#REF!</v>
      </c>
      <c r="H35" s="211">
        <f t="shared" si="0"/>
        <v>0</v>
      </c>
      <c r="I35" s="7" t="e">
        <f t="shared" si="1"/>
        <v>#REF!</v>
      </c>
      <c r="J35" s="5"/>
      <c r="K35" s="280"/>
      <c r="L35" s="216">
        <v>0</v>
      </c>
      <c r="M35" s="318">
        <v>478017.22</v>
      </c>
      <c r="N35" s="36">
        <v>0</v>
      </c>
      <c r="O35" s="268">
        <f>VLOOKUP(A35,TB!A:F,3)</f>
        <v>0</v>
      </c>
      <c r="P35" s="36"/>
      <c r="Q35" s="36">
        <v>0</v>
      </c>
      <c r="R35" s="281">
        <f>VLOOKUP(A35,TB!A:F,6)</f>
        <v>0</v>
      </c>
      <c r="S35" s="5"/>
    </row>
    <row r="36" spans="1:28" ht="15.75" hidden="1" customHeight="1" outlineLevel="1" x14ac:dyDescent="0.25">
      <c r="A36" s="6" t="s">
        <v>1357</v>
      </c>
      <c r="B36" s="6" t="s">
        <v>99</v>
      </c>
      <c r="C36" s="280"/>
      <c r="D36" s="216">
        <v>0</v>
      </c>
      <c r="E36" s="216" t="e">
        <f>D36*#REF!</f>
        <v>#REF!</v>
      </c>
      <c r="F36" s="216" t="e">
        <f>D36*#REF!</f>
        <v>#REF!</v>
      </c>
      <c r="G36" s="216" t="e">
        <f>(D36*#REF!)*#REF!</f>
        <v>#REF!</v>
      </c>
      <c r="H36" s="211">
        <f t="shared" si="0"/>
        <v>0</v>
      </c>
      <c r="I36" s="7" t="e">
        <f t="shared" si="1"/>
        <v>#REF!</v>
      </c>
      <c r="J36" s="5"/>
      <c r="K36" s="280"/>
      <c r="L36" s="216">
        <v>0</v>
      </c>
      <c r="M36" s="318">
        <v>917049.74</v>
      </c>
      <c r="N36" s="36">
        <v>0</v>
      </c>
      <c r="O36" s="268">
        <f>VLOOKUP(A36,TB!A:F,3)</f>
        <v>0</v>
      </c>
      <c r="P36" s="36"/>
      <c r="Q36" s="36">
        <v>0</v>
      </c>
      <c r="R36" s="281">
        <f>VLOOKUP(A36,TB!A:F,6)</f>
        <v>0</v>
      </c>
      <c r="S36" s="5"/>
    </row>
    <row r="37" spans="1:28" ht="15.75" hidden="1" customHeight="1" outlineLevel="1" x14ac:dyDescent="0.25">
      <c r="A37" s="6" t="s">
        <v>1358</v>
      </c>
      <c r="B37" s="6" t="s">
        <v>1359</v>
      </c>
      <c r="C37" s="280"/>
      <c r="D37" s="216">
        <v>0</v>
      </c>
      <c r="E37" s="216" t="e">
        <f>D37*#REF!</f>
        <v>#REF!</v>
      </c>
      <c r="F37" s="216" t="e">
        <f>D37*#REF!</f>
        <v>#REF!</v>
      </c>
      <c r="G37" s="216" t="e">
        <f>(D37*#REF!)*#REF!</f>
        <v>#REF!</v>
      </c>
      <c r="H37" s="211">
        <f t="shared" si="0"/>
        <v>0</v>
      </c>
      <c r="I37" s="7" t="e">
        <f t="shared" si="1"/>
        <v>#REF!</v>
      </c>
      <c r="J37" s="5"/>
      <c r="K37" s="280"/>
      <c r="L37" s="216">
        <v>0</v>
      </c>
      <c r="M37" s="318">
        <v>815.91</v>
      </c>
      <c r="N37" s="36">
        <v>0</v>
      </c>
      <c r="O37" s="268">
        <f>VLOOKUP(A37,TB!A:F,3)</f>
        <v>0</v>
      </c>
      <c r="P37" s="36"/>
      <c r="Q37" s="36">
        <v>0</v>
      </c>
      <c r="R37" s="281">
        <f>VLOOKUP(A37,TB!A:F,6)</f>
        <v>0</v>
      </c>
      <c r="S37" s="5"/>
    </row>
    <row r="38" spans="1:28" ht="15.75" hidden="1" customHeight="1" outlineLevel="1" x14ac:dyDescent="0.25">
      <c r="A38" s="47" t="s">
        <v>1360</v>
      </c>
      <c r="B38" s="48"/>
      <c r="C38" s="282"/>
      <c r="D38" s="12">
        <f t="shared" ref="D38:G38" si="2">SUM(D5:D37)</f>
        <v>0</v>
      </c>
      <c r="E38" s="12" t="e">
        <f t="shared" si="2"/>
        <v>#REF!</v>
      </c>
      <c r="F38" s="12" t="e">
        <f t="shared" si="2"/>
        <v>#REF!</v>
      </c>
      <c r="G38" s="12" t="e">
        <f t="shared" si="2"/>
        <v>#REF!</v>
      </c>
      <c r="H38" s="212">
        <f t="shared" si="0"/>
        <v>0</v>
      </c>
      <c r="I38" s="12" t="e">
        <f t="shared" si="1"/>
        <v>#REF!</v>
      </c>
      <c r="J38" s="48"/>
      <c r="K38" s="282"/>
      <c r="L38" s="12">
        <f t="shared" ref="L38:O38" si="3">SUM(L5:L37)</f>
        <v>0</v>
      </c>
      <c r="M38" s="12">
        <f t="shared" si="3"/>
        <v>6142974.1399999997</v>
      </c>
      <c r="N38" s="12">
        <f t="shared" si="3"/>
        <v>5867065</v>
      </c>
      <c r="O38" s="12">
        <f t="shared" si="3"/>
        <v>4468319.0600000005</v>
      </c>
      <c r="P38" s="12"/>
      <c r="Q38" s="12">
        <f t="shared" ref="Q38:R38" si="4">SUM(Q5:Q37)</f>
        <v>6322000</v>
      </c>
      <c r="R38" s="12">
        <f t="shared" si="4"/>
        <v>6113500</v>
      </c>
      <c r="S38" s="5"/>
      <c r="V38" s="44"/>
      <c r="W38" s="44"/>
      <c r="X38" s="44"/>
      <c r="Y38" s="44"/>
      <c r="Z38" s="44"/>
      <c r="AA38" s="44"/>
      <c r="AB38" s="44"/>
    </row>
    <row r="39" spans="1:28" ht="15.75" hidden="1" customHeight="1" outlineLevel="1" x14ac:dyDescent="0.2">
      <c r="A39" s="5"/>
      <c r="B39" s="5"/>
      <c r="C39" s="284"/>
      <c r="D39" s="5"/>
      <c r="E39" s="5"/>
      <c r="F39" s="5"/>
      <c r="G39" s="5"/>
      <c r="H39" s="5"/>
      <c r="I39" s="5"/>
      <c r="J39" s="5"/>
      <c r="K39" s="284"/>
      <c r="L39" s="5"/>
      <c r="M39" s="5"/>
      <c r="N39" s="5"/>
      <c r="O39" s="5"/>
      <c r="P39" s="5"/>
      <c r="Q39" s="5"/>
      <c r="R39" s="5"/>
      <c r="S39" s="5"/>
    </row>
    <row r="40" spans="1:28" ht="15.75" hidden="1" customHeight="1" outlineLevel="1" x14ac:dyDescent="0.2">
      <c r="A40" s="5"/>
      <c r="B40" s="5"/>
      <c r="C40" s="284"/>
      <c r="D40" s="5"/>
      <c r="E40" s="5"/>
      <c r="F40" s="5"/>
      <c r="G40" s="5"/>
      <c r="H40" s="5"/>
      <c r="I40" s="5"/>
      <c r="J40" s="5"/>
      <c r="K40" s="284"/>
      <c r="L40" s="5"/>
      <c r="M40" s="5"/>
      <c r="N40" s="5"/>
      <c r="O40" s="5"/>
      <c r="P40" s="5"/>
      <c r="Q40" s="5"/>
      <c r="R40" s="5"/>
      <c r="S40" s="5"/>
    </row>
    <row r="41" spans="1:28" ht="15.75" hidden="1" customHeight="1" outlineLevel="1" x14ac:dyDescent="0.2">
      <c r="A41" s="3" t="s">
        <v>50</v>
      </c>
      <c r="B41" s="3" t="s">
        <v>51</v>
      </c>
      <c r="C41" s="292"/>
      <c r="D41" s="3" t="s">
        <v>52</v>
      </c>
      <c r="E41" s="380" t="s">
        <v>53</v>
      </c>
      <c r="F41" s="380" t="s">
        <v>1212</v>
      </c>
      <c r="G41" s="380" t="s">
        <v>55</v>
      </c>
      <c r="H41" s="230" t="s">
        <v>56</v>
      </c>
      <c r="I41" s="230" t="s">
        <v>57</v>
      </c>
      <c r="J41" s="5"/>
      <c r="K41" s="292"/>
      <c r="L41" s="3" t="s">
        <v>59</v>
      </c>
      <c r="M41" s="3" t="s">
        <v>60</v>
      </c>
      <c r="N41" s="3" t="s">
        <v>436</v>
      </c>
      <c r="O41" s="3" t="s">
        <v>437</v>
      </c>
      <c r="P41" s="293"/>
      <c r="Q41" s="293" t="s">
        <v>438</v>
      </c>
      <c r="R41" s="399" t="s">
        <v>1315</v>
      </c>
      <c r="S41" s="5"/>
    </row>
    <row r="42" spans="1:28" ht="15.75" hidden="1" customHeight="1" outlineLevel="1" x14ac:dyDescent="0.25">
      <c r="A42" s="6" t="s">
        <v>1361</v>
      </c>
      <c r="B42" s="6" t="s">
        <v>68</v>
      </c>
      <c r="C42" s="383"/>
      <c r="D42" s="265">
        <v>881578</v>
      </c>
      <c r="E42" s="216" t="e">
        <f>D42*#REF!</f>
        <v>#REF!</v>
      </c>
      <c r="F42" s="216" t="e">
        <f>D42*#REF!</f>
        <v>#REF!</v>
      </c>
      <c r="G42" s="216" t="e">
        <f>(D42*#REF!)*#REF!</f>
        <v>#REF!</v>
      </c>
      <c r="H42" s="211">
        <f t="shared" ref="H42:H73" si="5">IFERROR(((Q42-D42)/D42),0)</f>
        <v>-1</v>
      </c>
      <c r="I42" s="7" t="e">
        <f t="shared" ref="I42:I73" si="6">Q42-G42</f>
        <v>#REF!</v>
      </c>
      <c r="J42" s="5"/>
      <c r="K42" s="383"/>
      <c r="L42" s="265">
        <v>1231744</v>
      </c>
      <c r="M42" s="216">
        <v>0</v>
      </c>
      <c r="N42" s="216">
        <v>0</v>
      </c>
      <c r="O42" s="268">
        <f>VLOOKUP(A42,TB!A:F,3)</f>
        <v>0</v>
      </c>
      <c r="P42" s="216"/>
      <c r="Q42" s="216">
        <v>0</v>
      </c>
      <c r="R42" s="281">
        <f>VLOOKUP(A42,TB!A:F,6)</f>
        <v>0</v>
      </c>
      <c r="S42" s="5"/>
    </row>
    <row r="43" spans="1:28" ht="15.75" hidden="1" customHeight="1" outlineLevel="1" x14ac:dyDescent="0.25">
      <c r="A43" s="6" t="s">
        <v>1362</v>
      </c>
      <c r="B43" s="6" t="s">
        <v>70</v>
      </c>
      <c r="C43" s="280"/>
      <c r="D43" s="216">
        <v>32223</v>
      </c>
      <c r="E43" s="216" t="e">
        <f>D43*#REF!</f>
        <v>#REF!</v>
      </c>
      <c r="F43" s="216" t="e">
        <f>D43*#REF!</f>
        <v>#REF!</v>
      </c>
      <c r="G43" s="216" t="e">
        <f>(D43*#REF!)*#REF!</f>
        <v>#REF!</v>
      </c>
      <c r="H43" s="211">
        <f t="shared" si="5"/>
        <v>-1</v>
      </c>
      <c r="I43" s="7" t="e">
        <f t="shared" si="6"/>
        <v>#REF!</v>
      </c>
      <c r="J43" s="5"/>
      <c r="K43" s="280"/>
      <c r="L43" s="216">
        <v>82311</v>
      </c>
      <c r="M43" s="216">
        <v>0</v>
      </c>
      <c r="N43" s="216">
        <v>0</v>
      </c>
      <c r="O43" s="268">
        <f>VLOOKUP(A43,TB!A:F,3)</f>
        <v>0</v>
      </c>
      <c r="P43" s="216"/>
      <c r="Q43" s="216">
        <v>0</v>
      </c>
      <c r="R43" s="281">
        <f>VLOOKUP(A43,TB!A:F,6)</f>
        <v>0</v>
      </c>
      <c r="S43" s="5"/>
    </row>
    <row r="44" spans="1:28" ht="15.75" hidden="1" customHeight="1" outlineLevel="1" x14ac:dyDescent="0.25">
      <c r="A44" s="6" t="s">
        <v>1363</v>
      </c>
      <c r="B44" s="6" t="s">
        <v>132</v>
      </c>
      <c r="C44" s="280"/>
      <c r="D44" s="216">
        <v>9828</v>
      </c>
      <c r="E44" s="216" t="e">
        <f>D44*#REF!</f>
        <v>#REF!</v>
      </c>
      <c r="F44" s="216" t="e">
        <f>D44*#REF!</f>
        <v>#REF!</v>
      </c>
      <c r="G44" s="216" t="e">
        <f>(D44*#REF!)*#REF!</f>
        <v>#REF!</v>
      </c>
      <c r="H44" s="211">
        <f t="shared" si="5"/>
        <v>-1</v>
      </c>
      <c r="I44" s="7" t="e">
        <f t="shared" si="6"/>
        <v>#REF!</v>
      </c>
      <c r="J44" s="5"/>
      <c r="K44" s="280"/>
      <c r="L44" s="216">
        <v>14839</v>
      </c>
      <c r="M44" s="216">
        <v>0</v>
      </c>
      <c r="N44" s="216">
        <v>0</v>
      </c>
      <c r="O44" s="268">
        <f>VLOOKUP(A44,TB!A:F,3)</f>
        <v>0</v>
      </c>
      <c r="P44" s="216"/>
      <c r="Q44" s="216">
        <v>0</v>
      </c>
      <c r="R44" s="281">
        <f>VLOOKUP(A44,TB!A:F,6)</f>
        <v>0</v>
      </c>
      <c r="S44" s="5"/>
    </row>
    <row r="45" spans="1:28" ht="15.75" hidden="1" customHeight="1" outlineLevel="1" x14ac:dyDescent="0.25">
      <c r="A45" s="6" t="s">
        <v>1364</v>
      </c>
      <c r="B45" s="6" t="s">
        <v>108</v>
      </c>
      <c r="C45" s="280"/>
      <c r="D45" s="216">
        <v>125138</v>
      </c>
      <c r="E45" s="216" t="e">
        <f>D45*#REF!</f>
        <v>#REF!</v>
      </c>
      <c r="F45" s="216" t="e">
        <f>D45*#REF!</f>
        <v>#REF!</v>
      </c>
      <c r="G45" s="216" t="e">
        <f>(D45*#REF!)*#REF!</f>
        <v>#REF!</v>
      </c>
      <c r="H45" s="211">
        <f t="shared" si="5"/>
        <v>-1</v>
      </c>
      <c r="I45" s="7" t="e">
        <f t="shared" si="6"/>
        <v>#REF!</v>
      </c>
      <c r="J45" s="5"/>
      <c r="K45" s="280"/>
      <c r="L45" s="216">
        <v>119533</v>
      </c>
      <c r="M45" s="216">
        <v>0</v>
      </c>
      <c r="N45" s="216">
        <v>0</v>
      </c>
      <c r="O45" s="268">
        <f>VLOOKUP(A45,TB!A:F,3)</f>
        <v>0</v>
      </c>
      <c r="P45" s="216"/>
      <c r="Q45" s="216">
        <v>0</v>
      </c>
      <c r="R45" s="281">
        <f>VLOOKUP(A45,TB!A:F,6)</f>
        <v>0</v>
      </c>
      <c r="S45" s="5"/>
    </row>
    <row r="46" spans="1:28" ht="15.75" hidden="1" customHeight="1" outlineLevel="1" x14ac:dyDescent="0.25">
      <c r="A46" s="6" t="s">
        <v>1365</v>
      </c>
      <c r="B46" s="6" t="s">
        <v>72</v>
      </c>
      <c r="C46" s="280"/>
      <c r="D46" s="216">
        <v>474200</v>
      </c>
      <c r="E46" s="216" t="e">
        <f>D46*#REF!</f>
        <v>#REF!</v>
      </c>
      <c r="F46" s="216" t="e">
        <f>D46*#REF!</f>
        <v>#REF!</v>
      </c>
      <c r="G46" s="216" t="e">
        <f>(D46*#REF!)*#REF!</f>
        <v>#REF!</v>
      </c>
      <c r="H46" s="211">
        <f t="shared" si="5"/>
        <v>-1</v>
      </c>
      <c r="I46" s="7" t="e">
        <f t="shared" si="6"/>
        <v>#REF!</v>
      </c>
      <c r="J46" s="5"/>
      <c r="K46" s="280"/>
      <c r="L46" s="216">
        <v>600973</v>
      </c>
      <c r="M46" s="216">
        <v>0</v>
      </c>
      <c r="N46" s="216">
        <v>0</v>
      </c>
      <c r="O46" s="268">
        <f>VLOOKUP(A46,TB!A:F,3)</f>
        <v>0</v>
      </c>
      <c r="P46" s="216"/>
      <c r="Q46" s="216">
        <v>0</v>
      </c>
      <c r="R46" s="281">
        <f>VLOOKUP(A46,TB!A:F,6)</f>
        <v>0</v>
      </c>
      <c r="S46" s="5"/>
    </row>
    <row r="47" spans="1:28" ht="15.75" hidden="1" customHeight="1" outlineLevel="1" x14ac:dyDescent="0.25">
      <c r="A47" s="6" t="s">
        <v>1366</v>
      </c>
      <c r="B47" s="6" t="s">
        <v>892</v>
      </c>
      <c r="C47" s="280"/>
      <c r="D47" s="216">
        <v>8454</v>
      </c>
      <c r="E47" s="216" t="e">
        <f>D47*#REF!</f>
        <v>#REF!</v>
      </c>
      <c r="F47" s="216" t="e">
        <f>D47*#REF!</f>
        <v>#REF!</v>
      </c>
      <c r="G47" s="216" t="e">
        <f>(D47*#REF!)*#REF!</f>
        <v>#REF!</v>
      </c>
      <c r="H47" s="211">
        <f t="shared" si="5"/>
        <v>-1</v>
      </c>
      <c r="I47" s="7" t="e">
        <f t="shared" si="6"/>
        <v>#REF!</v>
      </c>
      <c r="J47" s="5"/>
      <c r="K47" s="280"/>
      <c r="L47" s="216">
        <v>8742</v>
      </c>
      <c r="M47" s="216">
        <v>0</v>
      </c>
      <c r="N47" s="216">
        <v>0</v>
      </c>
      <c r="O47" s="268">
        <f>VLOOKUP(A47,TB!A:F,3)</f>
        <v>0</v>
      </c>
      <c r="P47" s="216"/>
      <c r="Q47" s="216">
        <v>0</v>
      </c>
      <c r="R47" s="281">
        <f>VLOOKUP(A47,TB!A:F,6)</f>
        <v>0</v>
      </c>
      <c r="S47" s="5"/>
    </row>
    <row r="48" spans="1:28" ht="15.75" hidden="1" customHeight="1" outlineLevel="1" x14ac:dyDescent="0.25">
      <c r="A48" s="6" t="s">
        <v>1367</v>
      </c>
      <c r="B48" s="6" t="s">
        <v>74</v>
      </c>
      <c r="C48" s="280"/>
      <c r="D48" s="216">
        <v>225</v>
      </c>
      <c r="E48" s="216" t="e">
        <f>D48*#REF!</f>
        <v>#REF!</v>
      </c>
      <c r="F48" s="216" t="e">
        <f>D48*#REF!</f>
        <v>#REF!</v>
      </c>
      <c r="G48" s="216" t="e">
        <f>(D48*#REF!)*#REF!</f>
        <v>#REF!</v>
      </c>
      <c r="H48" s="211">
        <f t="shared" si="5"/>
        <v>-1</v>
      </c>
      <c r="I48" s="7" t="e">
        <f t="shared" si="6"/>
        <v>#REF!</v>
      </c>
      <c r="J48" s="5"/>
      <c r="K48" s="280"/>
      <c r="L48" s="216">
        <v>40</v>
      </c>
      <c r="M48" s="216">
        <v>0</v>
      </c>
      <c r="N48" s="216">
        <v>0</v>
      </c>
      <c r="O48" s="268">
        <f>VLOOKUP(A48,TB!A:F,3)</f>
        <v>0</v>
      </c>
      <c r="P48" s="216"/>
      <c r="Q48" s="216">
        <v>0</v>
      </c>
      <c r="R48" s="281">
        <f>VLOOKUP(A48,TB!A:F,6)</f>
        <v>0</v>
      </c>
      <c r="S48" s="5"/>
    </row>
    <row r="49" spans="1:19" ht="15.75" hidden="1" customHeight="1" outlineLevel="1" x14ac:dyDescent="0.25">
      <c r="A49" s="6" t="s">
        <v>1368</v>
      </c>
      <c r="B49" s="6" t="s">
        <v>76</v>
      </c>
      <c r="C49" s="280"/>
      <c r="D49" s="216">
        <v>5587</v>
      </c>
      <c r="E49" s="216" t="e">
        <f>D49*#REF!</f>
        <v>#REF!</v>
      </c>
      <c r="F49" s="216" t="e">
        <f>D49*#REF!</f>
        <v>#REF!</v>
      </c>
      <c r="G49" s="216" t="e">
        <f>(D49*#REF!)*#REF!</f>
        <v>#REF!</v>
      </c>
      <c r="H49" s="211">
        <f t="shared" si="5"/>
        <v>-1</v>
      </c>
      <c r="I49" s="7" t="e">
        <f t="shared" si="6"/>
        <v>#REF!</v>
      </c>
      <c r="J49" s="5"/>
      <c r="K49" s="280"/>
      <c r="L49" s="216">
        <v>19668</v>
      </c>
      <c r="M49" s="216">
        <v>0</v>
      </c>
      <c r="N49" s="216">
        <v>0</v>
      </c>
      <c r="O49" s="268">
        <f>VLOOKUP(A49,TB!A:F,3)</f>
        <v>0</v>
      </c>
      <c r="P49" s="216"/>
      <c r="Q49" s="216">
        <v>0</v>
      </c>
      <c r="R49" s="281">
        <f>VLOOKUP(A49,TB!A:F,6)</f>
        <v>0</v>
      </c>
      <c r="S49" s="5"/>
    </row>
    <row r="50" spans="1:19" ht="15.75" hidden="1" customHeight="1" outlineLevel="1" x14ac:dyDescent="0.25">
      <c r="A50" s="6" t="s">
        <v>1369</v>
      </c>
      <c r="B50" s="6" t="s">
        <v>80</v>
      </c>
      <c r="C50" s="280"/>
      <c r="D50" s="216">
        <v>10971</v>
      </c>
      <c r="E50" s="216" t="e">
        <f>D50*#REF!</f>
        <v>#REF!</v>
      </c>
      <c r="F50" s="216" t="e">
        <f>D50*#REF!</f>
        <v>#REF!</v>
      </c>
      <c r="G50" s="216" t="e">
        <f>(D50*#REF!)*#REF!</f>
        <v>#REF!</v>
      </c>
      <c r="H50" s="211">
        <f t="shared" si="5"/>
        <v>-1</v>
      </c>
      <c r="I50" s="7" t="e">
        <f t="shared" si="6"/>
        <v>#REF!</v>
      </c>
      <c r="J50" s="5"/>
      <c r="K50" s="280"/>
      <c r="L50" s="216">
        <v>12800</v>
      </c>
      <c r="M50" s="216">
        <v>0</v>
      </c>
      <c r="N50" s="216">
        <v>0</v>
      </c>
      <c r="O50" s="268">
        <f>VLOOKUP(A50,TB!A:F,3)</f>
        <v>0</v>
      </c>
      <c r="P50" s="216"/>
      <c r="Q50" s="216">
        <v>0</v>
      </c>
      <c r="R50" s="281">
        <f>VLOOKUP(A50,TB!A:F,6)</f>
        <v>0</v>
      </c>
      <c r="S50" s="5"/>
    </row>
    <row r="51" spans="1:19" ht="15.75" hidden="1" customHeight="1" outlineLevel="1" x14ac:dyDescent="0.25">
      <c r="A51" s="6" t="s">
        <v>1370</v>
      </c>
      <c r="B51" s="6" t="s">
        <v>82</v>
      </c>
      <c r="C51" s="280"/>
      <c r="D51" s="216">
        <v>276083</v>
      </c>
      <c r="E51" s="216" t="e">
        <f>D51*#REF!</f>
        <v>#REF!</v>
      </c>
      <c r="F51" s="216" t="e">
        <f>D51*#REF!</f>
        <v>#REF!</v>
      </c>
      <c r="G51" s="216" t="e">
        <f>(D51*#REF!)*#REF!</f>
        <v>#REF!</v>
      </c>
      <c r="H51" s="211">
        <f t="shared" si="5"/>
        <v>-1</v>
      </c>
      <c r="I51" s="7" t="e">
        <f t="shared" si="6"/>
        <v>#REF!</v>
      </c>
      <c r="J51" s="5"/>
      <c r="K51" s="280"/>
      <c r="L51" s="216">
        <v>336246</v>
      </c>
      <c r="M51" s="216">
        <v>0</v>
      </c>
      <c r="N51" s="216">
        <v>0</v>
      </c>
      <c r="O51" s="268">
        <f>VLOOKUP(A51,TB!A:F,3)</f>
        <v>0</v>
      </c>
      <c r="P51" s="216"/>
      <c r="Q51" s="216">
        <v>0</v>
      </c>
      <c r="R51" s="281">
        <f>VLOOKUP(A51,TB!A:F,6)</f>
        <v>0</v>
      </c>
      <c r="S51" s="5"/>
    </row>
    <row r="52" spans="1:19" ht="15.75" hidden="1" customHeight="1" outlineLevel="1" x14ac:dyDescent="0.25">
      <c r="A52" s="6" t="s">
        <v>1371</v>
      </c>
      <c r="B52" s="6" t="s">
        <v>115</v>
      </c>
      <c r="C52" s="280"/>
      <c r="D52" s="216">
        <v>37904</v>
      </c>
      <c r="E52" s="216" t="e">
        <f>D52*#REF!</f>
        <v>#REF!</v>
      </c>
      <c r="F52" s="216" t="e">
        <f>D52*#REF!</f>
        <v>#REF!</v>
      </c>
      <c r="G52" s="216" t="e">
        <f>(D52*#REF!)*#REF!</f>
        <v>#REF!</v>
      </c>
      <c r="H52" s="211">
        <f t="shared" si="5"/>
        <v>-1</v>
      </c>
      <c r="I52" s="7" t="e">
        <f t="shared" si="6"/>
        <v>#REF!</v>
      </c>
      <c r="J52" s="5"/>
      <c r="K52" s="280"/>
      <c r="L52" s="216">
        <v>51334</v>
      </c>
      <c r="M52" s="216">
        <v>0</v>
      </c>
      <c r="N52" s="216">
        <v>0</v>
      </c>
      <c r="O52" s="268">
        <f>VLOOKUP(A52,TB!A:F,3)</f>
        <v>0</v>
      </c>
      <c r="P52" s="216"/>
      <c r="Q52" s="216">
        <v>0</v>
      </c>
      <c r="R52" s="281">
        <f>VLOOKUP(A52,TB!A:F,6)</f>
        <v>0</v>
      </c>
      <c r="S52" s="5"/>
    </row>
    <row r="53" spans="1:19" ht="15.75" hidden="1" customHeight="1" outlineLevel="1" x14ac:dyDescent="0.25">
      <c r="A53" s="6" t="s">
        <v>1372</v>
      </c>
      <c r="B53" s="6" t="s">
        <v>210</v>
      </c>
      <c r="C53" s="280"/>
      <c r="D53" s="216">
        <v>212909</v>
      </c>
      <c r="E53" s="216" t="e">
        <f>D53*#REF!</f>
        <v>#REF!</v>
      </c>
      <c r="F53" s="216" t="e">
        <f>D53*#REF!</f>
        <v>#REF!</v>
      </c>
      <c r="G53" s="216" t="e">
        <f>(D53*#REF!)*#REF!</f>
        <v>#REF!</v>
      </c>
      <c r="H53" s="211">
        <f t="shared" si="5"/>
        <v>-1</v>
      </c>
      <c r="I53" s="7" t="e">
        <f t="shared" si="6"/>
        <v>#REF!</v>
      </c>
      <c r="J53" s="5"/>
      <c r="K53" s="280"/>
      <c r="L53" s="216">
        <v>349256</v>
      </c>
      <c r="M53" s="216">
        <v>0</v>
      </c>
      <c r="N53" s="216">
        <v>0</v>
      </c>
      <c r="O53" s="268">
        <f>VLOOKUP(A53,TB!A:F,3)</f>
        <v>0</v>
      </c>
      <c r="P53" s="216"/>
      <c r="Q53" s="216">
        <v>0</v>
      </c>
      <c r="R53" s="281">
        <f>VLOOKUP(A53,TB!A:F,6)</f>
        <v>0</v>
      </c>
      <c r="S53" s="5"/>
    </row>
    <row r="54" spans="1:19" ht="15.75" hidden="1" customHeight="1" outlineLevel="1" x14ac:dyDescent="0.25">
      <c r="A54" s="6" t="s">
        <v>1373</v>
      </c>
      <c r="B54" s="6" t="s">
        <v>277</v>
      </c>
      <c r="C54" s="280"/>
      <c r="D54" s="216">
        <v>24071</v>
      </c>
      <c r="E54" s="216" t="e">
        <f>D54*#REF!</f>
        <v>#REF!</v>
      </c>
      <c r="F54" s="216" t="e">
        <f>D54*#REF!</f>
        <v>#REF!</v>
      </c>
      <c r="G54" s="216" t="e">
        <f>(D54*#REF!)*#REF!</f>
        <v>#REF!</v>
      </c>
      <c r="H54" s="211">
        <f t="shared" si="5"/>
        <v>-1</v>
      </c>
      <c r="I54" s="7" t="e">
        <f t="shared" si="6"/>
        <v>#REF!</v>
      </c>
      <c r="J54" s="5"/>
      <c r="K54" s="280"/>
      <c r="L54" s="216">
        <v>0</v>
      </c>
      <c r="M54" s="216">
        <v>0</v>
      </c>
      <c r="N54" s="216">
        <v>0</v>
      </c>
      <c r="O54" s="268">
        <f>VLOOKUP(A54,TB!A:F,3)</f>
        <v>0</v>
      </c>
      <c r="P54" s="216"/>
      <c r="Q54" s="216">
        <v>0</v>
      </c>
      <c r="R54" s="281">
        <f>VLOOKUP(A54,TB!A:F,6)</f>
        <v>0</v>
      </c>
      <c r="S54" s="5"/>
    </row>
    <row r="55" spans="1:19" ht="15.75" hidden="1" customHeight="1" outlineLevel="1" x14ac:dyDescent="0.25">
      <c r="A55" s="6" t="s">
        <v>1374</v>
      </c>
      <c r="B55" s="6" t="s">
        <v>84</v>
      </c>
      <c r="C55" s="280"/>
      <c r="D55" s="216">
        <v>13185</v>
      </c>
      <c r="E55" s="216" t="e">
        <f>D55*#REF!</f>
        <v>#REF!</v>
      </c>
      <c r="F55" s="216" t="e">
        <f>D55*#REF!</f>
        <v>#REF!</v>
      </c>
      <c r="G55" s="216" t="e">
        <f>(D55*#REF!)*#REF!</f>
        <v>#REF!</v>
      </c>
      <c r="H55" s="211">
        <f t="shared" si="5"/>
        <v>-1</v>
      </c>
      <c r="I55" s="7" t="e">
        <f t="shared" si="6"/>
        <v>#REF!</v>
      </c>
      <c r="J55" s="5"/>
      <c r="K55" s="280"/>
      <c r="L55" s="216">
        <v>21851</v>
      </c>
      <c r="M55" s="216">
        <v>0</v>
      </c>
      <c r="N55" s="216">
        <v>0</v>
      </c>
      <c r="O55" s="268">
        <f>VLOOKUP(A55,TB!A:F,3)</f>
        <v>0</v>
      </c>
      <c r="P55" s="216"/>
      <c r="Q55" s="216">
        <v>0</v>
      </c>
      <c r="R55" s="281">
        <f>VLOOKUP(A55,TB!A:F,6)</f>
        <v>0</v>
      </c>
      <c r="S55" s="5"/>
    </row>
    <row r="56" spans="1:19" ht="15.75" hidden="1" customHeight="1" outlineLevel="1" x14ac:dyDescent="0.25">
      <c r="A56" s="6" t="s">
        <v>1375</v>
      </c>
      <c r="B56" s="6" t="s">
        <v>1350</v>
      </c>
      <c r="C56" s="280"/>
      <c r="D56" s="216">
        <v>43030</v>
      </c>
      <c r="E56" s="216" t="e">
        <f>D56*#REF!</f>
        <v>#REF!</v>
      </c>
      <c r="F56" s="216" t="e">
        <f>D56*#REF!</f>
        <v>#REF!</v>
      </c>
      <c r="G56" s="216" t="e">
        <f>(D56*#REF!)*#REF!</f>
        <v>#REF!</v>
      </c>
      <c r="H56" s="211">
        <f t="shared" si="5"/>
        <v>-1</v>
      </c>
      <c r="I56" s="7" t="e">
        <f t="shared" si="6"/>
        <v>#REF!</v>
      </c>
      <c r="J56" s="5"/>
      <c r="K56" s="280"/>
      <c r="L56" s="216">
        <v>36536</v>
      </c>
      <c r="M56" s="216">
        <v>0</v>
      </c>
      <c r="N56" s="216">
        <v>0</v>
      </c>
      <c r="O56" s="268">
        <f>VLOOKUP(A56,TB!A:F,3)</f>
        <v>0</v>
      </c>
      <c r="P56" s="216"/>
      <c r="Q56" s="216">
        <v>0</v>
      </c>
      <c r="R56" s="281">
        <f>VLOOKUP(A56,TB!A:F,6)</f>
        <v>0</v>
      </c>
      <c r="S56" s="5"/>
    </row>
    <row r="57" spans="1:19" ht="15.75" hidden="1" customHeight="1" outlineLevel="1" x14ac:dyDescent="0.25">
      <c r="A57" s="6" t="s">
        <v>1376</v>
      </c>
      <c r="B57" s="6" t="s">
        <v>86</v>
      </c>
      <c r="C57" s="280"/>
      <c r="D57" s="216">
        <v>0</v>
      </c>
      <c r="E57" s="216" t="e">
        <f>D57*#REF!</f>
        <v>#REF!</v>
      </c>
      <c r="F57" s="216" t="e">
        <f>D57*#REF!</f>
        <v>#REF!</v>
      </c>
      <c r="G57" s="216" t="e">
        <f>(D57*#REF!)*#REF!</f>
        <v>#REF!</v>
      </c>
      <c r="H57" s="211">
        <f t="shared" si="5"/>
        <v>0</v>
      </c>
      <c r="I57" s="7" t="e">
        <f t="shared" si="6"/>
        <v>#REF!</v>
      </c>
      <c r="J57" s="5"/>
      <c r="K57" s="280"/>
      <c r="L57" s="216">
        <v>7585</v>
      </c>
      <c r="M57" s="216">
        <v>0</v>
      </c>
      <c r="N57" s="216">
        <v>0</v>
      </c>
      <c r="O57" s="268">
        <f>VLOOKUP(A57,TB!A:F,3)</f>
        <v>0</v>
      </c>
      <c r="P57" s="216"/>
      <c r="Q57" s="216">
        <v>0</v>
      </c>
      <c r="R57" s="281">
        <f>VLOOKUP(A57,TB!A:F,6)</f>
        <v>0</v>
      </c>
      <c r="S57" s="5"/>
    </row>
    <row r="58" spans="1:19" ht="15.75" hidden="1" customHeight="1" outlineLevel="1" x14ac:dyDescent="0.25">
      <c r="A58" s="6" t="s">
        <v>1377</v>
      </c>
      <c r="B58" s="6" t="s">
        <v>88</v>
      </c>
      <c r="C58" s="280"/>
      <c r="D58" s="216">
        <v>4767</v>
      </c>
      <c r="E58" s="216" t="e">
        <f>D58*#REF!</f>
        <v>#REF!</v>
      </c>
      <c r="F58" s="216" t="e">
        <f>D58*#REF!</f>
        <v>#REF!</v>
      </c>
      <c r="G58" s="216" t="e">
        <f>(D58*#REF!)*#REF!</f>
        <v>#REF!</v>
      </c>
      <c r="H58" s="211">
        <f t="shared" si="5"/>
        <v>-1</v>
      </c>
      <c r="I58" s="7" t="e">
        <f t="shared" si="6"/>
        <v>#REF!</v>
      </c>
      <c r="J58" s="5"/>
      <c r="K58" s="280"/>
      <c r="L58" s="216">
        <v>338</v>
      </c>
      <c r="M58" s="216">
        <v>0</v>
      </c>
      <c r="N58" s="216">
        <v>0</v>
      </c>
      <c r="O58" s="268">
        <f>VLOOKUP(A58,TB!A:F,3)</f>
        <v>0</v>
      </c>
      <c r="P58" s="216"/>
      <c r="Q58" s="216">
        <v>0</v>
      </c>
      <c r="R58" s="281">
        <f>VLOOKUP(A58,TB!A:F,6)</f>
        <v>0</v>
      </c>
      <c r="S58" s="5"/>
    </row>
    <row r="59" spans="1:19" ht="15.75" hidden="1" customHeight="1" outlineLevel="1" x14ac:dyDescent="0.25">
      <c r="A59" s="6" t="s">
        <v>1378</v>
      </c>
      <c r="B59" s="6" t="s">
        <v>1336</v>
      </c>
      <c r="C59" s="280"/>
      <c r="D59" s="216">
        <v>77539</v>
      </c>
      <c r="E59" s="216" t="e">
        <f>D59*#REF!</f>
        <v>#REF!</v>
      </c>
      <c r="F59" s="216" t="e">
        <f>D59*#REF!</f>
        <v>#REF!</v>
      </c>
      <c r="G59" s="216" t="e">
        <f>(D59*#REF!)*#REF!</f>
        <v>#REF!</v>
      </c>
      <c r="H59" s="211">
        <f t="shared" si="5"/>
        <v>-1</v>
      </c>
      <c r="I59" s="7" t="e">
        <f t="shared" si="6"/>
        <v>#REF!</v>
      </c>
      <c r="J59" s="5"/>
      <c r="K59" s="280"/>
      <c r="L59" s="216">
        <v>129423</v>
      </c>
      <c r="M59" s="216">
        <v>0</v>
      </c>
      <c r="N59" s="216">
        <v>0</v>
      </c>
      <c r="O59" s="268">
        <f>VLOOKUP(A59,TB!A:F,3)</f>
        <v>0</v>
      </c>
      <c r="P59" s="216"/>
      <c r="Q59" s="216">
        <v>0</v>
      </c>
      <c r="R59" s="281">
        <f>VLOOKUP(A59,TB!A:F,6)</f>
        <v>0</v>
      </c>
      <c r="S59" s="5"/>
    </row>
    <row r="60" spans="1:19" ht="15.75" hidden="1" customHeight="1" outlineLevel="1" x14ac:dyDescent="0.25">
      <c r="A60" s="6" t="s">
        <v>1379</v>
      </c>
      <c r="B60" s="6" t="s">
        <v>1338</v>
      </c>
      <c r="C60" s="280"/>
      <c r="D60" s="216">
        <v>540828</v>
      </c>
      <c r="E60" s="216" t="e">
        <f>D60*#REF!</f>
        <v>#REF!</v>
      </c>
      <c r="F60" s="216" t="e">
        <f>D60*#REF!</f>
        <v>#REF!</v>
      </c>
      <c r="G60" s="216" t="e">
        <f>(D60*#REF!)*#REF!</f>
        <v>#REF!</v>
      </c>
      <c r="H60" s="211">
        <f t="shared" si="5"/>
        <v>-1</v>
      </c>
      <c r="I60" s="7" t="e">
        <f t="shared" si="6"/>
        <v>#REF!</v>
      </c>
      <c r="J60" s="5"/>
      <c r="K60" s="280"/>
      <c r="L60" s="216">
        <v>698745</v>
      </c>
      <c r="M60" s="216">
        <v>0</v>
      </c>
      <c r="N60" s="216">
        <v>0</v>
      </c>
      <c r="O60" s="268">
        <f>VLOOKUP(A60,TB!A:F,3)</f>
        <v>0</v>
      </c>
      <c r="P60" s="216"/>
      <c r="Q60" s="216">
        <v>0</v>
      </c>
      <c r="R60" s="281">
        <f>VLOOKUP(A60,TB!A:F,6)</f>
        <v>0</v>
      </c>
      <c r="S60" s="5"/>
    </row>
    <row r="61" spans="1:19" ht="15.75" hidden="1" customHeight="1" outlineLevel="1" x14ac:dyDescent="0.25">
      <c r="A61" s="6" t="s">
        <v>1380</v>
      </c>
      <c r="B61" s="6" t="s">
        <v>1340</v>
      </c>
      <c r="C61" s="280"/>
      <c r="D61" s="216">
        <v>372414</v>
      </c>
      <c r="E61" s="216" t="e">
        <f>D61*#REF!</f>
        <v>#REF!</v>
      </c>
      <c r="F61" s="216" t="e">
        <f>D61*#REF!</f>
        <v>#REF!</v>
      </c>
      <c r="G61" s="216" t="e">
        <f>(D61*#REF!)*#REF!</f>
        <v>#REF!</v>
      </c>
      <c r="H61" s="211">
        <f t="shared" si="5"/>
        <v>-1</v>
      </c>
      <c r="I61" s="7" t="e">
        <f t="shared" si="6"/>
        <v>#REF!</v>
      </c>
      <c r="J61" s="5"/>
      <c r="K61" s="280"/>
      <c r="L61" s="216">
        <v>440042</v>
      </c>
      <c r="M61" s="216">
        <v>0</v>
      </c>
      <c r="N61" s="216">
        <v>0</v>
      </c>
      <c r="O61" s="268">
        <f>VLOOKUP(A61,TB!A:F,3)</f>
        <v>0</v>
      </c>
      <c r="P61" s="216"/>
      <c r="Q61" s="216">
        <v>0</v>
      </c>
      <c r="R61" s="281">
        <f>VLOOKUP(A61,TB!A:F,6)</f>
        <v>0</v>
      </c>
      <c r="S61" s="5"/>
    </row>
    <row r="62" spans="1:19" ht="15.75" hidden="1" customHeight="1" outlineLevel="1" x14ac:dyDescent="0.25">
      <c r="A62" s="6" t="s">
        <v>1381</v>
      </c>
      <c r="B62" s="6" t="s">
        <v>1342</v>
      </c>
      <c r="C62" s="280"/>
      <c r="D62" s="216">
        <v>80172</v>
      </c>
      <c r="E62" s="216" t="e">
        <f>D62*#REF!</f>
        <v>#REF!</v>
      </c>
      <c r="F62" s="216" t="e">
        <f>D62*#REF!</f>
        <v>#REF!</v>
      </c>
      <c r="G62" s="216" t="e">
        <f>(D62*#REF!)*#REF!</f>
        <v>#REF!</v>
      </c>
      <c r="H62" s="211">
        <f t="shared" si="5"/>
        <v>-1</v>
      </c>
      <c r="I62" s="7" t="e">
        <f t="shared" si="6"/>
        <v>#REF!</v>
      </c>
      <c r="J62" s="5"/>
      <c r="K62" s="280"/>
      <c r="L62" s="216">
        <v>123075</v>
      </c>
      <c r="M62" s="216">
        <v>0</v>
      </c>
      <c r="N62" s="216">
        <v>0</v>
      </c>
      <c r="O62" s="268">
        <f>VLOOKUP(A62,TB!A:F,3)</f>
        <v>0</v>
      </c>
      <c r="P62" s="216"/>
      <c r="Q62" s="216">
        <v>0</v>
      </c>
      <c r="R62" s="281">
        <f>VLOOKUP(A62,TB!A:F,6)</f>
        <v>0</v>
      </c>
      <c r="S62" s="5"/>
    </row>
    <row r="63" spans="1:19" ht="15.75" hidden="1" customHeight="1" outlineLevel="1" x14ac:dyDescent="0.25">
      <c r="A63" s="6" t="s">
        <v>1382</v>
      </c>
      <c r="B63" s="6" t="s">
        <v>1344</v>
      </c>
      <c r="C63" s="280"/>
      <c r="D63" s="216">
        <v>301068</v>
      </c>
      <c r="E63" s="216" t="e">
        <f>D63*#REF!</f>
        <v>#REF!</v>
      </c>
      <c r="F63" s="216" t="e">
        <f>D63*#REF!</f>
        <v>#REF!</v>
      </c>
      <c r="G63" s="216" t="e">
        <f>(D63*#REF!)*#REF!</f>
        <v>#REF!</v>
      </c>
      <c r="H63" s="211">
        <f t="shared" si="5"/>
        <v>-1</v>
      </c>
      <c r="I63" s="7" t="e">
        <f t="shared" si="6"/>
        <v>#REF!</v>
      </c>
      <c r="J63" s="5"/>
      <c r="K63" s="280"/>
      <c r="L63" s="216">
        <v>44329</v>
      </c>
      <c r="M63" s="216">
        <v>0</v>
      </c>
      <c r="N63" s="216">
        <v>0</v>
      </c>
      <c r="O63" s="268">
        <f>VLOOKUP(A63,TB!A:F,3)</f>
        <v>0</v>
      </c>
      <c r="P63" s="216"/>
      <c r="Q63" s="216">
        <v>0</v>
      </c>
      <c r="R63" s="281">
        <f>VLOOKUP(A63,TB!A:F,6)</f>
        <v>0</v>
      </c>
      <c r="S63" s="5"/>
    </row>
    <row r="64" spans="1:19" ht="15.75" hidden="1" customHeight="1" outlineLevel="1" x14ac:dyDescent="0.25">
      <c r="A64" s="6" t="s">
        <v>1383</v>
      </c>
      <c r="B64" s="6" t="s">
        <v>1346</v>
      </c>
      <c r="C64" s="280"/>
      <c r="D64" s="216">
        <v>61246</v>
      </c>
      <c r="E64" s="216" t="e">
        <f>D64*#REF!</f>
        <v>#REF!</v>
      </c>
      <c r="F64" s="216" t="e">
        <f>D64*#REF!</f>
        <v>#REF!</v>
      </c>
      <c r="G64" s="216" t="e">
        <f>(D64*#REF!)*#REF!</f>
        <v>#REF!</v>
      </c>
      <c r="H64" s="211">
        <f t="shared" si="5"/>
        <v>-1</v>
      </c>
      <c r="I64" s="7" t="e">
        <f t="shared" si="6"/>
        <v>#REF!</v>
      </c>
      <c r="J64" s="5"/>
      <c r="K64" s="280"/>
      <c r="L64" s="216">
        <v>89521</v>
      </c>
      <c r="M64" s="216">
        <v>0</v>
      </c>
      <c r="N64" s="216">
        <v>0</v>
      </c>
      <c r="O64" s="268">
        <f>VLOOKUP(A64,TB!A:F,3)</f>
        <v>0</v>
      </c>
      <c r="P64" s="216"/>
      <c r="Q64" s="216">
        <v>0</v>
      </c>
      <c r="R64" s="281">
        <f>VLOOKUP(A64,TB!A:F,6)</f>
        <v>0</v>
      </c>
      <c r="S64" s="5"/>
    </row>
    <row r="65" spans="1:19" ht="15.75" hidden="1" customHeight="1" outlineLevel="1" x14ac:dyDescent="0.25">
      <c r="A65" s="6" t="s">
        <v>1384</v>
      </c>
      <c r="B65" s="6" t="s">
        <v>1348</v>
      </c>
      <c r="C65" s="280"/>
      <c r="D65" s="216">
        <v>33472</v>
      </c>
      <c r="E65" s="216" t="e">
        <f>D65*#REF!</f>
        <v>#REF!</v>
      </c>
      <c r="F65" s="216" t="e">
        <f>D65*#REF!</f>
        <v>#REF!</v>
      </c>
      <c r="G65" s="216" t="e">
        <f>(D65*#REF!)*#REF!</f>
        <v>#REF!</v>
      </c>
      <c r="H65" s="211">
        <f t="shared" si="5"/>
        <v>-1</v>
      </c>
      <c r="I65" s="7" t="e">
        <f t="shared" si="6"/>
        <v>#REF!</v>
      </c>
      <c r="J65" s="5"/>
      <c r="K65" s="280"/>
      <c r="L65" s="216">
        <v>99454</v>
      </c>
      <c r="M65" s="216">
        <v>0</v>
      </c>
      <c r="N65" s="216">
        <v>0</v>
      </c>
      <c r="O65" s="268">
        <f>VLOOKUP(A65,TB!A:F,3)</f>
        <v>0</v>
      </c>
      <c r="P65" s="216"/>
      <c r="Q65" s="216">
        <v>0</v>
      </c>
      <c r="R65" s="281">
        <f>VLOOKUP(A65,TB!A:F,6)</f>
        <v>0</v>
      </c>
      <c r="S65" s="5"/>
    </row>
    <row r="66" spans="1:19" ht="15.75" hidden="1" customHeight="1" outlineLevel="1" x14ac:dyDescent="0.25">
      <c r="A66" s="6" t="s">
        <v>1385</v>
      </c>
      <c r="B66" s="6" t="s">
        <v>1209</v>
      </c>
      <c r="C66" s="280"/>
      <c r="D66" s="216">
        <v>10109</v>
      </c>
      <c r="E66" s="216" t="e">
        <f>D66*#REF!</f>
        <v>#REF!</v>
      </c>
      <c r="F66" s="216" t="e">
        <f>D66*#REF!</f>
        <v>#REF!</v>
      </c>
      <c r="G66" s="216" t="e">
        <f>(D66*#REF!)*#REF!</f>
        <v>#REF!</v>
      </c>
      <c r="H66" s="211">
        <f t="shared" si="5"/>
        <v>-1</v>
      </c>
      <c r="I66" s="7" t="e">
        <f t="shared" si="6"/>
        <v>#REF!</v>
      </c>
      <c r="J66" s="5"/>
      <c r="K66" s="280"/>
      <c r="L66" s="216">
        <v>10482</v>
      </c>
      <c r="M66" s="216">
        <v>0</v>
      </c>
      <c r="N66" s="216">
        <v>0</v>
      </c>
      <c r="O66" s="268">
        <f>VLOOKUP(A66,TB!A:F,3)</f>
        <v>0</v>
      </c>
      <c r="P66" s="216"/>
      <c r="Q66" s="216">
        <v>0</v>
      </c>
      <c r="R66" s="281">
        <f>VLOOKUP(A66,TB!A:F,6)</f>
        <v>0</v>
      </c>
      <c r="S66" s="5"/>
    </row>
    <row r="67" spans="1:19" ht="15.75" hidden="1" customHeight="1" outlineLevel="1" x14ac:dyDescent="0.25">
      <c r="A67" s="6" t="s">
        <v>1386</v>
      </c>
      <c r="B67" s="6" t="s">
        <v>92</v>
      </c>
      <c r="C67" s="280"/>
      <c r="D67" s="216">
        <v>50788</v>
      </c>
      <c r="E67" s="216" t="e">
        <f>D67*#REF!</f>
        <v>#REF!</v>
      </c>
      <c r="F67" s="216" t="e">
        <f>D67*#REF!</f>
        <v>#REF!</v>
      </c>
      <c r="G67" s="216" t="e">
        <f>(D67*#REF!)*#REF!</f>
        <v>#REF!</v>
      </c>
      <c r="H67" s="211">
        <f t="shared" si="5"/>
        <v>-1</v>
      </c>
      <c r="I67" s="7" t="e">
        <f t="shared" si="6"/>
        <v>#REF!</v>
      </c>
      <c r="J67" s="5"/>
      <c r="K67" s="280"/>
      <c r="L67" s="216">
        <v>62238</v>
      </c>
      <c r="M67" s="216">
        <v>0</v>
      </c>
      <c r="N67" s="216">
        <v>0</v>
      </c>
      <c r="O67" s="268">
        <f>VLOOKUP(A67,TB!A:F,3)</f>
        <v>0</v>
      </c>
      <c r="P67" s="216"/>
      <c r="Q67" s="216">
        <v>0</v>
      </c>
      <c r="R67" s="281">
        <f>VLOOKUP(A67,TB!A:F,6)</f>
        <v>0</v>
      </c>
      <c r="S67" s="5"/>
    </row>
    <row r="68" spans="1:19" ht="15.75" hidden="1" customHeight="1" outlineLevel="1" x14ac:dyDescent="0.25">
      <c r="A68" s="6" t="s">
        <v>1387</v>
      </c>
      <c r="B68" s="6" t="s">
        <v>94</v>
      </c>
      <c r="C68" s="280"/>
      <c r="D68" s="216">
        <v>0</v>
      </c>
      <c r="E68" s="216" t="e">
        <f>D68*#REF!</f>
        <v>#REF!</v>
      </c>
      <c r="F68" s="216" t="e">
        <f>D68*#REF!</f>
        <v>#REF!</v>
      </c>
      <c r="G68" s="216" t="e">
        <f>(D68*#REF!)*#REF!</f>
        <v>#REF!</v>
      </c>
      <c r="H68" s="211">
        <f t="shared" si="5"/>
        <v>0</v>
      </c>
      <c r="I68" s="7" t="e">
        <f t="shared" si="6"/>
        <v>#REF!</v>
      </c>
      <c r="J68" s="5"/>
      <c r="K68" s="280"/>
      <c r="L68" s="216">
        <v>1074</v>
      </c>
      <c r="M68" s="216">
        <v>0</v>
      </c>
      <c r="N68" s="216">
        <v>0</v>
      </c>
      <c r="O68" s="268">
        <f>VLOOKUP(A68,TB!A:F,3)</f>
        <v>0</v>
      </c>
      <c r="P68" s="216"/>
      <c r="Q68" s="216">
        <v>0</v>
      </c>
      <c r="R68" s="281">
        <f>VLOOKUP(A68,TB!A:F,6)</f>
        <v>0</v>
      </c>
      <c r="S68" s="5"/>
    </row>
    <row r="69" spans="1:19" ht="15.75" hidden="1" customHeight="1" outlineLevel="1" x14ac:dyDescent="0.25">
      <c r="A69" s="6" t="s">
        <v>1388</v>
      </c>
      <c r="B69" s="6" t="s">
        <v>532</v>
      </c>
      <c r="C69" s="280"/>
      <c r="D69" s="216">
        <v>0</v>
      </c>
      <c r="E69" s="216" t="e">
        <f>D69*#REF!</f>
        <v>#REF!</v>
      </c>
      <c r="F69" s="216" t="e">
        <f>D69*#REF!</f>
        <v>#REF!</v>
      </c>
      <c r="G69" s="216" t="e">
        <f>(D69*#REF!)*#REF!</f>
        <v>#REF!</v>
      </c>
      <c r="H69" s="211">
        <f t="shared" si="5"/>
        <v>0</v>
      </c>
      <c r="I69" s="7" t="e">
        <f t="shared" si="6"/>
        <v>#REF!</v>
      </c>
      <c r="J69" s="5"/>
      <c r="K69" s="280"/>
      <c r="L69" s="216">
        <v>26082</v>
      </c>
      <c r="M69" s="216">
        <v>0</v>
      </c>
      <c r="N69" s="216">
        <v>0</v>
      </c>
      <c r="O69" s="268">
        <f>VLOOKUP(A69,TB!A:F,3)</f>
        <v>0</v>
      </c>
      <c r="P69" s="216"/>
      <c r="Q69" s="216">
        <v>0</v>
      </c>
      <c r="R69" s="281">
        <f>VLOOKUP(A69,TB!A:F,6)</f>
        <v>0</v>
      </c>
      <c r="S69" s="5"/>
    </row>
    <row r="70" spans="1:19" ht="15.75" hidden="1" customHeight="1" outlineLevel="1" x14ac:dyDescent="0.25">
      <c r="A70" s="6" t="s">
        <v>1389</v>
      </c>
      <c r="B70" s="6" t="s">
        <v>99</v>
      </c>
      <c r="C70" s="280"/>
      <c r="D70" s="216">
        <v>1543449</v>
      </c>
      <c r="E70" s="216" t="e">
        <f>D70*#REF!</f>
        <v>#REF!</v>
      </c>
      <c r="F70" s="216" t="e">
        <f>D70*#REF!</f>
        <v>#REF!</v>
      </c>
      <c r="G70" s="216" t="e">
        <f>(D70*#REF!)*#REF!</f>
        <v>#REF!</v>
      </c>
      <c r="H70" s="211">
        <f t="shared" si="5"/>
        <v>-1</v>
      </c>
      <c r="I70" s="7" t="e">
        <f t="shared" si="6"/>
        <v>#REF!</v>
      </c>
      <c r="J70" s="5"/>
      <c r="K70" s="280"/>
      <c r="L70" s="216">
        <v>1272657</v>
      </c>
      <c r="M70" s="216">
        <v>0</v>
      </c>
      <c r="N70" s="216">
        <v>0</v>
      </c>
      <c r="O70" s="268">
        <f>VLOOKUP(A70,TB!A:F,3)</f>
        <v>0</v>
      </c>
      <c r="P70" s="216"/>
      <c r="Q70" s="216">
        <v>0</v>
      </c>
      <c r="R70" s="281">
        <f>VLOOKUP(A70,TB!A:F,6)</f>
        <v>0</v>
      </c>
      <c r="S70" s="5"/>
    </row>
    <row r="71" spans="1:19" ht="15.75" hidden="1" customHeight="1" outlineLevel="1" x14ac:dyDescent="0.25">
      <c r="A71" s="6" t="s">
        <v>1390</v>
      </c>
      <c r="B71" s="6" t="s">
        <v>1359</v>
      </c>
      <c r="C71" s="280"/>
      <c r="D71" s="216">
        <v>0</v>
      </c>
      <c r="E71" s="216" t="e">
        <f>D71*#REF!</f>
        <v>#REF!</v>
      </c>
      <c r="F71" s="216" t="e">
        <f>D71*#REF!</f>
        <v>#REF!</v>
      </c>
      <c r="G71" s="216" t="e">
        <f>(D71*#REF!)*#REF!</f>
        <v>#REF!</v>
      </c>
      <c r="H71" s="211">
        <f t="shared" si="5"/>
        <v>0</v>
      </c>
      <c r="I71" s="7" t="e">
        <f t="shared" si="6"/>
        <v>#REF!</v>
      </c>
      <c r="J71" s="5"/>
      <c r="K71" s="280"/>
      <c r="L71" s="216">
        <v>188045</v>
      </c>
      <c r="M71" s="216">
        <v>0</v>
      </c>
      <c r="N71" s="216">
        <v>0</v>
      </c>
      <c r="O71" s="268">
        <f>VLOOKUP(A71,TB!A:F,3)</f>
        <v>0</v>
      </c>
      <c r="P71" s="216"/>
      <c r="Q71" s="216">
        <v>0</v>
      </c>
      <c r="R71" s="281">
        <f>VLOOKUP(A71,TB!A:F,6)</f>
        <v>0</v>
      </c>
      <c r="S71" s="5"/>
    </row>
    <row r="72" spans="1:19" ht="15.75" hidden="1" customHeight="1" outlineLevel="1" x14ac:dyDescent="0.25">
      <c r="A72" s="6" t="s">
        <v>1391</v>
      </c>
      <c r="B72" s="6" t="s">
        <v>1392</v>
      </c>
      <c r="C72" s="280"/>
      <c r="D72" s="216">
        <v>109284</v>
      </c>
      <c r="E72" s="216" t="e">
        <f>D72*#REF!</f>
        <v>#REF!</v>
      </c>
      <c r="F72" s="216" t="e">
        <f>D72*#REF!</f>
        <v>#REF!</v>
      </c>
      <c r="G72" s="216" t="e">
        <f>(D72*#REF!)*#REF!</f>
        <v>#REF!</v>
      </c>
      <c r="H72" s="211">
        <f t="shared" si="5"/>
        <v>-1</v>
      </c>
      <c r="I72" s="7" t="e">
        <f t="shared" si="6"/>
        <v>#REF!</v>
      </c>
      <c r="J72" s="5"/>
      <c r="K72" s="280"/>
      <c r="L72" s="216">
        <v>0</v>
      </c>
      <c r="M72" s="216">
        <v>0</v>
      </c>
      <c r="N72" s="216">
        <v>0</v>
      </c>
      <c r="O72" s="268">
        <f>VLOOKUP(A72,TB!A:F,3)</f>
        <v>0</v>
      </c>
      <c r="P72" s="216"/>
      <c r="Q72" s="216">
        <v>0</v>
      </c>
      <c r="R72" s="281">
        <f>VLOOKUP(A72,TB!A:F,6)</f>
        <v>0</v>
      </c>
      <c r="S72" s="5"/>
    </row>
    <row r="73" spans="1:19" ht="15.75" hidden="1" customHeight="1" outlineLevel="1" x14ac:dyDescent="0.25">
      <c r="A73" s="47" t="s">
        <v>1360</v>
      </c>
      <c r="B73" s="48"/>
      <c r="C73" s="282"/>
      <c r="D73" s="12">
        <f t="shared" ref="D73:G73" si="7">SUM(D42:D72)</f>
        <v>5340522</v>
      </c>
      <c r="E73" s="12" t="e">
        <f t="shared" si="7"/>
        <v>#REF!</v>
      </c>
      <c r="F73" s="12" t="e">
        <f t="shared" si="7"/>
        <v>#REF!</v>
      </c>
      <c r="G73" s="12" t="e">
        <f t="shared" si="7"/>
        <v>#REF!</v>
      </c>
      <c r="H73" s="212">
        <f t="shared" si="5"/>
        <v>-1</v>
      </c>
      <c r="I73" s="12" t="e">
        <f t="shared" si="6"/>
        <v>#REF!</v>
      </c>
      <c r="J73" s="5"/>
      <c r="K73" s="282"/>
      <c r="L73" s="12">
        <f t="shared" ref="L73:O73" si="8">SUM(L42:L72)</f>
        <v>6078963</v>
      </c>
      <c r="M73" s="12">
        <f t="shared" si="8"/>
        <v>0</v>
      </c>
      <c r="N73" s="12">
        <f t="shared" si="8"/>
        <v>0</v>
      </c>
      <c r="O73" s="12">
        <f t="shared" si="8"/>
        <v>0</v>
      </c>
      <c r="P73" s="12"/>
      <c r="Q73" s="12">
        <f t="shared" ref="Q73:R73" si="9">SUM(Q42:Q72)</f>
        <v>0</v>
      </c>
      <c r="R73" s="12">
        <f t="shared" si="9"/>
        <v>0</v>
      </c>
      <c r="S73" s="5"/>
    </row>
    <row r="74" spans="1:19" ht="15.75" hidden="1" customHeight="1" outlineLevel="1" x14ac:dyDescent="0.2">
      <c r="A74" s="5"/>
      <c r="B74" s="5"/>
      <c r="C74" s="284"/>
      <c r="D74" s="5"/>
      <c r="E74" s="5"/>
      <c r="F74" s="5"/>
      <c r="G74" s="5"/>
      <c r="H74" s="5"/>
      <c r="I74" s="5"/>
      <c r="J74" s="5"/>
      <c r="K74" s="284"/>
      <c r="L74" s="5"/>
      <c r="M74" s="5"/>
      <c r="N74" s="5"/>
      <c r="O74" s="5"/>
      <c r="P74" s="5"/>
      <c r="Q74" s="5"/>
      <c r="R74" s="5"/>
      <c r="S74" s="5"/>
    </row>
    <row r="75" spans="1:19" ht="15.75" hidden="1" customHeight="1" outlineLevel="1" x14ac:dyDescent="0.2">
      <c r="A75" s="3" t="s">
        <v>50</v>
      </c>
      <c r="B75" s="3" t="s">
        <v>51</v>
      </c>
      <c r="C75" s="292"/>
      <c r="D75" s="3" t="s">
        <v>52</v>
      </c>
      <c r="E75" s="380" t="s">
        <v>53</v>
      </c>
      <c r="F75" s="380" t="s">
        <v>1212</v>
      </c>
      <c r="G75" s="380" t="s">
        <v>55</v>
      </c>
      <c r="H75" s="230" t="s">
        <v>56</v>
      </c>
      <c r="I75" s="230" t="s">
        <v>57</v>
      </c>
      <c r="J75" s="5"/>
      <c r="K75" s="292"/>
      <c r="L75" s="3" t="s">
        <v>59</v>
      </c>
      <c r="M75" s="3" t="s">
        <v>60</v>
      </c>
      <c r="N75" s="3" t="s">
        <v>436</v>
      </c>
      <c r="O75" s="3" t="s">
        <v>437</v>
      </c>
      <c r="P75" s="293"/>
      <c r="Q75" s="293" t="s">
        <v>438</v>
      </c>
      <c r="R75" s="399" t="s">
        <v>1315</v>
      </c>
      <c r="S75" s="5"/>
    </row>
    <row r="76" spans="1:19" ht="15.75" hidden="1" customHeight="1" outlineLevel="1" x14ac:dyDescent="0.25">
      <c r="A76" s="6" t="s">
        <v>1393</v>
      </c>
      <c r="B76" s="6" t="s">
        <v>1394</v>
      </c>
      <c r="C76" s="285"/>
      <c r="D76" s="7">
        <v>521571</v>
      </c>
      <c r="E76" s="216" t="e">
        <f>D76*#REF!</f>
        <v>#REF!</v>
      </c>
      <c r="F76" s="216" t="e">
        <f>D76*#REF!</f>
        <v>#REF!</v>
      </c>
      <c r="G76" s="216" t="e">
        <f>(D76*#REF!)*#REF!</f>
        <v>#REF!</v>
      </c>
      <c r="H76" s="211">
        <f t="shared" ref="H76:H81" si="10">IFERROR(((Q76-D76)/D76),0)</f>
        <v>-0.9041357744199735</v>
      </c>
      <c r="I76" s="7" t="e">
        <f t="shared" ref="I76:I81" si="11">Q76-G76</f>
        <v>#REF!</v>
      </c>
      <c r="J76" s="5"/>
      <c r="K76" s="285"/>
      <c r="L76" s="6">
        <v>0</v>
      </c>
      <c r="M76" s="6">
        <v>0</v>
      </c>
      <c r="N76" s="7">
        <v>50000</v>
      </c>
      <c r="O76" s="268">
        <f>VLOOKUP(A76,TB!A:F,3)</f>
        <v>0</v>
      </c>
      <c r="P76" s="7"/>
      <c r="Q76" s="7">
        <v>50000</v>
      </c>
      <c r="R76" s="281">
        <f>VLOOKUP(A76,TB!A:F,6)</f>
        <v>25000</v>
      </c>
      <c r="S76" s="5"/>
    </row>
    <row r="77" spans="1:19" ht="15.75" hidden="1" customHeight="1" outlineLevel="1" x14ac:dyDescent="0.25">
      <c r="A77" s="6" t="s">
        <v>1395</v>
      </c>
      <c r="B77" s="6" t="s">
        <v>180</v>
      </c>
      <c r="C77" s="285"/>
      <c r="D77" s="7">
        <v>1680252</v>
      </c>
      <c r="E77" s="216" t="e">
        <f>D77*#REF!</f>
        <v>#REF!</v>
      </c>
      <c r="F77" s="216" t="e">
        <f>D77*#REF!</f>
        <v>#REF!</v>
      </c>
      <c r="G77" s="216" t="e">
        <f>(D77*#REF!)*#REF!</f>
        <v>#REF!</v>
      </c>
      <c r="H77" s="211">
        <f t="shared" si="10"/>
        <v>-1</v>
      </c>
      <c r="I77" s="7" t="e">
        <f t="shared" si="11"/>
        <v>#REF!</v>
      </c>
      <c r="J77" s="5"/>
      <c r="K77" s="285"/>
      <c r="L77" s="6">
        <v>0</v>
      </c>
      <c r="M77" s="6">
        <v>0</v>
      </c>
      <c r="N77" s="6">
        <v>0</v>
      </c>
      <c r="O77" s="268">
        <f>VLOOKUP(A77,TB!A:F,3)</f>
        <v>0</v>
      </c>
      <c r="P77" s="6"/>
      <c r="Q77" s="6">
        <v>0</v>
      </c>
      <c r="R77" s="281">
        <v>0</v>
      </c>
      <c r="S77" s="5"/>
    </row>
    <row r="78" spans="1:19" ht="15.75" hidden="1" customHeight="1" outlineLevel="1" x14ac:dyDescent="0.25">
      <c r="A78" s="6" t="s">
        <v>1396</v>
      </c>
      <c r="B78" s="6" t="s">
        <v>99</v>
      </c>
      <c r="C78" s="284"/>
      <c r="D78" s="6">
        <v>0</v>
      </c>
      <c r="E78" s="216" t="e">
        <f>D78*#REF!</f>
        <v>#REF!</v>
      </c>
      <c r="F78" s="216" t="e">
        <f>D78*#REF!</f>
        <v>#REF!</v>
      </c>
      <c r="G78" s="216" t="e">
        <f>(D78*#REF!)*#REF!</f>
        <v>#REF!</v>
      </c>
      <c r="H78" s="211">
        <f t="shared" si="10"/>
        <v>0</v>
      </c>
      <c r="I78" s="7" t="e">
        <f t="shared" si="11"/>
        <v>#REF!</v>
      </c>
      <c r="J78" s="5"/>
      <c r="K78" s="284"/>
      <c r="L78" s="6">
        <v>0</v>
      </c>
      <c r="M78" s="6">
        <v>0</v>
      </c>
      <c r="N78" s="7">
        <v>968655</v>
      </c>
      <c r="O78" s="268">
        <f>VLOOKUP(A78,TB!A:F,3)</f>
        <v>560029.54</v>
      </c>
      <c r="P78" s="7"/>
      <c r="Q78" s="7">
        <v>1273000</v>
      </c>
      <c r="R78" s="281">
        <f>VLOOKUP(A78,TB!A:F,6)</f>
        <v>1033000</v>
      </c>
      <c r="S78" s="5"/>
    </row>
    <row r="79" spans="1:19" ht="15.75" hidden="1" customHeight="1" outlineLevel="1" x14ac:dyDescent="0.25">
      <c r="A79" s="6" t="s">
        <v>1397</v>
      </c>
      <c r="B79" s="6" t="s">
        <v>1398</v>
      </c>
      <c r="C79" s="284"/>
      <c r="D79" s="6">
        <v>0</v>
      </c>
      <c r="E79" s="216" t="e">
        <f>D79*#REF!</f>
        <v>#REF!</v>
      </c>
      <c r="F79" s="216" t="e">
        <f>D79*#REF!</f>
        <v>#REF!</v>
      </c>
      <c r="G79" s="216" t="e">
        <f>(D79*#REF!)*#REF!</f>
        <v>#REF!</v>
      </c>
      <c r="H79" s="211">
        <f t="shared" si="10"/>
        <v>0</v>
      </c>
      <c r="I79" s="7" t="e">
        <f t="shared" si="11"/>
        <v>#REF!</v>
      </c>
      <c r="J79" s="5"/>
      <c r="K79" s="284"/>
      <c r="L79" s="7">
        <v>233660</v>
      </c>
      <c r="M79" s="45">
        <v>1458545.29</v>
      </c>
      <c r="N79" s="7">
        <v>5390500</v>
      </c>
      <c r="O79" s="268">
        <f>VLOOKUP(A79,TB!A:F,3)</f>
        <v>2078113.07</v>
      </c>
      <c r="P79" s="7"/>
      <c r="Q79" s="7">
        <v>3219700</v>
      </c>
      <c r="R79" s="281">
        <f>VLOOKUP(A79,TB!A:F,6)</f>
        <v>3219700</v>
      </c>
      <c r="S79" s="5"/>
    </row>
    <row r="80" spans="1:19" ht="15.75" hidden="1" customHeight="1" outlineLevel="1" x14ac:dyDescent="0.25">
      <c r="A80" s="6" t="s">
        <v>1399</v>
      </c>
      <c r="B80" s="6" t="s">
        <v>1400</v>
      </c>
      <c r="C80" s="284"/>
      <c r="D80" s="6">
        <v>0</v>
      </c>
      <c r="E80" s="216" t="e">
        <f>D80*#REF!</f>
        <v>#REF!</v>
      </c>
      <c r="F80" s="216" t="e">
        <f>D80*#REF!</f>
        <v>#REF!</v>
      </c>
      <c r="G80" s="216" t="e">
        <f>(D80*#REF!)*#REF!</f>
        <v>#REF!</v>
      </c>
      <c r="H80" s="211">
        <f t="shared" si="10"/>
        <v>0</v>
      </c>
      <c r="I80" s="7" t="e">
        <f t="shared" si="11"/>
        <v>#REF!</v>
      </c>
      <c r="J80" s="5"/>
      <c r="K80" s="284"/>
      <c r="L80" s="6">
        <v>0</v>
      </c>
      <c r="M80" s="6">
        <v>0</v>
      </c>
      <c r="N80" s="7">
        <v>697500</v>
      </c>
      <c r="O80" s="268">
        <f>VLOOKUP(A80,TB!A:F,3)</f>
        <v>39.75</v>
      </c>
      <c r="P80" s="7"/>
      <c r="Q80" s="7">
        <v>500000</v>
      </c>
      <c r="R80" s="281">
        <f>VLOOKUP(A80,TB!A:F,6)</f>
        <v>500000</v>
      </c>
      <c r="S80" s="5"/>
    </row>
    <row r="81" spans="1:19" ht="15.75" hidden="1" customHeight="1" outlineLevel="1" x14ac:dyDescent="0.25">
      <c r="A81" s="47" t="s">
        <v>1360</v>
      </c>
      <c r="B81" s="48"/>
      <c r="C81" s="282"/>
      <c r="D81" s="12">
        <f t="shared" ref="D81:G81" si="12">SUM(D76:D80)</f>
        <v>2201823</v>
      </c>
      <c r="E81" s="12" t="e">
        <f t="shared" si="12"/>
        <v>#REF!</v>
      </c>
      <c r="F81" s="12" t="e">
        <f t="shared" si="12"/>
        <v>#REF!</v>
      </c>
      <c r="G81" s="12" t="e">
        <f t="shared" si="12"/>
        <v>#REF!</v>
      </c>
      <c r="H81" s="212">
        <f t="shared" si="10"/>
        <v>1.2902385886603964</v>
      </c>
      <c r="I81" s="12" t="e">
        <f t="shared" si="11"/>
        <v>#REF!</v>
      </c>
      <c r="J81" s="5"/>
      <c r="K81" s="282"/>
      <c r="L81" s="12">
        <f t="shared" ref="L81:O81" si="13">SUM(L76:L80)</f>
        <v>233660</v>
      </c>
      <c r="M81" s="12">
        <f t="shared" si="13"/>
        <v>1458545.29</v>
      </c>
      <c r="N81" s="12">
        <f t="shared" si="13"/>
        <v>7106655</v>
      </c>
      <c r="O81" s="12">
        <f t="shared" si="13"/>
        <v>2638182.3600000003</v>
      </c>
      <c r="P81" s="12"/>
      <c r="Q81" s="12">
        <f t="shared" ref="Q81:R81" si="14">SUM(Q76:Q80)</f>
        <v>5042700</v>
      </c>
      <c r="R81" s="12">
        <f t="shared" si="14"/>
        <v>4777700</v>
      </c>
      <c r="S81" s="5"/>
    </row>
    <row r="82" spans="1:19" ht="15.75" hidden="1" customHeight="1" outlineLevel="1" x14ac:dyDescent="0.2">
      <c r="A82" s="5"/>
      <c r="B82" s="5"/>
      <c r="C82" s="284"/>
      <c r="D82" s="5"/>
      <c r="E82" s="5"/>
      <c r="F82" s="5"/>
      <c r="G82" s="5"/>
      <c r="H82" s="5"/>
      <c r="I82" s="5"/>
      <c r="J82" s="5"/>
      <c r="K82" s="284"/>
      <c r="L82" s="5"/>
      <c r="M82" s="5"/>
      <c r="N82" s="5"/>
      <c r="O82" s="5"/>
      <c r="P82" s="5"/>
      <c r="Q82" s="5"/>
      <c r="R82" s="5"/>
      <c r="S82" s="5"/>
    </row>
    <row r="83" spans="1:19" ht="15.75" customHeight="1" collapsed="1" x14ac:dyDescent="0.25">
      <c r="A83" s="6" t="s">
        <v>1235</v>
      </c>
      <c r="B83" s="6" t="s">
        <v>68</v>
      </c>
      <c r="C83" s="383"/>
      <c r="D83" s="266">
        <f t="shared" ref="D83:D112" si="15">SUMIF($B$5:$B$37,$B83,D$5:D$42)+SUMIF($B$38:$B$72,$B83,D$38:D$72)+SUMIF($B$76:$B$80,$B83,D$76:D$80)</f>
        <v>881578</v>
      </c>
      <c r="E83" s="142" t="e">
        <f>D83*#REF!</f>
        <v>#REF!</v>
      </c>
      <c r="F83" s="142" t="e">
        <f>D83*#REF!</f>
        <v>#REF!</v>
      </c>
      <c r="G83" s="142" t="e">
        <f>(D83*#REF!)*#REF!</f>
        <v>#REF!</v>
      </c>
      <c r="H83" s="33">
        <f t="shared" ref="H83:H113" si="16">IFERROR(((Q83-G83)/G83),0)</f>
        <v>0</v>
      </c>
      <c r="I83" s="16" t="e">
        <f t="shared" ref="I83:I113" si="17">Q83-G83</f>
        <v>#REF!</v>
      </c>
      <c r="J83" s="109"/>
      <c r="K83" s="383"/>
      <c r="L83" s="265">
        <f t="shared" ref="L83:O83" si="18">SUMIF($B$5:$B$37,$B83,L$5:L$42)+SUMIF($B$38:$B$72,$B83,L$38:L$72)+SUMIF($B$76:$B$80,$B83,L$76:L$80)</f>
        <v>1231744</v>
      </c>
      <c r="M83" s="265">
        <f t="shared" si="18"/>
        <v>1303631.52</v>
      </c>
      <c r="N83" s="265">
        <f t="shared" si="18"/>
        <v>1357613</v>
      </c>
      <c r="O83" s="265">
        <f t="shared" si="18"/>
        <v>1050956.6000000001</v>
      </c>
      <c r="P83" s="266">
        <f t="shared" ref="P83:P89" si="19">O83/20*26</f>
        <v>1366243.58</v>
      </c>
      <c r="Q83" s="266">
        <f t="shared" ref="Q83:R83" si="20">SUMIF($B$5:$B$37,$B83,Q$5:Q$42)+SUMIF($B$38:$B$72,$B83,Q$38:Q$72)+SUMIF($B$76:$B$80,$B83,Q$76:Q$80)</f>
        <v>1555800</v>
      </c>
      <c r="R83" s="265">
        <f t="shared" si="20"/>
        <v>1555800</v>
      </c>
      <c r="S83" s="7">
        <f t="shared" ref="S83:S112" si="21">R83-Q83</f>
        <v>0</v>
      </c>
    </row>
    <row r="84" spans="1:19" ht="15.75" customHeight="1" x14ac:dyDescent="0.25">
      <c r="A84" s="6" t="s">
        <v>1235</v>
      </c>
      <c r="B84" s="6" t="s">
        <v>70</v>
      </c>
      <c r="C84" s="383"/>
      <c r="D84" s="266">
        <f t="shared" si="15"/>
        <v>32223</v>
      </c>
      <c r="E84" s="142" t="e">
        <f>D84*#REF!</f>
        <v>#REF!</v>
      </c>
      <c r="F84" s="142" t="e">
        <f>D84*#REF!</f>
        <v>#REF!</v>
      </c>
      <c r="G84" s="142" t="e">
        <f>(D84*#REF!)*#REF!</f>
        <v>#REF!</v>
      </c>
      <c r="H84" s="33">
        <f t="shared" si="16"/>
        <v>0</v>
      </c>
      <c r="I84" s="16" t="e">
        <f t="shared" si="17"/>
        <v>#REF!</v>
      </c>
      <c r="J84" s="16">
        <v>-9000</v>
      </c>
      <c r="K84" s="383"/>
      <c r="L84" s="265">
        <f t="shared" ref="L84:O84" si="22">SUMIF($B$5:$B$37,$B84,L$5:L$42)+SUMIF($B$38:$B$72,$B84,L$38:L$72)+SUMIF($B$76:$B$80,$B84,L$76:L$80)</f>
        <v>82311</v>
      </c>
      <c r="M84" s="265">
        <f t="shared" si="22"/>
        <v>32089.37</v>
      </c>
      <c r="N84" s="265">
        <f t="shared" si="22"/>
        <v>60000</v>
      </c>
      <c r="O84" s="265">
        <f t="shared" si="22"/>
        <v>29658.04</v>
      </c>
      <c r="P84" s="266">
        <f t="shared" si="19"/>
        <v>38555.452000000005</v>
      </c>
      <c r="Q84" s="266">
        <f t="shared" ref="Q84:R84" si="23">SUMIF($B$5:$B$37,$B84,Q$5:Q$42)+SUMIF($B$38:$B$72,$B84,Q$38:Q$72)+SUMIF($B$76:$B$80,$B84,Q$76:Q$80)</f>
        <v>60000</v>
      </c>
      <c r="R84" s="265">
        <f t="shared" si="23"/>
        <v>51000</v>
      </c>
      <c r="S84" s="7">
        <f t="shared" si="21"/>
        <v>-9000</v>
      </c>
    </row>
    <row r="85" spans="1:19" ht="15.75" customHeight="1" x14ac:dyDescent="0.25">
      <c r="A85" s="6" t="s">
        <v>1235</v>
      </c>
      <c r="B85" s="6" t="s">
        <v>132</v>
      </c>
      <c r="C85" s="383"/>
      <c r="D85" s="266">
        <f t="shared" si="15"/>
        <v>9828</v>
      </c>
      <c r="E85" s="142" t="e">
        <f>D85*#REF!</f>
        <v>#REF!</v>
      </c>
      <c r="F85" s="142" t="e">
        <f>D85*#REF!</f>
        <v>#REF!</v>
      </c>
      <c r="G85" s="142" t="e">
        <f>(D85*#REF!)*#REF!</f>
        <v>#REF!</v>
      </c>
      <c r="H85" s="33">
        <f t="shared" si="16"/>
        <v>0</v>
      </c>
      <c r="I85" s="16" t="e">
        <f t="shared" si="17"/>
        <v>#REF!</v>
      </c>
      <c r="J85" s="16"/>
      <c r="K85" s="383"/>
      <c r="L85" s="265">
        <f t="shared" ref="L85:O85" si="24">SUMIF($B$5:$B$37,$B85,L$5:L$42)+SUMIF($B$38:$B$72,$B85,L$38:L$72)+SUMIF($B$76:$B$80,$B85,L$76:L$80)</f>
        <v>14839</v>
      </c>
      <c r="M85" s="265">
        <f t="shared" si="24"/>
        <v>0</v>
      </c>
      <c r="N85" s="265">
        <f t="shared" si="24"/>
        <v>0</v>
      </c>
      <c r="O85" s="265">
        <f t="shared" si="24"/>
        <v>0</v>
      </c>
      <c r="P85" s="266">
        <f t="shared" si="19"/>
        <v>0</v>
      </c>
      <c r="Q85" s="266">
        <f t="shared" ref="Q85:R85" si="25">SUMIF($B$5:$B$37,$B85,Q$5:Q$42)+SUMIF($B$38:$B$72,$B85,Q$38:Q$72)+SUMIF($B$76:$B$80,$B85,Q$76:Q$80)</f>
        <v>0</v>
      </c>
      <c r="R85" s="265">
        <f t="shared" si="25"/>
        <v>0</v>
      </c>
      <c r="S85" s="7">
        <f t="shared" si="21"/>
        <v>0</v>
      </c>
    </row>
    <row r="86" spans="1:19" ht="15.75" customHeight="1" x14ac:dyDescent="0.25">
      <c r="A86" s="6" t="s">
        <v>1235</v>
      </c>
      <c r="B86" s="6" t="s">
        <v>108</v>
      </c>
      <c r="C86" s="383"/>
      <c r="D86" s="266">
        <f t="shared" si="15"/>
        <v>125138</v>
      </c>
      <c r="E86" s="142" t="e">
        <f>D86*#REF!</f>
        <v>#REF!</v>
      </c>
      <c r="F86" s="142" t="e">
        <f>D86*#REF!</f>
        <v>#REF!</v>
      </c>
      <c r="G86" s="142" t="e">
        <f>(D86*#REF!)*#REF!</f>
        <v>#REF!</v>
      </c>
      <c r="H86" s="33">
        <f t="shared" si="16"/>
        <v>0</v>
      </c>
      <c r="I86" s="16" t="e">
        <f t="shared" si="17"/>
        <v>#REF!</v>
      </c>
      <c r="J86" s="16"/>
      <c r="K86" s="383"/>
      <c r="L86" s="265">
        <f t="shared" ref="L86:O86" si="26">SUMIF($B$5:$B$37,$B86,L$5:L$42)+SUMIF($B$38:$B$72,$B86,L$38:L$72)+SUMIF($B$76:$B$80,$B86,L$76:L$80)</f>
        <v>119533</v>
      </c>
      <c r="M86" s="265">
        <f t="shared" si="26"/>
        <v>131517.19</v>
      </c>
      <c r="N86" s="265">
        <f t="shared" si="26"/>
        <v>155000</v>
      </c>
      <c r="O86" s="265">
        <f t="shared" si="26"/>
        <v>145641.20000000001</v>
      </c>
      <c r="P86" s="266">
        <f t="shared" si="19"/>
        <v>189333.56</v>
      </c>
      <c r="Q86" s="266">
        <f t="shared" ref="Q86:R86" si="27">SUMIF($B$5:$B$37,$B86,Q$5:Q$42)+SUMIF($B$38:$B$72,$B86,Q$38:Q$72)+SUMIF($B$76:$B$80,$B86,Q$76:Q$80)</f>
        <v>162000</v>
      </c>
      <c r="R86" s="265">
        <f t="shared" si="27"/>
        <v>162000</v>
      </c>
      <c r="S86" s="7">
        <f t="shared" si="21"/>
        <v>0</v>
      </c>
    </row>
    <row r="87" spans="1:19" ht="15.75" customHeight="1" x14ac:dyDescent="0.25">
      <c r="A87" s="6" t="s">
        <v>1235</v>
      </c>
      <c r="B87" s="6" t="s">
        <v>72</v>
      </c>
      <c r="C87" s="383"/>
      <c r="D87" s="266">
        <f t="shared" si="15"/>
        <v>474200</v>
      </c>
      <c r="E87" s="142" t="e">
        <f>D87*#REF!</f>
        <v>#REF!</v>
      </c>
      <c r="F87" s="142" t="e">
        <f>D87*#REF!</f>
        <v>#REF!</v>
      </c>
      <c r="G87" s="142" t="e">
        <f>(D87*#REF!)*#REF!</f>
        <v>#REF!</v>
      </c>
      <c r="H87" s="33">
        <f t="shared" si="16"/>
        <v>0</v>
      </c>
      <c r="I87" s="16" t="e">
        <f t="shared" si="17"/>
        <v>#REF!</v>
      </c>
      <c r="J87" s="16"/>
      <c r="K87" s="383"/>
      <c r="L87" s="265">
        <f t="shared" ref="L87:O87" si="28">SUMIF($B$5:$B$37,$B87,L$5:L$42)+SUMIF($B$38:$B$72,$B87,L$38:L$72)+SUMIF($B$76:$B$80,$B87,L$76:L$80)</f>
        <v>600973</v>
      </c>
      <c r="M87" s="265">
        <f t="shared" si="28"/>
        <v>664047.79</v>
      </c>
      <c r="N87" s="265">
        <f t="shared" si="28"/>
        <v>796852</v>
      </c>
      <c r="O87" s="265">
        <f t="shared" si="28"/>
        <v>517654.03</v>
      </c>
      <c r="P87" s="266">
        <f t="shared" si="19"/>
        <v>672950.23900000006</v>
      </c>
      <c r="Q87" s="266">
        <f t="shared" ref="Q87:R87" si="29">SUMIF($B$5:$B$37,$B87,Q$5:Q$42)+SUMIF($B$38:$B$72,$B87,Q$38:Q$72)+SUMIF($B$76:$B$80,$B87,Q$76:Q$80)</f>
        <v>761700</v>
      </c>
      <c r="R87" s="265">
        <f t="shared" si="29"/>
        <v>761700</v>
      </c>
      <c r="S87" s="7">
        <f t="shared" si="21"/>
        <v>0</v>
      </c>
    </row>
    <row r="88" spans="1:19" ht="15.75" customHeight="1" x14ac:dyDescent="0.25">
      <c r="A88" s="6" t="s">
        <v>1235</v>
      </c>
      <c r="B88" s="6" t="s">
        <v>892</v>
      </c>
      <c r="C88" s="383"/>
      <c r="D88" s="266">
        <f t="shared" si="15"/>
        <v>8454</v>
      </c>
      <c r="E88" s="142" t="e">
        <f>D88*#REF!</f>
        <v>#REF!</v>
      </c>
      <c r="F88" s="142" t="e">
        <f>D88*#REF!</f>
        <v>#REF!</v>
      </c>
      <c r="G88" s="142" t="e">
        <f>(D88*#REF!)*#REF!</f>
        <v>#REF!</v>
      </c>
      <c r="H88" s="33">
        <f t="shared" si="16"/>
        <v>0</v>
      </c>
      <c r="I88" s="16" t="e">
        <f t="shared" si="17"/>
        <v>#REF!</v>
      </c>
      <c r="J88" s="16">
        <v>-2000</v>
      </c>
      <c r="K88" s="383"/>
      <c r="L88" s="265">
        <f t="shared" ref="L88:O88" si="30">SUMIF($B$5:$B$37,$B88,L$5:L$42)+SUMIF($B$38:$B$72,$B88,L$38:L$72)+SUMIF($B$76:$B$80,$B88,L$76:L$80)</f>
        <v>8742</v>
      </c>
      <c r="M88" s="265">
        <f t="shared" si="30"/>
        <v>8610</v>
      </c>
      <c r="N88" s="265">
        <f t="shared" si="30"/>
        <v>13000</v>
      </c>
      <c r="O88" s="265">
        <f t="shared" si="30"/>
        <v>6870</v>
      </c>
      <c r="P88" s="266">
        <f t="shared" si="19"/>
        <v>8931</v>
      </c>
      <c r="Q88" s="266">
        <f t="shared" ref="Q88:R88" si="31">SUMIF($B$5:$B$37,$B88,Q$5:Q$42)+SUMIF($B$38:$B$72,$B88,Q$38:Q$72)+SUMIF($B$76:$B$80,$B88,Q$76:Q$80)</f>
        <v>20000</v>
      </c>
      <c r="R88" s="265">
        <f t="shared" si="31"/>
        <v>18000</v>
      </c>
      <c r="S88" s="7">
        <f t="shared" si="21"/>
        <v>-2000</v>
      </c>
    </row>
    <row r="89" spans="1:19" ht="15.75" customHeight="1" x14ac:dyDescent="0.25">
      <c r="A89" s="6" t="s">
        <v>1235</v>
      </c>
      <c r="B89" s="6" t="s">
        <v>451</v>
      </c>
      <c r="C89" s="383"/>
      <c r="D89" s="266">
        <f t="shared" si="15"/>
        <v>0</v>
      </c>
      <c r="E89" s="142" t="e">
        <f>D89*#REF!</f>
        <v>#REF!</v>
      </c>
      <c r="F89" s="142" t="e">
        <f>D89*#REF!</f>
        <v>#REF!</v>
      </c>
      <c r="G89" s="142" t="e">
        <f>(D89*#REF!)*#REF!</f>
        <v>#REF!</v>
      </c>
      <c r="H89" s="33">
        <f t="shared" si="16"/>
        <v>0</v>
      </c>
      <c r="I89" s="16" t="e">
        <f t="shared" si="17"/>
        <v>#REF!</v>
      </c>
      <c r="J89" s="16">
        <v>10000</v>
      </c>
      <c r="K89" s="383"/>
      <c r="L89" s="265">
        <f t="shared" ref="L89:O89" si="32">SUMIF($B$5:$B$37,$B89,L$5:L$42)+SUMIF($B$38:$B$72,$B89,L$38:L$72)+SUMIF($B$76:$B$80,$B89,L$76:L$80)</f>
        <v>0</v>
      </c>
      <c r="M89" s="265">
        <f t="shared" si="32"/>
        <v>0</v>
      </c>
      <c r="N89" s="265">
        <f t="shared" si="32"/>
        <v>32700</v>
      </c>
      <c r="O89" s="265">
        <f t="shared" si="32"/>
        <v>2341.5</v>
      </c>
      <c r="P89" s="266">
        <f t="shared" si="19"/>
        <v>3043.9500000000003</v>
      </c>
      <c r="Q89" s="266">
        <f t="shared" ref="Q89:R89" si="33">SUMIF($B$5:$B$37,$B89,Q$5:Q$42)+SUMIF($B$38:$B$72,$B89,Q$38:Q$72)+SUMIF($B$76:$B$80,$B89,Q$76:Q$80)</f>
        <v>0</v>
      </c>
      <c r="R89" s="265">
        <f t="shared" si="33"/>
        <v>10000</v>
      </c>
      <c r="S89" s="7">
        <f t="shared" si="21"/>
        <v>10000</v>
      </c>
    </row>
    <row r="90" spans="1:19" ht="15.75" customHeight="1" x14ac:dyDescent="0.25">
      <c r="A90" s="6" t="s">
        <v>1235</v>
      </c>
      <c r="B90" s="6" t="s">
        <v>74</v>
      </c>
      <c r="C90" s="383"/>
      <c r="D90" s="266">
        <f t="shared" si="15"/>
        <v>225</v>
      </c>
      <c r="E90" s="142" t="e">
        <f>D90*#REF!</f>
        <v>#REF!</v>
      </c>
      <c r="F90" s="142" t="e">
        <f>D90*#REF!</f>
        <v>#REF!</v>
      </c>
      <c r="G90" s="142" t="e">
        <f>(D90*#REF!)*#REF!</f>
        <v>#REF!</v>
      </c>
      <c r="H90" s="33">
        <f t="shared" si="16"/>
        <v>0</v>
      </c>
      <c r="I90" s="16" t="e">
        <f t="shared" si="17"/>
        <v>#REF!</v>
      </c>
      <c r="J90" s="16">
        <v>-5000</v>
      </c>
      <c r="K90" s="383"/>
      <c r="L90" s="265">
        <f t="shared" ref="L90:O90" si="34">SUMIF($B$5:$B$37,$B90,L$5:L$42)+SUMIF($B$38:$B$72,$B90,L$38:L$72)+SUMIF($B$76:$B$80,$B90,L$76:L$80)</f>
        <v>40</v>
      </c>
      <c r="M90" s="265">
        <f t="shared" si="34"/>
        <v>369.26</v>
      </c>
      <c r="N90" s="265">
        <f t="shared" si="34"/>
        <v>7000</v>
      </c>
      <c r="O90" s="265">
        <f t="shared" si="34"/>
        <v>1231.23</v>
      </c>
      <c r="P90" s="266">
        <f t="shared" ref="P90:P92" si="35">IF(O90/9*12&lt;N90,N90,O90/9*12)</f>
        <v>7000</v>
      </c>
      <c r="Q90" s="266">
        <f t="shared" ref="Q90:R90" si="36">SUMIF($B$5:$B$37,$B90,Q$5:Q$42)+SUMIF($B$38:$B$72,$B90,Q$38:Q$72)+SUMIF($B$76:$B$80,$B90,Q$76:Q$80)</f>
        <v>16000</v>
      </c>
      <c r="R90" s="265">
        <f t="shared" si="36"/>
        <v>11000</v>
      </c>
      <c r="S90" s="7">
        <f t="shared" si="21"/>
        <v>-5000</v>
      </c>
    </row>
    <row r="91" spans="1:19" ht="15.75" customHeight="1" x14ac:dyDescent="0.25">
      <c r="A91" s="6" t="s">
        <v>1235</v>
      </c>
      <c r="B91" s="6" t="s">
        <v>76</v>
      </c>
      <c r="C91" s="383"/>
      <c r="D91" s="266">
        <f t="shared" si="15"/>
        <v>5587</v>
      </c>
      <c r="E91" s="142" t="e">
        <f>D91*#REF!</f>
        <v>#REF!</v>
      </c>
      <c r="F91" s="142" t="e">
        <f>D91*#REF!</f>
        <v>#REF!</v>
      </c>
      <c r="G91" s="142" t="e">
        <f>(D91*#REF!)*#REF!</f>
        <v>#REF!</v>
      </c>
      <c r="H91" s="33">
        <f t="shared" si="16"/>
        <v>0</v>
      </c>
      <c r="I91" s="16" t="e">
        <f t="shared" si="17"/>
        <v>#REF!</v>
      </c>
      <c r="J91" s="16">
        <v>-4000</v>
      </c>
      <c r="K91" s="383"/>
      <c r="L91" s="265">
        <f t="shared" ref="L91:O91" si="37">SUMIF($B$5:$B$37,$B91,L$5:L$42)+SUMIF($B$38:$B$72,$B91,L$38:L$72)+SUMIF($B$76:$B$80,$B91,L$76:L$80)</f>
        <v>19668</v>
      </c>
      <c r="M91" s="265">
        <f t="shared" si="37"/>
        <v>10547.08</v>
      </c>
      <c r="N91" s="265">
        <f t="shared" si="37"/>
        <v>10000</v>
      </c>
      <c r="O91" s="265">
        <f t="shared" si="37"/>
        <v>6398.47</v>
      </c>
      <c r="P91" s="386">
        <f t="shared" si="35"/>
        <v>10000</v>
      </c>
      <c r="Q91" s="266">
        <f t="shared" ref="Q91:R91" si="38">SUMIF($B$5:$B$37,$B91,Q$5:Q$42)+SUMIF($B$38:$B$72,$B91,Q$38:Q$72)+SUMIF($B$76:$B$80,$B91,Q$76:Q$80)</f>
        <v>12000</v>
      </c>
      <c r="R91" s="265">
        <f t="shared" si="38"/>
        <v>8000</v>
      </c>
      <c r="S91" s="7">
        <f t="shared" si="21"/>
        <v>-4000</v>
      </c>
    </row>
    <row r="92" spans="1:19" ht="15.75" customHeight="1" x14ac:dyDescent="0.25">
      <c r="A92" s="6" t="s">
        <v>1235</v>
      </c>
      <c r="B92" s="6" t="s">
        <v>80</v>
      </c>
      <c r="C92" s="383"/>
      <c r="D92" s="266">
        <f t="shared" si="15"/>
        <v>10971</v>
      </c>
      <c r="E92" s="142" t="e">
        <f>D92*#REF!</f>
        <v>#REF!</v>
      </c>
      <c r="F92" s="142" t="e">
        <f>D92*#REF!</f>
        <v>#REF!</v>
      </c>
      <c r="G92" s="142" t="e">
        <f>(D92*#REF!)*#REF!</f>
        <v>#REF!</v>
      </c>
      <c r="H92" s="33">
        <f t="shared" si="16"/>
        <v>0</v>
      </c>
      <c r="I92" s="16" t="e">
        <f t="shared" si="17"/>
        <v>#REF!</v>
      </c>
      <c r="J92" s="16">
        <v>-2000</v>
      </c>
      <c r="K92" s="383"/>
      <c r="L92" s="265">
        <f t="shared" ref="L92:O92" si="39">SUMIF($B$5:$B$37,$B92,L$5:L$42)+SUMIF($B$38:$B$72,$B92,L$38:L$72)+SUMIF($B$76:$B$80,$B92,L$76:L$80)</f>
        <v>12800</v>
      </c>
      <c r="M92" s="265">
        <f t="shared" si="39"/>
        <v>10322.370000000001</v>
      </c>
      <c r="N92" s="265">
        <f t="shared" si="39"/>
        <v>12000</v>
      </c>
      <c r="O92" s="265">
        <f t="shared" si="39"/>
        <v>10668.39</v>
      </c>
      <c r="P92" s="266">
        <f t="shared" si="35"/>
        <v>14224.519999999999</v>
      </c>
      <c r="Q92" s="266">
        <f t="shared" ref="Q92:R92" si="40">SUMIF($B$5:$B$37,$B92,Q$5:Q$42)+SUMIF($B$38:$B$72,$B92,Q$38:Q$72)+SUMIF($B$76:$B$80,$B92,Q$76:Q$80)</f>
        <v>14000</v>
      </c>
      <c r="R92" s="265">
        <f t="shared" si="40"/>
        <v>12000</v>
      </c>
      <c r="S92" s="7">
        <f t="shared" si="21"/>
        <v>-2000</v>
      </c>
    </row>
    <row r="93" spans="1:19" ht="15.75" customHeight="1" x14ac:dyDescent="0.25">
      <c r="A93" s="6" t="s">
        <v>1235</v>
      </c>
      <c r="B93" s="6" t="s">
        <v>82</v>
      </c>
      <c r="C93" s="383"/>
      <c r="D93" s="266">
        <f t="shared" si="15"/>
        <v>276083</v>
      </c>
      <c r="E93" s="142" t="e">
        <f>D93*#REF!</f>
        <v>#REF!</v>
      </c>
      <c r="F93" s="142" t="e">
        <f>D93*#REF!</f>
        <v>#REF!</v>
      </c>
      <c r="G93" s="142" t="e">
        <f>(D93*#REF!)*#REF!</f>
        <v>#REF!</v>
      </c>
      <c r="H93" s="33">
        <f t="shared" si="16"/>
        <v>0</v>
      </c>
      <c r="I93" s="16" t="e">
        <f t="shared" si="17"/>
        <v>#REF!</v>
      </c>
      <c r="J93" s="16">
        <v>-20000</v>
      </c>
      <c r="K93" s="383"/>
      <c r="L93" s="265">
        <f t="shared" ref="L93:O93" si="41">SUMIF($B$5:$B$37,$B93,L$5:L$42)+SUMIF($B$38:$B$72,$B93,L$38:L$72)+SUMIF($B$76:$B$80,$B93,L$76:L$80)</f>
        <v>336246</v>
      </c>
      <c r="M93" s="265">
        <f t="shared" si="41"/>
        <v>357040.84</v>
      </c>
      <c r="N93" s="265">
        <f t="shared" si="41"/>
        <v>345000</v>
      </c>
      <c r="O93" s="265">
        <f t="shared" si="41"/>
        <v>252852.31</v>
      </c>
      <c r="P93" s="386">
        <f>N93</f>
        <v>345000</v>
      </c>
      <c r="Q93" s="266">
        <f t="shared" ref="Q93:R93" si="42">SUMIF($B$5:$B$37,$B93,Q$5:Q$42)+SUMIF($B$38:$B$72,$B93,Q$38:Q$72)+SUMIF($B$76:$B$80,$B93,Q$76:Q$80)</f>
        <v>420000</v>
      </c>
      <c r="R93" s="265">
        <f t="shared" si="42"/>
        <v>400000</v>
      </c>
      <c r="S93" s="7">
        <f t="shared" si="21"/>
        <v>-20000</v>
      </c>
    </row>
    <row r="94" spans="1:19" ht="15.75" customHeight="1" x14ac:dyDescent="0.25">
      <c r="A94" s="6" t="s">
        <v>1235</v>
      </c>
      <c r="B94" s="6" t="s">
        <v>115</v>
      </c>
      <c r="C94" s="383"/>
      <c r="D94" s="266">
        <f t="shared" si="15"/>
        <v>37904</v>
      </c>
      <c r="E94" s="142" t="e">
        <f>D94*#REF!</f>
        <v>#REF!</v>
      </c>
      <c r="F94" s="142" t="e">
        <f>D94*#REF!</f>
        <v>#REF!</v>
      </c>
      <c r="G94" s="142" t="e">
        <f>(D94*#REF!)*#REF!</f>
        <v>#REF!</v>
      </c>
      <c r="H94" s="33">
        <f t="shared" si="16"/>
        <v>0</v>
      </c>
      <c r="I94" s="16" t="e">
        <f t="shared" si="17"/>
        <v>#REF!</v>
      </c>
      <c r="J94" s="16">
        <v>-20000</v>
      </c>
      <c r="K94" s="383"/>
      <c r="L94" s="265">
        <f t="shared" ref="L94:O94" si="43">SUMIF($B$5:$B$37,$B94,L$5:L$42)+SUMIF($B$38:$B$72,$B94,L$38:L$72)+SUMIF($B$76:$B$80,$B94,L$76:L$80)</f>
        <v>51334</v>
      </c>
      <c r="M94" s="265">
        <f t="shared" si="43"/>
        <v>46020.42</v>
      </c>
      <c r="N94" s="265">
        <f t="shared" si="43"/>
        <v>80500</v>
      </c>
      <c r="O94" s="265">
        <f t="shared" si="43"/>
        <v>46859.57</v>
      </c>
      <c r="P94" s="266">
        <f t="shared" ref="P94:P95" si="44">O94/9*12</f>
        <v>62479.426666666666</v>
      </c>
      <c r="Q94" s="266">
        <f t="shared" ref="Q94:R94" si="45">SUMIF($B$5:$B$37,$B94,Q$5:Q$42)+SUMIF($B$38:$B$72,$B94,Q$38:Q$72)+SUMIF($B$76:$B$80,$B94,Q$76:Q$80)</f>
        <v>90000</v>
      </c>
      <c r="R94" s="265">
        <f t="shared" si="45"/>
        <v>70000</v>
      </c>
      <c r="S94" s="7">
        <f t="shared" si="21"/>
        <v>-20000</v>
      </c>
    </row>
    <row r="95" spans="1:19" ht="15.75" customHeight="1" x14ac:dyDescent="0.25">
      <c r="A95" s="6" t="s">
        <v>1235</v>
      </c>
      <c r="B95" s="6" t="s">
        <v>210</v>
      </c>
      <c r="C95" s="383"/>
      <c r="D95" s="266">
        <f t="shared" si="15"/>
        <v>212909</v>
      </c>
      <c r="E95" s="142" t="e">
        <f>D95*#REF!</f>
        <v>#REF!</v>
      </c>
      <c r="F95" s="142" t="e">
        <f>D95*#REF!</f>
        <v>#REF!</v>
      </c>
      <c r="G95" s="142" t="e">
        <f>(D95*#REF!)*#REF!</f>
        <v>#REF!</v>
      </c>
      <c r="H95" s="33">
        <f t="shared" si="16"/>
        <v>0</v>
      </c>
      <c r="I95" s="16" t="e">
        <f t="shared" si="17"/>
        <v>#REF!</v>
      </c>
      <c r="J95" s="16"/>
      <c r="K95" s="383"/>
      <c r="L95" s="265">
        <f t="shared" ref="L95:O95" si="46">SUMIF($B$5:$B$37,$B95,L$5:L$42)+SUMIF($B$38:$B$72,$B95,L$38:L$72)+SUMIF($B$76:$B$80,$B95,L$76:L$80)</f>
        <v>349256</v>
      </c>
      <c r="M95" s="265">
        <f t="shared" si="46"/>
        <v>309326.94</v>
      </c>
      <c r="N95" s="265">
        <f t="shared" si="46"/>
        <v>325000</v>
      </c>
      <c r="O95" s="265">
        <f t="shared" si="46"/>
        <v>197494.8</v>
      </c>
      <c r="P95" s="266">
        <f t="shared" si="44"/>
        <v>263326.39999999997</v>
      </c>
      <c r="Q95" s="266">
        <f t="shared" ref="Q95:R95" si="47">SUMIF($B$5:$B$37,$B95,Q$5:Q$42)+SUMIF($B$38:$B$72,$B95,Q$38:Q$72)+SUMIF($B$76:$B$80,$B95,Q$76:Q$80)</f>
        <v>325000</v>
      </c>
      <c r="R95" s="265">
        <f t="shared" si="47"/>
        <v>325000</v>
      </c>
      <c r="S95" s="7">
        <f t="shared" si="21"/>
        <v>0</v>
      </c>
    </row>
    <row r="96" spans="1:19" ht="15.75" customHeight="1" x14ac:dyDescent="0.25">
      <c r="A96" s="6" t="s">
        <v>1235</v>
      </c>
      <c r="B96" s="6" t="s">
        <v>277</v>
      </c>
      <c r="C96" s="383"/>
      <c r="D96" s="266">
        <f t="shared" si="15"/>
        <v>24071</v>
      </c>
      <c r="E96" s="142" t="e">
        <f>D96*#REF!</f>
        <v>#REF!</v>
      </c>
      <c r="F96" s="142" t="e">
        <f>D96*#REF!</f>
        <v>#REF!</v>
      </c>
      <c r="G96" s="142" t="e">
        <f>(D96*#REF!)*#REF!</f>
        <v>#REF!</v>
      </c>
      <c r="H96" s="33">
        <f t="shared" si="16"/>
        <v>0</v>
      </c>
      <c r="I96" s="16" t="e">
        <f t="shared" si="17"/>
        <v>#REF!</v>
      </c>
      <c r="J96" s="16"/>
      <c r="K96" s="383"/>
      <c r="L96" s="265">
        <f t="shared" ref="L96:O96" si="48">SUMIF($B$5:$B$37,$B96,L$5:L$42)+SUMIF($B$38:$B$72,$B96,L$38:L$72)+SUMIF($B$76:$B$80,$B96,L$76:L$80)</f>
        <v>0</v>
      </c>
      <c r="M96" s="265">
        <f t="shared" si="48"/>
        <v>0</v>
      </c>
      <c r="N96" s="265">
        <f t="shared" si="48"/>
        <v>0</v>
      </c>
      <c r="O96" s="265">
        <f t="shared" si="48"/>
        <v>0</v>
      </c>
      <c r="P96" s="266">
        <f t="shared" ref="P96:P98" si="49">IF(O96/9*12&lt;N96,N96,O96/9*12)</f>
        <v>0</v>
      </c>
      <c r="Q96" s="266">
        <f t="shared" ref="Q96:R96" si="50">SUMIF($B$5:$B$37,$B96,Q$5:Q$42)+SUMIF($B$38:$B$72,$B96,Q$38:Q$72)+SUMIF($B$76:$B$80,$B96,Q$76:Q$80)</f>
        <v>0</v>
      </c>
      <c r="R96" s="265">
        <f t="shared" si="50"/>
        <v>0</v>
      </c>
      <c r="S96" s="7">
        <f t="shared" si="21"/>
        <v>0</v>
      </c>
    </row>
    <row r="97" spans="1:19" ht="15.75" customHeight="1" x14ac:dyDescent="0.25">
      <c r="A97" s="6" t="s">
        <v>1235</v>
      </c>
      <c r="B97" s="6" t="s">
        <v>84</v>
      </c>
      <c r="C97" s="383"/>
      <c r="D97" s="266">
        <f t="shared" si="15"/>
        <v>13185</v>
      </c>
      <c r="E97" s="142" t="e">
        <f>D97*#REF!</f>
        <v>#REF!</v>
      </c>
      <c r="F97" s="142" t="e">
        <f>D97*#REF!</f>
        <v>#REF!</v>
      </c>
      <c r="G97" s="142" t="e">
        <f>(D97*#REF!)*#REF!</f>
        <v>#REF!</v>
      </c>
      <c r="H97" s="33">
        <f t="shared" si="16"/>
        <v>0</v>
      </c>
      <c r="I97" s="16" t="e">
        <f t="shared" si="17"/>
        <v>#REF!</v>
      </c>
      <c r="J97" s="16">
        <v>-2000</v>
      </c>
      <c r="K97" s="383"/>
      <c r="L97" s="265">
        <f t="shared" ref="L97:O97" si="51">SUMIF($B$5:$B$37,$B97,L$5:L$42)+SUMIF($B$38:$B$72,$B97,L$38:L$72)+SUMIF($B$76:$B$80,$B97,L$76:L$80)</f>
        <v>21851</v>
      </c>
      <c r="M97" s="265">
        <f t="shared" si="51"/>
        <v>28376.560000000001</v>
      </c>
      <c r="N97" s="265">
        <f t="shared" si="51"/>
        <v>31900</v>
      </c>
      <c r="O97" s="265">
        <f t="shared" si="51"/>
        <v>25189.119999999999</v>
      </c>
      <c r="P97" s="266">
        <f t="shared" si="49"/>
        <v>33585.493333333332</v>
      </c>
      <c r="Q97" s="266">
        <f t="shared" ref="Q97:R97" si="52">SUMIF($B$5:$B$37,$B97,Q$5:Q$42)+SUMIF($B$38:$B$72,$B97,Q$38:Q$72)+SUMIF($B$76:$B$80,$B97,Q$76:Q$80)</f>
        <v>32000</v>
      </c>
      <c r="R97" s="265">
        <f t="shared" si="52"/>
        <v>30000</v>
      </c>
      <c r="S97" s="7">
        <f t="shared" si="21"/>
        <v>-2000</v>
      </c>
    </row>
    <row r="98" spans="1:19" ht="15.75" customHeight="1" x14ac:dyDescent="0.25">
      <c r="A98" s="6" t="s">
        <v>1235</v>
      </c>
      <c r="B98" s="6" t="s">
        <v>86</v>
      </c>
      <c r="C98" s="383"/>
      <c r="D98" s="266">
        <f t="shared" si="15"/>
        <v>0</v>
      </c>
      <c r="E98" s="142" t="e">
        <f>D98*#REF!</f>
        <v>#REF!</v>
      </c>
      <c r="F98" s="142" t="e">
        <f>D98*#REF!</f>
        <v>#REF!</v>
      </c>
      <c r="G98" s="142" t="e">
        <f>(D98*#REF!)*#REF!</f>
        <v>#REF!</v>
      </c>
      <c r="H98" s="33">
        <f t="shared" si="16"/>
        <v>0</v>
      </c>
      <c r="I98" s="16" t="e">
        <f t="shared" si="17"/>
        <v>#REF!</v>
      </c>
      <c r="J98" s="16">
        <v>-2500</v>
      </c>
      <c r="K98" s="383"/>
      <c r="L98" s="265">
        <f t="shared" ref="L98:O98" si="53">SUMIF($B$5:$B$37,$B98,L$5:L$42)+SUMIF($B$38:$B$72,$B98,L$38:L$72)+SUMIF($B$76:$B$80,$B98,L$76:L$80)</f>
        <v>7585</v>
      </c>
      <c r="M98" s="265">
        <f t="shared" si="53"/>
        <v>4105</v>
      </c>
      <c r="N98" s="265">
        <f t="shared" si="53"/>
        <v>20500</v>
      </c>
      <c r="O98" s="265">
        <f t="shared" si="53"/>
        <v>3105</v>
      </c>
      <c r="P98" s="386">
        <f t="shared" si="49"/>
        <v>20500</v>
      </c>
      <c r="Q98" s="266">
        <f t="shared" ref="Q98:R98" si="54">SUMIF($B$5:$B$37,$B98,Q$5:Q$42)+SUMIF($B$38:$B$72,$B98,Q$38:Q$72)+SUMIF($B$76:$B$80,$B98,Q$76:Q$80)</f>
        <v>15000</v>
      </c>
      <c r="R98" s="265">
        <f t="shared" si="54"/>
        <v>12500</v>
      </c>
      <c r="S98" s="7">
        <f t="shared" si="21"/>
        <v>-2500</v>
      </c>
    </row>
    <row r="99" spans="1:19" ht="15.75" customHeight="1" x14ac:dyDescent="0.25">
      <c r="A99" s="6" t="s">
        <v>1235</v>
      </c>
      <c r="B99" s="6" t="s">
        <v>88</v>
      </c>
      <c r="C99" s="383"/>
      <c r="D99" s="266">
        <f t="shared" si="15"/>
        <v>4767</v>
      </c>
      <c r="E99" s="142" t="e">
        <f>D99*#REF!</f>
        <v>#REF!</v>
      </c>
      <c r="F99" s="142" t="e">
        <f>D99*#REF!</f>
        <v>#REF!</v>
      </c>
      <c r="G99" s="142" t="e">
        <f>(D99*#REF!)*#REF!</f>
        <v>#REF!</v>
      </c>
      <c r="H99" s="33">
        <f t="shared" si="16"/>
        <v>0</v>
      </c>
      <c r="I99" s="16" t="e">
        <f t="shared" si="17"/>
        <v>#REF!</v>
      </c>
      <c r="J99" s="16"/>
      <c r="K99" s="383"/>
      <c r="L99" s="265">
        <f t="shared" ref="L99:O99" si="55">SUMIF($B$5:$B$37,$B99,L$5:L$42)+SUMIF($B$38:$B$72,$B99,L$38:L$72)+SUMIF($B$76:$B$80,$B99,L$76:L$80)</f>
        <v>338</v>
      </c>
      <c r="M99" s="265">
        <f t="shared" si="55"/>
        <v>1340.22</v>
      </c>
      <c r="N99" s="265">
        <f t="shared" si="55"/>
        <v>14000</v>
      </c>
      <c r="O99" s="265">
        <f t="shared" si="55"/>
        <v>0</v>
      </c>
      <c r="P99" s="266">
        <f t="shared" ref="P99:P101" si="56">O99/9*12</f>
        <v>0</v>
      </c>
      <c r="Q99" s="266">
        <f t="shared" ref="Q99:R99" si="57">SUMIF($B$5:$B$37,$B99,Q$5:Q$42)+SUMIF($B$38:$B$72,$B99,Q$38:Q$72)+SUMIF($B$76:$B$80,$B99,Q$76:Q$80)</f>
        <v>30500</v>
      </c>
      <c r="R99" s="265">
        <f t="shared" si="57"/>
        <v>30500</v>
      </c>
      <c r="S99" s="7">
        <f t="shared" si="21"/>
        <v>0</v>
      </c>
    </row>
    <row r="100" spans="1:19" ht="15.75" customHeight="1" x14ac:dyDescent="0.25">
      <c r="A100" s="6" t="s">
        <v>1235</v>
      </c>
      <c r="B100" s="6" t="s">
        <v>90</v>
      </c>
      <c r="C100" s="383"/>
      <c r="D100" s="266">
        <f t="shared" si="15"/>
        <v>0</v>
      </c>
      <c r="E100" s="142" t="e">
        <f>D100*#REF!</f>
        <v>#REF!</v>
      </c>
      <c r="F100" s="142" t="e">
        <f>D100*#REF!</f>
        <v>#REF!</v>
      </c>
      <c r="G100" s="142" t="e">
        <f>(D100*#REF!)*#REF!</f>
        <v>#REF!</v>
      </c>
      <c r="H100" s="33">
        <f t="shared" si="16"/>
        <v>0</v>
      </c>
      <c r="I100" s="16" t="e">
        <f t="shared" si="17"/>
        <v>#REF!</v>
      </c>
      <c r="J100" s="16">
        <v>-5000</v>
      </c>
      <c r="K100" s="383"/>
      <c r="L100" s="265">
        <f t="shared" ref="L100:O100" si="58">SUMIF($B$5:$B$37,$B100,L$5:L$42)+SUMIF($B$38:$B$72,$B100,L$38:L$72)+SUMIF($B$76:$B$80,$B100,L$76:L$80)</f>
        <v>0</v>
      </c>
      <c r="M100" s="265">
        <f t="shared" si="58"/>
        <v>0</v>
      </c>
      <c r="N100" s="265">
        <f t="shared" si="58"/>
        <v>18000</v>
      </c>
      <c r="O100" s="265">
        <f t="shared" si="58"/>
        <v>3020</v>
      </c>
      <c r="P100" s="266">
        <f t="shared" si="56"/>
        <v>4026.6666666666665</v>
      </c>
      <c r="Q100" s="266">
        <f t="shared" ref="Q100:R100" si="59">SUMIF($B$5:$B$37,$B100,Q$5:Q$42)+SUMIF($B$38:$B$72,$B100,Q$38:Q$72)+SUMIF($B$76:$B$80,$B100,Q$76:Q$80)</f>
        <v>20000</v>
      </c>
      <c r="R100" s="265">
        <f t="shared" si="59"/>
        <v>15000</v>
      </c>
      <c r="S100" s="7">
        <f t="shared" si="21"/>
        <v>-5000</v>
      </c>
    </row>
    <row r="101" spans="1:19" ht="15.75" customHeight="1" x14ac:dyDescent="0.25">
      <c r="A101" s="6" t="s">
        <v>1235</v>
      </c>
      <c r="B101" s="6" t="s">
        <v>1336</v>
      </c>
      <c r="C101" s="383"/>
      <c r="D101" s="266">
        <f t="shared" si="15"/>
        <v>77539</v>
      </c>
      <c r="E101" s="142" t="e">
        <f>D101*#REF!</f>
        <v>#REF!</v>
      </c>
      <c r="F101" s="142" t="e">
        <f>D101*#REF!</f>
        <v>#REF!</v>
      </c>
      <c r="G101" s="142" t="e">
        <f>(D101*#REF!)*#REF!</f>
        <v>#REF!</v>
      </c>
      <c r="H101" s="33">
        <f t="shared" si="16"/>
        <v>0</v>
      </c>
      <c r="I101" s="16" t="e">
        <f t="shared" si="17"/>
        <v>#REF!</v>
      </c>
      <c r="J101" s="16">
        <v>-100000</v>
      </c>
      <c r="K101" s="383"/>
      <c r="L101" s="265">
        <f t="shared" ref="L101:O101" si="60">SUMIF($B$5:$B$37,$B101,L$5:L$42)+SUMIF($B$38:$B$72,$B101,L$38:L$72)+SUMIF($B$76:$B$80,$B101,L$76:L$80)</f>
        <v>129423</v>
      </c>
      <c r="M101" s="265">
        <f t="shared" si="60"/>
        <v>217849.61</v>
      </c>
      <c r="N101" s="265">
        <f t="shared" si="60"/>
        <v>451000</v>
      </c>
      <c r="O101" s="265">
        <f t="shared" si="60"/>
        <v>274221.46999999997</v>
      </c>
      <c r="P101" s="266">
        <f t="shared" si="56"/>
        <v>365628.62666666665</v>
      </c>
      <c r="Q101" s="266">
        <f t="shared" ref="Q101:R101" si="61">SUMIF($B$5:$B$37,$B101,Q$5:Q$42)+SUMIF($B$38:$B$72,$B101,Q$38:Q$72)+SUMIF($B$76:$B$80,$B101,Q$76:Q$80)</f>
        <v>631000</v>
      </c>
      <c r="R101" s="265">
        <f t="shared" si="61"/>
        <v>531000</v>
      </c>
      <c r="S101" s="7">
        <f t="shared" si="21"/>
        <v>-100000</v>
      </c>
    </row>
    <row r="102" spans="1:19" ht="15.75" customHeight="1" x14ac:dyDescent="0.25">
      <c r="A102" s="6" t="s">
        <v>1235</v>
      </c>
      <c r="B102" s="6" t="s">
        <v>1338</v>
      </c>
      <c r="C102" s="383"/>
      <c r="D102" s="266">
        <f t="shared" si="15"/>
        <v>540828</v>
      </c>
      <c r="E102" s="142" t="e">
        <f>D102*#REF!</f>
        <v>#REF!</v>
      </c>
      <c r="F102" s="142" t="e">
        <f>D102*#REF!</f>
        <v>#REF!</v>
      </c>
      <c r="G102" s="142" t="e">
        <f>(D102*#REF!)*#REF!</f>
        <v>#REF!</v>
      </c>
      <c r="H102" s="33">
        <f t="shared" si="16"/>
        <v>0</v>
      </c>
      <c r="I102" s="16" t="e">
        <f t="shared" si="17"/>
        <v>#REF!</v>
      </c>
      <c r="J102" s="16"/>
      <c r="K102" s="383"/>
      <c r="L102" s="265">
        <f t="shared" ref="L102:O102" si="62">SUMIF($B$5:$B$37,$B102,L$5:L$42)+SUMIF($B$38:$B$72,$B102,L$38:L$72)+SUMIF($B$76:$B$80,$B102,L$76:L$80)</f>
        <v>698745</v>
      </c>
      <c r="M102" s="265">
        <f t="shared" si="62"/>
        <v>590200.48</v>
      </c>
      <c r="N102" s="265">
        <f t="shared" si="62"/>
        <v>880000</v>
      </c>
      <c r="O102" s="265">
        <f t="shared" si="62"/>
        <v>865782.95</v>
      </c>
      <c r="P102" s="386">
        <f>N102</f>
        <v>880000</v>
      </c>
      <c r="Q102" s="266">
        <f t="shared" ref="Q102:R102" si="63">SUMIF($B$5:$B$37,$B102,Q$5:Q$42)+SUMIF($B$38:$B$72,$B102,Q$38:Q$72)+SUMIF($B$76:$B$80,$B102,Q$76:Q$80)</f>
        <v>880000</v>
      </c>
      <c r="R102" s="265">
        <f t="shared" si="63"/>
        <v>880000</v>
      </c>
      <c r="S102" s="7">
        <f t="shared" si="21"/>
        <v>0</v>
      </c>
    </row>
    <row r="103" spans="1:19" ht="15.75" customHeight="1" x14ac:dyDescent="0.25">
      <c r="A103" s="6" t="s">
        <v>1235</v>
      </c>
      <c r="B103" s="6" t="s">
        <v>1340</v>
      </c>
      <c r="C103" s="383"/>
      <c r="D103" s="266">
        <f t="shared" si="15"/>
        <v>372414</v>
      </c>
      <c r="E103" s="142" t="e">
        <f>D103*#REF!</f>
        <v>#REF!</v>
      </c>
      <c r="F103" s="142" t="e">
        <f>D103*#REF!</f>
        <v>#REF!</v>
      </c>
      <c r="G103" s="142" t="e">
        <f>(D103*#REF!)*#REF!</f>
        <v>#REF!</v>
      </c>
      <c r="H103" s="33">
        <f t="shared" si="16"/>
        <v>0</v>
      </c>
      <c r="I103" s="16" t="e">
        <f t="shared" si="17"/>
        <v>#REF!</v>
      </c>
      <c r="J103" s="16"/>
      <c r="K103" s="383"/>
      <c r="L103" s="265">
        <f t="shared" ref="L103:O103" si="64">SUMIF($B$5:$B$37,$B103,L$5:L$42)+SUMIF($B$38:$B$72,$B103,L$38:L$72)+SUMIF($B$76:$B$80,$B103,L$76:L$80)</f>
        <v>440042</v>
      </c>
      <c r="M103" s="265">
        <f t="shared" si="64"/>
        <v>460200.43</v>
      </c>
      <c r="N103" s="265">
        <f t="shared" si="64"/>
        <v>500000</v>
      </c>
      <c r="O103" s="265">
        <f t="shared" si="64"/>
        <v>563094.27</v>
      </c>
      <c r="P103" s="386">
        <f>O103</f>
        <v>563094.27</v>
      </c>
      <c r="Q103" s="266">
        <f t="shared" ref="Q103:R103" si="65">SUMIF($B$5:$B$37,$B103,Q$5:Q$42)+SUMIF($B$38:$B$72,$B103,Q$38:Q$72)+SUMIF($B$76:$B$80,$B103,Q$76:Q$80)</f>
        <v>500000</v>
      </c>
      <c r="R103" s="265">
        <f t="shared" si="65"/>
        <v>500000</v>
      </c>
      <c r="S103" s="7">
        <f t="shared" si="21"/>
        <v>0</v>
      </c>
    </row>
    <row r="104" spans="1:19" ht="15.75" customHeight="1" x14ac:dyDescent="0.25">
      <c r="A104" s="6" t="s">
        <v>1235</v>
      </c>
      <c r="B104" s="6" t="s">
        <v>1342</v>
      </c>
      <c r="C104" s="383"/>
      <c r="D104" s="266">
        <f t="shared" si="15"/>
        <v>80172</v>
      </c>
      <c r="E104" s="142" t="e">
        <f>D104*#REF!</f>
        <v>#REF!</v>
      </c>
      <c r="F104" s="142" t="e">
        <f>D104*#REF!</f>
        <v>#REF!</v>
      </c>
      <c r="G104" s="142" t="e">
        <f>(D104*#REF!)*#REF!</f>
        <v>#REF!</v>
      </c>
      <c r="H104" s="33">
        <f t="shared" si="16"/>
        <v>0</v>
      </c>
      <c r="I104" s="16" t="e">
        <f t="shared" si="17"/>
        <v>#REF!</v>
      </c>
      <c r="J104" s="16">
        <v>-25000</v>
      </c>
      <c r="K104" s="383"/>
      <c r="L104" s="265">
        <f t="shared" ref="L104:O104" si="66">SUMIF($B$5:$B$37,$B104,L$5:L$42)+SUMIF($B$38:$B$72,$B104,L$38:L$72)+SUMIF($B$76:$B$80,$B104,L$76:L$80)</f>
        <v>123075</v>
      </c>
      <c r="M104" s="265">
        <f t="shared" si="66"/>
        <v>62750.04</v>
      </c>
      <c r="N104" s="265">
        <f t="shared" si="66"/>
        <v>75000</v>
      </c>
      <c r="O104" s="265">
        <f t="shared" si="66"/>
        <v>13646.33</v>
      </c>
      <c r="P104" s="266">
        <f>O104/9*12</f>
        <v>18195.106666666667</v>
      </c>
      <c r="Q104" s="266">
        <f t="shared" ref="Q104:R104" si="67">SUMIF($B$5:$B$37,$B104,Q$5:Q$42)+SUMIF($B$38:$B$72,$B104,Q$38:Q$72)+SUMIF($B$76:$B$80,$B104,Q$76:Q$80)</f>
        <v>75000</v>
      </c>
      <c r="R104" s="265">
        <f t="shared" si="67"/>
        <v>50000</v>
      </c>
      <c r="S104" s="7">
        <f t="shared" si="21"/>
        <v>-25000</v>
      </c>
    </row>
    <row r="105" spans="1:19" ht="15.75" customHeight="1" x14ac:dyDescent="0.25">
      <c r="A105" s="6" t="s">
        <v>1235</v>
      </c>
      <c r="B105" s="6" t="s">
        <v>1344</v>
      </c>
      <c r="C105" s="383"/>
      <c r="D105" s="266">
        <f t="shared" si="15"/>
        <v>301068</v>
      </c>
      <c r="E105" s="142" t="e">
        <f>D105*#REF!</f>
        <v>#REF!</v>
      </c>
      <c r="F105" s="142" t="e">
        <f>D105*#REF!</f>
        <v>#REF!</v>
      </c>
      <c r="G105" s="142" t="e">
        <f>(D105*#REF!)*#REF!</f>
        <v>#REF!</v>
      </c>
      <c r="H105" s="33">
        <f t="shared" si="16"/>
        <v>0</v>
      </c>
      <c r="I105" s="16" t="e">
        <f t="shared" si="17"/>
        <v>#REF!</v>
      </c>
      <c r="J105" s="16"/>
      <c r="K105" s="383"/>
      <c r="L105" s="265">
        <f t="shared" ref="L105:O105" si="68">SUMIF($B$5:$B$37,$B105,L$5:L$42)+SUMIF($B$38:$B$72,$B105,L$38:L$72)+SUMIF($B$76:$B$80,$B105,L$76:L$80)</f>
        <v>44329</v>
      </c>
      <c r="M105" s="265">
        <f t="shared" si="68"/>
        <v>190680.21</v>
      </c>
      <c r="N105" s="265">
        <f t="shared" si="68"/>
        <v>275000</v>
      </c>
      <c r="O105" s="265">
        <f t="shared" si="68"/>
        <v>154538.87</v>
      </c>
      <c r="P105" s="386">
        <f>IF(O105/9*12&lt;N105,N105,O105/9*12)</f>
        <v>275000</v>
      </c>
      <c r="Q105" s="266">
        <f t="shared" ref="Q105:R105" si="69">SUMIF($B$5:$B$37,$B105,Q$5:Q$42)+SUMIF($B$38:$B$72,$B105,Q$38:Q$72)+SUMIF($B$76:$B$80,$B105,Q$76:Q$80)</f>
        <v>250000</v>
      </c>
      <c r="R105" s="265">
        <f t="shared" si="69"/>
        <v>250000</v>
      </c>
      <c r="S105" s="7">
        <f t="shared" si="21"/>
        <v>0</v>
      </c>
    </row>
    <row r="106" spans="1:19" ht="15.75" customHeight="1" x14ac:dyDescent="0.25">
      <c r="A106" s="6" t="s">
        <v>1235</v>
      </c>
      <c r="B106" s="6" t="s">
        <v>1346</v>
      </c>
      <c r="C106" s="383"/>
      <c r="D106" s="266">
        <f t="shared" si="15"/>
        <v>61246</v>
      </c>
      <c r="E106" s="142" t="e">
        <f>D106*#REF!</f>
        <v>#REF!</v>
      </c>
      <c r="F106" s="142" t="e">
        <f>D106*#REF!</f>
        <v>#REF!</v>
      </c>
      <c r="G106" s="142" t="e">
        <f>(D106*#REF!)*#REF!</f>
        <v>#REF!</v>
      </c>
      <c r="H106" s="33">
        <f t="shared" si="16"/>
        <v>0</v>
      </c>
      <c r="I106" s="16" t="e">
        <f t="shared" si="17"/>
        <v>#REF!</v>
      </c>
      <c r="J106" s="16"/>
      <c r="K106" s="383"/>
      <c r="L106" s="265">
        <f t="shared" ref="L106:N106" si="70">SUMIF($B$5:$B$37,$B106,L$5:L$42)+SUMIF($B$38:$B$72,$B106,L$38:L$72)+SUMIF($B$76:$B$80,$B106,L$76:L$80)</f>
        <v>89521</v>
      </c>
      <c r="M106" s="265">
        <f t="shared" si="70"/>
        <v>147663.1</v>
      </c>
      <c r="N106" s="265">
        <f t="shared" si="70"/>
        <v>158000</v>
      </c>
      <c r="O106" s="265">
        <v>155323.53</v>
      </c>
      <c r="P106" s="386">
        <f>N106</f>
        <v>158000</v>
      </c>
      <c r="Q106" s="266">
        <f t="shared" ref="Q106:R106" si="71">SUMIF($B$5:$B$37,$B106,Q$5:Q$42)+SUMIF($B$38:$B$72,$B106,Q$38:Q$72)+SUMIF($B$76:$B$80,$B106,Q$76:Q$80)</f>
        <v>170000</v>
      </c>
      <c r="R106" s="265">
        <f t="shared" si="71"/>
        <v>170000</v>
      </c>
      <c r="S106" s="7">
        <f t="shared" si="21"/>
        <v>0</v>
      </c>
    </row>
    <row r="107" spans="1:19" ht="15.75" customHeight="1" x14ac:dyDescent="0.25">
      <c r="A107" s="6" t="s">
        <v>1235</v>
      </c>
      <c r="B107" s="6" t="s">
        <v>1348</v>
      </c>
      <c r="C107" s="383"/>
      <c r="D107" s="266">
        <f t="shared" si="15"/>
        <v>33472</v>
      </c>
      <c r="E107" s="142" t="e">
        <f>D107*#REF!</f>
        <v>#REF!</v>
      </c>
      <c r="F107" s="142" t="e">
        <f>D107*#REF!</f>
        <v>#REF!</v>
      </c>
      <c r="G107" s="142" t="e">
        <f>(D107*#REF!)*#REF!</f>
        <v>#REF!</v>
      </c>
      <c r="H107" s="33">
        <f t="shared" si="16"/>
        <v>0</v>
      </c>
      <c r="I107" s="16" t="e">
        <f t="shared" si="17"/>
        <v>#REF!</v>
      </c>
      <c r="J107" s="16">
        <v>-10000</v>
      </c>
      <c r="K107" s="383"/>
      <c r="L107" s="265">
        <f t="shared" ref="L107:N107" si="72">SUMIF($B$5:$B$37,$B107,L$5:L$42)+SUMIF($B$38:$B$72,$B107,L$38:L$72)+SUMIF($B$76:$B$80,$B107,L$76:L$80)</f>
        <v>99454</v>
      </c>
      <c r="M107" s="265">
        <f t="shared" si="72"/>
        <v>60488.14</v>
      </c>
      <c r="N107" s="265">
        <f t="shared" si="72"/>
        <v>80000</v>
      </c>
      <c r="O107" s="265">
        <v>33714</v>
      </c>
      <c r="P107" s="266">
        <f>O107/7*12</f>
        <v>57795.42857142858</v>
      </c>
      <c r="Q107" s="266">
        <f t="shared" ref="Q107:R107" si="73">SUMIF($B$5:$B$37,$B107,Q$5:Q$42)+SUMIF($B$38:$B$72,$B107,Q$38:Q$72)+SUMIF($B$76:$B$80,$B107,Q$76:Q$80)</f>
        <v>85000</v>
      </c>
      <c r="R107" s="265">
        <f t="shared" si="73"/>
        <v>75000</v>
      </c>
      <c r="S107" s="7">
        <f t="shared" si="21"/>
        <v>-10000</v>
      </c>
    </row>
    <row r="108" spans="1:19" ht="15.75" customHeight="1" x14ac:dyDescent="0.25">
      <c r="A108" s="6" t="s">
        <v>1235</v>
      </c>
      <c r="B108" s="6" t="s">
        <v>1209</v>
      </c>
      <c r="C108" s="383"/>
      <c r="D108" s="266">
        <f t="shared" si="15"/>
        <v>10109</v>
      </c>
      <c r="E108" s="142" t="e">
        <f>D108*#REF!</f>
        <v>#REF!</v>
      </c>
      <c r="F108" s="142" t="e">
        <f>D108*#REF!</f>
        <v>#REF!</v>
      </c>
      <c r="G108" s="142" t="e">
        <f>(D108*#REF!)*#REF!</f>
        <v>#REF!</v>
      </c>
      <c r="H108" s="33">
        <f t="shared" si="16"/>
        <v>0</v>
      </c>
      <c r="I108" s="16" t="e">
        <f t="shared" si="17"/>
        <v>#REF!</v>
      </c>
      <c r="J108" s="16"/>
      <c r="K108" s="383"/>
      <c r="L108" s="265">
        <f t="shared" ref="L108:O108" si="74">SUMIF($B$5:$B$37,$B108,L$5:L$42)+SUMIF($B$38:$B$72,$B108,L$38:L$72)+SUMIF($B$76:$B$80,$B108,L$76:L$80)</f>
        <v>10482</v>
      </c>
      <c r="M108" s="265">
        <f t="shared" si="74"/>
        <v>0</v>
      </c>
      <c r="N108" s="265">
        <f t="shared" si="74"/>
        <v>0</v>
      </c>
      <c r="O108" s="265">
        <f t="shared" si="74"/>
        <v>0</v>
      </c>
      <c r="P108" s="266">
        <f>IF(O108/9*12&lt;N108,N108,O108/9*12)</f>
        <v>0</v>
      </c>
      <c r="Q108" s="266">
        <f t="shared" ref="Q108:R108" si="75">SUMIF($B$5:$B$37,$B108,Q$5:Q$42)+SUMIF($B$38:$B$72,$B108,Q$38:Q$72)+SUMIF($B$76:$B$80,$B108,Q$76:Q$80)</f>
        <v>0</v>
      </c>
      <c r="R108" s="265">
        <f t="shared" si="75"/>
        <v>0</v>
      </c>
      <c r="S108" s="7">
        <f t="shared" si="21"/>
        <v>0</v>
      </c>
    </row>
    <row r="109" spans="1:19" ht="15.75" customHeight="1" x14ac:dyDescent="0.25">
      <c r="A109" s="6" t="s">
        <v>1235</v>
      </c>
      <c r="B109" s="6" t="s">
        <v>1350</v>
      </c>
      <c r="C109" s="383"/>
      <c r="D109" s="266">
        <f t="shared" si="15"/>
        <v>43030</v>
      </c>
      <c r="E109" s="142" t="e">
        <f>D109*#REF!</f>
        <v>#REF!</v>
      </c>
      <c r="F109" s="142" t="e">
        <f>D109*#REF!</f>
        <v>#REF!</v>
      </c>
      <c r="G109" s="142" t="e">
        <f>(D109*#REF!)*#REF!</f>
        <v>#REF!</v>
      </c>
      <c r="H109" s="33">
        <f t="shared" si="16"/>
        <v>0</v>
      </c>
      <c r="I109" s="16" t="e">
        <f t="shared" si="17"/>
        <v>#REF!</v>
      </c>
      <c r="J109" s="16">
        <v>-5000</v>
      </c>
      <c r="K109" s="383"/>
      <c r="L109" s="265">
        <f t="shared" ref="L109:O109" si="76">SUMIF($B$5:$B$37,$B109,L$5:L$42)+SUMIF($B$38:$B$72,$B109,L$38:L$72)+SUMIF($B$76:$B$80,$B109,L$76:L$80)</f>
        <v>36536</v>
      </c>
      <c r="M109" s="265">
        <f t="shared" si="76"/>
        <v>13442.79</v>
      </c>
      <c r="N109" s="265">
        <f t="shared" si="76"/>
        <v>58000</v>
      </c>
      <c r="O109" s="265">
        <f t="shared" si="76"/>
        <v>27006.34</v>
      </c>
      <c r="P109" s="266">
        <f t="shared" ref="P109:P110" si="77">O109/9*12</f>
        <v>36008.453333333338</v>
      </c>
      <c r="Q109" s="266">
        <f t="shared" ref="Q109:R109" si="78">SUMIF($B$5:$B$37,$B109,Q$5:Q$42)+SUMIF($B$38:$B$72,$B109,Q$38:Q$72)+SUMIF($B$76:$B$80,$B109,Q$76:Q$80)</f>
        <v>65000</v>
      </c>
      <c r="R109" s="265">
        <f t="shared" si="78"/>
        <v>60000</v>
      </c>
      <c r="S109" s="7">
        <f t="shared" si="21"/>
        <v>-5000</v>
      </c>
    </row>
    <row r="110" spans="1:19" ht="15.75" customHeight="1" x14ac:dyDescent="0.25">
      <c r="A110" s="6" t="s">
        <v>1235</v>
      </c>
      <c r="B110" s="6" t="s">
        <v>468</v>
      </c>
      <c r="C110" s="383"/>
      <c r="D110" s="266">
        <f t="shared" si="15"/>
        <v>0</v>
      </c>
      <c r="E110" s="142" t="e">
        <f>D110*#REF!</f>
        <v>#REF!</v>
      </c>
      <c r="F110" s="142" t="e">
        <f>D110*#REF!</f>
        <v>#REF!</v>
      </c>
      <c r="G110" s="142" t="e">
        <f>(D110*#REF!)*#REF!</f>
        <v>#REF!</v>
      </c>
      <c r="H110" s="33">
        <f t="shared" si="16"/>
        <v>0</v>
      </c>
      <c r="I110" s="16" t="e">
        <f t="shared" si="17"/>
        <v>#REF!</v>
      </c>
      <c r="J110" s="16">
        <v>-2000</v>
      </c>
      <c r="K110" s="383"/>
      <c r="L110" s="265">
        <f t="shared" ref="L110:O110" si="79">SUMIF($B$5:$B$37,$B110,L$5:L$42)+SUMIF($B$38:$B$72,$B110,L$38:L$72)+SUMIF($B$76:$B$80,$B110,L$76:L$80)</f>
        <v>0</v>
      </c>
      <c r="M110" s="265">
        <f t="shared" si="79"/>
        <v>0</v>
      </c>
      <c r="N110" s="265">
        <f t="shared" si="79"/>
        <v>20000</v>
      </c>
      <c r="O110" s="265">
        <f t="shared" si="79"/>
        <v>8250.58</v>
      </c>
      <c r="P110" s="266">
        <f t="shared" si="77"/>
        <v>11000.773333333333</v>
      </c>
      <c r="Q110" s="266">
        <f t="shared" ref="Q110:R110" si="80">SUMIF($B$5:$B$37,$B110,Q$5:Q$42)+SUMIF($B$38:$B$72,$B110,Q$38:Q$72)+SUMIF($B$76:$B$80,$B110,Q$76:Q$80)</f>
        <v>22000</v>
      </c>
      <c r="R110" s="265">
        <f t="shared" si="80"/>
        <v>20000</v>
      </c>
      <c r="S110" s="7">
        <f t="shared" si="21"/>
        <v>-2000</v>
      </c>
    </row>
    <row r="111" spans="1:19" ht="15.75" customHeight="1" x14ac:dyDescent="0.25">
      <c r="A111" s="6" t="s">
        <v>1235</v>
      </c>
      <c r="B111" s="6" t="s">
        <v>92</v>
      </c>
      <c r="C111" s="383"/>
      <c r="D111" s="266">
        <f t="shared" si="15"/>
        <v>50788</v>
      </c>
      <c r="E111" s="142" t="e">
        <f>D111*#REF!</f>
        <v>#REF!</v>
      </c>
      <c r="F111" s="142" t="e">
        <f>D111*#REF!</f>
        <v>#REF!</v>
      </c>
      <c r="G111" s="142" t="e">
        <f>(D111*#REF!)*#REF!</f>
        <v>#REF!</v>
      </c>
      <c r="H111" s="33">
        <f t="shared" si="16"/>
        <v>0</v>
      </c>
      <c r="I111" s="16" t="e">
        <f t="shared" si="17"/>
        <v>#REF!</v>
      </c>
      <c r="J111" s="18"/>
      <c r="K111" s="383"/>
      <c r="L111" s="265">
        <f t="shared" ref="L111:O111" si="81">SUMIF($B$5:$B$37,$B111,L$5:L$42)+SUMIF($B$38:$B$72,$B111,L$38:L$72)+SUMIF($B$76:$B$80,$B111,L$76:L$80)</f>
        <v>62238</v>
      </c>
      <c r="M111" s="265">
        <f t="shared" si="81"/>
        <v>91471.91</v>
      </c>
      <c r="N111" s="265">
        <f t="shared" si="81"/>
        <v>81000</v>
      </c>
      <c r="O111" s="265">
        <f t="shared" si="81"/>
        <v>102814.84</v>
      </c>
      <c r="P111" s="386">
        <f>O111</f>
        <v>102814.84</v>
      </c>
      <c r="Q111" s="266">
        <f t="shared" ref="Q111:R111" si="82">SUMIF($B$5:$B$37,$B111,Q$5:Q$42)+SUMIF($B$38:$B$72,$B111,Q$38:Q$72)+SUMIF($B$76:$B$80,$B111,Q$76:Q$80)</f>
        <v>100000</v>
      </c>
      <c r="R111" s="265">
        <f t="shared" si="82"/>
        <v>100000</v>
      </c>
      <c r="S111" s="7">
        <f t="shared" si="21"/>
        <v>0</v>
      </c>
    </row>
    <row r="112" spans="1:19" ht="15.75" customHeight="1" x14ac:dyDescent="0.25">
      <c r="A112" s="6" t="s">
        <v>1235</v>
      </c>
      <c r="B112" s="6" t="s">
        <v>94</v>
      </c>
      <c r="C112" s="383"/>
      <c r="D112" s="266">
        <f t="shared" si="15"/>
        <v>0</v>
      </c>
      <c r="E112" s="142" t="e">
        <f>D112*#REF!</f>
        <v>#REF!</v>
      </c>
      <c r="F112" s="142" t="e">
        <f>D112*#REF!</f>
        <v>#REF!</v>
      </c>
      <c r="G112" s="142" t="e">
        <f>(D112*#REF!)*#REF!</f>
        <v>#REF!</v>
      </c>
      <c r="H112" s="33">
        <f t="shared" si="16"/>
        <v>0</v>
      </c>
      <c r="I112" s="16" t="e">
        <f t="shared" si="17"/>
        <v>#REF!</v>
      </c>
      <c r="J112" s="16">
        <v>-5000</v>
      </c>
      <c r="K112" s="383"/>
      <c r="L112" s="265">
        <f t="shared" ref="L112:O112" si="83">SUMIF($B$5:$B$37,$B112,L$5:L$42)+SUMIF($B$38:$B$72,$B112,L$38:L$72)+SUMIF($B$76:$B$80,$B112,L$76:L$80)</f>
        <v>1074</v>
      </c>
      <c r="M112" s="265">
        <f t="shared" si="83"/>
        <v>0</v>
      </c>
      <c r="N112" s="265">
        <f t="shared" si="83"/>
        <v>10000</v>
      </c>
      <c r="O112" s="265">
        <f t="shared" si="83"/>
        <v>0</v>
      </c>
      <c r="P112" s="266">
        <f>O112/9*12</f>
        <v>0</v>
      </c>
      <c r="Q112" s="266">
        <f t="shared" ref="Q112:R112" si="84">SUMIF($B$5:$B$37,$B112,Q$5:Q$42)+SUMIF($B$38:$B$72,$B112,Q$38:Q$72)+SUMIF($B$76:$B$80,$B112,Q$76:Q$80)</f>
        <v>10000</v>
      </c>
      <c r="R112" s="265">
        <f t="shared" si="84"/>
        <v>5000</v>
      </c>
      <c r="S112" s="7">
        <f t="shared" si="21"/>
        <v>-5000</v>
      </c>
    </row>
    <row r="113" spans="1:28" ht="15.75" customHeight="1" x14ac:dyDescent="0.25">
      <c r="A113" s="47" t="s">
        <v>1360</v>
      </c>
      <c r="B113" s="48"/>
      <c r="C113" s="282"/>
      <c r="D113" s="50">
        <f t="shared" ref="D113:G113" si="85">SUM(D83:D112)</f>
        <v>3687789</v>
      </c>
      <c r="E113" s="50" t="e">
        <f t="shared" si="85"/>
        <v>#REF!</v>
      </c>
      <c r="F113" s="50" t="e">
        <f t="shared" si="85"/>
        <v>#REF!</v>
      </c>
      <c r="G113" s="50" t="e">
        <f t="shared" si="85"/>
        <v>#REF!</v>
      </c>
      <c r="H113" s="42">
        <f t="shared" si="16"/>
        <v>0</v>
      </c>
      <c r="I113" s="50" t="e">
        <f t="shared" si="17"/>
        <v>#REF!</v>
      </c>
      <c r="J113" s="50">
        <f>SUM(J83:J112)</f>
        <v>-208500</v>
      </c>
      <c r="K113" s="282"/>
      <c r="L113" s="12">
        <f t="shared" ref="L113:S113" si="86">SUM(L83:L112)</f>
        <v>4592179</v>
      </c>
      <c r="M113" s="12">
        <f t="shared" si="86"/>
        <v>4742091.2699999996</v>
      </c>
      <c r="N113" s="12">
        <f t="shared" si="86"/>
        <v>5867065</v>
      </c>
      <c r="O113" s="12">
        <f t="shared" si="86"/>
        <v>4498333.4400000004</v>
      </c>
      <c r="P113" s="50">
        <f t="shared" si="86"/>
        <v>5506737.7862380948</v>
      </c>
      <c r="Q113" s="50">
        <f t="shared" si="86"/>
        <v>6322000</v>
      </c>
      <c r="R113" s="12">
        <f t="shared" si="86"/>
        <v>6113500</v>
      </c>
      <c r="S113" s="12">
        <f t="shared" si="86"/>
        <v>-208500</v>
      </c>
    </row>
    <row r="114" spans="1:28" ht="15.75" customHeight="1" x14ac:dyDescent="0.25">
      <c r="A114" s="6"/>
      <c r="B114" s="6"/>
      <c r="C114" s="383"/>
      <c r="D114" s="265"/>
      <c r="E114" s="265"/>
      <c r="F114" s="265"/>
      <c r="G114" s="265"/>
      <c r="H114" s="211"/>
      <c r="I114" s="5"/>
      <c r="J114" s="5"/>
      <c r="K114" s="383"/>
      <c r="L114" s="265"/>
      <c r="M114" s="265"/>
      <c r="N114" s="265"/>
      <c r="O114" s="265"/>
      <c r="P114" s="265"/>
      <c r="Q114" s="265"/>
      <c r="R114" s="5"/>
      <c r="S114" s="5"/>
    </row>
    <row r="115" spans="1:28" ht="15.75" customHeight="1" x14ac:dyDescent="0.25">
      <c r="A115" s="6" t="s">
        <v>1235</v>
      </c>
      <c r="B115" s="6" t="s">
        <v>1394</v>
      </c>
      <c r="C115" s="383"/>
      <c r="D115" s="266">
        <f t="shared" ref="D115:D122" si="87">SUMIF($B$5:$B$37,$B115,D$5:D$42)+SUMIF($B$38:$B$72,$B115,D$38:D$72)+SUMIF($B$76:$B$80,$B115,D$76:D$80)</f>
        <v>521571</v>
      </c>
      <c r="E115" s="142" t="e">
        <f>D115*#REF!</f>
        <v>#REF!</v>
      </c>
      <c r="F115" s="142" t="e">
        <f>D115*#REF!</f>
        <v>#REF!</v>
      </c>
      <c r="G115" s="142" t="e">
        <f>(D115*#REF!)*#REF!</f>
        <v>#REF!</v>
      </c>
      <c r="H115" s="33">
        <f t="shared" ref="H115:H123" si="88">IFERROR(((Q115-G115)/G115),0)</f>
        <v>0</v>
      </c>
      <c r="I115" s="16" t="e">
        <f t="shared" ref="I115:I123" si="89">Q115-G115</f>
        <v>#REF!</v>
      </c>
      <c r="J115" s="16">
        <v>-25000</v>
      </c>
      <c r="K115" s="383"/>
      <c r="L115" s="265">
        <f t="shared" ref="L115:O115" si="90">SUMIF($B$5:$B$37,$B115,L$5:L$42)+SUMIF($B$38:$B$72,$B115,L$38:L$72)+SUMIF($B$76:$B$80,$B115,L$76:L$80)</f>
        <v>0</v>
      </c>
      <c r="M115" s="265">
        <f t="shared" si="90"/>
        <v>0</v>
      </c>
      <c r="N115" s="265">
        <f t="shared" si="90"/>
        <v>50000</v>
      </c>
      <c r="O115" s="265">
        <f t="shared" si="90"/>
        <v>0</v>
      </c>
      <c r="P115" s="386">
        <f t="shared" ref="P115:P122" si="91">IF(O115/9*12&lt;N115,N115,O115/9*12)</f>
        <v>50000</v>
      </c>
      <c r="Q115" s="266">
        <f t="shared" ref="Q115:R115" si="92">SUMIF($B$5:$B$37,$B115,Q$5:Q$42)+SUMIF($B$38:$B$72,$B115,Q$38:Q$72)+SUMIF($B$76:$B$80,$B115,Q$76:Q$80)</f>
        <v>50000</v>
      </c>
      <c r="R115" s="265">
        <f t="shared" si="92"/>
        <v>25000</v>
      </c>
      <c r="S115" s="7">
        <f t="shared" ref="S115:S122" si="93">R115-Q115</f>
        <v>-25000</v>
      </c>
    </row>
    <row r="116" spans="1:28" ht="15.75" customHeight="1" x14ac:dyDescent="0.25">
      <c r="A116" s="6" t="s">
        <v>1235</v>
      </c>
      <c r="B116" s="6" t="s">
        <v>1355</v>
      </c>
      <c r="C116" s="383"/>
      <c r="D116" s="266">
        <f t="shared" si="87"/>
        <v>0</v>
      </c>
      <c r="E116" s="142" t="e">
        <f>D116*#REF!</f>
        <v>#REF!</v>
      </c>
      <c r="F116" s="142" t="e">
        <f>D116*#REF!</f>
        <v>#REF!</v>
      </c>
      <c r="G116" s="142" t="e">
        <f>(D116*#REF!)*#REF!</f>
        <v>#REF!</v>
      </c>
      <c r="H116" s="33">
        <f t="shared" si="88"/>
        <v>0</v>
      </c>
      <c r="I116" s="16" t="e">
        <f t="shared" si="89"/>
        <v>#REF!</v>
      </c>
      <c r="J116" s="16"/>
      <c r="K116" s="383"/>
      <c r="L116" s="265">
        <f t="shared" ref="L116:O116" si="94">SUMIF($B$5:$B$37,$B116,L$5:L$42)+SUMIF($B$38:$B$72,$B116,L$38:L$72)+SUMIF($B$76:$B$80,$B116,L$76:L$80)</f>
        <v>0</v>
      </c>
      <c r="M116" s="265">
        <f t="shared" si="94"/>
        <v>5000</v>
      </c>
      <c r="N116" s="265">
        <f t="shared" si="94"/>
        <v>0</v>
      </c>
      <c r="O116" s="265">
        <f t="shared" si="94"/>
        <v>0</v>
      </c>
      <c r="P116" s="266">
        <f t="shared" si="91"/>
        <v>0</v>
      </c>
      <c r="Q116" s="266">
        <f t="shared" ref="Q116:R116" si="95">SUMIF($B$5:$B$37,$B116,Q$5:Q$42)+SUMIF($B$38:$B$72,$B116,Q$38:Q$72)+SUMIF($B$76:$B$80,$B116,Q$76:Q$80)</f>
        <v>0</v>
      </c>
      <c r="R116" s="265">
        <f t="shared" si="95"/>
        <v>0</v>
      </c>
      <c r="S116" s="7">
        <f t="shared" si="93"/>
        <v>0</v>
      </c>
    </row>
    <row r="117" spans="1:28" ht="15.75" customHeight="1" x14ac:dyDescent="0.25">
      <c r="A117" s="6" t="s">
        <v>1235</v>
      </c>
      <c r="B117" s="6" t="s">
        <v>532</v>
      </c>
      <c r="C117" s="383"/>
      <c r="D117" s="266">
        <f t="shared" si="87"/>
        <v>0</v>
      </c>
      <c r="E117" s="142" t="e">
        <f>D117*#REF!</f>
        <v>#REF!</v>
      </c>
      <c r="F117" s="142" t="e">
        <f>D117*#REF!</f>
        <v>#REF!</v>
      </c>
      <c r="G117" s="142" t="e">
        <f>(D117*#REF!)*#REF!</f>
        <v>#REF!</v>
      </c>
      <c r="H117" s="33">
        <f t="shared" si="88"/>
        <v>0</v>
      </c>
      <c r="I117" s="16" t="e">
        <f t="shared" si="89"/>
        <v>#REF!</v>
      </c>
      <c r="J117" s="16"/>
      <c r="K117" s="383"/>
      <c r="L117" s="265">
        <f t="shared" ref="L117:O117" si="96">SUMIF($B$5:$B$37,$B117,L$5:L$42)+SUMIF($B$38:$B$72,$B117,L$38:L$72)+SUMIF($B$76:$B$80,$B117,L$76:L$80)</f>
        <v>26082</v>
      </c>
      <c r="M117" s="265">
        <f t="shared" si="96"/>
        <v>478017.22</v>
      </c>
      <c r="N117" s="265">
        <f t="shared" si="96"/>
        <v>0</v>
      </c>
      <c r="O117" s="265">
        <f t="shared" si="96"/>
        <v>0</v>
      </c>
      <c r="P117" s="266">
        <f t="shared" si="91"/>
        <v>0</v>
      </c>
      <c r="Q117" s="266">
        <f t="shared" ref="Q117:R117" si="97">SUMIF($B$5:$B$37,$B117,Q$5:Q$42)+SUMIF($B$38:$B$72,$B117,Q$38:Q$72)+SUMIF($B$76:$B$80,$B117,Q$76:Q$80)</f>
        <v>0</v>
      </c>
      <c r="R117" s="265">
        <f t="shared" si="97"/>
        <v>0</v>
      </c>
      <c r="S117" s="7">
        <f t="shared" si="93"/>
        <v>0</v>
      </c>
    </row>
    <row r="118" spans="1:28" ht="15.75" customHeight="1" x14ac:dyDescent="0.25">
      <c r="A118" s="6" t="s">
        <v>1235</v>
      </c>
      <c r="B118" s="6" t="s">
        <v>99</v>
      </c>
      <c r="C118" s="383"/>
      <c r="D118" s="266">
        <f t="shared" si="87"/>
        <v>1543449</v>
      </c>
      <c r="E118" s="142" t="e">
        <f>D118*#REF!</f>
        <v>#REF!</v>
      </c>
      <c r="F118" s="142" t="e">
        <f>D118*#REF!</f>
        <v>#REF!</v>
      </c>
      <c r="G118" s="142" t="e">
        <f>(D118*#REF!)*#REF!</f>
        <v>#REF!</v>
      </c>
      <c r="H118" s="33">
        <f t="shared" si="88"/>
        <v>0</v>
      </c>
      <c r="I118" s="16" t="e">
        <f t="shared" si="89"/>
        <v>#REF!</v>
      </c>
      <c r="J118" s="16">
        <v>-240000</v>
      </c>
      <c r="K118" s="383"/>
      <c r="L118" s="265">
        <f t="shared" ref="L118:O118" si="98">SUMIF($B$5:$B$37,$B118,L$5:L$42)+SUMIF($B$38:$B$72,$B118,L$38:L$72)+SUMIF($B$76:$B$80,$B118,L$76:L$80)</f>
        <v>1272657</v>
      </c>
      <c r="M118" s="265">
        <f t="shared" si="98"/>
        <v>917049.74</v>
      </c>
      <c r="N118" s="265">
        <f t="shared" si="98"/>
        <v>968655</v>
      </c>
      <c r="O118" s="265">
        <f t="shared" si="98"/>
        <v>560029.54</v>
      </c>
      <c r="P118" s="386">
        <f t="shared" si="91"/>
        <v>968655</v>
      </c>
      <c r="Q118" s="266">
        <f t="shared" ref="Q118:R118" si="99">SUMIF($B$5:$B$37,$B118,Q$5:Q$42)+SUMIF($B$38:$B$72,$B118,Q$38:Q$72)+SUMIF($B$76:$B$80,$B118,Q$76:Q$80)</f>
        <v>1273000</v>
      </c>
      <c r="R118" s="265">
        <f t="shared" si="99"/>
        <v>1033000</v>
      </c>
      <c r="S118" s="7">
        <f t="shared" si="93"/>
        <v>-240000</v>
      </c>
    </row>
    <row r="119" spans="1:28" ht="15.75" customHeight="1" x14ac:dyDescent="0.25">
      <c r="A119" s="6" t="s">
        <v>1235</v>
      </c>
      <c r="B119" s="6" t="s">
        <v>1359</v>
      </c>
      <c r="C119" s="383"/>
      <c r="D119" s="266">
        <f t="shared" si="87"/>
        <v>0</v>
      </c>
      <c r="E119" s="142" t="e">
        <f>D119*#REF!</f>
        <v>#REF!</v>
      </c>
      <c r="F119" s="142" t="e">
        <f>D119*#REF!</f>
        <v>#REF!</v>
      </c>
      <c r="G119" s="142" t="e">
        <f>(D119*#REF!)*#REF!</f>
        <v>#REF!</v>
      </c>
      <c r="H119" s="33">
        <f t="shared" si="88"/>
        <v>0</v>
      </c>
      <c r="I119" s="16" t="e">
        <f t="shared" si="89"/>
        <v>#REF!</v>
      </c>
      <c r="J119" s="16"/>
      <c r="K119" s="383"/>
      <c r="L119" s="265">
        <f t="shared" ref="L119:O119" si="100">SUMIF($B$5:$B$37,$B119,L$5:L$42)+SUMIF($B$38:$B$72,$B119,L$38:L$72)+SUMIF($B$76:$B$80,$B119,L$76:L$80)</f>
        <v>188045</v>
      </c>
      <c r="M119" s="265">
        <f t="shared" si="100"/>
        <v>815.91</v>
      </c>
      <c r="N119" s="265">
        <f t="shared" si="100"/>
        <v>0</v>
      </c>
      <c r="O119" s="265">
        <f t="shared" si="100"/>
        <v>0</v>
      </c>
      <c r="P119" s="266">
        <f t="shared" si="91"/>
        <v>0</v>
      </c>
      <c r="Q119" s="266">
        <f t="shared" ref="Q119:R119" si="101">SUMIF($B$5:$B$37,$B119,Q$5:Q$42)+SUMIF($B$38:$B$72,$B119,Q$38:Q$72)+SUMIF($B$76:$B$80,$B119,Q$76:Q$80)</f>
        <v>0</v>
      </c>
      <c r="R119" s="265">
        <f t="shared" si="101"/>
        <v>0</v>
      </c>
      <c r="S119" s="7">
        <f t="shared" si="93"/>
        <v>0</v>
      </c>
    </row>
    <row r="120" spans="1:28" ht="15.75" customHeight="1" x14ac:dyDescent="0.25">
      <c r="A120" s="6" t="s">
        <v>1235</v>
      </c>
      <c r="B120" s="6" t="s">
        <v>1392</v>
      </c>
      <c r="C120" s="383"/>
      <c r="D120" s="266">
        <f t="shared" si="87"/>
        <v>109284</v>
      </c>
      <c r="E120" s="142" t="e">
        <f>D120*#REF!</f>
        <v>#REF!</v>
      </c>
      <c r="F120" s="142" t="e">
        <f>D120*#REF!</f>
        <v>#REF!</v>
      </c>
      <c r="G120" s="142" t="e">
        <f>(D120*#REF!)*#REF!</f>
        <v>#REF!</v>
      </c>
      <c r="H120" s="33">
        <f t="shared" si="88"/>
        <v>0</v>
      </c>
      <c r="I120" s="16" t="e">
        <f t="shared" si="89"/>
        <v>#REF!</v>
      </c>
      <c r="J120" s="16"/>
      <c r="K120" s="383"/>
      <c r="L120" s="265">
        <f t="shared" ref="L120:O120" si="102">SUMIF($B$5:$B$37,$B120,L$5:L$42)+SUMIF($B$38:$B$72,$B120,L$38:L$72)+SUMIF($B$76:$B$80,$B120,L$76:L$80)</f>
        <v>0</v>
      </c>
      <c r="M120" s="265">
        <f t="shared" si="102"/>
        <v>0</v>
      </c>
      <c r="N120" s="265">
        <f t="shared" si="102"/>
        <v>0</v>
      </c>
      <c r="O120" s="265">
        <f t="shared" si="102"/>
        <v>0</v>
      </c>
      <c r="P120" s="266">
        <f t="shared" si="91"/>
        <v>0</v>
      </c>
      <c r="Q120" s="266">
        <f t="shared" ref="Q120:R120" si="103">SUMIF($B$5:$B$37,$B120,Q$5:Q$42)+SUMIF($B$38:$B$72,$B120,Q$38:Q$72)+SUMIF($B$76:$B$80,$B120,Q$76:Q$80)</f>
        <v>0</v>
      </c>
      <c r="R120" s="265">
        <f t="shared" si="103"/>
        <v>0</v>
      </c>
      <c r="S120" s="7">
        <f t="shared" si="93"/>
        <v>0</v>
      </c>
    </row>
    <row r="121" spans="1:28" ht="15.75" customHeight="1" x14ac:dyDescent="0.25">
      <c r="A121" s="6" t="s">
        <v>1235</v>
      </c>
      <c r="B121" s="45" t="str">
        <f>B80</f>
        <v>INFRASTRUCTURE</v>
      </c>
      <c r="C121" s="383"/>
      <c r="D121" s="266">
        <f t="shared" si="87"/>
        <v>0</v>
      </c>
      <c r="E121" s="142" t="e">
        <f>D121*#REF!</f>
        <v>#REF!</v>
      </c>
      <c r="F121" s="142" t="e">
        <f>D121*#REF!</f>
        <v>#REF!</v>
      </c>
      <c r="G121" s="142" t="e">
        <f>(D121*#REF!)*#REF!</f>
        <v>#REF!</v>
      </c>
      <c r="H121" s="33">
        <f t="shared" si="88"/>
        <v>0</v>
      </c>
      <c r="I121" s="16" t="e">
        <f t="shared" si="89"/>
        <v>#REF!</v>
      </c>
      <c r="J121" s="16"/>
      <c r="K121" s="383"/>
      <c r="L121" s="265">
        <f t="shared" ref="L121:O121" si="104">SUMIF($B$5:$B$37,$B121,L$5:L$42)+SUMIF($B$38:$B$72,$B121,L$38:L$72)+SUMIF($B$76:$B$80,$B121,L$76:L$80)</f>
        <v>0</v>
      </c>
      <c r="M121" s="265">
        <f t="shared" si="104"/>
        <v>0</v>
      </c>
      <c r="N121" s="265">
        <f t="shared" si="104"/>
        <v>697500</v>
      </c>
      <c r="O121" s="265">
        <f t="shared" si="104"/>
        <v>39.75</v>
      </c>
      <c r="P121" s="386">
        <f t="shared" si="91"/>
        <v>697500</v>
      </c>
      <c r="Q121" s="266">
        <f t="shared" ref="Q121:R121" si="105">SUMIF($B$5:$B$37,$B121,Q$5:Q$42)+SUMIF($B$38:$B$72,$B121,Q$38:Q$72)+SUMIF($B$76:$B$80,$B121,Q$76:Q$80)</f>
        <v>500000</v>
      </c>
      <c r="R121" s="265">
        <f t="shared" si="105"/>
        <v>500000</v>
      </c>
      <c r="S121" s="7">
        <f t="shared" si="93"/>
        <v>0</v>
      </c>
    </row>
    <row r="122" spans="1:28" ht="15.75" customHeight="1" x14ac:dyDescent="0.25">
      <c r="A122" s="6" t="s">
        <v>1235</v>
      </c>
      <c r="B122" s="45" t="str">
        <f>B77</f>
        <v>BUILDINGS</v>
      </c>
      <c r="C122" s="383"/>
      <c r="D122" s="266">
        <f t="shared" si="87"/>
        <v>1680252</v>
      </c>
      <c r="E122" s="142" t="e">
        <f>D122*#REF!</f>
        <v>#REF!</v>
      </c>
      <c r="F122" s="142" t="e">
        <f>D122*#REF!</f>
        <v>#REF!</v>
      </c>
      <c r="G122" s="142" t="e">
        <f>(D122*#REF!)*#REF!</f>
        <v>#REF!</v>
      </c>
      <c r="H122" s="33">
        <f t="shared" si="88"/>
        <v>0</v>
      </c>
      <c r="I122" s="16" t="e">
        <f t="shared" si="89"/>
        <v>#REF!</v>
      </c>
      <c r="J122" s="109"/>
      <c r="K122" s="383"/>
      <c r="L122" s="265">
        <f t="shared" ref="L122:O122" si="106">SUMIF($B$5:$B$37,$B122,L$5:L$42)+SUMIF($B$38:$B$72,$B122,L$38:L$72)+SUMIF($B$76:$B$80,$B122,L$76:L$80)</f>
        <v>0</v>
      </c>
      <c r="M122" s="265">
        <f t="shared" si="106"/>
        <v>0</v>
      </c>
      <c r="N122" s="265">
        <f t="shared" si="106"/>
        <v>0</v>
      </c>
      <c r="O122" s="265">
        <f t="shared" si="106"/>
        <v>0</v>
      </c>
      <c r="P122" s="266">
        <f t="shared" si="91"/>
        <v>0</v>
      </c>
      <c r="Q122" s="266">
        <f t="shared" ref="Q122:R122" si="107">SUMIF($B$5:$B$37,$B122,Q$5:Q$42)+SUMIF($B$38:$B$72,$B122,Q$38:Q$72)+SUMIF($B$76:$B$80,$B122,Q$76:Q$80)</f>
        <v>0</v>
      </c>
      <c r="R122" s="265">
        <f t="shared" si="107"/>
        <v>0</v>
      </c>
      <c r="S122" s="7">
        <f t="shared" si="93"/>
        <v>0</v>
      </c>
    </row>
    <row r="123" spans="1:28" ht="15.75" customHeight="1" x14ac:dyDescent="0.25">
      <c r="A123" s="47" t="s">
        <v>1401</v>
      </c>
      <c r="B123" s="48"/>
      <c r="C123" s="282"/>
      <c r="D123" s="50">
        <f t="shared" ref="D123:G123" si="108">SUM(D115:D122)</f>
        <v>3854556</v>
      </c>
      <c r="E123" s="50" t="e">
        <f t="shared" si="108"/>
        <v>#REF!</v>
      </c>
      <c r="F123" s="50" t="e">
        <f t="shared" si="108"/>
        <v>#REF!</v>
      </c>
      <c r="G123" s="50" t="e">
        <f t="shared" si="108"/>
        <v>#REF!</v>
      </c>
      <c r="H123" s="42">
        <f t="shared" si="88"/>
        <v>0</v>
      </c>
      <c r="I123" s="50" t="e">
        <f t="shared" si="89"/>
        <v>#REF!</v>
      </c>
      <c r="J123" s="50">
        <f>SUM(J115:J122)</f>
        <v>-265000</v>
      </c>
      <c r="K123" s="282"/>
      <c r="L123" s="12">
        <f t="shared" ref="L123:S123" si="109">SUM(L115:L122)</f>
        <v>1486784</v>
      </c>
      <c r="M123" s="12">
        <f t="shared" si="109"/>
        <v>1400882.8699999999</v>
      </c>
      <c r="N123" s="12">
        <f t="shared" si="109"/>
        <v>1716155</v>
      </c>
      <c r="O123" s="12">
        <f t="shared" si="109"/>
        <v>560069.29</v>
      </c>
      <c r="P123" s="50">
        <f t="shared" si="109"/>
        <v>1716155</v>
      </c>
      <c r="Q123" s="50">
        <f t="shared" si="109"/>
        <v>1823000</v>
      </c>
      <c r="R123" s="12">
        <f t="shared" si="109"/>
        <v>1558000</v>
      </c>
      <c r="S123" s="12">
        <f t="shared" si="109"/>
        <v>-265000</v>
      </c>
    </row>
    <row r="124" spans="1:28" ht="15.75" customHeight="1" x14ac:dyDescent="0.2">
      <c r="A124" s="396"/>
      <c r="B124" s="396"/>
      <c r="C124" s="397"/>
      <c r="D124" s="396"/>
      <c r="E124" s="396"/>
      <c r="F124" s="396"/>
      <c r="G124" s="396"/>
      <c r="H124" s="396"/>
      <c r="I124" s="396"/>
      <c r="J124" s="396"/>
      <c r="K124" s="397"/>
      <c r="L124" s="396"/>
      <c r="M124" s="396"/>
      <c r="N124" s="396"/>
      <c r="O124" s="396"/>
      <c r="P124" s="396"/>
      <c r="Q124" s="396"/>
      <c r="R124" s="396"/>
      <c r="S124" s="5"/>
      <c r="V124" s="92"/>
      <c r="W124" s="92"/>
      <c r="X124" s="92"/>
      <c r="Y124" s="92"/>
      <c r="Z124" s="92"/>
      <c r="AA124" s="92"/>
      <c r="AB124" s="92"/>
    </row>
    <row r="125" spans="1:28" ht="15.75" customHeight="1" x14ac:dyDescent="0.25">
      <c r="A125" s="47" t="s">
        <v>1402</v>
      </c>
      <c r="B125" s="48"/>
      <c r="C125" s="282"/>
      <c r="D125" s="50">
        <f t="shared" ref="D125:G125" si="110">D123+D113</f>
        <v>7542345</v>
      </c>
      <c r="E125" s="50" t="e">
        <f t="shared" si="110"/>
        <v>#REF!</v>
      </c>
      <c r="F125" s="50" t="e">
        <f t="shared" si="110"/>
        <v>#REF!</v>
      </c>
      <c r="G125" s="50" t="e">
        <f t="shared" si="110"/>
        <v>#REF!</v>
      </c>
      <c r="H125" s="42">
        <f>IFERROR(((Q125-G125)/G125),0)</f>
        <v>0</v>
      </c>
      <c r="I125" s="50" t="e">
        <f t="shared" ref="I125:J125" si="111">I123+I113</f>
        <v>#REF!</v>
      </c>
      <c r="J125" s="50">
        <f t="shared" si="111"/>
        <v>-473500</v>
      </c>
      <c r="K125" s="282"/>
      <c r="L125" s="12">
        <f t="shared" ref="L125:S125" si="112">L123+L113</f>
        <v>6078963</v>
      </c>
      <c r="M125" s="12">
        <f t="shared" si="112"/>
        <v>6142974.1399999997</v>
      </c>
      <c r="N125" s="12">
        <f t="shared" si="112"/>
        <v>7583220</v>
      </c>
      <c r="O125" s="12">
        <f t="shared" si="112"/>
        <v>5058402.7300000004</v>
      </c>
      <c r="P125" s="50">
        <f t="shared" si="112"/>
        <v>7222892.7862380948</v>
      </c>
      <c r="Q125" s="50">
        <f t="shared" si="112"/>
        <v>8145000</v>
      </c>
      <c r="R125" s="12">
        <f t="shared" si="112"/>
        <v>7671500</v>
      </c>
      <c r="S125" s="12">
        <f t="shared" si="112"/>
        <v>-473500</v>
      </c>
    </row>
    <row r="126" spans="1:28" ht="15.75" customHeight="1" x14ac:dyDescent="0.2">
      <c r="A126" s="5"/>
      <c r="B126" s="5"/>
      <c r="C126" s="284"/>
      <c r="D126" s="5"/>
      <c r="E126" s="5"/>
      <c r="F126" s="5"/>
      <c r="G126" s="5"/>
      <c r="H126" s="5"/>
      <c r="I126" s="5"/>
      <c r="J126" s="5"/>
      <c r="K126" s="284"/>
      <c r="L126" s="5"/>
      <c r="M126" s="5"/>
      <c r="N126" s="5"/>
      <c r="O126" s="5"/>
      <c r="P126" s="5"/>
      <c r="Q126" s="5"/>
      <c r="R126" s="5"/>
      <c r="S126" s="5"/>
    </row>
    <row r="127" spans="1:28" ht="15.75" customHeight="1" x14ac:dyDescent="0.2">
      <c r="A127" s="11" t="s">
        <v>184</v>
      </c>
      <c r="B127" s="5"/>
      <c r="C127" s="284"/>
      <c r="D127" s="5"/>
      <c r="E127" s="5"/>
      <c r="F127" s="5"/>
      <c r="G127" s="5"/>
      <c r="H127" s="5"/>
      <c r="I127" s="5"/>
      <c r="J127" s="5"/>
      <c r="K127" s="284"/>
      <c r="L127" s="5"/>
      <c r="M127" s="5"/>
      <c r="N127" s="5"/>
      <c r="O127" s="5"/>
      <c r="P127" s="5"/>
      <c r="Q127" s="5"/>
      <c r="R127" s="5"/>
      <c r="S127" s="5"/>
    </row>
    <row r="128" spans="1:28" ht="15.75" customHeight="1" x14ac:dyDescent="0.25">
      <c r="A128" s="6" t="s">
        <v>1403</v>
      </c>
      <c r="B128" s="6" t="s">
        <v>1404</v>
      </c>
      <c r="C128" s="284"/>
      <c r="D128" s="18">
        <v>0</v>
      </c>
      <c r="E128" s="142" t="e">
        <f>D128*#REF!</f>
        <v>#REF!</v>
      </c>
      <c r="F128" s="142" t="e">
        <f>D128*#REF!</f>
        <v>#REF!</v>
      </c>
      <c r="G128" s="142" t="e">
        <f>(D128*#REF!)*#REF!</f>
        <v>#REF!</v>
      </c>
      <c r="H128" s="33">
        <f t="shared" ref="H128:H137" si="113">IFERROR(((Q128-G128)/G128),0)</f>
        <v>0</v>
      </c>
      <c r="I128" s="16" t="e">
        <f t="shared" ref="I128:I137" si="114">Q128-G128</f>
        <v>#REF!</v>
      </c>
      <c r="J128" s="18"/>
      <c r="K128" s="284"/>
      <c r="L128" s="7">
        <v>0</v>
      </c>
      <c r="M128" s="7">
        <v>-2683831.92</v>
      </c>
      <c r="N128" s="7">
        <v>-3021000</v>
      </c>
      <c r="O128" s="7">
        <v>-1365103.38</v>
      </c>
      <c r="P128" s="266">
        <f t="shared" ref="P128:P138" si="115">IF(O128/9*12&lt;N128,N128,O128/9*12)</f>
        <v>-1820137.8399999999</v>
      </c>
      <c r="Q128" s="16">
        <v>-2680000</v>
      </c>
      <c r="R128" s="281">
        <v>-3117700</v>
      </c>
      <c r="S128" s="7">
        <f t="shared" ref="S128:S148" si="116">R128-Q128</f>
        <v>-437700</v>
      </c>
    </row>
    <row r="129" spans="1:19" ht="15.75" customHeight="1" x14ac:dyDescent="0.25">
      <c r="A129" s="6" t="s">
        <v>1405</v>
      </c>
      <c r="B129" s="6" t="s">
        <v>1406</v>
      </c>
      <c r="C129" s="285"/>
      <c r="D129" s="16">
        <v>-2939040</v>
      </c>
      <c r="E129" s="142" t="e">
        <f>D129*#REF!</f>
        <v>#REF!</v>
      </c>
      <c r="F129" s="142" t="e">
        <f>D129*#REF!</f>
        <v>#REF!</v>
      </c>
      <c r="G129" s="142" t="e">
        <f>(D129*#REF!)*#REF!</f>
        <v>#REF!</v>
      </c>
      <c r="H129" s="33">
        <f t="shared" si="113"/>
        <v>0</v>
      </c>
      <c r="I129" s="16" t="e">
        <f t="shared" si="114"/>
        <v>#REF!</v>
      </c>
      <c r="J129" s="18"/>
      <c r="K129" s="285"/>
      <c r="L129" s="7">
        <v>-2642889</v>
      </c>
      <c r="M129" s="7">
        <v>0</v>
      </c>
      <c r="N129" s="6">
        <v>0</v>
      </c>
      <c r="O129" s="6">
        <v>0</v>
      </c>
      <c r="P129" s="266">
        <f t="shared" si="115"/>
        <v>0</v>
      </c>
      <c r="Q129" s="18">
        <v>0</v>
      </c>
      <c r="R129" s="281">
        <f>VLOOKUP(A129,TB!A:F,6)</f>
        <v>0</v>
      </c>
      <c r="S129" s="7">
        <f t="shared" si="116"/>
        <v>0</v>
      </c>
    </row>
    <row r="130" spans="1:19" ht="15.75" customHeight="1" x14ac:dyDescent="0.25">
      <c r="A130" s="6" t="s">
        <v>1407</v>
      </c>
      <c r="B130" s="6" t="s">
        <v>1408</v>
      </c>
      <c r="C130" s="285"/>
      <c r="D130" s="16">
        <v>-74124</v>
      </c>
      <c r="E130" s="142" t="e">
        <f>D130*#REF!</f>
        <v>#REF!</v>
      </c>
      <c r="F130" s="142" t="e">
        <f>D130*#REF!</f>
        <v>#REF!</v>
      </c>
      <c r="G130" s="142" t="e">
        <f>(D130*#REF!)*#REF!</f>
        <v>#REF!</v>
      </c>
      <c r="H130" s="33">
        <f t="shared" si="113"/>
        <v>0</v>
      </c>
      <c r="I130" s="16" t="e">
        <f t="shared" si="114"/>
        <v>#REF!</v>
      </c>
      <c r="J130" s="18"/>
      <c r="K130" s="285"/>
      <c r="L130" s="6">
        <v>0</v>
      </c>
      <c r="M130" s="7">
        <v>-3874153.14</v>
      </c>
      <c r="N130" s="7">
        <v>-2450000</v>
      </c>
      <c r="O130" s="7">
        <v>-2007586.07</v>
      </c>
      <c r="P130" s="266">
        <f t="shared" si="115"/>
        <v>-2450000</v>
      </c>
      <c r="Q130" s="266">
        <v>-2800000</v>
      </c>
      <c r="R130" s="281">
        <f>VLOOKUP(A130,TB!A:F,6)</f>
        <v>-2800000</v>
      </c>
      <c r="S130" s="7">
        <f t="shared" si="116"/>
        <v>0</v>
      </c>
    </row>
    <row r="131" spans="1:19" ht="15.75" customHeight="1" x14ac:dyDescent="0.25">
      <c r="A131" s="6" t="s">
        <v>1409</v>
      </c>
      <c r="B131" s="6" t="s">
        <v>1408</v>
      </c>
      <c r="C131" s="285"/>
      <c r="D131" s="16">
        <v>-1824628</v>
      </c>
      <c r="E131" s="142" t="e">
        <f>D131*#REF!</f>
        <v>#REF!</v>
      </c>
      <c r="F131" s="142" t="e">
        <f>D131*#REF!</f>
        <v>#REF!</v>
      </c>
      <c r="G131" s="142" t="e">
        <f>(D131*#REF!)*#REF!</f>
        <v>#REF!</v>
      </c>
      <c r="H131" s="33">
        <f t="shared" si="113"/>
        <v>0</v>
      </c>
      <c r="I131" s="16" t="e">
        <f t="shared" si="114"/>
        <v>#REF!</v>
      </c>
      <c r="J131" s="18"/>
      <c r="K131" s="285"/>
      <c r="L131" s="7">
        <v>-2227288</v>
      </c>
      <c r="M131" s="7">
        <v>0</v>
      </c>
      <c r="N131" s="6">
        <v>0</v>
      </c>
      <c r="O131" s="6">
        <v>0</v>
      </c>
      <c r="P131" s="266">
        <f t="shared" si="115"/>
        <v>0</v>
      </c>
      <c r="Q131" s="18">
        <v>0</v>
      </c>
      <c r="R131" s="281">
        <f>VLOOKUP(A131,TB!A:F,6)</f>
        <v>0</v>
      </c>
      <c r="S131" s="7">
        <f t="shared" si="116"/>
        <v>0</v>
      </c>
    </row>
    <row r="132" spans="1:19" ht="15.75" customHeight="1" x14ac:dyDescent="0.25">
      <c r="A132" s="6" t="s">
        <v>1410</v>
      </c>
      <c r="B132" s="6" t="s">
        <v>1411</v>
      </c>
      <c r="C132" s="284"/>
      <c r="D132" s="18">
        <v>0</v>
      </c>
      <c r="E132" s="142" t="e">
        <f>D132*#REF!</f>
        <v>#REF!</v>
      </c>
      <c r="F132" s="142" t="e">
        <f>D132*#REF!</f>
        <v>#REF!</v>
      </c>
      <c r="G132" s="142" t="e">
        <f>(D132*#REF!)*#REF!</f>
        <v>#REF!</v>
      </c>
      <c r="H132" s="33">
        <f t="shared" si="113"/>
        <v>0</v>
      </c>
      <c r="I132" s="16" t="e">
        <f t="shared" si="114"/>
        <v>#REF!</v>
      </c>
      <c r="J132" s="16">
        <v>-170000</v>
      </c>
      <c r="K132" s="284"/>
      <c r="L132" s="6">
        <v>0</v>
      </c>
      <c r="M132" s="7">
        <v>-626381.5</v>
      </c>
      <c r="N132" s="7">
        <v>-530000</v>
      </c>
      <c r="O132" s="7">
        <v>-202226</v>
      </c>
      <c r="P132" s="266">
        <f t="shared" si="115"/>
        <v>-269634.66666666663</v>
      </c>
      <c r="Q132" s="16">
        <v>-530000</v>
      </c>
      <c r="R132" s="281">
        <f>VLOOKUP(A132,TB!A:F,6)</f>
        <v>-700000</v>
      </c>
      <c r="S132" s="7">
        <f t="shared" si="116"/>
        <v>-170000</v>
      </c>
    </row>
    <row r="133" spans="1:19" ht="15.75" customHeight="1" x14ac:dyDescent="0.25">
      <c r="A133" s="6" t="s">
        <v>1412</v>
      </c>
      <c r="B133" s="6" t="s">
        <v>1411</v>
      </c>
      <c r="C133" s="285"/>
      <c r="D133" s="16">
        <v>-718806</v>
      </c>
      <c r="E133" s="142" t="e">
        <f>D133*#REF!</f>
        <v>#REF!</v>
      </c>
      <c r="F133" s="142" t="e">
        <f>D133*#REF!</f>
        <v>#REF!</v>
      </c>
      <c r="G133" s="142" t="e">
        <f>(D133*#REF!)*#REF!</f>
        <v>#REF!</v>
      </c>
      <c r="H133" s="33">
        <f t="shared" si="113"/>
        <v>0</v>
      </c>
      <c r="I133" s="16" t="e">
        <f t="shared" si="114"/>
        <v>#REF!</v>
      </c>
      <c r="J133" s="18"/>
      <c r="K133" s="285"/>
      <c r="L133" s="7">
        <v>-655399</v>
      </c>
      <c r="M133" s="7">
        <v>0</v>
      </c>
      <c r="N133" s="6">
        <v>0</v>
      </c>
      <c r="O133" s="6">
        <v>0</v>
      </c>
      <c r="P133" s="266">
        <f t="shared" si="115"/>
        <v>0</v>
      </c>
      <c r="Q133" s="18">
        <v>0</v>
      </c>
      <c r="R133" s="281">
        <f>VLOOKUP(A133,TB!A:F,6)</f>
        <v>0</v>
      </c>
      <c r="S133" s="7">
        <f t="shared" si="116"/>
        <v>0</v>
      </c>
    </row>
    <row r="134" spans="1:19" ht="15.75" customHeight="1" x14ac:dyDescent="0.25">
      <c r="A134" s="6" t="s">
        <v>1413</v>
      </c>
      <c r="B134" s="6" t="s">
        <v>1414</v>
      </c>
      <c r="C134" s="284"/>
      <c r="D134" s="18">
        <v>0</v>
      </c>
      <c r="E134" s="142" t="e">
        <f>D134*#REF!</f>
        <v>#REF!</v>
      </c>
      <c r="F134" s="142" t="e">
        <f>D134*#REF!</f>
        <v>#REF!</v>
      </c>
      <c r="G134" s="142" t="e">
        <f>(D134*#REF!)*#REF!</f>
        <v>#REF!</v>
      </c>
      <c r="H134" s="33">
        <f t="shared" si="113"/>
        <v>0</v>
      </c>
      <c r="I134" s="16" t="e">
        <f t="shared" si="114"/>
        <v>#REF!</v>
      </c>
      <c r="J134" s="18"/>
      <c r="K134" s="284"/>
      <c r="L134" s="6">
        <v>0</v>
      </c>
      <c r="M134" s="7">
        <v>-765</v>
      </c>
      <c r="N134" s="7">
        <v>-10000</v>
      </c>
      <c r="O134" s="6">
        <v>0</v>
      </c>
      <c r="P134" s="266">
        <f t="shared" si="115"/>
        <v>0</v>
      </c>
      <c r="Q134" s="16">
        <v>-10000</v>
      </c>
      <c r="R134" s="281">
        <f>VLOOKUP(A134,TB!A:F,6)</f>
        <v>-10000</v>
      </c>
      <c r="S134" s="7">
        <f t="shared" si="116"/>
        <v>0</v>
      </c>
    </row>
    <row r="135" spans="1:19" ht="15.75" customHeight="1" x14ac:dyDescent="0.25">
      <c r="A135" s="6" t="s">
        <v>1415</v>
      </c>
      <c r="B135" s="6" t="s">
        <v>1414</v>
      </c>
      <c r="C135" s="285"/>
      <c r="D135" s="16">
        <v>-3685</v>
      </c>
      <c r="E135" s="142" t="e">
        <f>D135*#REF!</f>
        <v>#REF!</v>
      </c>
      <c r="F135" s="142" t="e">
        <f>D135*#REF!</f>
        <v>#REF!</v>
      </c>
      <c r="G135" s="142" t="e">
        <f>(D135*#REF!)*#REF!</f>
        <v>#REF!</v>
      </c>
      <c r="H135" s="33">
        <f t="shared" si="113"/>
        <v>0</v>
      </c>
      <c r="I135" s="16" t="e">
        <f t="shared" si="114"/>
        <v>#REF!</v>
      </c>
      <c r="J135" s="18"/>
      <c r="K135" s="285"/>
      <c r="L135" s="6">
        <v>0</v>
      </c>
      <c r="M135" s="7">
        <v>0</v>
      </c>
      <c r="N135" s="6">
        <v>0</v>
      </c>
      <c r="O135" s="6">
        <v>0</v>
      </c>
      <c r="P135" s="266">
        <f t="shared" si="115"/>
        <v>0</v>
      </c>
      <c r="Q135" s="18">
        <v>0</v>
      </c>
      <c r="R135" s="281">
        <f>VLOOKUP(A135,TB!A:F,6)</f>
        <v>0</v>
      </c>
      <c r="S135" s="7">
        <f t="shared" si="116"/>
        <v>0</v>
      </c>
    </row>
    <row r="136" spans="1:19" ht="15.75" customHeight="1" x14ac:dyDescent="0.25">
      <c r="A136" s="267" t="s">
        <v>1416</v>
      </c>
      <c r="B136" s="267" t="s">
        <v>1417</v>
      </c>
      <c r="C136" s="284"/>
      <c r="D136" s="18">
        <v>0</v>
      </c>
      <c r="E136" s="142" t="e">
        <f>D136*#REF!</f>
        <v>#REF!</v>
      </c>
      <c r="F136" s="142" t="e">
        <f>D136*#REF!</f>
        <v>#REF!</v>
      </c>
      <c r="G136" s="142" t="e">
        <f>(D136*#REF!)*#REF!</f>
        <v>#REF!</v>
      </c>
      <c r="H136" s="33">
        <f t="shared" si="113"/>
        <v>0</v>
      </c>
      <c r="I136" s="16" t="e">
        <f t="shared" si="114"/>
        <v>#REF!</v>
      </c>
      <c r="J136" s="18"/>
      <c r="K136" s="284"/>
      <c r="L136" s="267">
        <v>0</v>
      </c>
      <c r="M136" s="213">
        <v>-490.2</v>
      </c>
      <c r="N136" s="213">
        <v>-2000</v>
      </c>
      <c r="O136" s="213">
        <v>-4620</v>
      </c>
      <c r="P136" s="266">
        <f t="shared" si="115"/>
        <v>-2000</v>
      </c>
      <c r="Q136" s="16">
        <v>-2000</v>
      </c>
      <c r="R136" s="281">
        <f>VLOOKUP(A136,TB!A:F,6)</f>
        <v>-2000</v>
      </c>
      <c r="S136" s="7">
        <f t="shared" si="116"/>
        <v>0</v>
      </c>
    </row>
    <row r="137" spans="1:19" ht="15.75" customHeight="1" x14ac:dyDescent="0.25">
      <c r="A137" s="267" t="s">
        <v>1418</v>
      </c>
      <c r="B137" s="267" t="s">
        <v>1417</v>
      </c>
      <c r="C137" s="284"/>
      <c r="D137" s="18">
        <v>0</v>
      </c>
      <c r="E137" s="142" t="e">
        <f>D137*#REF!</f>
        <v>#REF!</v>
      </c>
      <c r="F137" s="142" t="e">
        <f>D137*#REF!</f>
        <v>#REF!</v>
      </c>
      <c r="G137" s="142" t="e">
        <f>(D137*#REF!)*#REF!</f>
        <v>#REF!</v>
      </c>
      <c r="H137" s="33">
        <f t="shared" si="113"/>
        <v>0</v>
      </c>
      <c r="I137" s="16" t="e">
        <f t="shared" si="114"/>
        <v>#REF!</v>
      </c>
      <c r="J137" s="18"/>
      <c r="K137" s="284"/>
      <c r="L137" s="213">
        <v>-6418</v>
      </c>
      <c r="M137" s="213">
        <v>0</v>
      </c>
      <c r="N137" s="267">
        <v>0</v>
      </c>
      <c r="O137" s="267">
        <v>0</v>
      </c>
      <c r="P137" s="266">
        <f t="shared" si="115"/>
        <v>0</v>
      </c>
      <c r="Q137" s="18">
        <v>0</v>
      </c>
      <c r="R137" s="281">
        <f>VLOOKUP(A137,TB!A:F,6)</f>
        <v>0</v>
      </c>
      <c r="S137" s="7">
        <f t="shared" si="116"/>
        <v>0</v>
      </c>
    </row>
    <row r="138" spans="1:19" ht="15.75" customHeight="1" x14ac:dyDescent="0.25">
      <c r="A138" s="267" t="s">
        <v>1298</v>
      </c>
      <c r="B138" s="267" t="s">
        <v>1299</v>
      </c>
      <c r="C138" s="285"/>
      <c r="D138" s="16">
        <v>-7000</v>
      </c>
      <c r="E138" s="142" t="e">
        <f>D138*#REF!</f>
        <v>#REF!</v>
      </c>
      <c r="F138" s="142" t="e">
        <f>D138*#REF!</f>
        <v>#REF!</v>
      </c>
      <c r="G138" s="142" t="e">
        <f>(D138*#REF!)*#REF!</f>
        <v>#REF!</v>
      </c>
      <c r="H138" s="33"/>
      <c r="I138" s="18"/>
      <c r="J138" s="18"/>
      <c r="K138" s="285"/>
      <c r="L138" s="213">
        <v>-30305</v>
      </c>
      <c r="M138" s="213">
        <v>-606792</v>
      </c>
      <c r="N138" s="267">
        <v>0</v>
      </c>
      <c r="O138" s="213">
        <v>0</v>
      </c>
      <c r="P138" s="266">
        <f t="shared" si="115"/>
        <v>0</v>
      </c>
      <c r="Q138" s="18">
        <v>0</v>
      </c>
      <c r="R138" s="281">
        <v>0</v>
      </c>
      <c r="S138" s="7">
        <f t="shared" si="116"/>
        <v>0</v>
      </c>
    </row>
    <row r="139" spans="1:19" ht="15.75" customHeight="1" x14ac:dyDescent="0.25">
      <c r="A139" s="267" t="s">
        <v>1419</v>
      </c>
      <c r="B139" s="267" t="s">
        <v>1420</v>
      </c>
      <c r="C139" s="284"/>
      <c r="D139" s="18">
        <v>0</v>
      </c>
      <c r="E139" s="142" t="e">
        <f>D139*#REF!</f>
        <v>#REF!</v>
      </c>
      <c r="F139" s="142" t="e">
        <f>D139*#REF!</f>
        <v>#REF!</v>
      </c>
      <c r="G139" s="142" t="e">
        <f>(D139*#REF!)*#REF!</f>
        <v>#REF!</v>
      </c>
      <c r="H139" s="33">
        <f t="shared" ref="H139:H146" si="117">IFERROR(((Q139-G139)/G139),0)</f>
        <v>0</v>
      </c>
      <c r="I139" s="16" t="e">
        <f t="shared" ref="I139:I146" si="118">Q139-G139</f>
        <v>#REF!</v>
      </c>
      <c r="J139" s="18"/>
      <c r="K139" s="284"/>
      <c r="L139" s="267">
        <v>0</v>
      </c>
      <c r="M139" s="213">
        <v>-19200</v>
      </c>
      <c r="N139" s="267">
        <v>0</v>
      </c>
      <c r="O139" s="213">
        <v>-14000</v>
      </c>
      <c r="P139" s="266">
        <f>O139</f>
        <v>-14000</v>
      </c>
      <c r="Q139" s="18">
        <v>0</v>
      </c>
      <c r="R139" s="281">
        <f>VLOOKUP(A139,TB!A:F,6)</f>
        <v>0</v>
      </c>
      <c r="S139" s="7">
        <f t="shared" si="116"/>
        <v>0</v>
      </c>
    </row>
    <row r="140" spans="1:19" ht="15.75" customHeight="1" x14ac:dyDescent="0.25">
      <c r="A140" s="267" t="s">
        <v>1421</v>
      </c>
      <c r="B140" s="267" t="s">
        <v>1422</v>
      </c>
      <c r="C140" s="285"/>
      <c r="D140" s="16">
        <v>-120000</v>
      </c>
      <c r="E140" s="142" t="e">
        <f>D140*#REF!</f>
        <v>#REF!</v>
      </c>
      <c r="F140" s="142" t="e">
        <f>D140*#REF!</f>
        <v>#REF!</v>
      </c>
      <c r="G140" s="142" t="e">
        <f>(D140*#REF!)*#REF!</f>
        <v>#REF!</v>
      </c>
      <c r="H140" s="33">
        <f t="shared" si="117"/>
        <v>0</v>
      </c>
      <c r="I140" s="16" t="e">
        <f t="shared" si="118"/>
        <v>#REF!</v>
      </c>
      <c r="J140" s="18"/>
      <c r="K140" s="285"/>
      <c r="L140" s="267">
        <v>0</v>
      </c>
      <c r="M140" s="213">
        <v>0</v>
      </c>
      <c r="N140" s="267">
        <v>0</v>
      </c>
      <c r="O140" s="267">
        <v>0</v>
      </c>
      <c r="P140" s="266">
        <f t="shared" ref="P140:P141" si="119">IF(O140/9*12&lt;N140,N140,O140/9*12)</f>
        <v>0</v>
      </c>
      <c r="Q140" s="18">
        <v>0</v>
      </c>
      <c r="R140" s="281">
        <f>VLOOKUP(A140,TB!A:F,6)</f>
        <v>0</v>
      </c>
      <c r="S140" s="7">
        <f t="shared" si="116"/>
        <v>0</v>
      </c>
    </row>
    <row r="141" spans="1:19" ht="15.75" customHeight="1" x14ac:dyDescent="0.25">
      <c r="A141" s="6" t="s">
        <v>1423</v>
      </c>
      <c r="B141" s="6" t="s">
        <v>1424</v>
      </c>
      <c r="C141" s="284"/>
      <c r="D141" s="18">
        <v>0</v>
      </c>
      <c r="E141" s="142" t="e">
        <f>D141*#REF!</f>
        <v>#REF!</v>
      </c>
      <c r="F141" s="142" t="e">
        <f>D141*#REF!</f>
        <v>#REF!</v>
      </c>
      <c r="G141" s="142" t="e">
        <f>(D141*#REF!)*#REF!</f>
        <v>#REF!</v>
      </c>
      <c r="H141" s="33">
        <f t="shared" si="117"/>
        <v>0</v>
      </c>
      <c r="I141" s="16" t="e">
        <f t="shared" si="118"/>
        <v>#REF!</v>
      </c>
      <c r="J141" s="18"/>
      <c r="K141" s="284"/>
      <c r="L141" s="6">
        <v>0</v>
      </c>
      <c r="M141" s="7">
        <v>-3600</v>
      </c>
      <c r="N141" s="7">
        <v>-6000</v>
      </c>
      <c r="O141" s="6">
        <v>0</v>
      </c>
      <c r="P141" s="266">
        <f t="shared" si="119"/>
        <v>0</v>
      </c>
      <c r="Q141" s="16">
        <v>-6000</v>
      </c>
      <c r="R141" s="281">
        <f>VLOOKUP(A141,TB!A:F,6)</f>
        <v>-6000</v>
      </c>
      <c r="S141" s="7">
        <f t="shared" si="116"/>
        <v>0</v>
      </c>
    </row>
    <row r="142" spans="1:19" ht="15.75" customHeight="1" x14ac:dyDescent="0.25">
      <c r="A142" s="6" t="s">
        <v>1425</v>
      </c>
      <c r="B142" s="6" t="s">
        <v>1424</v>
      </c>
      <c r="C142" s="285"/>
      <c r="D142" s="16">
        <v>-6000</v>
      </c>
      <c r="E142" s="142" t="e">
        <f>D142*#REF!</f>
        <v>#REF!</v>
      </c>
      <c r="F142" s="142" t="e">
        <f>D142*#REF!</f>
        <v>#REF!</v>
      </c>
      <c r="G142" s="142" t="e">
        <f>(D142*#REF!)*#REF!</f>
        <v>#REF!</v>
      </c>
      <c r="H142" s="33">
        <f t="shared" si="117"/>
        <v>0</v>
      </c>
      <c r="I142" s="16" t="e">
        <f t="shared" si="118"/>
        <v>#REF!</v>
      </c>
      <c r="J142" s="18"/>
      <c r="K142" s="285"/>
      <c r="L142" s="7">
        <v>-3600</v>
      </c>
      <c r="M142" s="7">
        <v>0</v>
      </c>
      <c r="N142" s="6">
        <v>0</v>
      </c>
      <c r="O142" s="7">
        <v>-7200</v>
      </c>
      <c r="P142" s="266">
        <f>O142</f>
        <v>-7200</v>
      </c>
      <c r="Q142" s="18">
        <v>0</v>
      </c>
      <c r="R142" s="281">
        <v>0</v>
      </c>
      <c r="S142" s="7">
        <f t="shared" si="116"/>
        <v>0</v>
      </c>
    </row>
    <row r="143" spans="1:19" ht="18.75" customHeight="1" x14ac:dyDescent="0.25">
      <c r="A143" s="267" t="s">
        <v>1426</v>
      </c>
      <c r="B143" s="267" t="s">
        <v>1427</v>
      </c>
      <c r="C143" s="285"/>
      <c r="D143" s="16">
        <v>-149500</v>
      </c>
      <c r="E143" s="142" t="e">
        <f>D143*#REF!</f>
        <v>#REF!</v>
      </c>
      <c r="F143" s="142" t="e">
        <f>D143*#REF!</f>
        <v>#REF!</v>
      </c>
      <c r="G143" s="142" t="e">
        <f>(D143*#REF!)*#REF!</f>
        <v>#REF!</v>
      </c>
      <c r="H143" s="33">
        <f t="shared" si="117"/>
        <v>0</v>
      </c>
      <c r="I143" s="16" t="e">
        <f t="shared" si="118"/>
        <v>#REF!</v>
      </c>
      <c r="J143" s="18"/>
      <c r="K143" s="285"/>
      <c r="L143" s="213">
        <v>-121000</v>
      </c>
      <c r="M143" s="213">
        <v>0</v>
      </c>
      <c r="N143" s="213">
        <v>0</v>
      </c>
      <c r="O143" s="267"/>
      <c r="P143" s="266">
        <f>IF(O143/9*12&lt;N143,N143,O143/9*12)</f>
        <v>0</v>
      </c>
      <c r="Q143" s="16">
        <v>0</v>
      </c>
      <c r="R143" s="281">
        <f>VLOOKUP(A143,TB!A:F,6)</f>
        <v>0</v>
      </c>
      <c r="S143" s="7">
        <f t="shared" si="116"/>
        <v>0</v>
      </c>
    </row>
    <row r="144" spans="1:19" ht="18.75" customHeight="1" x14ac:dyDescent="0.25">
      <c r="A144" s="267" t="s">
        <v>1428</v>
      </c>
      <c r="B144" s="267" t="s">
        <v>1427</v>
      </c>
      <c r="C144" s="284"/>
      <c r="D144" s="18">
        <v>0</v>
      </c>
      <c r="E144" s="142" t="e">
        <f>D144*#REF!</f>
        <v>#REF!</v>
      </c>
      <c r="F144" s="142" t="e">
        <f>D144*#REF!</f>
        <v>#REF!</v>
      </c>
      <c r="G144" s="142" t="e">
        <f>(D144*#REF!)*#REF!</f>
        <v>#REF!</v>
      </c>
      <c r="H144" s="33">
        <f t="shared" si="117"/>
        <v>0</v>
      </c>
      <c r="I144" s="16" t="e">
        <f t="shared" si="118"/>
        <v>#REF!</v>
      </c>
      <c r="J144" s="18"/>
      <c r="K144" s="284"/>
      <c r="L144" s="267">
        <v>0</v>
      </c>
      <c r="M144" s="213">
        <v>-121000</v>
      </c>
      <c r="N144" s="213">
        <v>-121000</v>
      </c>
      <c r="O144" s="267">
        <v>0</v>
      </c>
      <c r="P144" s="266">
        <f>N144</f>
        <v>-121000</v>
      </c>
      <c r="Q144" s="16">
        <v>-121000</v>
      </c>
      <c r="R144" s="281">
        <f>VLOOKUP(A144,TB!A:F,6)</f>
        <v>-121000</v>
      </c>
      <c r="S144" s="7">
        <f t="shared" si="116"/>
        <v>0</v>
      </c>
    </row>
    <row r="145" spans="1:27" ht="18.75" customHeight="1" x14ac:dyDescent="0.25">
      <c r="A145" s="267" t="s">
        <v>1429</v>
      </c>
      <c r="B145" s="267" t="s">
        <v>1420</v>
      </c>
      <c r="C145" s="284"/>
      <c r="D145" s="18">
        <v>0</v>
      </c>
      <c r="E145" s="142" t="e">
        <f>D145*#REF!</f>
        <v>#REF!</v>
      </c>
      <c r="F145" s="142" t="e">
        <f>D145*#REF!</f>
        <v>#REF!</v>
      </c>
      <c r="G145" s="142" t="e">
        <f>(D145*#REF!)*#REF!</f>
        <v>#REF!</v>
      </c>
      <c r="H145" s="33">
        <f t="shared" si="117"/>
        <v>0</v>
      </c>
      <c r="I145" s="16" t="e">
        <f t="shared" si="118"/>
        <v>#REF!</v>
      </c>
      <c r="J145" s="16">
        <v>-60000</v>
      </c>
      <c r="K145" s="284"/>
      <c r="L145" s="267">
        <v>0</v>
      </c>
      <c r="M145" s="267">
        <v>0</v>
      </c>
      <c r="N145" s="213">
        <v>0</v>
      </c>
      <c r="O145" s="267">
        <v>0</v>
      </c>
      <c r="P145" s="266">
        <f>IF(O145/9*12&lt;N145,N145,O145/9*12)</f>
        <v>0</v>
      </c>
      <c r="Q145" s="16">
        <f>-230000</f>
        <v>-230000</v>
      </c>
      <c r="R145" s="281">
        <f>VLOOKUP(A145,TB!A:F,6)</f>
        <v>-290000</v>
      </c>
      <c r="S145" s="7">
        <f t="shared" si="116"/>
        <v>-60000</v>
      </c>
    </row>
    <row r="146" spans="1:27" ht="15.75" customHeight="1" x14ac:dyDescent="0.25">
      <c r="A146" s="6" t="s">
        <v>1430</v>
      </c>
      <c r="B146" s="267" t="s">
        <v>1431</v>
      </c>
      <c r="C146" s="284"/>
      <c r="D146" s="18">
        <v>-7979</v>
      </c>
      <c r="E146" s="142" t="e">
        <f>D146*#REF!</f>
        <v>#REF!</v>
      </c>
      <c r="F146" s="142" t="e">
        <f>D146*#REF!</f>
        <v>#REF!</v>
      </c>
      <c r="G146" s="142" t="e">
        <f>(D146*#REF!)*#REF!</f>
        <v>#REF!</v>
      </c>
      <c r="H146" s="33">
        <f t="shared" si="117"/>
        <v>0</v>
      </c>
      <c r="I146" s="16" t="e">
        <f t="shared" si="118"/>
        <v>#REF!</v>
      </c>
      <c r="J146" s="18"/>
      <c r="K146" s="284"/>
      <c r="L146" s="6">
        <v>-9836</v>
      </c>
      <c r="M146" s="6">
        <v>-9410.2999999999993</v>
      </c>
      <c r="N146" s="7">
        <v>-9000</v>
      </c>
      <c r="O146" s="6">
        <v>0</v>
      </c>
      <c r="P146" s="266">
        <f>N146</f>
        <v>-9000</v>
      </c>
      <c r="Q146" s="16">
        <v>-9000</v>
      </c>
      <c r="R146" s="281">
        <f>VLOOKUP(A146,TB!A:F,6)</f>
        <v>-9000</v>
      </c>
      <c r="S146" s="7">
        <f t="shared" si="116"/>
        <v>0</v>
      </c>
    </row>
    <row r="147" spans="1:27" ht="15.75" customHeight="1" x14ac:dyDescent="0.25">
      <c r="A147" s="6" t="s">
        <v>1432</v>
      </c>
      <c r="B147" s="267" t="s">
        <v>1433</v>
      </c>
      <c r="C147" s="285"/>
      <c r="D147" s="16">
        <v>-8085</v>
      </c>
      <c r="E147" s="142" t="e">
        <f>D147*#REF!</f>
        <v>#REF!</v>
      </c>
      <c r="F147" s="142" t="e">
        <f>D147*#REF!</f>
        <v>#REF!</v>
      </c>
      <c r="G147" s="142" t="e">
        <f>(D147*#REF!)*#REF!</f>
        <v>#REF!</v>
      </c>
      <c r="H147" s="33"/>
      <c r="I147" s="18"/>
      <c r="J147" s="18"/>
      <c r="K147" s="285"/>
      <c r="L147" s="6">
        <v>0</v>
      </c>
      <c r="M147" s="6">
        <v>0</v>
      </c>
      <c r="N147" s="7">
        <v>0</v>
      </c>
      <c r="O147" s="6">
        <v>0</v>
      </c>
      <c r="P147" s="266">
        <f>IF(O147/9*12&lt;N147,N147,O147/9*12)</f>
        <v>0</v>
      </c>
      <c r="Q147" s="16">
        <v>0</v>
      </c>
      <c r="R147" s="281">
        <f>VLOOKUP(A147,TB!A:F,6)</f>
        <v>0</v>
      </c>
      <c r="S147" s="7">
        <f t="shared" si="116"/>
        <v>0</v>
      </c>
    </row>
    <row r="148" spans="1:27" ht="15.75" customHeight="1" x14ac:dyDescent="0.25">
      <c r="A148" s="6" t="s">
        <v>1434</v>
      </c>
      <c r="B148" s="267" t="s">
        <v>1435</v>
      </c>
      <c r="C148" s="284"/>
      <c r="D148" s="18">
        <v>0</v>
      </c>
      <c r="E148" s="142" t="e">
        <f>D148*#REF!</f>
        <v>#REF!</v>
      </c>
      <c r="F148" s="142" t="e">
        <f>D148*#REF!</f>
        <v>#REF!</v>
      </c>
      <c r="G148" s="142" t="e">
        <f>(D148*#REF!)*#REF!</f>
        <v>#REF!</v>
      </c>
      <c r="H148" s="33">
        <f t="shared" ref="H148:H149" si="120">IFERROR(((Q148-G148)/G148),0)</f>
        <v>0</v>
      </c>
      <c r="I148" s="16" t="e">
        <f t="shared" ref="I148:I149" si="121">Q148-G148</f>
        <v>#REF!</v>
      </c>
      <c r="J148" s="18"/>
      <c r="K148" s="284"/>
      <c r="L148" s="6">
        <v>0</v>
      </c>
      <c r="M148" s="6">
        <v>0</v>
      </c>
      <c r="N148" s="7">
        <v>-1654018</v>
      </c>
      <c r="O148" s="6">
        <v>0</v>
      </c>
      <c r="P148" s="266">
        <f>N148</f>
        <v>-1654018</v>
      </c>
      <c r="Q148" s="16">
        <v>-1593750</v>
      </c>
      <c r="R148" s="281">
        <f>Q148</f>
        <v>-1593750</v>
      </c>
      <c r="S148" s="7">
        <f t="shared" si="116"/>
        <v>0</v>
      </c>
    </row>
    <row r="149" spans="1:27" ht="15.75" customHeight="1" x14ac:dyDescent="0.2">
      <c r="A149" s="11" t="s">
        <v>189</v>
      </c>
      <c r="B149" s="48"/>
      <c r="C149" s="282"/>
      <c r="D149" s="50">
        <f t="shared" ref="D149:G149" si="122">SUM(D128:D148)</f>
        <v>-5858847</v>
      </c>
      <c r="E149" s="50" t="e">
        <f t="shared" si="122"/>
        <v>#REF!</v>
      </c>
      <c r="F149" s="50" t="e">
        <f t="shared" si="122"/>
        <v>#REF!</v>
      </c>
      <c r="G149" s="50" t="e">
        <f t="shared" si="122"/>
        <v>#REF!</v>
      </c>
      <c r="H149" s="42">
        <f t="shared" si="120"/>
        <v>0</v>
      </c>
      <c r="I149" s="50" t="e">
        <f t="shared" si="121"/>
        <v>#REF!</v>
      </c>
      <c r="J149" s="50">
        <f>SUM(J128:J148)</f>
        <v>-230000</v>
      </c>
      <c r="K149" s="282"/>
      <c r="L149" s="12">
        <f t="shared" ref="L149:S149" si="123">SUM(L128:L148)</f>
        <v>-5696735</v>
      </c>
      <c r="M149" s="12">
        <f t="shared" si="123"/>
        <v>-7945624.0600000005</v>
      </c>
      <c r="N149" s="12">
        <f t="shared" si="123"/>
        <v>-7803018</v>
      </c>
      <c r="O149" s="12">
        <f t="shared" si="123"/>
        <v>-3600735.45</v>
      </c>
      <c r="P149" s="50">
        <f t="shared" si="123"/>
        <v>-6346990.5066666668</v>
      </c>
      <c r="Q149" s="50">
        <f t="shared" si="123"/>
        <v>-7981750</v>
      </c>
      <c r="R149" s="12">
        <f t="shared" si="123"/>
        <v>-8649450</v>
      </c>
      <c r="S149" s="12">
        <f t="shared" si="123"/>
        <v>-667700</v>
      </c>
    </row>
    <row r="150" spans="1:27" ht="15.75" customHeight="1" x14ac:dyDescent="0.2">
      <c r="A150" s="5"/>
      <c r="B150" s="5"/>
      <c r="C150" s="284"/>
      <c r="D150" s="5"/>
      <c r="E150" s="5"/>
      <c r="F150" s="5"/>
      <c r="G150" s="5"/>
      <c r="H150" s="5"/>
      <c r="I150" s="5"/>
      <c r="J150" s="5"/>
      <c r="K150" s="284"/>
      <c r="L150" s="5"/>
      <c r="M150" s="5"/>
      <c r="N150" s="5"/>
      <c r="O150" s="5"/>
      <c r="P150" s="5"/>
      <c r="Q150" s="5"/>
      <c r="R150" s="5"/>
      <c r="S150" s="5"/>
    </row>
    <row r="151" spans="1:27" ht="15.75" customHeight="1" x14ac:dyDescent="0.2">
      <c r="A151" s="11" t="s">
        <v>190</v>
      </c>
      <c r="B151" s="6"/>
      <c r="C151" s="286"/>
      <c r="D151" s="178">
        <f t="shared" ref="D151:G151" si="124">D125+D149</f>
        <v>1683498</v>
      </c>
      <c r="E151" s="178" t="e">
        <f t="shared" si="124"/>
        <v>#REF!</v>
      </c>
      <c r="F151" s="178" t="e">
        <f t="shared" si="124"/>
        <v>#REF!</v>
      </c>
      <c r="G151" s="178" t="e">
        <f t="shared" si="124"/>
        <v>#REF!</v>
      </c>
      <c r="H151" s="273">
        <f>IFERROR(((Q151-G151)/G151),0)</f>
        <v>0</v>
      </c>
      <c r="I151" s="178" t="e">
        <f>Q151-G151</f>
        <v>#REF!</v>
      </c>
      <c r="J151" s="178">
        <f>J149+J125</f>
        <v>-703500</v>
      </c>
      <c r="K151" s="286"/>
      <c r="L151" s="227">
        <f t="shared" ref="L151:S151" si="125">L125+L149</f>
        <v>382228</v>
      </c>
      <c r="M151" s="227">
        <f t="shared" si="125"/>
        <v>-1802649.9200000009</v>
      </c>
      <c r="N151" s="227">
        <f t="shared" si="125"/>
        <v>-219798</v>
      </c>
      <c r="O151" s="227">
        <f t="shared" si="125"/>
        <v>1457667.2800000003</v>
      </c>
      <c r="P151" s="178">
        <f t="shared" si="125"/>
        <v>875902.27957142796</v>
      </c>
      <c r="Q151" s="178">
        <f t="shared" si="125"/>
        <v>163250</v>
      </c>
      <c r="R151" s="227">
        <f t="shared" si="125"/>
        <v>-977950</v>
      </c>
      <c r="S151" s="227">
        <f t="shared" si="125"/>
        <v>-1141200</v>
      </c>
      <c r="V151" s="56"/>
      <c r="W151" s="56"/>
      <c r="X151" s="56"/>
      <c r="Y151" s="56"/>
      <c r="Z151" s="56"/>
      <c r="AA151" s="56"/>
    </row>
    <row r="152" spans="1:27" ht="15.75" customHeight="1" x14ac:dyDescent="0.2">
      <c r="C152" s="287"/>
      <c r="K152" s="287"/>
    </row>
    <row r="153" spans="1:27" ht="15.75" customHeight="1" x14ac:dyDescent="0.2">
      <c r="C153" s="288"/>
      <c r="K153" s="288"/>
      <c r="L153" s="173" t="e">
        <f t="shared" ref="L153:R153" si="126">#REF!</f>
        <v>#REF!</v>
      </c>
      <c r="M153" s="173" t="e">
        <f t="shared" si="126"/>
        <v>#REF!</v>
      </c>
      <c r="N153" s="173" t="e">
        <f t="shared" si="126"/>
        <v>#REF!</v>
      </c>
      <c r="O153" s="173" t="e">
        <f t="shared" si="126"/>
        <v>#REF!</v>
      </c>
      <c r="P153" s="173" t="e">
        <f t="shared" si="126"/>
        <v>#REF!</v>
      </c>
      <c r="Q153" s="173" t="e">
        <f t="shared" si="126"/>
        <v>#REF!</v>
      </c>
      <c r="R153" s="173" t="e">
        <f t="shared" si="126"/>
        <v>#REF!</v>
      </c>
      <c r="S153" s="57"/>
    </row>
    <row r="154" spans="1:27" ht="15.75" customHeight="1" x14ac:dyDescent="0.2">
      <c r="C154" s="289"/>
      <c r="K154" s="289"/>
      <c r="L154" s="63">
        <f t="shared" ref="L154:R154" si="127">L125</f>
        <v>6078963</v>
      </c>
      <c r="M154" s="63">
        <f t="shared" si="127"/>
        <v>6142974.1399999997</v>
      </c>
      <c r="N154" s="63">
        <f t="shared" si="127"/>
        <v>7583220</v>
      </c>
      <c r="O154" s="63">
        <f t="shared" si="127"/>
        <v>5058402.7300000004</v>
      </c>
      <c r="P154" s="63">
        <f t="shared" si="127"/>
        <v>7222892.7862380948</v>
      </c>
      <c r="Q154" s="63">
        <f t="shared" si="127"/>
        <v>8145000</v>
      </c>
      <c r="R154" s="63">
        <f t="shared" si="127"/>
        <v>7671500</v>
      </c>
      <c r="S154" s="51"/>
    </row>
    <row r="155" spans="1:27" ht="15.75" customHeight="1" x14ac:dyDescent="0.2">
      <c r="C155" s="287"/>
      <c r="K155" s="287"/>
    </row>
    <row r="156" spans="1:27" ht="15.75" customHeight="1" x14ac:dyDescent="0.2">
      <c r="C156" s="287"/>
      <c r="K156" s="287"/>
    </row>
    <row r="157" spans="1:27" ht="15.75" customHeight="1" x14ac:dyDescent="0.2">
      <c r="C157" s="287"/>
      <c r="K157" s="287"/>
    </row>
    <row r="158" spans="1:27" ht="15.75" customHeight="1" x14ac:dyDescent="0.2">
      <c r="C158" s="287"/>
      <c r="K158" s="287"/>
    </row>
    <row r="159" spans="1:27" ht="15.75" customHeight="1" x14ac:dyDescent="0.2">
      <c r="C159" s="287"/>
      <c r="K159" s="287"/>
    </row>
    <row r="160" spans="1:27" ht="15.75" customHeight="1" x14ac:dyDescent="0.2">
      <c r="C160" s="287"/>
      <c r="K160" s="287"/>
    </row>
    <row r="161" spans="3:11" ht="15.75" customHeight="1" x14ac:dyDescent="0.2">
      <c r="C161" s="287"/>
      <c r="K161" s="287"/>
    </row>
    <row r="162" spans="3:11" ht="15.75" customHeight="1" x14ac:dyDescent="0.2">
      <c r="C162" s="287"/>
      <c r="K162" s="287"/>
    </row>
    <row r="163" spans="3:11" ht="15.75" customHeight="1" x14ac:dyDescent="0.2">
      <c r="C163" s="287"/>
      <c r="K163" s="287"/>
    </row>
    <row r="164" spans="3:11" ht="15.75" customHeight="1" x14ac:dyDescent="0.2">
      <c r="C164" s="287"/>
      <c r="K164" s="287"/>
    </row>
    <row r="165" spans="3:11" ht="15.75" customHeight="1" x14ac:dyDescent="0.2">
      <c r="C165" s="287"/>
      <c r="K165" s="287"/>
    </row>
    <row r="166" spans="3:11" ht="15.75" customHeight="1" x14ac:dyDescent="0.2">
      <c r="C166" s="287"/>
      <c r="K166" s="287"/>
    </row>
    <row r="167" spans="3:11" ht="15.75" customHeight="1" x14ac:dyDescent="0.2">
      <c r="C167" s="287"/>
      <c r="K167" s="287"/>
    </row>
    <row r="168" spans="3:11" ht="15.75" customHeight="1" x14ac:dyDescent="0.2">
      <c r="C168" s="287"/>
      <c r="K168" s="287"/>
    </row>
    <row r="169" spans="3:11" ht="15.75" customHeight="1" x14ac:dyDescent="0.2">
      <c r="C169" s="287"/>
      <c r="K169" s="287"/>
    </row>
    <row r="170" spans="3:11" ht="15.75" customHeight="1" x14ac:dyDescent="0.2">
      <c r="C170" s="287"/>
      <c r="K170" s="287"/>
    </row>
    <row r="171" spans="3:11" ht="15.75" customHeight="1" x14ac:dyDescent="0.2">
      <c r="C171" s="287"/>
      <c r="K171" s="287"/>
    </row>
    <row r="172" spans="3:11" ht="15.75" customHeight="1" x14ac:dyDescent="0.2">
      <c r="C172" s="287"/>
      <c r="K172" s="287"/>
    </row>
    <row r="173" spans="3:11" ht="15.75" customHeight="1" x14ac:dyDescent="0.2">
      <c r="C173" s="287"/>
      <c r="K173" s="287"/>
    </row>
    <row r="174" spans="3:11" ht="15.75" customHeight="1" x14ac:dyDescent="0.2">
      <c r="C174" s="287"/>
      <c r="K174" s="287"/>
    </row>
    <row r="175" spans="3:11" ht="15.75" customHeight="1" x14ac:dyDescent="0.2">
      <c r="C175" s="287"/>
      <c r="K175" s="287"/>
    </row>
    <row r="176" spans="3:11" ht="15.75" customHeight="1" x14ac:dyDescent="0.2">
      <c r="C176" s="287"/>
      <c r="K176" s="287"/>
    </row>
    <row r="177" spans="3:11" ht="15.75" customHeight="1" x14ac:dyDescent="0.2">
      <c r="C177" s="287"/>
      <c r="K177" s="287"/>
    </row>
    <row r="178" spans="3:11" ht="15.75" customHeight="1" x14ac:dyDescent="0.2">
      <c r="C178" s="287"/>
      <c r="K178" s="287"/>
    </row>
    <row r="179" spans="3:11" ht="15.75" customHeight="1" x14ac:dyDescent="0.2">
      <c r="C179" s="287"/>
      <c r="K179" s="287"/>
    </row>
    <row r="180" spans="3:11" ht="15.75" customHeight="1" x14ac:dyDescent="0.2">
      <c r="C180" s="287"/>
      <c r="K180" s="287"/>
    </row>
    <row r="181" spans="3:11" ht="15.75" customHeight="1" x14ac:dyDescent="0.2">
      <c r="C181" s="287"/>
      <c r="K181" s="287"/>
    </row>
    <row r="182" spans="3:11" ht="15.75" customHeight="1" x14ac:dyDescent="0.2">
      <c r="C182" s="287"/>
      <c r="K182" s="287"/>
    </row>
    <row r="183" spans="3:11" ht="15.75" customHeight="1" x14ac:dyDescent="0.2">
      <c r="C183" s="287"/>
      <c r="K183" s="287"/>
    </row>
    <row r="184" spans="3:11" ht="15.75" customHeight="1" x14ac:dyDescent="0.2">
      <c r="C184" s="287"/>
      <c r="K184" s="287"/>
    </row>
    <row r="185" spans="3:11" ht="15.75" customHeight="1" x14ac:dyDescent="0.2">
      <c r="C185" s="287"/>
      <c r="K185" s="287"/>
    </row>
    <row r="186" spans="3:11" ht="15.75" customHeight="1" x14ac:dyDescent="0.2">
      <c r="C186" s="287"/>
      <c r="K186" s="287"/>
    </row>
    <row r="187" spans="3:11" ht="15.75" customHeight="1" x14ac:dyDescent="0.2">
      <c r="C187" s="287"/>
      <c r="K187" s="287"/>
    </row>
    <row r="188" spans="3:11" ht="15.75" customHeight="1" x14ac:dyDescent="0.2">
      <c r="C188" s="287"/>
      <c r="K188" s="287"/>
    </row>
    <row r="189" spans="3:11" ht="15.75" customHeight="1" x14ac:dyDescent="0.2">
      <c r="C189" s="287"/>
      <c r="K189" s="287"/>
    </row>
    <row r="190" spans="3:11" ht="15.75" customHeight="1" x14ac:dyDescent="0.2">
      <c r="C190" s="287"/>
      <c r="K190" s="287"/>
    </row>
    <row r="191" spans="3:11" ht="15.75" customHeight="1" x14ac:dyDescent="0.2">
      <c r="C191" s="287"/>
      <c r="K191" s="287"/>
    </row>
    <row r="192" spans="3:11" ht="15.75" customHeight="1" x14ac:dyDescent="0.2">
      <c r="C192" s="287"/>
      <c r="K192" s="287"/>
    </row>
    <row r="193" spans="1:11" ht="15.75" customHeight="1" x14ac:dyDescent="0.2">
      <c r="C193" s="287"/>
      <c r="K193" s="287"/>
    </row>
    <row r="194" spans="1:11" ht="15.75" customHeight="1" x14ac:dyDescent="0.2">
      <c r="C194" s="287"/>
      <c r="K194" s="287"/>
    </row>
    <row r="195" spans="1:11" ht="15.75" customHeight="1" x14ac:dyDescent="0.2">
      <c r="C195" s="287"/>
      <c r="K195" s="287"/>
    </row>
    <row r="196" spans="1:11" ht="15.75" customHeight="1" x14ac:dyDescent="0.2">
      <c r="C196" s="287"/>
      <c r="K196" s="287"/>
    </row>
    <row r="197" spans="1:11" ht="15.75" customHeight="1" x14ac:dyDescent="0.2">
      <c r="C197" s="287"/>
      <c r="K197" s="287"/>
    </row>
    <row r="198" spans="1:11" ht="15.75" customHeight="1" x14ac:dyDescent="0.2">
      <c r="C198" s="287"/>
      <c r="K198" s="287"/>
    </row>
    <row r="199" spans="1:11" ht="15.75" customHeight="1" x14ac:dyDescent="0.2">
      <c r="C199" s="287"/>
      <c r="K199" s="287"/>
    </row>
    <row r="200" spans="1:11" ht="15.75" customHeight="1" x14ac:dyDescent="0.2">
      <c r="C200" s="287"/>
      <c r="K200" s="287"/>
    </row>
    <row r="201" spans="1:11" ht="15.75" customHeight="1" x14ac:dyDescent="0.2">
      <c r="C201" s="287"/>
      <c r="K201" s="287"/>
    </row>
    <row r="202" spans="1:11" ht="15.75" customHeight="1" x14ac:dyDescent="0.2">
      <c r="C202" s="287"/>
      <c r="K202" s="287"/>
    </row>
    <row r="203" spans="1:11" ht="15.75" customHeight="1" x14ac:dyDescent="0.2">
      <c r="C203" s="287"/>
      <c r="K203" s="287"/>
    </row>
    <row r="204" spans="1:11" ht="15.75" customHeight="1" x14ac:dyDescent="0.2">
      <c r="C204" s="287"/>
      <c r="K204" s="287"/>
    </row>
    <row r="205" spans="1:11" ht="15.75" customHeight="1" x14ac:dyDescent="0.2">
      <c r="C205" s="287"/>
      <c r="K205" s="287"/>
    </row>
    <row r="206" spans="1:11" ht="15.75" customHeight="1" x14ac:dyDescent="0.2">
      <c r="A206" s="69"/>
      <c r="C206" s="287"/>
      <c r="K206" s="287"/>
    </row>
    <row r="207" spans="1:11" ht="15.75" customHeight="1" x14ac:dyDescent="0.2">
      <c r="A207" s="69" t="s">
        <v>1436</v>
      </c>
      <c r="C207" s="287"/>
      <c r="K207" s="287"/>
    </row>
    <row r="208" spans="1:11" ht="15.75" hidden="1" customHeight="1" outlineLevel="1" x14ac:dyDescent="0.2">
      <c r="C208" s="287"/>
      <c r="K208" s="287"/>
    </row>
    <row r="209" spans="1:19" ht="15.75" hidden="1" customHeight="1" outlineLevel="1" x14ac:dyDescent="0.2">
      <c r="A209" s="3" t="s">
        <v>50</v>
      </c>
      <c r="B209" s="3" t="s">
        <v>51</v>
      </c>
      <c r="C209" s="292"/>
      <c r="D209" s="3" t="s">
        <v>52</v>
      </c>
      <c r="E209" s="380" t="s">
        <v>53</v>
      </c>
      <c r="F209" s="380" t="s">
        <v>1212</v>
      </c>
      <c r="G209" s="380" t="s">
        <v>55</v>
      </c>
      <c r="H209" s="230" t="s">
        <v>56</v>
      </c>
      <c r="I209" s="230" t="s">
        <v>57</v>
      </c>
      <c r="K209" s="292"/>
      <c r="L209" s="3" t="s">
        <v>59</v>
      </c>
      <c r="M209" s="3" t="s">
        <v>60</v>
      </c>
      <c r="N209" s="3" t="s">
        <v>436</v>
      </c>
      <c r="O209" s="3" t="s">
        <v>437</v>
      </c>
      <c r="P209" s="70" t="e">
        <f>#REF!</f>
        <v>#REF!</v>
      </c>
      <c r="Q209" s="293" t="s">
        <v>438</v>
      </c>
      <c r="R209" s="70" t="e">
        <f>#REF!</f>
        <v>#REF!</v>
      </c>
      <c r="S209" s="3" t="s">
        <v>586</v>
      </c>
    </row>
    <row r="210" spans="1:19" ht="15.75" hidden="1" customHeight="1" outlineLevel="1" x14ac:dyDescent="0.25">
      <c r="A210" s="51" t="s">
        <v>1437</v>
      </c>
      <c r="B210" s="51" t="s">
        <v>68</v>
      </c>
      <c r="C210" s="400"/>
      <c r="D210" s="65">
        <v>95580</v>
      </c>
      <c r="E210" s="20" t="e">
        <f>D210*#REF!</f>
        <v>#REF!</v>
      </c>
      <c r="F210" s="20" t="e">
        <f>D210*#REF!</f>
        <v>#REF!</v>
      </c>
      <c r="G210" s="20" t="e">
        <f>(D210*#REF!)*#REF!</f>
        <v>#REF!</v>
      </c>
      <c r="H210" s="234">
        <f t="shared" ref="H210:H229" si="128">IFERROR(((Q210-D210)/D210),0)</f>
        <v>-1</v>
      </c>
      <c r="I210" s="54" t="e">
        <f t="shared" ref="I210:I229" si="129">Q210-G210</f>
        <v>#REF!</v>
      </c>
      <c r="K210" s="400"/>
      <c r="L210" s="65">
        <v>194379</v>
      </c>
      <c r="M210" s="20">
        <v>0</v>
      </c>
      <c r="N210" s="20">
        <v>0</v>
      </c>
      <c r="O210" s="20">
        <f>VLOOKUP(A210,TB!A:F,3)</f>
        <v>0</v>
      </c>
      <c r="P210" s="20"/>
      <c r="Q210" s="20">
        <v>0</v>
      </c>
      <c r="R210" s="51">
        <f>VLOOKUP(A210,TB!A:F,6)</f>
        <v>0</v>
      </c>
    </row>
    <row r="211" spans="1:19" ht="15.75" hidden="1" customHeight="1" outlineLevel="1" x14ac:dyDescent="0.25">
      <c r="A211" s="51" t="s">
        <v>1438</v>
      </c>
      <c r="B211" s="51" t="s">
        <v>70</v>
      </c>
      <c r="C211" s="295"/>
      <c r="D211" s="20">
        <v>1075</v>
      </c>
      <c r="E211" s="20" t="e">
        <f>D211*#REF!</f>
        <v>#REF!</v>
      </c>
      <c r="F211" s="20" t="e">
        <f>D211*#REF!</f>
        <v>#REF!</v>
      </c>
      <c r="G211" s="20" t="e">
        <f>(D211*#REF!)*#REF!</f>
        <v>#REF!</v>
      </c>
      <c r="H211" s="234">
        <f t="shared" si="128"/>
        <v>-1</v>
      </c>
      <c r="I211" s="54" t="e">
        <f t="shared" si="129"/>
        <v>#REF!</v>
      </c>
      <c r="K211" s="295"/>
      <c r="L211" s="20">
        <v>7412</v>
      </c>
      <c r="M211" s="20">
        <v>0</v>
      </c>
      <c r="N211" s="20">
        <v>0</v>
      </c>
      <c r="O211" s="20">
        <f>VLOOKUP(A211,TB!A:F,3)</f>
        <v>0</v>
      </c>
      <c r="P211" s="20"/>
      <c r="Q211" s="20">
        <v>0</v>
      </c>
      <c r="R211" s="51">
        <f>VLOOKUP(A211,TB!A:F,6)</f>
        <v>0</v>
      </c>
    </row>
    <row r="212" spans="1:19" ht="15.75" hidden="1" customHeight="1" outlineLevel="1" x14ac:dyDescent="0.25">
      <c r="A212" s="51" t="s">
        <v>1439</v>
      </c>
      <c r="B212" s="51" t="s">
        <v>132</v>
      </c>
      <c r="C212" s="295"/>
      <c r="D212" s="20">
        <v>0</v>
      </c>
      <c r="E212" s="20" t="e">
        <f>D212*#REF!</f>
        <v>#REF!</v>
      </c>
      <c r="F212" s="20" t="e">
        <f>D212*#REF!</f>
        <v>#REF!</v>
      </c>
      <c r="G212" s="20" t="e">
        <f>(D212*#REF!)*#REF!</f>
        <v>#REF!</v>
      </c>
      <c r="H212" s="234">
        <f t="shared" si="128"/>
        <v>0</v>
      </c>
      <c r="I212" s="54" t="e">
        <f t="shared" si="129"/>
        <v>#REF!</v>
      </c>
      <c r="K212" s="295"/>
      <c r="L212" s="20">
        <v>0</v>
      </c>
      <c r="M212" s="20">
        <v>0</v>
      </c>
      <c r="N212" s="20">
        <v>0</v>
      </c>
      <c r="O212" s="20">
        <f>VLOOKUP(A212,TB!A:F,3)</f>
        <v>0</v>
      </c>
      <c r="P212" s="20"/>
      <c r="Q212" s="20">
        <v>0</v>
      </c>
      <c r="R212" s="51">
        <f>VLOOKUP(A212,TB!A:F,6)</f>
        <v>0</v>
      </c>
    </row>
    <row r="213" spans="1:19" ht="15.75" hidden="1" customHeight="1" outlineLevel="1" x14ac:dyDescent="0.25">
      <c r="A213" s="51" t="s">
        <v>1440</v>
      </c>
      <c r="B213" s="51" t="s">
        <v>108</v>
      </c>
      <c r="C213" s="295"/>
      <c r="D213" s="20">
        <v>106361</v>
      </c>
      <c r="E213" s="20" t="e">
        <f>D213*#REF!</f>
        <v>#REF!</v>
      </c>
      <c r="F213" s="20" t="e">
        <f>D213*#REF!</f>
        <v>#REF!</v>
      </c>
      <c r="G213" s="20" t="e">
        <f>(D213*#REF!)*#REF!</f>
        <v>#REF!</v>
      </c>
      <c r="H213" s="234">
        <f t="shared" si="128"/>
        <v>-1</v>
      </c>
      <c r="I213" s="54" t="e">
        <f t="shared" si="129"/>
        <v>#REF!</v>
      </c>
      <c r="K213" s="295"/>
      <c r="L213" s="20">
        <v>87202</v>
      </c>
      <c r="M213" s="20">
        <v>0</v>
      </c>
      <c r="N213" s="20">
        <v>0</v>
      </c>
      <c r="O213" s="20">
        <f>VLOOKUP(A213,TB!A:F,3)</f>
        <v>0</v>
      </c>
      <c r="P213" s="20"/>
      <c r="Q213" s="20">
        <v>0</v>
      </c>
      <c r="R213" s="51">
        <f>VLOOKUP(A213,TB!A:F,6)</f>
        <v>0</v>
      </c>
    </row>
    <row r="214" spans="1:19" ht="15.75" hidden="1" customHeight="1" outlineLevel="1" x14ac:dyDescent="0.25">
      <c r="A214" s="51" t="s">
        <v>1441</v>
      </c>
      <c r="B214" s="51" t="s">
        <v>72</v>
      </c>
      <c r="C214" s="295"/>
      <c r="D214" s="20">
        <v>65521</v>
      </c>
      <c r="E214" s="20" t="e">
        <f>D214*#REF!</f>
        <v>#REF!</v>
      </c>
      <c r="F214" s="20" t="e">
        <f>D214*#REF!</f>
        <v>#REF!</v>
      </c>
      <c r="G214" s="20" t="e">
        <f>(D214*#REF!)*#REF!</f>
        <v>#REF!</v>
      </c>
      <c r="H214" s="234">
        <f t="shared" si="128"/>
        <v>-1</v>
      </c>
      <c r="I214" s="54" t="e">
        <f t="shared" si="129"/>
        <v>#REF!</v>
      </c>
      <c r="K214" s="295"/>
      <c r="L214" s="20">
        <v>105961</v>
      </c>
      <c r="M214" s="20">
        <v>0</v>
      </c>
      <c r="N214" s="20">
        <v>0</v>
      </c>
      <c r="O214" s="20">
        <f>VLOOKUP(A214,TB!A:F,3)</f>
        <v>0</v>
      </c>
      <c r="P214" s="20"/>
      <c r="Q214" s="20">
        <v>0</v>
      </c>
      <c r="R214" s="51">
        <f>VLOOKUP(A214,TB!A:F,6)</f>
        <v>0</v>
      </c>
    </row>
    <row r="215" spans="1:19" ht="15.75" hidden="1" customHeight="1" outlineLevel="1" x14ac:dyDescent="0.25">
      <c r="A215" s="51" t="s">
        <v>1442</v>
      </c>
      <c r="B215" s="51" t="s">
        <v>892</v>
      </c>
      <c r="C215" s="295"/>
      <c r="D215" s="20">
        <v>2676</v>
      </c>
      <c r="E215" s="20" t="e">
        <f>D215*#REF!</f>
        <v>#REF!</v>
      </c>
      <c r="F215" s="20" t="e">
        <f>D215*#REF!</f>
        <v>#REF!</v>
      </c>
      <c r="G215" s="20" t="e">
        <f>(D215*#REF!)*#REF!</f>
        <v>#REF!</v>
      </c>
      <c r="H215" s="234">
        <f t="shared" si="128"/>
        <v>-1</v>
      </c>
      <c r="I215" s="54" t="e">
        <f t="shared" si="129"/>
        <v>#REF!</v>
      </c>
      <c r="K215" s="295"/>
      <c r="L215" s="20">
        <v>2538</v>
      </c>
      <c r="M215" s="20">
        <v>0</v>
      </c>
      <c r="N215" s="20">
        <v>0</v>
      </c>
      <c r="O215" s="20">
        <f>VLOOKUP(A215,TB!A:F,3)</f>
        <v>0</v>
      </c>
      <c r="P215" s="20"/>
      <c r="Q215" s="20">
        <v>0</v>
      </c>
      <c r="R215" s="51">
        <f>VLOOKUP(A215,TB!A:F,6)</f>
        <v>0</v>
      </c>
    </row>
    <row r="216" spans="1:19" ht="15.75" hidden="1" customHeight="1" outlineLevel="1" x14ac:dyDescent="0.25">
      <c r="A216" s="51" t="s">
        <v>1443</v>
      </c>
      <c r="B216" s="51" t="s">
        <v>76</v>
      </c>
      <c r="C216" s="295"/>
      <c r="D216" s="20">
        <v>2052</v>
      </c>
      <c r="E216" s="20" t="e">
        <f>D216*#REF!</f>
        <v>#REF!</v>
      </c>
      <c r="F216" s="20" t="e">
        <f>D216*#REF!</f>
        <v>#REF!</v>
      </c>
      <c r="G216" s="20" t="e">
        <f>(D216*#REF!)*#REF!</f>
        <v>#REF!</v>
      </c>
      <c r="H216" s="234">
        <f t="shared" si="128"/>
        <v>-1</v>
      </c>
      <c r="I216" s="54" t="e">
        <f t="shared" si="129"/>
        <v>#REF!</v>
      </c>
      <c r="K216" s="295"/>
      <c r="L216" s="20">
        <v>3043</v>
      </c>
      <c r="M216" s="20">
        <v>0</v>
      </c>
      <c r="N216" s="20">
        <v>0</v>
      </c>
      <c r="O216" s="20">
        <f>VLOOKUP(A216,TB!A:F,3)</f>
        <v>0</v>
      </c>
      <c r="P216" s="20"/>
      <c r="Q216" s="20">
        <v>0</v>
      </c>
      <c r="R216" s="51">
        <f>VLOOKUP(A216,TB!A:F,6)</f>
        <v>0</v>
      </c>
    </row>
    <row r="217" spans="1:19" ht="15.75" hidden="1" customHeight="1" outlineLevel="1" x14ac:dyDescent="0.25">
      <c r="A217" s="51" t="s">
        <v>1444</v>
      </c>
      <c r="B217" s="51" t="s">
        <v>80</v>
      </c>
      <c r="C217" s="295"/>
      <c r="D217" s="20">
        <v>4280</v>
      </c>
      <c r="E217" s="20" t="e">
        <f>D217*#REF!</f>
        <v>#REF!</v>
      </c>
      <c r="F217" s="20" t="e">
        <f>D217*#REF!</f>
        <v>#REF!</v>
      </c>
      <c r="G217" s="20" t="e">
        <f>(D217*#REF!)*#REF!</f>
        <v>#REF!</v>
      </c>
      <c r="H217" s="234">
        <f t="shared" si="128"/>
        <v>-1</v>
      </c>
      <c r="I217" s="54" t="e">
        <f t="shared" si="129"/>
        <v>#REF!</v>
      </c>
      <c r="K217" s="295"/>
      <c r="L217" s="20">
        <v>7025</v>
      </c>
      <c r="M217" s="20">
        <v>0</v>
      </c>
      <c r="N217" s="20">
        <v>0</v>
      </c>
      <c r="O217" s="20">
        <f>VLOOKUP(A217,TB!A:F,3)</f>
        <v>0</v>
      </c>
      <c r="P217" s="20"/>
      <c r="Q217" s="20">
        <v>0</v>
      </c>
      <c r="R217" s="51">
        <f>VLOOKUP(A217,TB!A:F,6)</f>
        <v>0</v>
      </c>
    </row>
    <row r="218" spans="1:19" ht="15.75" hidden="1" customHeight="1" outlineLevel="1" x14ac:dyDescent="0.25">
      <c r="A218" s="51" t="s">
        <v>1445</v>
      </c>
      <c r="B218" s="51" t="s">
        <v>82</v>
      </c>
      <c r="C218" s="295"/>
      <c r="D218" s="20">
        <v>16321</v>
      </c>
      <c r="E218" s="20" t="e">
        <f>D218*#REF!</f>
        <v>#REF!</v>
      </c>
      <c r="F218" s="20" t="e">
        <f>D218*#REF!</f>
        <v>#REF!</v>
      </c>
      <c r="G218" s="20" t="e">
        <f>(D218*#REF!)*#REF!</f>
        <v>#REF!</v>
      </c>
      <c r="H218" s="234">
        <f t="shared" si="128"/>
        <v>-1</v>
      </c>
      <c r="I218" s="54" t="e">
        <f t="shared" si="129"/>
        <v>#REF!</v>
      </c>
      <c r="K218" s="295"/>
      <c r="L218" s="20">
        <v>20933</v>
      </c>
      <c r="M218" s="20">
        <v>0</v>
      </c>
      <c r="N218" s="20">
        <v>0</v>
      </c>
      <c r="O218" s="20">
        <f>VLOOKUP(A218,TB!A:F,3)</f>
        <v>0</v>
      </c>
      <c r="P218" s="20"/>
      <c r="Q218" s="20">
        <v>0</v>
      </c>
      <c r="R218" s="51">
        <f>VLOOKUP(A218,TB!A:F,6)</f>
        <v>0</v>
      </c>
    </row>
    <row r="219" spans="1:19" ht="15.75" hidden="1" customHeight="1" outlineLevel="1" x14ac:dyDescent="0.25">
      <c r="A219" s="51" t="s">
        <v>1446</v>
      </c>
      <c r="B219" s="51" t="s">
        <v>115</v>
      </c>
      <c r="C219" s="295"/>
      <c r="D219" s="20">
        <v>27992</v>
      </c>
      <c r="E219" s="20" t="e">
        <f>D219*#REF!</f>
        <v>#REF!</v>
      </c>
      <c r="F219" s="20" t="e">
        <f>D219*#REF!</f>
        <v>#REF!</v>
      </c>
      <c r="G219" s="20" t="e">
        <f>(D219*#REF!)*#REF!</f>
        <v>#REF!</v>
      </c>
      <c r="H219" s="234">
        <f t="shared" si="128"/>
        <v>-1</v>
      </c>
      <c r="I219" s="54" t="e">
        <f t="shared" si="129"/>
        <v>#REF!</v>
      </c>
      <c r="K219" s="295"/>
      <c r="L219" s="20">
        <v>11008</v>
      </c>
      <c r="M219" s="20">
        <v>0</v>
      </c>
      <c r="N219" s="20">
        <v>0</v>
      </c>
      <c r="O219" s="20">
        <f>VLOOKUP(A219,TB!A:F,3)</f>
        <v>0</v>
      </c>
      <c r="P219" s="20"/>
      <c r="Q219" s="20">
        <v>0</v>
      </c>
      <c r="R219" s="51">
        <f>VLOOKUP(A219,TB!A:F,6)</f>
        <v>0</v>
      </c>
    </row>
    <row r="220" spans="1:19" ht="15.75" hidden="1" customHeight="1" outlineLevel="1" x14ac:dyDescent="0.25">
      <c r="A220" s="51" t="s">
        <v>1447</v>
      </c>
      <c r="B220" s="51" t="s">
        <v>210</v>
      </c>
      <c r="C220" s="295"/>
      <c r="D220" s="20">
        <v>16002</v>
      </c>
      <c r="E220" s="20" t="e">
        <f>D220*#REF!</f>
        <v>#REF!</v>
      </c>
      <c r="F220" s="20" t="e">
        <f>D220*#REF!</f>
        <v>#REF!</v>
      </c>
      <c r="G220" s="20" t="e">
        <f>(D220*#REF!)*#REF!</f>
        <v>#REF!</v>
      </c>
      <c r="H220" s="234">
        <f t="shared" si="128"/>
        <v>-1</v>
      </c>
      <c r="I220" s="54" t="e">
        <f t="shared" si="129"/>
        <v>#REF!</v>
      </c>
      <c r="K220" s="295"/>
      <c r="L220" s="20">
        <v>13104</v>
      </c>
      <c r="M220" s="20">
        <v>0</v>
      </c>
      <c r="N220" s="20">
        <v>0</v>
      </c>
      <c r="O220" s="20">
        <f>VLOOKUP(A220,TB!A:F,3)</f>
        <v>0</v>
      </c>
      <c r="P220" s="20"/>
      <c r="Q220" s="20">
        <v>0</v>
      </c>
      <c r="R220" s="51">
        <f>VLOOKUP(A220,TB!A:F,6)</f>
        <v>0</v>
      </c>
    </row>
    <row r="221" spans="1:19" ht="15.75" hidden="1" customHeight="1" outlineLevel="1" x14ac:dyDescent="0.25">
      <c r="A221" s="51" t="s">
        <v>1448</v>
      </c>
      <c r="B221" s="51" t="s">
        <v>84</v>
      </c>
      <c r="C221" s="295"/>
      <c r="D221" s="20">
        <v>4546</v>
      </c>
      <c r="E221" s="20" t="e">
        <f>D221*#REF!</f>
        <v>#REF!</v>
      </c>
      <c r="F221" s="20" t="e">
        <f>D221*#REF!</f>
        <v>#REF!</v>
      </c>
      <c r="G221" s="20" t="e">
        <f>(D221*#REF!)*#REF!</f>
        <v>#REF!</v>
      </c>
      <c r="H221" s="234">
        <f t="shared" si="128"/>
        <v>-1</v>
      </c>
      <c r="I221" s="54" t="e">
        <f t="shared" si="129"/>
        <v>#REF!</v>
      </c>
      <c r="K221" s="295"/>
      <c r="L221" s="20">
        <v>8008</v>
      </c>
      <c r="M221" s="20">
        <v>0</v>
      </c>
      <c r="N221" s="20">
        <v>0</v>
      </c>
      <c r="O221" s="20">
        <f>VLOOKUP(A221,TB!A:F,3)</f>
        <v>0</v>
      </c>
      <c r="P221" s="20"/>
      <c r="Q221" s="20">
        <v>0</v>
      </c>
      <c r="R221" s="51">
        <f>VLOOKUP(A221,TB!A:F,6)</f>
        <v>0</v>
      </c>
    </row>
    <row r="222" spans="1:19" ht="15.75" hidden="1" customHeight="1" outlineLevel="1" x14ac:dyDescent="0.25">
      <c r="A222" s="51" t="s">
        <v>1449</v>
      </c>
      <c r="B222" s="51" t="s">
        <v>1450</v>
      </c>
      <c r="C222" s="295"/>
      <c r="D222" s="20">
        <v>104108</v>
      </c>
      <c r="E222" s="20" t="e">
        <f>D222*#REF!</f>
        <v>#REF!</v>
      </c>
      <c r="F222" s="20" t="e">
        <f>D222*#REF!</f>
        <v>#REF!</v>
      </c>
      <c r="G222" s="20" t="e">
        <f>(D222*#REF!)*#REF!</f>
        <v>#REF!</v>
      </c>
      <c r="H222" s="234">
        <f t="shared" si="128"/>
        <v>-1</v>
      </c>
      <c r="I222" s="54" t="e">
        <f t="shared" si="129"/>
        <v>#REF!</v>
      </c>
      <c r="K222" s="295"/>
      <c r="L222" s="20">
        <v>160310</v>
      </c>
      <c r="M222" s="20">
        <v>0</v>
      </c>
      <c r="N222" s="20">
        <v>0</v>
      </c>
      <c r="O222" s="20">
        <f>VLOOKUP(A222,TB!A:F,3)</f>
        <v>0</v>
      </c>
      <c r="P222" s="20"/>
      <c r="Q222" s="20">
        <v>0</v>
      </c>
      <c r="R222" s="51">
        <f>VLOOKUP(A222,TB!A:F,6)</f>
        <v>0</v>
      </c>
    </row>
    <row r="223" spans="1:19" ht="15.75" hidden="1" customHeight="1" outlineLevel="1" x14ac:dyDescent="0.25">
      <c r="A223" s="51" t="s">
        <v>1451</v>
      </c>
      <c r="B223" s="51" t="s">
        <v>1452</v>
      </c>
      <c r="C223" s="295"/>
      <c r="D223" s="20">
        <v>18884</v>
      </c>
      <c r="E223" s="20" t="e">
        <f>D223*#REF!</f>
        <v>#REF!</v>
      </c>
      <c r="F223" s="20" t="e">
        <f>D223*#REF!</f>
        <v>#REF!</v>
      </c>
      <c r="G223" s="20" t="e">
        <f>(D223*#REF!)*#REF!</f>
        <v>#REF!</v>
      </c>
      <c r="H223" s="234">
        <f t="shared" si="128"/>
        <v>-1</v>
      </c>
      <c r="I223" s="54" t="e">
        <f t="shared" si="129"/>
        <v>#REF!</v>
      </c>
      <c r="K223" s="295"/>
      <c r="L223" s="20">
        <v>17999</v>
      </c>
      <c r="M223" s="20">
        <v>0</v>
      </c>
      <c r="N223" s="20">
        <v>0</v>
      </c>
      <c r="O223" s="20">
        <f>VLOOKUP(A223,TB!A:F,3)</f>
        <v>0</v>
      </c>
      <c r="P223" s="20"/>
      <c r="Q223" s="20">
        <v>0</v>
      </c>
      <c r="R223" s="51">
        <f>VLOOKUP(A223,TB!A:F,6)</f>
        <v>0</v>
      </c>
    </row>
    <row r="224" spans="1:19" ht="15.75" hidden="1" customHeight="1" outlineLevel="1" x14ac:dyDescent="0.25">
      <c r="A224" s="51" t="s">
        <v>1453</v>
      </c>
      <c r="B224" s="51" t="s">
        <v>88</v>
      </c>
      <c r="C224" s="295"/>
      <c r="D224" s="20">
        <v>2000</v>
      </c>
      <c r="E224" s="20" t="e">
        <f>D224*#REF!</f>
        <v>#REF!</v>
      </c>
      <c r="F224" s="20" t="e">
        <f>D224*#REF!</f>
        <v>#REF!</v>
      </c>
      <c r="G224" s="20" t="e">
        <f>(D224*#REF!)*#REF!</f>
        <v>#REF!</v>
      </c>
      <c r="H224" s="234">
        <f t="shared" si="128"/>
        <v>-1</v>
      </c>
      <c r="I224" s="54" t="e">
        <f t="shared" si="129"/>
        <v>#REF!</v>
      </c>
      <c r="K224" s="295"/>
      <c r="L224" s="20">
        <v>0</v>
      </c>
      <c r="M224" s="20">
        <v>0</v>
      </c>
      <c r="N224" s="20">
        <v>0</v>
      </c>
      <c r="O224" s="20">
        <f>VLOOKUP(A224,TB!A:F,3)</f>
        <v>0</v>
      </c>
      <c r="P224" s="20"/>
      <c r="Q224" s="20">
        <v>0</v>
      </c>
      <c r="R224" s="51">
        <f>VLOOKUP(A224,TB!A:F,6)</f>
        <v>0</v>
      </c>
    </row>
    <row r="225" spans="1:19" ht="15.75" hidden="1" customHeight="1" outlineLevel="1" x14ac:dyDescent="0.25">
      <c r="A225" s="51" t="s">
        <v>1454</v>
      </c>
      <c r="B225" s="51" t="s">
        <v>1209</v>
      </c>
      <c r="C225" s="295"/>
      <c r="D225" s="20">
        <v>2248</v>
      </c>
      <c r="E225" s="20" t="e">
        <f>D225*#REF!</f>
        <v>#REF!</v>
      </c>
      <c r="F225" s="20" t="e">
        <f>D225*#REF!</f>
        <v>#REF!</v>
      </c>
      <c r="G225" s="20" t="e">
        <f>(D225*#REF!)*#REF!</f>
        <v>#REF!</v>
      </c>
      <c r="H225" s="234">
        <f t="shared" si="128"/>
        <v>-1</v>
      </c>
      <c r="I225" s="54" t="e">
        <f t="shared" si="129"/>
        <v>#REF!</v>
      </c>
      <c r="K225" s="295"/>
      <c r="L225" s="20">
        <v>2974</v>
      </c>
      <c r="M225" s="20">
        <v>0</v>
      </c>
      <c r="N225" s="20">
        <v>0</v>
      </c>
      <c r="O225" s="20">
        <f>VLOOKUP(A225,TB!A:F,3)</f>
        <v>0</v>
      </c>
      <c r="P225" s="20"/>
      <c r="Q225" s="20">
        <v>0</v>
      </c>
      <c r="R225" s="51">
        <f>VLOOKUP(A225,TB!A:F,6)</f>
        <v>0</v>
      </c>
    </row>
    <row r="226" spans="1:19" ht="15.75" hidden="1" customHeight="1" outlineLevel="1" x14ac:dyDescent="0.25">
      <c r="A226" s="51" t="s">
        <v>1455</v>
      </c>
      <c r="B226" s="51" t="s">
        <v>92</v>
      </c>
      <c r="C226" s="295"/>
      <c r="D226" s="20">
        <v>3880</v>
      </c>
      <c r="E226" s="20" t="e">
        <f>D226*#REF!</f>
        <v>#REF!</v>
      </c>
      <c r="F226" s="20" t="e">
        <f>D226*#REF!</f>
        <v>#REF!</v>
      </c>
      <c r="G226" s="20" t="e">
        <f>(D226*#REF!)*#REF!</f>
        <v>#REF!</v>
      </c>
      <c r="H226" s="234">
        <f t="shared" si="128"/>
        <v>-1</v>
      </c>
      <c r="I226" s="54" t="e">
        <f t="shared" si="129"/>
        <v>#REF!</v>
      </c>
      <c r="K226" s="295"/>
      <c r="L226" s="20">
        <v>6779</v>
      </c>
      <c r="M226" s="20">
        <v>0</v>
      </c>
      <c r="N226" s="20">
        <v>0</v>
      </c>
      <c r="O226" s="20">
        <f>VLOOKUP(A226,TB!A:F,3)</f>
        <v>0</v>
      </c>
      <c r="P226" s="20"/>
      <c r="Q226" s="20">
        <v>0</v>
      </c>
      <c r="R226" s="51">
        <f>VLOOKUP(A226,TB!A:F,6)</f>
        <v>0</v>
      </c>
    </row>
    <row r="227" spans="1:19" ht="15.75" hidden="1" customHeight="1" outlineLevel="1" x14ac:dyDescent="0.25">
      <c r="A227" s="51" t="s">
        <v>1456</v>
      </c>
      <c r="B227" s="51" t="s">
        <v>94</v>
      </c>
      <c r="C227" s="295"/>
      <c r="D227" s="20">
        <v>4000</v>
      </c>
      <c r="E227" s="20" t="e">
        <f>D227*#REF!</f>
        <v>#REF!</v>
      </c>
      <c r="F227" s="20" t="e">
        <f>D227*#REF!</f>
        <v>#REF!</v>
      </c>
      <c r="G227" s="20" t="e">
        <f>(D227*#REF!)*#REF!</f>
        <v>#REF!</v>
      </c>
      <c r="H227" s="234">
        <f t="shared" si="128"/>
        <v>-1</v>
      </c>
      <c r="I227" s="54" t="e">
        <f t="shared" si="129"/>
        <v>#REF!</v>
      </c>
      <c r="K227" s="295"/>
      <c r="L227" s="20">
        <v>17998</v>
      </c>
      <c r="M227" s="20">
        <v>0</v>
      </c>
      <c r="N227" s="20">
        <v>0</v>
      </c>
      <c r="O227" s="20">
        <f>VLOOKUP(A227,TB!A:F,3)</f>
        <v>0</v>
      </c>
      <c r="P227" s="20"/>
      <c r="Q227" s="20">
        <v>0</v>
      </c>
      <c r="R227" s="51">
        <f>VLOOKUP(A227,TB!A:F,6)</f>
        <v>0</v>
      </c>
    </row>
    <row r="228" spans="1:19" ht="15.75" hidden="1" customHeight="1" outlineLevel="1" x14ac:dyDescent="0.25">
      <c r="A228" s="51" t="s">
        <v>1457</v>
      </c>
      <c r="B228" s="51" t="s">
        <v>99</v>
      </c>
      <c r="C228" s="295"/>
      <c r="D228" s="20">
        <v>121619</v>
      </c>
      <c r="E228" s="20" t="e">
        <f>D228*#REF!</f>
        <v>#REF!</v>
      </c>
      <c r="F228" s="20" t="e">
        <f>D228*#REF!</f>
        <v>#REF!</v>
      </c>
      <c r="G228" s="20" t="e">
        <f>(D228*#REF!)*#REF!</f>
        <v>#REF!</v>
      </c>
      <c r="H228" s="234">
        <f t="shared" si="128"/>
        <v>-1</v>
      </c>
      <c r="I228" s="54" t="e">
        <f t="shared" si="129"/>
        <v>#REF!</v>
      </c>
      <c r="K228" s="295"/>
      <c r="L228" s="20">
        <v>107368</v>
      </c>
      <c r="M228" s="20">
        <v>0</v>
      </c>
      <c r="N228" s="20">
        <v>0</v>
      </c>
      <c r="O228" s="20">
        <f>VLOOKUP(A228,TB!A:F,3)</f>
        <v>0</v>
      </c>
      <c r="P228" s="20"/>
      <c r="Q228" s="20">
        <v>0</v>
      </c>
      <c r="R228" s="51">
        <f>VLOOKUP(A228,TB!A:F,6)</f>
        <v>0</v>
      </c>
    </row>
    <row r="229" spans="1:19" ht="15.75" hidden="1" customHeight="1" outlineLevel="1" x14ac:dyDescent="0.25">
      <c r="A229" s="74" t="s">
        <v>1458</v>
      </c>
      <c r="B229" s="75"/>
      <c r="C229" s="401"/>
      <c r="D229" s="75">
        <f t="shared" ref="D229:G229" si="130">SUM(D210:D228)</f>
        <v>599145</v>
      </c>
      <c r="E229" s="75" t="e">
        <f t="shared" si="130"/>
        <v>#REF!</v>
      </c>
      <c r="F229" s="75" t="e">
        <f t="shared" si="130"/>
        <v>#REF!</v>
      </c>
      <c r="G229" s="75" t="e">
        <f t="shared" si="130"/>
        <v>#REF!</v>
      </c>
      <c r="H229" s="238">
        <f t="shared" si="128"/>
        <v>-1</v>
      </c>
      <c r="I229" s="77" t="e">
        <f t="shared" si="129"/>
        <v>#REF!</v>
      </c>
      <c r="K229" s="401"/>
      <c r="L229" s="75">
        <f t="shared" ref="L229:S229" si="131">SUM(L210:L228)</f>
        <v>774041</v>
      </c>
      <c r="M229" s="75">
        <f t="shared" si="131"/>
        <v>0</v>
      </c>
      <c r="N229" s="75">
        <f t="shared" si="131"/>
        <v>0</v>
      </c>
      <c r="O229" s="75">
        <f t="shared" si="131"/>
        <v>0</v>
      </c>
      <c r="P229" s="75">
        <f t="shared" si="131"/>
        <v>0</v>
      </c>
      <c r="Q229" s="75">
        <f t="shared" si="131"/>
        <v>0</v>
      </c>
      <c r="R229" s="75">
        <f t="shared" si="131"/>
        <v>0</v>
      </c>
      <c r="S229" s="75">
        <f t="shared" si="131"/>
        <v>0</v>
      </c>
    </row>
    <row r="230" spans="1:19" ht="15.75" hidden="1" customHeight="1" outlineLevel="1" x14ac:dyDescent="0.2">
      <c r="C230" s="287"/>
      <c r="K230" s="287"/>
    </row>
    <row r="231" spans="1:19" ht="15.75" hidden="1" customHeight="1" outlineLevel="1" x14ac:dyDescent="0.2">
      <c r="A231" s="3" t="s">
        <v>50</v>
      </c>
      <c r="B231" s="3" t="s">
        <v>51</v>
      </c>
      <c r="C231" s="292"/>
      <c r="D231" s="3" t="s">
        <v>52</v>
      </c>
      <c r="E231" s="380" t="s">
        <v>53</v>
      </c>
      <c r="F231" s="380" t="s">
        <v>1212</v>
      </c>
      <c r="G231" s="380" t="s">
        <v>55</v>
      </c>
      <c r="H231" s="230" t="s">
        <v>56</v>
      </c>
      <c r="I231" s="230" t="s">
        <v>57</v>
      </c>
      <c r="K231" s="292"/>
      <c r="L231" s="3" t="s">
        <v>59</v>
      </c>
      <c r="M231" s="3" t="s">
        <v>60</v>
      </c>
      <c r="N231" s="3" t="s">
        <v>436</v>
      </c>
      <c r="O231" s="3" t="s">
        <v>437</v>
      </c>
      <c r="P231" s="70" t="e">
        <f>#REF!</f>
        <v>#REF!</v>
      </c>
      <c r="Q231" s="293" t="s">
        <v>438</v>
      </c>
      <c r="R231" s="70" t="e">
        <f>#REF!</f>
        <v>#REF!</v>
      </c>
      <c r="S231" s="3" t="s">
        <v>586</v>
      </c>
    </row>
    <row r="232" spans="1:19" ht="15.75" hidden="1" customHeight="1" outlineLevel="1" x14ac:dyDescent="0.25">
      <c r="A232" s="51" t="s">
        <v>1459</v>
      </c>
      <c r="B232" s="51" t="s">
        <v>68</v>
      </c>
      <c r="C232" s="400"/>
      <c r="D232" s="65">
        <v>0</v>
      </c>
      <c r="E232" s="20" t="e">
        <f>D232*#REF!</f>
        <v>#REF!</v>
      </c>
      <c r="F232" s="20" t="e">
        <f>D232*#REF!</f>
        <v>#REF!</v>
      </c>
      <c r="G232" s="20" t="e">
        <f>(D232*#REF!)*#REF!</f>
        <v>#REF!</v>
      </c>
      <c r="H232" s="234">
        <f t="shared" ref="H232:H256" si="132">IFERROR(((Q232-D232)/D232),0)</f>
        <v>0</v>
      </c>
      <c r="I232" s="54" t="e">
        <f t="shared" ref="I232:I256" si="133">Q232-G232</f>
        <v>#REF!</v>
      </c>
      <c r="K232" s="400"/>
      <c r="L232" s="65">
        <v>0</v>
      </c>
      <c r="M232" s="20">
        <v>239289.74</v>
      </c>
      <c r="N232" s="20">
        <v>252472</v>
      </c>
      <c r="O232" s="20">
        <f>VLOOKUP(A232,TB!A:F,3)</f>
        <v>192184.58</v>
      </c>
      <c r="P232" s="20"/>
      <c r="Q232" s="20">
        <v>277100</v>
      </c>
      <c r="R232" s="54">
        <f>VLOOKUP(A232,TB!A:F,6)</f>
        <v>277100</v>
      </c>
      <c r="S232" s="54">
        <f t="shared" ref="S232:S255" si="134">R232-Q232</f>
        <v>0</v>
      </c>
    </row>
    <row r="233" spans="1:19" ht="15.75" hidden="1" customHeight="1" outlineLevel="1" x14ac:dyDescent="0.25">
      <c r="A233" s="51" t="s">
        <v>1460</v>
      </c>
      <c r="B233" s="51" t="s">
        <v>70</v>
      </c>
      <c r="C233" s="400"/>
      <c r="D233" s="65">
        <v>0</v>
      </c>
      <c r="E233" s="20" t="e">
        <f>D233*#REF!</f>
        <v>#REF!</v>
      </c>
      <c r="F233" s="20" t="e">
        <f>D233*#REF!</f>
        <v>#REF!</v>
      </c>
      <c r="G233" s="20" t="e">
        <f>(D233*#REF!)*#REF!</f>
        <v>#REF!</v>
      </c>
      <c r="H233" s="234">
        <f t="shared" si="132"/>
        <v>0</v>
      </c>
      <c r="I233" s="54" t="e">
        <f t="shared" si="133"/>
        <v>#REF!</v>
      </c>
      <c r="K233" s="400"/>
      <c r="L233" s="65">
        <v>0</v>
      </c>
      <c r="M233" s="20">
        <v>10403.200000000001</v>
      </c>
      <c r="N233" s="20">
        <v>14000</v>
      </c>
      <c r="O233" s="20">
        <f>VLOOKUP(A233,TB!A:F,3)</f>
        <v>10028.75</v>
      </c>
      <c r="P233" s="20"/>
      <c r="Q233" s="20">
        <v>14000</v>
      </c>
      <c r="R233" s="54">
        <f>VLOOKUP(A233,TB!A:F,6)</f>
        <v>11900</v>
      </c>
      <c r="S233" s="54">
        <f t="shared" si="134"/>
        <v>-2100</v>
      </c>
    </row>
    <row r="234" spans="1:19" ht="15.75" hidden="1" customHeight="1" outlineLevel="1" x14ac:dyDescent="0.25">
      <c r="A234" s="51" t="s">
        <v>1461</v>
      </c>
      <c r="B234" s="51" t="s">
        <v>108</v>
      </c>
      <c r="C234" s="400"/>
      <c r="D234" s="65">
        <v>0</v>
      </c>
      <c r="E234" s="20" t="e">
        <f>D234*#REF!</f>
        <v>#REF!</v>
      </c>
      <c r="F234" s="20" t="e">
        <f>D234*#REF!</f>
        <v>#REF!</v>
      </c>
      <c r="G234" s="20" t="e">
        <f>(D234*#REF!)*#REF!</f>
        <v>#REF!</v>
      </c>
      <c r="H234" s="234">
        <f t="shared" si="132"/>
        <v>0</v>
      </c>
      <c r="I234" s="54" t="e">
        <f t="shared" si="133"/>
        <v>#REF!</v>
      </c>
      <c r="K234" s="400"/>
      <c r="L234" s="65">
        <v>0</v>
      </c>
      <c r="M234" s="20">
        <v>110186.97</v>
      </c>
      <c r="N234" s="20">
        <v>146000</v>
      </c>
      <c r="O234" s="20">
        <f>VLOOKUP(A234,TB!A:F,3)</f>
        <v>127988.61</v>
      </c>
      <c r="P234" s="20"/>
      <c r="Q234" s="20">
        <v>155000</v>
      </c>
      <c r="R234" s="54">
        <f>VLOOKUP(A234,TB!A:F,6)</f>
        <v>144000</v>
      </c>
      <c r="S234" s="54">
        <f t="shared" si="134"/>
        <v>-11000</v>
      </c>
    </row>
    <row r="235" spans="1:19" ht="15.75" hidden="1" customHeight="1" outlineLevel="1" x14ac:dyDescent="0.25">
      <c r="A235" s="51" t="s">
        <v>1462</v>
      </c>
      <c r="B235" s="51" t="s">
        <v>72</v>
      </c>
      <c r="C235" s="400"/>
      <c r="D235" s="65">
        <v>0</v>
      </c>
      <c r="E235" s="20" t="e">
        <f>D235*#REF!</f>
        <v>#REF!</v>
      </c>
      <c r="F235" s="20" t="e">
        <f>D235*#REF!</f>
        <v>#REF!</v>
      </c>
      <c r="G235" s="20" t="e">
        <f>(D235*#REF!)*#REF!</f>
        <v>#REF!</v>
      </c>
      <c r="H235" s="234">
        <f t="shared" si="132"/>
        <v>0</v>
      </c>
      <c r="I235" s="54" t="e">
        <f t="shared" si="133"/>
        <v>#REF!</v>
      </c>
      <c r="K235" s="400"/>
      <c r="L235" s="65">
        <v>0</v>
      </c>
      <c r="M235" s="20">
        <v>138584.32000000001</v>
      </c>
      <c r="N235" s="20">
        <v>156359</v>
      </c>
      <c r="O235" s="20">
        <f>VLOOKUP(A235,TB!A:F,3)</f>
        <v>117890.01</v>
      </c>
      <c r="P235" s="20"/>
      <c r="Q235" s="20">
        <v>167800</v>
      </c>
      <c r="R235" s="54">
        <f>VLOOKUP(A235,TB!A:F,6)</f>
        <v>166800</v>
      </c>
      <c r="S235" s="54">
        <f t="shared" si="134"/>
        <v>-1000</v>
      </c>
    </row>
    <row r="236" spans="1:19" ht="15.75" hidden="1" customHeight="1" outlineLevel="1" x14ac:dyDescent="0.25">
      <c r="A236" s="51" t="s">
        <v>1463</v>
      </c>
      <c r="B236" s="51" t="s">
        <v>892</v>
      </c>
      <c r="C236" s="400"/>
      <c r="D236" s="65">
        <v>0</v>
      </c>
      <c r="E236" s="20" t="e">
        <f>D236*#REF!</f>
        <v>#REF!</v>
      </c>
      <c r="F236" s="20" t="e">
        <f>D236*#REF!</f>
        <v>#REF!</v>
      </c>
      <c r="G236" s="20" t="e">
        <f>(D236*#REF!)*#REF!</f>
        <v>#REF!</v>
      </c>
      <c r="H236" s="234">
        <f t="shared" si="132"/>
        <v>0</v>
      </c>
      <c r="I236" s="54" t="e">
        <f t="shared" si="133"/>
        <v>#REF!</v>
      </c>
      <c r="K236" s="400"/>
      <c r="L236" s="65">
        <v>0</v>
      </c>
      <c r="M236" s="20">
        <v>2640</v>
      </c>
      <c r="N236" s="20">
        <v>5000</v>
      </c>
      <c r="O236" s="20">
        <f>VLOOKUP(A236,TB!A:F,3)</f>
        <v>2520</v>
      </c>
      <c r="P236" s="20"/>
      <c r="Q236" s="20">
        <v>5000</v>
      </c>
      <c r="R236" s="54">
        <f>VLOOKUP(A236,TB!A:F,6)</f>
        <v>5000</v>
      </c>
      <c r="S236" s="54">
        <f t="shared" si="134"/>
        <v>0</v>
      </c>
    </row>
    <row r="237" spans="1:19" ht="15.75" hidden="1" customHeight="1" outlineLevel="1" x14ac:dyDescent="0.25">
      <c r="A237" s="51" t="s">
        <v>1464</v>
      </c>
      <c r="B237" s="51" t="s">
        <v>451</v>
      </c>
      <c r="C237" s="400"/>
      <c r="D237" s="65">
        <v>0</v>
      </c>
      <c r="E237" s="20" t="e">
        <f>D237*#REF!</f>
        <v>#REF!</v>
      </c>
      <c r="F237" s="20" t="e">
        <f>D237*#REF!</f>
        <v>#REF!</v>
      </c>
      <c r="G237" s="20" t="e">
        <f>(D237*#REF!)*#REF!</f>
        <v>#REF!</v>
      </c>
      <c r="H237" s="234">
        <f t="shared" si="132"/>
        <v>0</v>
      </c>
      <c r="I237" s="54" t="e">
        <f t="shared" si="133"/>
        <v>#REF!</v>
      </c>
      <c r="K237" s="400"/>
      <c r="L237" s="65">
        <v>0</v>
      </c>
      <c r="M237" s="20">
        <v>0</v>
      </c>
      <c r="N237" s="20">
        <v>6200</v>
      </c>
      <c r="O237" s="20">
        <f>VLOOKUP(A237,TB!A:F,3)</f>
        <v>363.75</v>
      </c>
      <c r="P237" s="20"/>
      <c r="Q237" s="20">
        <v>0</v>
      </c>
      <c r="R237" s="54">
        <f>VLOOKUP(A237,TB!A:F,6)</f>
        <v>2000</v>
      </c>
      <c r="S237" s="54">
        <f t="shared" si="134"/>
        <v>2000</v>
      </c>
    </row>
    <row r="238" spans="1:19" ht="15.75" hidden="1" customHeight="1" outlineLevel="1" x14ac:dyDescent="0.25">
      <c r="A238" s="51" t="s">
        <v>1465</v>
      </c>
      <c r="B238" s="51" t="s">
        <v>74</v>
      </c>
      <c r="C238" s="400"/>
      <c r="D238" s="65">
        <v>0</v>
      </c>
      <c r="E238" s="20" t="e">
        <f>D238*#REF!</f>
        <v>#REF!</v>
      </c>
      <c r="F238" s="20" t="e">
        <f>D238*#REF!</f>
        <v>#REF!</v>
      </c>
      <c r="G238" s="20" t="e">
        <f>(D238*#REF!)*#REF!</f>
        <v>#REF!</v>
      </c>
      <c r="H238" s="234">
        <f t="shared" si="132"/>
        <v>0</v>
      </c>
      <c r="I238" s="54" t="e">
        <f t="shared" si="133"/>
        <v>#REF!</v>
      </c>
      <c r="K238" s="400"/>
      <c r="L238" s="65">
        <v>0</v>
      </c>
      <c r="M238" s="20">
        <v>0</v>
      </c>
      <c r="N238" s="20">
        <v>5000</v>
      </c>
      <c r="O238" s="20">
        <f>VLOOKUP(A238,TB!A:F,3)</f>
        <v>501</v>
      </c>
      <c r="P238" s="20"/>
      <c r="Q238" s="20">
        <v>725</v>
      </c>
      <c r="R238" s="54">
        <f>VLOOKUP(A238,TB!A:F,6)</f>
        <v>725</v>
      </c>
      <c r="S238" s="54">
        <f t="shared" si="134"/>
        <v>0</v>
      </c>
    </row>
    <row r="239" spans="1:19" ht="15.75" hidden="1" customHeight="1" outlineLevel="1" x14ac:dyDescent="0.25">
      <c r="A239" s="51" t="s">
        <v>1466</v>
      </c>
      <c r="B239" s="51" t="s">
        <v>76</v>
      </c>
      <c r="C239" s="400"/>
      <c r="D239" s="65">
        <v>0</v>
      </c>
      <c r="E239" s="20" t="e">
        <f>D239*#REF!</f>
        <v>#REF!</v>
      </c>
      <c r="F239" s="20" t="e">
        <f>D239*#REF!</f>
        <v>#REF!</v>
      </c>
      <c r="G239" s="20" t="e">
        <f>(D239*#REF!)*#REF!</f>
        <v>#REF!</v>
      </c>
      <c r="H239" s="234">
        <f t="shared" si="132"/>
        <v>0</v>
      </c>
      <c r="I239" s="54" t="e">
        <f t="shared" si="133"/>
        <v>#REF!</v>
      </c>
      <c r="K239" s="400"/>
      <c r="L239" s="65">
        <v>0</v>
      </c>
      <c r="M239" s="20">
        <v>1927.03</v>
      </c>
      <c r="N239" s="20">
        <v>3400</v>
      </c>
      <c r="O239" s="20">
        <f>VLOOKUP(A239,TB!A:F,3)</f>
        <v>93.28</v>
      </c>
      <c r="P239" s="20"/>
      <c r="Q239" s="20">
        <v>3500</v>
      </c>
      <c r="R239" s="54">
        <f>VLOOKUP(A239,TB!A:F,6)</f>
        <v>2500</v>
      </c>
      <c r="S239" s="54">
        <f t="shared" si="134"/>
        <v>-1000</v>
      </c>
    </row>
    <row r="240" spans="1:19" ht="15.75" hidden="1" customHeight="1" outlineLevel="1" x14ac:dyDescent="0.25">
      <c r="A240" s="51" t="s">
        <v>1467</v>
      </c>
      <c r="B240" s="51" t="s">
        <v>80</v>
      </c>
      <c r="C240" s="400"/>
      <c r="D240" s="65">
        <v>0</v>
      </c>
      <c r="E240" s="20" t="e">
        <f>D240*#REF!</f>
        <v>#REF!</v>
      </c>
      <c r="F240" s="20" t="e">
        <f>D240*#REF!</f>
        <v>#REF!</v>
      </c>
      <c r="G240" s="20" t="e">
        <f>(D240*#REF!)*#REF!</f>
        <v>#REF!</v>
      </c>
      <c r="H240" s="234">
        <f t="shared" si="132"/>
        <v>0</v>
      </c>
      <c r="I240" s="54" t="e">
        <f t="shared" si="133"/>
        <v>#REF!</v>
      </c>
      <c r="K240" s="400"/>
      <c r="L240" s="65">
        <v>0</v>
      </c>
      <c r="M240" s="20">
        <v>7170.73</v>
      </c>
      <c r="N240" s="20">
        <v>7000</v>
      </c>
      <c r="O240" s="20">
        <f>VLOOKUP(A240,TB!A:F,3)</f>
        <v>6344.22</v>
      </c>
      <c r="P240" s="20"/>
      <c r="Q240" s="20">
        <v>7400</v>
      </c>
      <c r="R240" s="54">
        <f>VLOOKUP(A240,TB!A:F,6)</f>
        <v>7400</v>
      </c>
      <c r="S240" s="54">
        <f t="shared" si="134"/>
        <v>0</v>
      </c>
    </row>
    <row r="241" spans="1:19" ht="15.75" hidden="1" customHeight="1" outlineLevel="1" x14ac:dyDescent="0.25">
      <c r="A241" s="51" t="s">
        <v>1468</v>
      </c>
      <c r="B241" s="51" t="s">
        <v>82</v>
      </c>
      <c r="C241" s="400"/>
      <c r="D241" s="65">
        <v>0</v>
      </c>
      <c r="E241" s="20" t="e">
        <f>D241*#REF!</f>
        <v>#REF!</v>
      </c>
      <c r="F241" s="20" t="e">
        <f>D241*#REF!</f>
        <v>#REF!</v>
      </c>
      <c r="G241" s="20" t="e">
        <f>(D241*#REF!)*#REF!</f>
        <v>#REF!</v>
      </c>
      <c r="H241" s="234">
        <f t="shared" si="132"/>
        <v>0</v>
      </c>
      <c r="I241" s="54" t="e">
        <f t="shared" si="133"/>
        <v>#REF!</v>
      </c>
      <c r="K241" s="400"/>
      <c r="L241" s="65">
        <v>0</v>
      </c>
      <c r="M241" s="20">
        <v>29593.69</v>
      </c>
      <c r="N241" s="20">
        <v>51000</v>
      </c>
      <c r="O241" s="20">
        <f>VLOOKUP(A241,TB!A:F,3)</f>
        <v>18740.82</v>
      </c>
      <c r="P241" s="20"/>
      <c r="Q241" s="20">
        <v>52530</v>
      </c>
      <c r="R241" s="54">
        <f>VLOOKUP(A241,TB!A:F,6)</f>
        <v>40000</v>
      </c>
      <c r="S241" s="54">
        <f t="shared" si="134"/>
        <v>-12530</v>
      </c>
    </row>
    <row r="242" spans="1:19" ht="15.75" hidden="1" customHeight="1" outlineLevel="1" x14ac:dyDescent="0.25">
      <c r="A242" s="51" t="s">
        <v>1469</v>
      </c>
      <c r="B242" s="51" t="s">
        <v>115</v>
      </c>
      <c r="C242" s="400"/>
      <c r="D242" s="65">
        <v>0</v>
      </c>
      <c r="E242" s="20" t="e">
        <f>D242*#REF!</f>
        <v>#REF!</v>
      </c>
      <c r="F242" s="20" t="e">
        <f>D242*#REF!</f>
        <v>#REF!</v>
      </c>
      <c r="G242" s="20" t="e">
        <f>(D242*#REF!)*#REF!</f>
        <v>#REF!</v>
      </c>
      <c r="H242" s="234">
        <f t="shared" si="132"/>
        <v>0</v>
      </c>
      <c r="I242" s="54" t="e">
        <f t="shared" si="133"/>
        <v>#REF!</v>
      </c>
      <c r="K242" s="400"/>
      <c r="L242" s="65">
        <v>0</v>
      </c>
      <c r="M242" s="20">
        <v>15125.63</v>
      </c>
      <c r="N242" s="20">
        <v>17500</v>
      </c>
      <c r="O242" s="20">
        <f>VLOOKUP(A242,TB!A:F,3)</f>
        <v>10811.9</v>
      </c>
      <c r="P242" s="20"/>
      <c r="Q242" s="20">
        <v>19025</v>
      </c>
      <c r="R242" s="54">
        <f>VLOOKUP(A242,TB!A:F,6)</f>
        <v>19025</v>
      </c>
      <c r="S242" s="54">
        <f t="shared" si="134"/>
        <v>0</v>
      </c>
    </row>
    <row r="243" spans="1:19" ht="15.75" hidden="1" customHeight="1" outlineLevel="1" x14ac:dyDescent="0.25">
      <c r="A243" s="51" t="s">
        <v>1470</v>
      </c>
      <c r="B243" s="51" t="s">
        <v>210</v>
      </c>
      <c r="C243" s="400"/>
      <c r="D243" s="65">
        <v>0</v>
      </c>
      <c r="E243" s="20" t="e">
        <f>D243*#REF!</f>
        <v>#REF!</v>
      </c>
      <c r="F243" s="20" t="e">
        <f>D243*#REF!</f>
        <v>#REF!</v>
      </c>
      <c r="G243" s="20" t="e">
        <f>(D243*#REF!)*#REF!</f>
        <v>#REF!</v>
      </c>
      <c r="H243" s="234">
        <f t="shared" si="132"/>
        <v>0</v>
      </c>
      <c r="I243" s="54" t="e">
        <f t="shared" si="133"/>
        <v>#REF!</v>
      </c>
      <c r="K243" s="400"/>
      <c r="L243" s="65">
        <v>0</v>
      </c>
      <c r="M243" s="20">
        <v>14436.34</v>
      </c>
      <c r="N243" s="20">
        <v>0</v>
      </c>
      <c r="O243" s="20">
        <f>VLOOKUP(A243,TB!A:F,3)</f>
        <v>1604.39</v>
      </c>
      <c r="P243" s="20"/>
      <c r="Q243" s="20">
        <v>0</v>
      </c>
      <c r="R243" s="54">
        <f>VLOOKUP(A243,TB!A:F,6)</f>
        <v>0</v>
      </c>
      <c r="S243" s="54">
        <f t="shared" si="134"/>
        <v>0</v>
      </c>
    </row>
    <row r="244" spans="1:19" ht="15.75" hidden="1" customHeight="1" outlineLevel="1" x14ac:dyDescent="0.25">
      <c r="A244" s="51" t="s">
        <v>1471</v>
      </c>
      <c r="B244" s="51" t="s">
        <v>84</v>
      </c>
      <c r="C244" s="400"/>
      <c r="D244" s="65">
        <v>0</v>
      </c>
      <c r="E244" s="20" t="e">
        <f>D244*#REF!</f>
        <v>#REF!</v>
      </c>
      <c r="F244" s="20" t="e">
        <f>D244*#REF!</f>
        <v>#REF!</v>
      </c>
      <c r="G244" s="20" t="e">
        <f>(D244*#REF!)*#REF!</f>
        <v>#REF!</v>
      </c>
      <c r="H244" s="234">
        <f t="shared" si="132"/>
        <v>0</v>
      </c>
      <c r="I244" s="54" t="e">
        <f t="shared" si="133"/>
        <v>#REF!</v>
      </c>
      <c r="K244" s="400"/>
      <c r="L244" s="65">
        <v>0</v>
      </c>
      <c r="M244" s="20">
        <v>9363.59</v>
      </c>
      <c r="N244" s="20">
        <v>9700</v>
      </c>
      <c r="O244" s="20">
        <f>VLOOKUP(A244,TB!A:F,3)</f>
        <v>7617.54</v>
      </c>
      <c r="P244" s="20"/>
      <c r="Q244" s="20">
        <v>10000</v>
      </c>
      <c r="R244" s="54">
        <f>VLOOKUP(A244,TB!A:F,6)</f>
        <v>10000</v>
      </c>
      <c r="S244" s="54">
        <f t="shared" si="134"/>
        <v>0</v>
      </c>
    </row>
    <row r="245" spans="1:19" ht="15.75" hidden="1" customHeight="1" outlineLevel="1" x14ac:dyDescent="0.25">
      <c r="A245" s="51" t="s">
        <v>1472</v>
      </c>
      <c r="B245" s="51" t="s">
        <v>210</v>
      </c>
      <c r="C245" s="400"/>
      <c r="D245" s="65">
        <v>0</v>
      </c>
      <c r="E245" s="20" t="e">
        <f>D245*#REF!</f>
        <v>#REF!</v>
      </c>
      <c r="F245" s="20" t="e">
        <f>D245*#REF!</f>
        <v>#REF!</v>
      </c>
      <c r="G245" s="20" t="e">
        <f>(D245*#REF!)*#REF!</f>
        <v>#REF!</v>
      </c>
      <c r="H245" s="234">
        <f t="shared" si="132"/>
        <v>0</v>
      </c>
      <c r="I245" s="54" t="e">
        <f t="shared" si="133"/>
        <v>#REF!</v>
      </c>
      <c r="K245" s="400"/>
      <c r="L245" s="65">
        <v>0</v>
      </c>
      <c r="M245" s="20">
        <v>0</v>
      </c>
      <c r="N245" s="20">
        <v>40000</v>
      </c>
      <c r="O245" s="20">
        <f>VLOOKUP(A245,TB!A:F,3)</f>
        <v>16576.23</v>
      </c>
      <c r="P245" s="20"/>
      <c r="Q245" s="20">
        <v>40000</v>
      </c>
      <c r="R245" s="54">
        <f>VLOOKUP(A245,TB!A:F,6)</f>
        <v>30000</v>
      </c>
      <c r="S245" s="54">
        <f t="shared" si="134"/>
        <v>-10000</v>
      </c>
    </row>
    <row r="246" spans="1:19" ht="15.75" hidden="1" customHeight="1" outlineLevel="1" x14ac:dyDescent="0.25">
      <c r="A246" s="51" t="s">
        <v>1473</v>
      </c>
      <c r="B246" s="51" t="s">
        <v>1450</v>
      </c>
      <c r="C246" s="400"/>
      <c r="D246" s="65">
        <v>0</v>
      </c>
      <c r="E246" s="20" t="e">
        <f>D246*#REF!</f>
        <v>#REF!</v>
      </c>
      <c r="F246" s="20" t="e">
        <f>D246*#REF!</f>
        <v>#REF!</v>
      </c>
      <c r="G246" s="20" t="e">
        <f>(D246*#REF!)*#REF!</f>
        <v>#REF!</v>
      </c>
      <c r="H246" s="234">
        <f t="shared" si="132"/>
        <v>0</v>
      </c>
      <c r="I246" s="54" t="e">
        <f t="shared" si="133"/>
        <v>#REF!</v>
      </c>
      <c r="K246" s="400"/>
      <c r="L246" s="65">
        <v>0</v>
      </c>
      <c r="M246" s="20">
        <v>118428.65</v>
      </c>
      <c r="N246" s="20">
        <v>120000</v>
      </c>
      <c r="O246" s="20">
        <f>VLOOKUP(A246,TB!A:F,3)</f>
        <v>80644.27</v>
      </c>
      <c r="P246" s="20"/>
      <c r="Q246" s="20">
        <v>123600</v>
      </c>
      <c r="R246" s="54">
        <f>VLOOKUP(A246,TB!A:F,6)</f>
        <v>123600</v>
      </c>
      <c r="S246" s="54">
        <f t="shared" si="134"/>
        <v>0</v>
      </c>
    </row>
    <row r="247" spans="1:19" ht="15.75" hidden="1" customHeight="1" outlineLevel="1" x14ac:dyDescent="0.25">
      <c r="A247" s="51" t="s">
        <v>1474</v>
      </c>
      <c r="B247" s="51" t="s">
        <v>1452</v>
      </c>
      <c r="C247" s="400"/>
      <c r="D247" s="65">
        <v>0</v>
      </c>
      <c r="E247" s="20" t="e">
        <f>D247*#REF!</f>
        <v>#REF!</v>
      </c>
      <c r="F247" s="20" t="e">
        <f>D247*#REF!</f>
        <v>#REF!</v>
      </c>
      <c r="G247" s="20" t="e">
        <f>(D247*#REF!)*#REF!</f>
        <v>#REF!</v>
      </c>
      <c r="H247" s="234">
        <f t="shared" si="132"/>
        <v>0</v>
      </c>
      <c r="I247" s="54" t="e">
        <f t="shared" si="133"/>
        <v>#REF!</v>
      </c>
      <c r="K247" s="400"/>
      <c r="L247" s="65">
        <v>0</v>
      </c>
      <c r="M247" s="20">
        <v>15406.12</v>
      </c>
      <c r="N247" s="20">
        <v>60000</v>
      </c>
      <c r="O247" s="20">
        <f>VLOOKUP(A247,TB!A:F,3)</f>
        <v>16259.81</v>
      </c>
      <c r="P247" s="20"/>
      <c r="Q247" s="20">
        <v>60000</v>
      </c>
      <c r="R247" s="54">
        <f>VLOOKUP(A247,TB!A:F,6)</f>
        <v>30000</v>
      </c>
      <c r="S247" s="54">
        <f t="shared" si="134"/>
        <v>-30000</v>
      </c>
    </row>
    <row r="248" spans="1:19" ht="15.75" hidden="1" customHeight="1" outlineLevel="1" x14ac:dyDescent="0.25">
      <c r="A248" s="51" t="s">
        <v>1475</v>
      </c>
      <c r="B248" s="51" t="s">
        <v>86</v>
      </c>
      <c r="C248" s="400"/>
      <c r="D248" s="65">
        <v>0</v>
      </c>
      <c r="E248" s="20" t="e">
        <f>D248*#REF!</f>
        <v>#REF!</v>
      </c>
      <c r="F248" s="20" t="e">
        <f>D248*#REF!</f>
        <v>#REF!</v>
      </c>
      <c r="G248" s="20" t="e">
        <f>(D248*#REF!)*#REF!</f>
        <v>#REF!</v>
      </c>
      <c r="H248" s="234">
        <f t="shared" si="132"/>
        <v>0</v>
      </c>
      <c r="I248" s="54" t="e">
        <f t="shared" si="133"/>
        <v>#REF!</v>
      </c>
      <c r="K248" s="400"/>
      <c r="L248" s="65">
        <v>0</v>
      </c>
      <c r="M248" s="20">
        <v>2500</v>
      </c>
      <c r="N248" s="20">
        <v>11000</v>
      </c>
      <c r="O248" s="20">
        <f>VLOOKUP(A248,TB!A:F,3)</f>
        <v>2500</v>
      </c>
      <c r="P248" s="20"/>
      <c r="Q248" s="20">
        <v>11400</v>
      </c>
      <c r="R248" s="54">
        <f>VLOOKUP(A248,TB!A:F,6)</f>
        <v>11400</v>
      </c>
      <c r="S248" s="54">
        <f t="shared" si="134"/>
        <v>0</v>
      </c>
    </row>
    <row r="249" spans="1:19" ht="15.75" hidden="1" customHeight="1" outlineLevel="1" x14ac:dyDescent="0.25">
      <c r="A249" s="51" t="s">
        <v>1476</v>
      </c>
      <c r="B249" s="51" t="s">
        <v>88</v>
      </c>
      <c r="C249" s="400"/>
      <c r="D249" s="65">
        <v>0</v>
      </c>
      <c r="E249" s="20" t="e">
        <f>D249*#REF!</f>
        <v>#REF!</v>
      </c>
      <c r="F249" s="20" t="e">
        <f>D249*#REF!</f>
        <v>#REF!</v>
      </c>
      <c r="G249" s="20" t="e">
        <f>(D249*#REF!)*#REF!</f>
        <v>#REF!</v>
      </c>
      <c r="H249" s="234">
        <f t="shared" si="132"/>
        <v>0</v>
      </c>
      <c r="I249" s="54" t="e">
        <f t="shared" si="133"/>
        <v>#REF!</v>
      </c>
      <c r="K249" s="400"/>
      <c r="L249" s="65">
        <v>0</v>
      </c>
      <c r="M249" s="20">
        <v>0</v>
      </c>
      <c r="N249" s="20">
        <v>0</v>
      </c>
      <c r="O249" s="20">
        <f>VLOOKUP(A249,TB!A:F,3)</f>
        <v>0</v>
      </c>
      <c r="P249" s="20"/>
      <c r="Q249" s="20">
        <v>7150</v>
      </c>
      <c r="R249" s="54">
        <f>VLOOKUP(A249,TB!A:F,6)</f>
        <v>2150</v>
      </c>
      <c r="S249" s="54">
        <f t="shared" si="134"/>
        <v>-5000</v>
      </c>
    </row>
    <row r="250" spans="1:19" ht="15.75" hidden="1" customHeight="1" outlineLevel="1" x14ac:dyDescent="0.25">
      <c r="A250" s="51" t="s">
        <v>1477</v>
      </c>
      <c r="B250" s="51" t="s">
        <v>90</v>
      </c>
      <c r="C250" s="400"/>
      <c r="D250" s="65">
        <v>0</v>
      </c>
      <c r="E250" s="20" t="e">
        <f>D250*#REF!</f>
        <v>#REF!</v>
      </c>
      <c r="F250" s="20" t="e">
        <f>D250*#REF!</f>
        <v>#REF!</v>
      </c>
      <c r="G250" s="20" t="e">
        <f>(D250*#REF!)*#REF!</f>
        <v>#REF!</v>
      </c>
      <c r="H250" s="234">
        <f t="shared" si="132"/>
        <v>0</v>
      </c>
      <c r="I250" s="54" t="e">
        <f t="shared" si="133"/>
        <v>#REF!</v>
      </c>
      <c r="K250" s="400"/>
      <c r="L250" s="65">
        <v>0</v>
      </c>
      <c r="M250" s="20">
        <v>0</v>
      </c>
      <c r="N250" s="20">
        <v>4800</v>
      </c>
      <c r="O250" s="20">
        <f>VLOOKUP(A250,TB!A:F,3)</f>
        <v>860</v>
      </c>
      <c r="P250" s="20"/>
      <c r="Q250" s="20">
        <v>5000</v>
      </c>
      <c r="R250" s="54">
        <f>VLOOKUP(A250,TB!A:F,6)</f>
        <v>4000</v>
      </c>
      <c r="S250" s="54">
        <f t="shared" si="134"/>
        <v>-1000</v>
      </c>
    </row>
    <row r="251" spans="1:19" ht="15.75" hidden="1" customHeight="1" outlineLevel="1" x14ac:dyDescent="0.25">
      <c r="A251" s="51" t="s">
        <v>1478</v>
      </c>
      <c r="B251" s="51" t="s">
        <v>1209</v>
      </c>
      <c r="C251" s="400"/>
      <c r="D251" s="65">
        <v>0</v>
      </c>
      <c r="E251" s="20" t="e">
        <f>D251*#REF!</f>
        <v>#REF!</v>
      </c>
      <c r="F251" s="20" t="e">
        <f>D251*#REF!</f>
        <v>#REF!</v>
      </c>
      <c r="G251" s="20" t="e">
        <f>(D251*#REF!)*#REF!</f>
        <v>#REF!</v>
      </c>
      <c r="H251" s="234">
        <f t="shared" si="132"/>
        <v>0</v>
      </c>
      <c r="I251" s="54" t="e">
        <f t="shared" si="133"/>
        <v>#REF!</v>
      </c>
      <c r="K251" s="400"/>
      <c r="L251" s="65">
        <v>0</v>
      </c>
      <c r="M251" s="20">
        <v>3948.71</v>
      </c>
      <c r="N251" s="20">
        <v>5750</v>
      </c>
      <c r="O251" s="20">
        <f>VLOOKUP(A251,TB!A:F,3)</f>
        <v>3148.65</v>
      </c>
      <c r="P251" s="20"/>
      <c r="Q251" s="20">
        <v>6000</v>
      </c>
      <c r="R251" s="54">
        <f>VLOOKUP(A251,TB!A:F,6)</f>
        <v>5000</v>
      </c>
      <c r="S251" s="54">
        <f t="shared" si="134"/>
        <v>-1000</v>
      </c>
    </row>
    <row r="252" spans="1:19" ht="15.75" hidden="1" customHeight="1" outlineLevel="1" x14ac:dyDescent="0.25">
      <c r="A252" s="51" t="s">
        <v>1479</v>
      </c>
      <c r="B252" s="51" t="s">
        <v>92</v>
      </c>
      <c r="C252" s="295"/>
      <c r="D252" s="20">
        <v>0</v>
      </c>
      <c r="E252" s="20" t="e">
        <f>D252*#REF!</f>
        <v>#REF!</v>
      </c>
      <c r="F252" s="20" t="e">
        <f>D252*#REF!</f>
        <v>#REF!</v>
      </c>
      <c r="G252" s="20" t="e">
        <f>(D252*#REF!)*#REF!</f>
        <v>#REF!</v>
      </c>
      <c r="H252" s="234">
        <f t="shared" si="132"/>
        <v>0</v>
      </c>
      <c r="I252" s="54" t="e">
        <f t="shared" si="133"/>
        <v>#REF!</v>
      </c>
      <c r="K252" s="295"/>
      <c r="L252" s="20">
        <v>0</v>
      </c>
      <c r="M252" s="20">
        <v>8020.77</v>
      </c>
      <c r="N252" s="20">
        <v>7000</v>
      </c>
      <c r="O252" s="20">
        <f>VLOOKUP(A252,TB!A:F,3)</f>
        <v>8757.0300000000007</v>
      </c>
      <c r="P252" s="20"/>
      <c r="Q252" s="20">
        <v>7000</v>
      </c>
      <c r="R252" s="54">
        <f>VLOOKUP(A252,TB!A:F,6)</f>
        <v>7000</v>
      </c>
      <c r="S252" s="54">
        <f t="shared" si="134"/>
        <v>0</v>
      </c>
    </row>
    <row r="253" spans="1:19" ht="15.75" hidden="1" customHeight="1" outlineLevel="1" x14ac:dyDescent="0.25">
      <c r="A253" s="402" t="s">
        <v>1480</v>
      </c>
      <c r="B253" s="402" t="s">
        <v>1481</v>
      </c>
      <c r="C253" s="295"/>
      <c r="D253" s="403">
        <v>0</v>
      </c>
      <c r="E253" s="403" t="e">
        <f>D253*#REF!</f>
        <v>#REF!</v>
      </c>
      <c r="F253" s="403" t="e">
        <f>D253*#REF!</f>
        <v>#REF!</v>
      </c>
      <c r="G253" s="403" t="e">
        <f>(D253*#REF!)*#REF!</f>
        <v>#REF!</v>
      </c>
      <c r="H253" s="404">
        <f t="shared" si="132"/>
        <v>0</v>
      </c>
      <c r="I253" s="405" t="e">
        <f t="shared" si="133"/>
        <v>#REF!</v>
      </c>
      <c r="K253" s="295"/>
      <c r="L253" s="403">
        <v>0</v>
      </c>
      <c r="M253" s="403">
        <v>0</v>
      </c>
      <c r="N253" s="403">
        <v>0</v>
      </c>
      <c r="O253" s="20">
        <v>0</v>
      </c>
      <c r="P253" s="403"/>
      <c r="Q253" s="403">
        <v>0</v>
      </c>
      <c r="R253" s="54">
        <f>VLOOKUP(A253,TB!A:F,6)</f>
        <v>5000</v>
      </c>
      <c r="S253" s="54">
        <f t="shared" si="134"/>
        <v>5000</v>
      </c>
    </row>
    <row r="254" spans="1:19" ht="15.75" hidden="1" customHeight="1" outlineLevel="1" x14ac:dyDescent="0.25">
      <c r="A254" s="51" t="s">
        <v>1482</v>
      </c>
      <c r="B254" s="51" t="s">
        <v>1011</v>
      </c>
      <c r="C254" s="295"/>
      <c r="D254" s="20">
        <v>0</v>
      </c>
      <c r="E254" s="20" t="e">
        <f>D254*#REF!</f>
        <v>#REF!</v>
      </c>
      <c r="F254" s="20" t="e">
        <f>D254*#REF!</f>
        <v>#REF!</v>
      </c>
      <c r="G254" s="20" t="e">
        <f>(D254*#REF!)*#REF!</f>
        <v>#REF!</v>
      </c>
      <c r="H254" s="234">
        <f t="shared" si="132"/>
        <v>0</v>
      </c>
      <c r="I254" s="54" t="e">
        <f t="shared" si="133"/>
        <v>#REF!</v>
      </c>
      <c r="K254" s="295"/>
      <c r="L254" s="20">
        <v>0</v>
      </c>
      <c r="M254" s="20">
        <v>7458.14</v>
      </c>
      <c r="N254" s="20">
        <v>7200</v>
      </c>
      <c r="O254" s="20">
        <f>VLOOKUP(A254,TB!A:F,3)</f>
        <v>0</v>
      </c>
      <c r="P254" s="20"/>
      <c r="Q254" s="20">
        <v>7200</v>
      </c>
      <c r="R254" s="54">
        <f>VLOOKUP(A254,TB!A:F,6)</f>
        <v>0</v>
      </c>
      <c r="S254" s="54">
        <f t="shared" si="134"/>
        <v>-7200</v>
      </c>
    </row>
    <row r="255" spans="1:19" ht="15.75" hidden="1" customHeight="1" outlineLevel="1" x14ac:dyDescent="0.25">
      <c r="A255" s="51" t="s">
        <v>1483</v>
      </c>
      <c r="B255" s="51" t="s">
        <v>99</v>
      </c>
      <c r="C255" s="295"/>
      <c r="D255" s="20">
        <v>0</v>
      </c>
      <c r="E255" s="20" t="e">
        <f>D255*#REF!</f>
        <v>#REF!</v>
      </c>
      <c r="F255" s="20" t="e">
        <f>D255*#REF!</f>
        <v>#REF!</v>
      </c>
      <c r="G255" s="20" t="e">
        <f>(D255*#REF!)*#REF!</f>
        <v>#REF!</v>
      </c>
      <c r="H255" s="234">
        <f t="shared" si="132"/>
        <v>0</v>
      </c>
      <c r="I255" s="54" t="e">
        <f t="shared" si="133"/>
        <v>#REF!</v>
      </c>
      <c r="K255" s="295"/>
      <c r="L255" s="20">
        <v>0</v>
      </c>
      <c r="M255" s="20">
        <v>121658.49</v>
      </c>
      <c r="N255" s="20">
        <v>0</v>
      </c>
      <c r="O255" s="20">
        <f>VLOOKUP(A255,TB!A:F,3)</f>
        <v>0</v>
      </c>
      <c r="P255" s="20"/>
      <c r="Q255" s="20">
        <v>0</v>
      </c>
      <c r="R255" s="54">
        <f>VLOOKUP(A255,TB!A:F,6)</f>
        <v>0</v>
      </c>
      <c r="S255" s="54">
        <f t="shared" si="134"/>
        <v>0</v>
      </c>
    </row>
    <row r="256" spans="1:19" ht="15.75" hidden="1" customHeight="1" outlineLevel="1" x14ac:dyDescent="0.25">
      <c r="A256" s="74" t="s">
        <v>1458</v>
      </c>
      <c r="B256" s="75"/>
      <c r="C256" s="401"/>
      <c r="D256" s="75">
        <f t="shared" ref="D256:G256" si="135">SUM(D232:D255)</f>
        <v>0</v>
      </c>
      <c r="E256" s="75" t="e">
        <f t="shared" si="135"/>
        <v>#REF!</v>
      </c>
      <c r="F256" s="75" t="e">
        <f t="shared" si="135"/>
        <v>#REF!</v>
      </c>
      <c r="G256" s="75" t="e">
        <f t="shared" si="135"/>
        <v>#REF!</v>
      </c>
      <c r="H256" s="238">
        <f t="shared" si="132"/>
        <v>0</v>
      </c>
      <c r="I256" s="77" t="e">
        <f t="shared" si="133"/>
        <v>#REF!</v>
      </c>
      <c r="K256" s="401"/>
      <c r="L256" s="75">
        <f t="shared" ref="L256:S256" si="136">SUM(L232:L255)</f>
        <v>0</v>
      </c>
      <c r="M256" s="75">
        <f t="shared" si="136"/>
        <v>856142.12</v>
      </c>
      <c r="N256" s="75">
        <f t="shared" si="136"/>
        <v>929381</v>
      </c>
      <c r="O256" s="75">
        <f t="shared" si="136"/>
        <v>625434.84000000008</v>
      </c>
      <c r="P256" s="75">
        <f t="shared" si="136"/>
        <v>0</v>
      </c>
      <c r="Q256" s="75">
        <f t="shared" si="136"/>
        <v>979430</v>
      </c>
      <c r="R256" s="77">
        <f t="shared" si="136"/>
        <v>904600</v>
      </c>
      <c r="S256" s="77">
        <f t="shared" si="136"/>
        <v>-74830</v>
      </c>
    </row>
    <row r="257" spans="1:19" ht="15.75" hidden="1" customHeight="1" outlineLevel="1" x14ac:dyDescent="0.2">
      <c r="C257" s="287"/>
      <c r="K257" s="287"/>
    </row>
    <row r="258" spans="1:19" ht="15.75" hidden="1" customHeight="1" outlineLevel="1" x14ac:dyDescent="0.2">
      <c r="A258" s="3" t="s">
        <v>50</v>
      </c>
      <c r="B258" s="3" t="s">
        <v>51</v>
      </c>
      <c r="C258" s="292"/>
      <c r="D258" s="3" t="s">
        <v>52</v>
      </c>
      <c r="E258" s="380" t="s">
        <v>53</v>
      </c>
      <c r="F258" s="380" t="s">
        <v>1212</v>
      </c>
      <c r="G258" s="380" t="s">
        <v>55</v>
      </c>
      <c r="H258" s="230" t="s">
        <v>56</v>
      </c>
      <c r="I258" s="230" t="s">
        <v>57</v>
      </c>
      <c r="K258" s="292"/>
      <c r="L258" s="3" t="s">
        <v>59</v>
      </c>
      <c r="M258" s="3" t="s">
        <v>60</v>
      </c>
      <c r="N258" s="3" t="s">
        <v>436</v>
      </c>
      <c r="O258" s="3" t="s">
        <v>437</v>
      </c>
      <c r="P258" s="70" t="e">
        <f>#REF!</f>
        <v>#REF!</v>
      </c>
      <c r="Q258" s="293" t="s">
        <v>438</v>
      </c>
      <c r="R258" s="70" t="e">
        <f>#REF!</f>
        <v>#REF!</v>
      </c>
      <c r="S258" s="3" t="s">
        <v>586</v>
      </c>
    </row>
    <row r="259" spans="1:19" ht="15.75" hidden="1" customHeight="1" outlineLevel="1" x14ac:dyDescent="0.25">
      <c r="A259" s="51" t="s">
        <v>1484</v>
      </c>
      <c r="B259" s="51" t="s">
        <v>99</v>
      </c>
      <c r="C259" s="406"/>
      <c r="D259" s="73">
        <v>0</v>
      </c>
      <c r="E259" s="20" t="e">
        <f>D259*#REF!</f>
        <v>#REF!</v>
      </c>
      <c r="F259" s="20" t="e">
        <f>D259*#REF!</f>
        <v>#REF!</v>
      </c>
      <c r="G259" s="20" t="e">
        <f>(D259*#REF!)*#REF!</f>
        <v>#REF!</v>
      </c>
      <c r="H259" s="55">
        <f t="shared" ref="H259:H260" si="137">IFERROR(((Q259-D259)/D259),0)</f>
        <v>0</v>
      </c>
      <c r="I259" s="54" t="e">
        <f t="shared" ref="I259:I260" si="138">Q259-G259</f>
        <v>#REF!</v>
      </c>
      <c r="K259" s="406"/>
      <c r="L259" s="73">
        <v>0</v>
      </c>
      <c r="M259" s="73">
        <v>0</v>
      </c>
      <c r="N259" s="73">
        <v>63000</v>
      </c>
      <c r="O259" s="73">
        <v>55781.01</v>
      </c>
      <c r="P259" s="73">
        <f>N259</f>
        <v>63000</v>
      </c>
      <c r="Q259" s="73">
        <v>61000</v>
      </c>
      <c r="R259" s="54">
        <f>VLOOKUP(A259,TB!A:F,6)</f>
        <v>46000</v>
      </c>
      <c r="S259" s="54">
        <f>R259-Q259</f>
        <v>-15000</v>
      </c>
    </row>
    <row r="260" spans="1:19" ht="15.75" hidden="1" customHeight="1" outlineLevel="1" x14ac:dyDescent="0.25">
      <c r="A260" s="74" t="s">
        <v>1485</v>
      </c>
      <c r="B260" s="75"/>
      <c r="C260" s="401"/>
      <c r="D260" s="77">
        <f t="shared" ref="D260:G260" si="139">SUM(D259)</f>
        <v>0</v>
      </c>
      <c r="E260" s="77" t="e">
        <f t="shared" si="139"/>
        <v>#REF!</v>
      </c>
      <c r="F260" s="77" t="e">
        <f t="shared" si="139"/>
        <v>#REF!</v>
      </c>
      <c r="G260" s="77" t="e">
        <f t="shared" si="139"/>
        <v>#REF!</v>
      </c>
      <c r="H260" s="72">
        <f t="shared" si="137"/>
        <v>0</v>
      </c>
      <c r="I260" s="77" t="e">
        <f t="shared" si="138"/>
        <v>#REF!</v>
      </c>
      <c r="K260" s="401"/>
      <c r="L260" s="77">
        <f t="shared" ref="L260:S260" si="140">SUM(L259)</f>
        <v>0</v>
      </c>
      <c r="M260" s="77">
        <f t="shared" si="140"/>
        <v>0</v>
      </c>
      <c r="N260" s="77">
        <f t="shared" si="140"/>
        <v>63000</v>
      </c>
      <c r="O260" s="77">
        <f t="shared" si="140"/>
        <v>55781.01</v>
      </c>
      <c r="P260" s="77">
        <f t="shared" si="140"/>
        <v>63000</v>
      </c>
      <c r="Q260" s="77">
        <f t="shared" si="140"/>
        <v>61000</v>
      </c>
      <c r="R260" s="77">
        <f t="shared" si="140"/>
        <v>46000</v>
      </c>
      <c r="S260" s="77">
        <f t="shared" si="140"/>
        <v>-15000</v>
      </c>
    </row>
    <row r="261" spans="1:19" ht="15.75" hidden="1" customHeight="1" outlineLevel="1" x14ac:dyDescent="0.2">
      <c r="C261" s="287"/>
      <c r="D261" s="54"/>
      <c r="E261" s="54"/>
      <c r="F261" s="54"/>
      <c r="G261" s="54"/>
      <c r="H261" s="54"/>
      <c r="I261" s="54"/>
      <c r="K261" s="287"/>
    </row>
    <row r="262" spans="1:19" ht="15.75" customHeight="1" x14ac:dyDescent="0.2">
      <c r="C262" s="287"/>
      <c r="K262" s="287"/>
    </row>
    <row r="263" spans="1:19" ht="15.75" customHeight="1" x14ac:dyDescent="0.2">
      <c r="A263" s="3" t="s">
        <v>50</v>
      </c>
      <c r="B263" s="3" t="s">
        <v>51</v>
      </c>
      <c r="C263" s="21"/>
      <c r="D263" s="22" t="s">
        <v>52</v>
      </c>
      <c r="E263" s="23" t="s">
        <v>53</v>
      </c>
      <c r="F263" s="23" t="s">
        <v>54</v>
      </c>
      <c r="G263" s="23" t="s">
        <v>55</v>
      </c>
      <c r="H263" s="24" t="s">
        <v>56</v>
      </c>
      <c r="I263" s="25" t="s">
        <v>57</v>
      </c>
      <c r="J263" s="26" t="s">
        <v>58</v>
      </c>
      <c r="K263" s="21"/>
      <c r="L263" s="4" t="s">
        <v>59</v>
      </c>
      <c r="M263" s="27" t="s">
        <v>60</v>
      </c>
      <c r="N263" s="27" t="s">
        <v>61</v>
      </c>
      <c r="O263" s="27" t="s">
        <v>62</v>
      </c>
      <c r="P263" s="70" t="s">
        <v>63</v>
      </c>
      <c r="Q263" s="70" t="s">
        <v>64</v>
      </c>
      <c r="R263" s="118" t="s">
        <v>65</v>
      </c>
      <c r="S263" s="118" t="s">
        <v>586</v>
      </c>
    </row>
    <row r="264" spans="1:19" ht="15.75" customHeight="1" x14ac:dyDescent="0.25">
      <c r="A264" s="69" t="s">
        <v>1486</v>
      </c>
      <c r="B264" s="51"/>
      <c r="C264" s="400"/>
      <c r="D264" s="65"/>
      <c r="E264" s="20"/>
      <c r="F264" s="20"/>
      <c r="G264" s="160"/>
      <c r="H264" s="234"/>
      <c r="K264" s="400"/>
      <c r="L264" s="65"/>
      <c r="M264" s="65"/>
      <c r="N264" s="65"/>
      <c r="O264" s="65"/>
      <c r="P264" s="157"/>
      <c r="Q264" s="157"/>
    </row>
    <row r="265" spans="1:19" ht="15.75" customHeight="1" x14ac:dyDescent="0.25">
      <c r="A265" s="51" t="s">
        <v>1235</v>
      </c>
      <c r="B265" s="51" t="s">
        <v>68</v>
      </c>
      <c r="C265" s="400"/>
      <c r="D265" s="157">
        <f t="shared" ref="D265:D287" si="141">SUMIF($B$210:$B$228,$B265,D$210:D$228)+SUMIF($B$232:$B$255,$B265,D$232:D$255)+SUMIF($B$259,$B265,D$259)</f>
        <v>95580</v>
      </c>
      <c r="E265" s="160" t="e">
        <f>D265*#REF!</f>
        <v>#REF!</v>
      </c>
      <c r="F265" s="160" t="e">
        <f>D265*#REF!</f>
        <v>#REF!</v>
      </c>
      <c r="G265" s="160" t="e">
        <f>(D265*#REF!)*#REF!</f>
        <v>#REF!</v>
      </c>
      <c r="H265" s="296">
        <f t="shared" ref="H265:H288" si="142">IFERROR(((Q265-G265)/G265),0)</f>
        <v>0</v>
      </c>
      <c r="I265" s="147" t="e">
        <f t="shared" ref="I265:I288" si="143">Q265-G265</f>
        <v>#REF!</v>
      </c>
      <c r="J265" s="407"/>
      <c r="K265" s="400"/>
      <c r="L265" s="65">
        <f t="shared" ref="L265:O265" si="144">SUMIF($B$210:$B$228,$B265,L$210:L$228)+SUMIF($B$232:$B$255,$B265,L$232:L$255)+SUMIF($B$259,$B265,L$259)</f>
        <v>194379</v>
      </c>
      <c r="M265" s="65">
        <f t="shared" si="144"/>
        <v>239289.74</v>
      </c>
      <c r="N265" s="65">
        <f t="shared" si="144"/>
        <v>252472</v>
      </c>
      <c r="O265" s="65">
        <f t="shared" si="144"/>
        <v>192184.58</v>
      </c>
      <c r="P265" s="157">
        <f t="shared" ref="P265:P266" si="145">O265/20*26</f>
        <v>249839.95399999997</v>
      </c>
      <c r="Q265" s="157">
        <f t="shared" ref="Q265:S265" si="146">SUMIF($B$210:$B$228,$B265,Q$210:Q$228)+SUMIF($B$232:$B$255,$B265,Q$232:Q$255)+SUMIF($B$259,$B265,Q$259)</f>
        <v>277100</v>
      </c>
      <c r="R265" s="65">
        <f t="shared" si="146"/>
        <v>277100</v>
      </c>
      <c r="S265" s="65">
        <f t="shared" si="146"/>
        <v>0</v>
      </c>
    </row>
    <row r="266" spans="1:19" ht="15.75" customHeight="1" x14ac:dyDescent="0.25">
      <c r="A266" s="51" t="s">
        <v>1235</v>
      </c>
      <c r="B266" s="51" t="s">
        <v>70</v>
      </c>
      <c r="C266" s="400"/>
      <c r="D266" s="157">
        <f t="shared" si="141"/>
        <v>1075</v>
      </c>
      <c r="E266" s="160" t="e">
        <f>D266*#REF!</f>
        <v>#REF!</v>
      </c>
      <c r="F266" s="160" t="e">
        <f>D266*#REF!</f>
        <v>#REF!</v>
      </c>
      <c r="G266" s="160" t="e">
        <f>(D266*#REF!)*#REF!</f>
        <v>#REF!</v>
      </c>
      <c r="H266" s="296">
        <f t="shared" si="142"/>
        <v>0</v>
      </c>
      <c r="I266" s="147" t="e">
        <f t="shared" si="143"/>
        <v>#REF!</v>
      </c>
      <c r="J266" s="147">
        <v>-2100</v>
      </c>
      <c r="K266" s="400"/>
      <c r="L266" s="65">
        <f t="shared" ref="L266:O266" si="147">SUMIF($B$210:$B$228,$B266,L$210:L$228)+SUMIF($B$232:$B$255,$B266,L$232:L$255)+SUMIF($B$259,$B266,L$259)</f>
        <v>7412</v>
      </c>
      <c r="M266" s="65">
        <f t="shared" si="147"/>
        <v>10403.200000000001</v>
      </c>
      <c r="N266" s="65">
        <f t="shared" si="147"/>
        <v>14000</v>
      </c>
      <c r="O266" s="65">
        <f t="shared" si="147"/>
        <v>10028.75</v>
      </c>
      <c r="P266" s="157">
        <f t="shared" si="145"/>
        <v>13037.375</v>
      </c>
      <c r="Q266" s="157">
        <f t="shared" ref="Q266:S266" si="148">SUMIF($B$210:$B$228,$B266,Q$210:Q$228)+SUMIF($B$232:$B$255,$B266,Q$232:Q$255)+SUMIF($B$259,$B266,Q$259)</f>
        <v>14000</v>
      </c>
      <c r="R266" s="65">
        <f t="shared" si="148"/>
        <v>11900</v>
      </c>
      <c r="S266" s="65">
        <f t="shared" si="148"/>
        <v>-2100</v>
      </c>
    </row>
    <row r="267" spans="1:19" ht="15.75" customHeight="1" x14ac:dyDescent="0.25">
      <c r="A267" s="51" t="s">
        <v>1235</v>
      </c>
      <c r="B267" s="51" t="s">
        <v>108</v>
      </c>
      <c r="C267" s="400"/>
      <c r="D267" s="157">
        <f t="shared" si="141"/>
        <v>106361</v>
      </c>
      <c r="E267" s="160" t="e">
        <f>D267*#REF!</f>
        <v>#REF!</v>
      </c>
      <c r="F267" s="160" t="e">
        <f>D267*#REF!</f>
        <v>#REF!</v>
      </c>
      <c r="G267" s="160" t="e">
        <f>(D267*#REF!)*#REF!</f>
        <v>#REF!</v>
      </c>
      <c r="H267" s="296">
        <f t="shared" si="142"/>
        <v>0</v>
      </c>
      <c r="I267" s="147" t="e">
        <f t="shared" si="143"/>
        <v>#REF!</v>
      </c>
      <c r="J267" s="147">
        <v>-11000</v>
      </c>
      <c r="K267" s="400"/>
      <c r="L267" s="65">
        <f t="shared" ref="L267:O267" si="149">SUMIF($B$210:$B$228,$B267,L$210:L$228)+SUMIF($B$232:$B$255,$B267,L$232:L$255)+SUMIF($B$259,$B267,L$259)</f>
        <v>87202</v>
      </c>
      <c r="M267" s="65">
        <f t="shared" si="149"/>
        <v>110186.97</v>
      </c>
      <c r="N267" s="65">
        <f t="shared" si="149"/>
        <v>146000</v>
      </c>
      <c r="O267" s="65">
        <f t="shared" si="149"/>
        <v>127988.61</v>
      </c>
      <c r="P267" s="157">
        <f>N267</f>
        <v>146000</v>
      </c>
      <c r="Q267" s="157">
        <f t="shared" ref="Q267:S267" si="150">SUMIF($B$210:$B$228,$B267,Q$210:Q$228)+SUMIF($B$232:$B$255,$B267,Q$232:Q$255)+SUMIF($B$259,$B267,Q$259)</f>
        <v>155000</v>
      </c>
      <c r="R267" s="65">
        <f t="shared" si="150"/>
        <v>144000</v>
      </c>
      <c r="S267" s="65">
        <f t="shared" si="150"/>
        <v>-11000</v>
      </c>
    </row>
    <row r="268" spans="1:19" ht="15.75" customHeight="1" x14ac:dyDescent="0.25">
      <c r="A268" s="51" t="s">
        <v>1235</v>
      </c>
      <c r="B268" s="51" t="s">
        <v>72</v>
      </c>
      <c r="C268" s="400"/>
      <c r="D268" s="157">
        <f t="shared" si="141"/>
        <v>65521</v>
      </c>
      <c r="E268" s="160" t="e">
        <f>D268*#REF!</f>
        <v>#REF!</v>
      </c>
      <c r="F268" s="160" t="e">
        <f>D268*#REF!</f>
        <v>#REF!</v>
      </c>
      <c r="G268" s="160" t="e">
        <f>(D268*#REF!)*#REF!</f>
        <v>#REF!</v>
      </c>
      <c r="H268" s="296">
        <f t="shared" si="142"/>
        <v>0</v>
      </c>
      <c r="I268" s="147" t="e">
        <f t="shared" si="143"/>
        <v>#REF!</v>
      </c>
      <c r="J268" s="147">
        <v>-1000</v>
      </c>
      <c r="K268" s="400"/>
      <c r="L268" s="65">
        <f t="shared" ref="L268:O268" si="151">SUMIF($B$210:$B$228,$B268,L$210:L$228)+SUMIF($B$232:$B$255,$B268,L$232:L$255)+SUMIF($B$259,$B268,L$259)</f>
        <v>105961</v>
      </c>
      <c r="M268" s="65">
        <f t="shared" si="151"/>
        <v>138584.32000000001</v>
      </c>
      <c r="N268" s="65">
        <f t="shared" si="151"/>
        <v>156359</v>
      </c>
      <c r="O268" s="65">
        <f t="shared" si="151"/>
        <v>117890.01</v>
      </c>
      <c r="P268" s="157">
        <f t="shared" ref="P268:P270" si="152">O268/20*26</f>
        <v>153257.01300000001</v>
      </c>
      <c r="Q268" s="157">
        <f t="shared" ref="Q268:S268" si="153">SUMIF($B$210:$B$228,$B268,Q$210:Q$228)+SUMIF($B$232:$B$255,$B268,Q$232:Q$255)+SUMIF($B$259,$B268,Q$259)</f>
        <v>167800</v>
      </c>
      <c r="R268" s="65">
        <f t="shared" si="153"/>
        <v>166800</v>
      </c>
      <c r="S268" s="65">
        <f t="shared" si="153"/>
        <v>-1000</v>
      </c>
    </row>
    <row r="269" spans="1:19" ht="15.75" customHeight="1" x14ac:dyDescent="0.25">
      <c r="A269" s="51" t="s">
        <v>1235</v>
      </c>
      <c r="B269" s="51" t="s">
        <v>892</v>
      </c>
      <c r="C269" s="400"/>
      <c r="D269" s="157">
        <f t="shared" si="141"/>
        <v>2676</v>
      </c>
      <c r="E269" s="160" t="e">
        <f>D269*#REF!</f>
        <v>#REF!</v>
      </c>
      <c r="F269" s="160" t="e">
        <f>D269*#REF!</f>
        <v>#REF!</v>
      </c>
      <c r="G269" s="160" t="e">
        <f>(D269*#REF!)*#REF!</f>
        <v>#REF!</v>
      </c>
      <c r="H269" s="296">
        <f t="shared" si="142"/>
        <v>0</v>
      </c>
      <c r="I269" s="147" t="e">
        <f t="shared" si="143"/>
        <v>#REF!</v>
      </c>
      <c r="J269" s="147"/>
      <c r="K269" s="400"/>
      <c r="L269" s="65">
        <f t="shared" ref="L269:N269" si="154">SUMIF($B$210:$B$228,$B269,L$210:L$228)+SUMIF($B$232:$B$255,$B269,L$232:L$255)+SUMIF($B$259,$B269,L$259)</f>
        <v>2538</v>
      </c>
      <c r="M269" s="65">
        <f t="shared" si="154"/>
        <v>2640</v>
      </c>
      <c r="N269" s="65">
        <f t="shared" si="154"/>
        <v>5000</v>
      </c>
      <c r="O269" s="65">
        <v>2250</v>
      </c>
      <c r="P269" s="157">
        <f t="shared" si="152"/>
        <v>2925</v>
      </c>
      <c r="Q269" s="157">
        <f t="shared" ref="Q269:S269" si="155">SUMIF($B$210:$B$228,$B269,Q$210:Q$228)+SUMIF($B$232:$B$255,$B269,Q$232:Q$255)+SUMIF($B$259,$B269,Q$259)</f>
        <v>5000</v>
      </c>
      <c r="R269" s="65">
        <f t="shared" si="155"/>
        <v>5000</v>
      </c>
      <c r="S269" s="65">
        <f t="shared" si="155"/>
        <v>0</v>
      </c>
    </row>
    <row r="270" spans="1:19" ht="15.75" customHeight="1" x14ac:dyDescent="0.25">
      <c r="A270" s="51" t="s">
        <v>1235</v>
      </c>
      <c r="B270" s="51" t="s">
        <v>451</v>
      </c>
      <c r="C270" s="400"/>
      <c r="D270" s="157">
        <f t="shared" si="141"/>
        <v>0</v>
      </c>
      <c r="E270" s="160" t="e">
        <f>D270*#REF!</f>
        <v>#REF!</v>
      </c>
      <c r="F270" s="160" t="e">
        <f>D270*#REF!</f>
        <v>#REF!</v>
      </c>
      <c r="G270" s="160" t="e">
        <f>(D270*#REF!)*#REF!</f>
        <v>#REF!</v>
      </c>
      <c r="H270" s="296">
        <f t="shared" si="142"/>
        <v>0</v>
      </c>
      <c r="I270" s="147" t="e">
        <f t="shared" si="143"/>
        <v>#REF!</v>
      </c>
      <c r="J270" s="147">
        <v>2000</v>
      </c>
      <c r="K270" s="400"/>
      <c r="L270" s="65">
        <f t="shared" ref="L270:O270" si="156">SUMIF($B$210:$B$228,$B270,L$210:L$228)+SUMIF($B$232:$B$255,$B270,L$232:L$255)+SUMIF($B$259,$B270,L$259)</f>
        <v>0</v>
      </c>
      <c r="M270" s="65">
        <f t="shared" si="156"/>
        <v>0</v>
      </c>
      <c r="N270" s="65">
        <f t="shared" si="156"/>
        <v>6200</v>
      </c>
      <c r="O270" s="65">
        <f t="shared" si="156"/>
        <v>363.75</v>
      </c>
      <c r="P270" s="157">
        <f t="shared" si="152"/>
        <v>472.875</v>
      </c>
      <c r="Q270" s="157">
        <f t="shared" ref="Q270:S270" si="157">SUMIF($B$210:$B$228,$B270,Q$210:Q$228)+SUMIF($B$232:$B$255,$B270,Q$232:Q$255)+SUMIF($B$259,$B270,Q$259)</f>
        <v>0</v>
      </c>
      <c r="R270" s="65">
        <f t="shared" si="157"/>
        <v>2000</v>
      </c>
      <c r="S270" s="65">
        <f t="shared" si="157"/>
        <v>2000</v>
      </c>
    </row>
    <row r="271" spans="1:19" ht="15.75" customHeight="1" x14ac:dyDescent="0.25">
      <c r="A271" s="51" t="s">
        <v>1235</v>
      </c>
      <c r="B271" s="51" t="s">
        <v>74</v>
      </c>
      <c r="C271" s="400"/>
      <c r="D271" s="157">
        <f t="shared" si="141"/>
        <v>0</v>
      </c>
      <c r="E271" s="160" t="e">
        <f>D271*#REF!</f>
        <v>#REF!</v>
      </c>
      <c r="F271" s="160" t="e">
        <f>D271*#REF!</f>
        <v>#REF!</v>
      </c>
      <c r="G271" s="160" t="e">
        <f>(D271*#REF!)*#REF!</f>
        <v>#REF!</v>
      </c>
      <c r="H271" s="296">
        <f t="shared" si="142"/>
        <v>0</v>
      </c>
      <c r="I271" s="147" t="e">
        <f t="shared" si="143"/>
        <v>#REF!</v>
      </c>
      <c r="J271" s="147"/>
      <c r="K271" s="400"/>
      <c r="L271" s="65">
        <f t="shared" ref="L271:O271" si="158">SUMIF($B$210:$B$228,$B271,L$210:L$228)+SUMIF($B$232:$B$255,$B271,L$232:L$255)+SUMIF($B$259,$B271,L$259)</f>
        <v>0</v>
      </c>
      <c r="M271" s="65">
        <f t="shared" si="158"/>
        <v>0</v>
      </c>
      <c r="N271" s="65">
        <f t="shared" si="158"/>
        <v>5000</v>
      </c>
      <c r="O271" s="65">
        <f t="shared" si="158"/>
        <v>501</v>
      </c>
      <c r="P271" s="157">
        <f t="shared" ref="P271:P274" si="159">O271/9*12</f>
        <v>668</v>
      </c>
      <c r="Q271" s="157">
        <f t="shared" ref="Q271:S271" si="160">SUMIF($B$210:$B$228,$B271,Q$210:Q$228)+SUMIF($B$232:$B$255,$B271,Q$232:Q$255)+SUMIF($B$259,$B271,Q$259)</f>
        <v>725</v>
      </c>
      <c r="R271" s="65">
        <f t="shared" si="160"/>
        <v>725</v>
      </c>
      <c r="S271" s="65">
        <f t="shared" si="160"/>
        <v>0</v>
      </c>
    </row>
    <row r="272" spans="1:19" ht="15.75" customHeight="1" x14ac:dyDescent="0.25">
      <c r="A272" s="51" t="s">
        <v>1235</v>
      </c>
      <c r="B272" s="51" t="s">
        <v>76</v>
      </c>
      <c r="C272" s="400"/>
      <c r="D272" s="157">
        <f t="shared" si="141"/>
        <v>2052</v>
      </c>
      <c r="E272" s="160" t="e">
        <f>D272*#REF!</f>
        <v>#REF!</v>
      </c>
      <c r="F272" s="160" t="e">
        <f>D272*#REF!</f>
        <v>#REF!</v>
      </c>
      <c r="G272" s="160" t="e">
        <f>(D272*#REF!)*#REF!</f>
        <v>#REF!</v>
      </c>
      <c r="H272" s="296">
        <f t="shared" si="142"/>
        <v>0</v>
      </c>
      <c r="I272" s="147" t="e">
        <f t="shared" si="143"/>
        <v>#REF!</v>
      </c>
      <c r="J272" s="147">
        <v>-1000</v>
      </c>
      <c r="K272" s="400"/>
      <c r="L272" s="65">
        <f t="shared" ref="L272:O272" si="161">SUMIF($B$210:$B$228,$B272,L$210:L$228)+SUMIF($B$232:$B$255,$B272,L$232:L$255)+SUMIF($B$259,$B272,L$259)</f>
        <v>3043</v>
      </c>
      <c r="M272" s="65">
        <f t="shared" si="161"/>
        <v>1927.03</v>
      </c>
      <c r="N272" s="65">
        <f t="shared" si="161"/>
        <v>3400</v>
      </c>
      <c r="O272" s="65">
        <f t="shared" si="161"/>
        <v>93.28</v>
      </c>
      <c r="P272" s="157">
        <f t="shared" si="159"/>
        <v>124.37333333333333</v>
      </c>
      <c r="Q272" s="157">
        <f t="shared" ref="Q272:S272" si="162">SUMIF($B$210:$B$228,$B272,Q$210:Q$228)+SUMIF($B$232:$B$255,$B272,Q$232:Q$255)+SUMIF($B$259,$B272,Q$259)</f>
        <v>3500</v>
      </c>
      <c r="R272" s="65">
        <f t="shared" si="162"/>
        <v>2500</v>
      </c>
      <c r="S272" s="65">
        <f t="shared" si="162"/>
        <v>-1000</v>
      </c>
    </row>
    <row r="273" spans="1:19" ht="15.75" customHeight="1" x14ac:dyDescent="0.25">
      <c r="A273" s="51" t="s">
        <v>1235</v>
      </c>
      <c r="B273" s="51" t="s">
        <v>80</v>
      </c>
      <c r="C273" s="400"/>
      <c r="D273" s="157">
        <f t="shared" si="141"/>
        <v>4280</v>
      </c>
      <c r="E273" s="160" t="e">
        <f>D273*#REF!</f>
        <v>#REF!</v>
      </c>
      <c r="F273" s="160" t="e">
        <f>D273*#REF!</f>
        <v>#REF!</v>
      </c>
      <c r="G273" s="160" t="e">
        <f>(D273*#REF!)*#REF!</f>
        <v>#REF!</v>
      </c>
      <c r="H273" s="296">
        <f t="shared" si="142"/>
        <v>0</v>
      </c>
      <c r="I273" s="147" t="e">
        <f t="shared" si="143"/>
        <v>#REF!</v>
      </c>
      <c r="J273" s="147"/>
      <c r="K273" s="400"/>
      <c r="L273" s="65">
        <f t="shared" ref="L273:O273" si="163">SUMIF($B$210:$B$228,$B273,L$210:L$228)+SUMIF($B$232:$B$255,$B273,L$232:L$255)+SUMIF($B$259,$B273,L$259)</f>
        <v>7025</v>
      </c>
      <c r="M273" s="65">
        <f t="shared" si="163"/>
        <v>7170.73</v>
      </c>
      <c r="N273" s="65">
        <f t="shared" si="163"/>
        <v>7000</v>
      </c>
      <c r="O273" s="65">
        <f t="shared" si="163"/>
        <v>6344.22</v>
      </c>
      <c r="P273" s="157">
        <f t="shared" si="159"/>
        <v>8458.9600000000009</v>
      </c>
      <c r="Q273" s="157">
        <f t="shared" ref="Q273:S273" si="164">SUMIF($B$210:$B$228,$B273,Q$210:Q$228)+SUMIF($B$232:$B$255,$B273,Q$232:Q$255)+SUMIF($B$259,$B273,Q$259)</f>
        <v>7400</v>
      </c>
      <c r="R273" s="65">
        <f t="shared" si="164"/>
        <v>7400</v>
      </c>
      <c r="S273" s="65">
        <f t="shared" si="164"/>
        <v>0</v>
      </c>
    </row>
    <row r="274" spans="1:19" ht="15.75" customHeight="1" x14ac:dyDescent="0.25">
      <c r="A274" s="51" t="s">
        <v>1235</v>
      </c>
      <c r="B274" s="51" t="s">
        <v>82</v>
      </c>
      <c r="C274" s="400"/>
      <c r="D274" s="157">
        <f t="shared" si="141"/>
        <v>16321</v>
      </c>
      <c r="E274" s="160" t="e">
        <f>D274*#REF!</f>
        <v>#REF!</v>
      </c>
      <c r="F274" s="160" t="e">
        <f>D274*#REF!</f>
        <v>#REF!</v>
      </c>
      <c r="G274" s="160" t="e">
        <f>(D274*#REF!)*#REF!</f>
        <v>#REF!</v>
      </c>
      <c r="H274" s="296">
        <f t="shared" si="142"/>
        <v>0</v>
      </c>
      <c r="I274" s="147" t="e">
        <f t="shared" si="143"/>
        <v>#REF!</v>
      </c>
      <c r="J274" s="147">
        <v>-12530</v>
      </c>
      <c r="K274" s="400"/>
      <c r="L274" s="65">
        <f t="shared" ref="L274:O274" si="165">SUMIF($B$210:$B$228,$B274,L$210:L$228)+SUMIF($B$232:$B$255,$B274,L$232:L$255)+SUMIF($B$259,$B274,L$259)</f>
        <v>20933</v>
      </c>
      <c r="M274" s="65">
        <f t="shared" si="165"/>
        <v>29593.69</v>
      </c>
      <c r="N274" s="65">
        <f t="shared" si="165"/>
        <v>51000</v>
      </c>
      <c r="O274" s="65">
        <f t="shared" si="165"/>
        <v>18740.82</v>
      </c>
      <c r="P274" s="157">
        <f t="shared" si="159"/>
        <v>24987.760000000002</v>
      </c>
      <c r="Q274" s="157">
        <f t="shared" ref="Q274:S274" si="166">SUMIF($B$210:$B$228,$B274,Q$210:Q$228)+SUMIF($B$232:$B$255,$B274,Q$232:Q$255)+SUMIF($B$259,$B274,Q$259)</f>
        <v>52530</v>
      </c>
      <c r="R274" s="65">
        <f t="shared" si="166"/>
        <v>40000</v>
      </c>
      <c r="S274" s="65">
        <f t="shared" si="166"/>
        <v>-12530</v>
      </c>
    </row>
    <row r="275" spans="1:19" ht="15.75" customHeight="1" x14ac:dyDescent="0.25">
      <c r="A275" s="51" t="s">
        <v>1235</v>
      </c>
      <c r="B275" s="51" t="s">
        <v>115</v>
      </c>
      <c r="C275" s="400"/>
      <c r="D275" s="157">
        <f t="shared" si="141"/>
        <v>27992</v>
      </c>
      <c r="E275" s="160" t="e">
        <f>D275*#REF!</f>
        <v>#REF!</v>
      </c>
      <c r="F275" s="160" t="e">
        <f>D275*#REF!</f>
        <v>#REF!</v>
      </c>
      <c r="G275" s="160" t="e">
        <f>(D275*#REF!)*#REF!</f>
        <v>#REF!</v>
      </c>
      <c r="H275" s="296">
        <f t="shared" si="142"/>
        <v>0</v>
      </c>
      <c r="I275" s="147" t="e">
        <f t="shared" si="143"/>
        <v>#REF!</v>
      </c>
      <c r="J275" s="147"/>
      <c r="K275" s="400"/>
      <c r="L275" s="65">
        <f t="shared" ref="L275:O275" si="167">SUMIF($B$210:$B$228,$B275,L$210:L$228)+SUMIF($B$232:$B$255,$B275,L$232:L$255)+SUMIF($B$259,$B275,L$259)</f>
        <v>11008</v>
      </c>
      <c r="M275" s="65">
        <f t="shared" si="167"/>
        <v>15125.63</v>
      </c>
      <c r="N275" s="65">
        <f t="shared" si="167"/>
        <v>17500</v>
      </c>
      <c r="O275" s="65">
        <f t="shared" si="167"/>
        <v>10811.9</v>
      </c>
      <c r="P275" s="408">
        <f t="shared" ref="P275:P277" si="168">N275</f>
        <v>17500</v>
      </c>
      <c r="Q275" s="157">
        <f t="shared" ref="Q275:S275" si="169">SUMIF($B$210:$B$228,$B275,Q$210:Q$228)+SUMIF($B$232:$B$255,$B275,Q$232:Q$255)+SUMIF($B$259,$B275,Q$259)</f>
        <v>19025</v>
      </c>
      <c r="R275" s="65">
        <f t="shared" si="169"/>
        <v>19025</v>
      </c>
      <c r="S275" s="65">
        <f t="shared" si="169"/>
        <v>0</v>
      </c>
    </row>
    <row r="276" spans="1:19" ht="15.75" customHeight="1" x14ac:dyDescent="0.25">
      <c r="A276" s="51" t="s">
        <v>1235</v>
      </c>
      <c r="B276" s="51" t="s">
        <v>210</v>
      </c>
      <c r="C276" s="400"/>
      <c r="D276" s="157">
        <f t="shared" si="141"/>
        <v>16002</v>
      </c>
      <c r="E276" s="160" t="e">
        <f>D276*#REF!</f>
        <v>#REF!</v>
      </c>
      <c r="F276" s="160" t="e">
        <f>D276*#REF!</f>
        <v>#REF!</v>
      </c>
      <c r="G276" s="160" t="e">
        <f>(D276*#REF!)*#REF!</f>
        <v>#REF!</v>
      </c>
      <c r="H276" s="296">
        <f t="shared" si="142"/>
        <v>0</v>
      </c>
      <c r="I276" s="147" t="e">
        <f t="shared" si="143"/>
        <v>#REF!</v>
      </c>
      <c r="J276" s="147">
        <v>-10000</v>
      </c>
      <c r="K276" s="400"/>
      <c r="L276" s="65">
        <f t="shared" ref="L276:O276" si="170">SUMIF($B$210:$B$228,$B276,L$210:L$228)+SUMIF($B$232:$B$255,$B276,L$232:L$255)+SUMIF($B$259,$B276,L$259)</f>
        <v>13104</v>
      </c>
      <c r="M276" s="65">
        <f t="shared" si="170"/>
        <v>14436.34</v>
      </c>
      <c r="N276" s="65">
        <f t="shared" si="170"/>
        <v>40000</v>
      </c>
      <c r="O276" s="65">
        <f t="shared" si="170"/>
        <v>18180.62</v>
      </c>
      <c r="P276" s="408">
        <f t="shared" si="168"/>
        <v>40000</v>
      </c>
      <c r="Q276" s="157">
        <f t="shared" ref="Q276:S276" si="171">SUMIF($B$210:$B$228,$B276,Q$210:Q$228)+SUMIF($B$232:$B$255,$B276,Q$232:Q$255)+SUMIF($B$259,$B276,Q$259)</f>
        <v>40000</v>
      </c>
      <c r="R276" s="65">
        <f t="shared" si="171"/>
        <v>30000</v>
      </c>
      <c r="S276" s="65">
        <f t="shared" si="171"/>
        <v>-10000</v>
      </c>
    </row>
    <row r="277" spans="1:19" ht="15.75" customHeight="1" x14ac:dyDescent="0.25">
      <c r="A277" s="51" t="s">
        <v>1235</v>
      </c>
      <c r="B277" s="51" t="s">
        <v>84</v>
      </c>
      <c r="C277" s="400"/>
      <c r="D277" s="157">
        <f t="shared" si="141"/>
        <v>4546</v>
      </c>
      <c r="E277" s="160" t="e">
        <f>D277*#REF!</f>
        <v>#REF!</v>
      </c>
      <c r="F277" s="160" t="e">
        <f>D277*#REF!</f>
        <v>#REF!</v>
      </c>
      <c r="G277" s="160" t="e">
        <f>(D277*#REF!)*#REF!</f>
        <v>#REF!</v>
      </c>
      <c r="H277" s="296">
        <f t="shared" si="142"/>
        <v>0</v>
      </c>
      <c r="I277" s="147" t="e">
        <f t="shared" si="143"/>
        <v>#REF!</v>
      </c>
      <c r="J277" s="147"/>
      <c r="K277" s="400"/>
      <c r="L277" s="65">
        <f t="shared" ref="L277:O277" si="172">SUMIF($B$210:$B$228,$B277,L$210:L$228)+SUMIF($B$232:$B$255,$B277,L$232:L$255)+SUMIF($B$259,$B277,L$259)</f>
        <v>8008</v>
      </c>
      <c r="M277" s="65">
        <f t="shared" si="172"/>
        <v>9363.59</v>
      </c>
      <c r="N277" s="65">
        <f t="shared" si="172"/>
        <v>9700</v>
      </c>
      <c r="O277" s="65">
        <f t="shared" si="172"/>
        <v>7617.54</v>
      </c>
      <c r="P277" s="408">
        <f t="shared" si="168"/>
        <v>9700</v>
      </c>
      <c r="Q277" s="157">
        <f t="shared" ref="Q277:S277" si="173">SUMIF($B$210:$B$228,$B277,Q$210:Q$228)+SUMIF($B$232:$B$255,$B277,Q$232:Q$255)+SUMIF($B$259,$B277,Q$259)</f>
        <v>10000</v>
      </c>
      <c r="R277" s="65">
        <f t="shared" si="173"/>
        <v>10000</v>
      </c>
      <c r="S277" s="65">
        <f t="shared" si="173"/>
        <v>0</v>
      </c>
    </row>
    <row r="278" spans="1:19" ht="15.75" customHeight="1" x14ac:dyDescent="0.25">
      <c r="A278" s="51" t="s">
        <v>1235</v>
      </c>
      <c r="B278" s="51" t="s">
        <v>1450</v>
      </c>
      <c r="C278" s="400"/>
      <c r="D278" s="157">
        <f t="shared" si="141"/>
        <v>104108</v>
      </c>
      <c r="E278" s="160" t="e">
        <f>D278*#REF!</f>
        <v>#REF!</v>
      </c>
      <c r="F278" s="160" t="e">
        <f>D278*#REF!</f>
        <v>#REF!</v>
      </c>
      <c r="G278" s="160" t="e">
        <f>(D278*#REF!)*#REF!</f>
        <v>#REF!</v>
      </c>
      <c r="H278" s="296">
        <f t="shared" si="142"/>
        <v>0</v>
      </c>
      <c r="I278" s="147" t="e">
        <f t="shared" si="143"/>
        <v>#REF!</v>
      </c>
      <c r="J278" s="147"/>
      <c r="K278" s="400"/>
      <c r="L278" s="65">
        <f t="shared" ref="L278:O278" si="174">SUMIF($B$210:$B$228,$B278,L$210:L$228)+SUMIF($B$232:$B$255,$B278,L$232:L$255)+SUMIF($B$259,$B278,L$259)</f>
        <v>160310</v>
      </c>
      <c r="M278" s="65">
        <f t="shared" si="174"/>
        <v>118428.65</v>
      </c>
      <c r="N278" s="65">
        <f t="shared" si="174"/>
        <v>120000</v>
      </c>
      <c r="O278" s="65">
        <f t="shared" si="174"/>
        <v>80644.27</v>
      </c>
      <c r="P278" s="157">
        <f t="shared" ref="P278:P280" si="175">O278/9*12</f>
        <v>107525.69333333333</v>
      </c>
      <c r="Q278" s="157">
        <f t="shared" ref="Q278:S278" si="176">SUMIF($B$210:$B$228,$B278,Q$210:Q$228)+SUMIF($B$232:$B$255,$B278,Q$232:Q$255)+SUMIF($B$259,$B278,Q$259)</f>
        <v>123600</v>
      </c>
      <c r="R278" s="65">
        <f t="shared" si="176"/>
        <v>123600</v>
      </c>
      <c r="S278" s="65">
        <f t="shared" si="176"/>
        <v>0</v>
      </c>
    </row>
    <row r="279" spans="1:19" ht="15.75" customHeight="1" x14ac:dyDescent="0.25">
      <c r="A279" s="51" t="s">
        <v>1235</v>
      </c>
      <c r="B279" s="51" t="s">
        <v>1452</v>
      </c>
      <c r="C279" s="400"/>
      <c r="D279" s="157">
        <f t="shared" si="141"/>
        <v>18884</v>
      </c>
      <c r="E279" s="160" t="e">
        <f>D279*#REF!</f>
        <v>#REF!</v>
      </c>
      <c r="F279" s="160" t="e">
        <f>D279*#REF!</f>
        <v>#REF!</v>
      </c>
      <c r="G279" s="160" t="e">
        <f>(D279*#REF!)*#REF!</f>
        <v>#REF!</v>
      </c>
      <c r="H279" s="296">
        <f t="shared" si="142"/>
        <v>0</v>
      </c>
      <c r="I279" s="147" t="e">
        <f t="shared" si="143"/>
        <v>#REF!</v>
      </c>
      <c r="J279" s="147">
        <v>-30000</v>
      </c>
      <c r="K279" s="400"/>
      <c r="L279" s="65">
        <f t="shared" ref="L279:O279" si="177">SUMIF($B$210:$B$228,$B279,L$210:L$228)+SUMIF($B$232:$B$255,$B279,L$232:L$255)+SUMIF($B$259,$B279,L$259)</f>
        <v>17999</v>
      </c>
      <c r="M279" s="65">
        <f t="shared" si="177"/>
        <v>15406.12</v>
      </c>
      <c r="N279" s="65">
        <f t="shared" si="177"/>
        <v>60000</v>
      </c>
      <c r="O279" s="65">
        <f t="shared" si="177"/>
        <v>16259.81</v>
      </c>
      <c r="P279" s="157">
        <f t="shared" si="175"/>
        <v>21679.746666666666</v>
      </c>
      <c r="Q279" s="157">
        <f t="shared" ref="Q279:S279" si="178">SUMIF($B$210:$B$228,$B279,Q$210:Q$228)+SUMIF($B$232:$B$255,$B279,Q$232:Q$255)+SUMIF($B$259,$B279,Q$259)</f>
        <v>60000</v>
      </c>
      <c r="R279" s="65">
        <f t="shared" si="178"/>
        <v>30000</v>
      </c>
      <c r="S279" s="65">
        <f t="shared" si="178"/>
        <v>-30000</v>
      </c>
    </row>
    <row r="280" spans="1:19" ht="15.75" customHeight="1" x14ac:dyDescent="0.25">
      <c r="A280" s="51" t="s">
        <v>1235</v>
      </c>
      <c r="B280" s="51" t="s">
        <v>86</v>
      </c>
      <c r="C280" s="400"/>
      <c r="D280" s="157">
        <f t="shared" si="141"/>
        <v>0</v>
      </c>
      <c r="E280" s="160" t="e">
        <f>D280*#REF!</f>
        <v>#REF!</v>
      </c>
      <c r="F280" s="160" t="e">
        <f>D280*#REF!</f>
        <v>#REF!</v>
      </c>
      <c r="G280" s="160" t="e">
        <f>(D280*#REF!)*#REF!</f>
        <v>#REF!</v>
      </c>
      <c r="H280" s="296">
        <f t="shared" si="142"/>
        <v>0</v>
      </c>
      <c r="I280" s="147" t="e">
        <f t="shared" si="143"/>
        <v>#REF!</v>
      </c>
      <c r="J280" s="147"/>
      <c r="K280" s="400"/>
      <c r="L280" s="65">
        <f t="shared" ref="L280:O280" si="179">SUMIF($B$210:$B$228,$B280,L$210:L$228)+SUMIF($B$232:$B$255,$B280,L$232:L$255)+SUMIF($B$259,$B280,L$259)</f>
        <v>0</v>
      </c>
      <c r="M280" s="65">
        <f t="shared" si="179"/>
        <v>2500</v>
      </c>
      <c r="N280" s="65">
        <f t="shared" si="179"/>
        <v>11000</v>
      </c>
      <c r="O280" s="65">
        <f t="shared" si="179"/>
        <v>2500</v>
      </c>
      <c r="P280" s="157">
        <f t="shared" si="175"/>
        <v>3333.333333333333</v>
      </c>
      <c r="Q280" s="157">
        <f t="shared" ref="Q280:S280" si="180">SUMIF($B$210:$B$228,$B280,Q$210:Q$228)+SUMIF($B$232:$B$255,$B280,Q$232:Q$255)+SUMIF($B$259,$B280,Q$259)</f>
        <v>11400</v>
      </c>
      <c r="R280" s="65">
        <f t="shared" si="180"/>
        <v>11400</v>
      </c>
      <c r="S280" s="65">
        <f t="shared" si="180"/>
        <v>0</v>
      </c>
    </row>
    <row r="281" spans="1:19" ht="15.75" customHeight="1" x14ac:dyDescent="0.25">
      <c r="A281" s="51" t="s">
        <v>1235</v>
      </c>
      <c r="B281" s="51" t="s">
        <v>88</v>
      </c>
      <c r="C281" s="400"/>
      <c r="D281" s="157">
        <f t="shared" si="141"/>
        <v>2000</v>
      </c>
      <c r="E281" s="160" t="e">
        <f>D281*#REF!</f>
        <v>#REF!</v>
      </c>
      <c r="F281" s="160" t="e">
        <f>D281*#REF!</f>
        <v>#REF!</v>
      </c>
      <c r="G281" s="160" t="e">
        <f>(D281*#REF!)*#REF!</f>
        <v>#REF!</v>
      </c>
      <c r="H281" s="296">
        <f t="shared" si="142"/>
        <v>0</v>
      </c>
      <c r="I281" s="147" t="e">
        <f t="shared" si="143"/>
        <v>#REF!</v>
      </c>
      <c r="J281" s="147">
        <v>-5000</v>
      </c>
      <c r="K281" s="400"/>
      <c r="L281" s="65">
        <f t="shared" ref="L281:O281" si="181">SUMIF($B$210:$B$228,$B281,L$210:L$228)+SUMIF($B$232:$B$255,$B281,L$232:L$255)+SUMIF($B$259,$B281,L$259)</f>
        <v>0</v>
      </c>
      <c r="M281" s="65">
        <f t="shared" si="181"/>
        <v>0</v>
      </c>
      <c r="N281" s="65">
        <f t="shared" si="181"/>
        <v>0</v>
      </c>
      <c r="O281" s="65">
        <f t="shared" si="181"/>
        <v>0</v>
      </c>
      <c r="P281" s="157">
        <f>IF(O281/9*12&lt;N281,N281,O281/9*12)</f>
        <v>0</v>
      </c>
      <c r="Q281" s="157">
        <f t="shared" ref="Q281:S281" si="182">SUMIF($B$210:$B$228,$B281,Q$210:Q$228)+SUMIF($B$232:$B$255,$B281,Q$232:Q$255)+SUMIF($B$259,$B281,Q$259)</f>
        <v>7150</v>
      </c>
      <c r="R281" s="65">
        <f t="shared" si="182"/>
        <v>2150</v>
      </c>
      <c r="S281" s="65">
        <f t="shared" si="182"/>
        <v>-5000</v>
      </c>
    </row>
    <row r="282" spans="1:19" ht="15.75" customHeight="1" x14ac:dyDescent="0.25">
      <c r="A282" s="51" t="s">
        <v>1235</v>
      </c>
      <c r="B282" s="51" t="s">
        <v>90</v>
      </c>
      <c r="C282" s="400"/>
      <c r="D282" s="157">
        <f t="shared" si="141"/>
        <v>0</v>
      </c>
      <c r="E282" s="160" t="e">
        <f>D282*#REF!</f>
        <v>#REF!</v>
      </c>
      <c r="F282" s="160" t="e">
        <f>D282*#REF!</f>
        <v>#REF!</v>
      </c>
      <c r="G282" s="160" t="e">
        <f>(D282*#REF!)*#REF!</f>
        <v>#REF!</v>
      </c>
      <c r="H282" s="296">
        <f t="shared" si="142"/>
        <v>0</v>
      </c>
      <c r="I282" s="147" t="e">
        <f t="shared" si="143"/>
        <v>#REF!</v>
      </c>
      <c r="J282" s="147">
        <v>-1000</v>
      </c>
      <c r="K282" s="400"/>
      <c r="L282" s="65">
        <f t="shared" ref="L282:O282" si="183">SUMIF($B$210:$B$228,$B282,L$210:L$228)+SUMIF($B$232:$B$255,$B282,L$232:L$255)+SUMIF($B$259,$B282,L$259)</f>
        <v>0</v>
      </c>
      <c r="M282" s="65">
        <f t="shared" si="183"/>
        <v>0</v>
      </c>
      <c r="N282" s="65">
        <f t="shared" si="183"/>
        <v>4800</v>
      </c>
      <c r="O282" s="65">
        <f t="shared" si="183"/>
        <v>860</v>
      </c>
      <c r="P282" s="157">
        <f>O282/9*12</f>
        <v>1146.6666666666667</v>
      </c>
      <c r="Q282" s="157">
        <f t="shared" ref="Q282:S282" si="184">SUMIF($B$210:$B$228,$B282,Q$210:Q$228)+SUMIF($B$232:$B$255,$B282,Q$232:Q$255)+SUMIF($B$259,$B282,Q$259)</f>
        <v>5000</v>
      </c>
      <c r="R282" s="65">
        <f t="shared" si="184"/>
        <v>4000</v>
      </c>
      <c r="S282" s="65">
        <f t="shared" si="184"/>
        <v>-1000</v>
      </c>
    </row>
    <row r="283" spans="1:19" ht="15.75" customHeight="1" x14ac:dyDescent="0.25">
      <c r="A283" s="51" t="s">
        <v>1235</v>
      </c>
      <c r="B283" s="51" t="s">
        <v>1209</v>
      </c>
      <c r="C283" s="400"/>
      <c r="D283" s="157">
        <f t="shared" si="141"/>
        <v>2248</v>
      </c>
      <c r="E283" s="160" t="e">
        <f>D283*#REF!</f>
        <v>#REF!</v>
      </c>
      <c r="F283" s="160" t="e">
        <f>D283*#REF!</f>
        <v>#REF!</v>
      </c>
      <c r="G283" s="160" t="e">
        <f>(D283*#REF!)*#REF!</f>
        <v>#REF!</v>
      </c>
      <c r="H283" s="296">
        <f t="shared" si="142"/>
        <v>0</v>
      </c>
      <c r="I283" s="147" t="e">
        <f t="shared" si="143"/>
        <v>#REF!</v>
      </c>
      <c r="J283" s="147">
        <v>-1000</v>
      </c>
      <c r="K283" s="400"/>
      <c r="L283" s="65">
        <f t="shared" ref="L283:O283" si="185">SUMIF($B$210:$B$228,$B283,L$210:L$228)+SUMIF($B$232:$B$255,$B283,L$232:L$255)+SUMIF($B$259,$B283,L$259)</f>
        <v>2974</v>
      </c>
      <c r="M283" s="65">
        <f t="shared" si="185"/>
        <v>3948.71</v>
      </c>
      <c r="N283" s="65">
        <f t="shared" si="185"/>
        <v>5750</v>
      </c>
      <c r="O283" s="65">
        <f t="shared" si="185"/>
        <v>3148.65</v>
      </c>
      <c r="P283" s="408">
        <f>IF(O283/9*12&lt;N283,N283,O283/9*12)</f>
        <v>5750</v>
      </c>
      <c r="Q283" s="157">
        <f t="shared" ref="Q283:S283" si="186">SUMIF($B$210:$B$228,$B283,Q$210:Q$228)+SUMIF($B$232:$B$255,$B283,Q$232:Q$255)+SUMIF($B$259,$B283,Q$259)</f>
        <v>6000</v>
      </c>
      <c r="R283" s="65">
        <f t="shared" si="186"/>
        <v>5000</v>
      </c>
      <c r="S283" s="65">
        <f t="shared" si="186"/>
        <v>-1000</v>
      </c>
    </row>
    <row r="284" spans="1:19" ht="15.75" customHeight="1" x14ac:dyDescent="0.25">
      <c r="A284" s="51" t="s">
        <v>1235</v>
      </c>
      <c r="B284" s="51" t="s">
        <v>92</v>
      </c>
      <c r="C284" s="400"/>
      <c r="D284" s="157">
        <f t="shared" si="141"/>
        <v>3880</v>
      </c>
      <c r="E284" s="160" t="e">
        <f>D284*#REF!</f>
        <v>#REF!</v>
      </c>
      <c r="F284" s="160" t="e">
        <f>D284*#REF!</f>
        <v>#REF!</v>
      </c>
      <c r="G284" s="160" t="e">
        <f>(D284*#REF!)*#REF!</f>
        <v>#REF!</v>
      </c>
      <c r="H284" s="296">
        <f t="shared" si="142"/>
        <v>0</v>
      </c>
      <c r="I284" s="147" t="e">
        <f t="shared" si="143"/>
        <v>#REF!</v>
      </c>
      <c r="J284" s="147"/>
      <c r="K284" s="400"/>
      <c r="L284" s="65">
        <f t="shared" ref="L284:O284" si="187">SUMIF($B$210:$B$228,$B284,L$210:L$228)+SUMIF($B$232:$B$255,$B284,L$232:L$255)+SUMIF($B$259,$B284,L$259)</f>
        <v>6779</v>
      </c>
      <c r="M284" s="65">
        <f t="shared" si="187"/>
        <v>8020.77</v>
      </c>
      <c r="N284" s="65">
        <f t="shared" si="187"/>
        <v>7000</v>
      </c>
      <c r="O284" s="65">
        <f t="shared" si="187"/>
        <v>8757.0300000000007</v>
      </c>
      <c r="P284" s="408">
        <f>O284</f>
        <v>8757.0300000000007</v>
      </c>
      <c r="Q284" s="157">
        <f t="shared" ref="Q284:S284" si="188">SUMIF($B$210:$B$228,$B284,Q$210:Q$228)+SUMIF($B$232:$B$255,$B284,Q$232:Q$255)+SUMIF($B$259,$B284,Q$259)</f>
        <v>7000</v>
      </c>
      <c r="R284" s="65">
        <f t="shared" si="188"/>
        <v>7000</v>
      </c>
      <c r="S284" s="65">
        <f t="shared" si="188"/>
        <v>0</v>
      </c>
    </row>
    <row r="285" spans="1:19" ht="15.75" customHeight="1" x14ac:dyDescent="0.25">
      <c r="A285" s="51" t="s">
        <v>1235</v>
      </c>
      <c r="B285" s="51" t="s">
        <v>94</v>
      </c>
      <c r="C285" s="400"/>
      <c r="D285" s="157">
        <f t="shared" si="141"/>
        <v>4000</v>
      </c>
      <c r="E285" s="160" t="e">
        <f>D285*#REF!</f>
        <v>#REF!</v>
      </c>
      <c r="F285" s="160" t="e">
        <f>D285*#REF!</f>
        <v>#REF!</v>
      </c>
      <c r="G285" s="160" t="e">
        <f>(D285*#REF!)*#REF!</f>
        <v>#REF!</v>
      </c>
      <c r="H285" s="296">
        <f t="shared" si="142"/>
        <v>0</v>
      </c>
      <c r="I285" s="147" t="e">
        <f t="shared" si="143"/>
        <v>#REF!</v>
      </c>
      <c r="J285" s="147"/>
      <c r="K285" s="400"/>
      <c r="L285" s="65">
        <f t="shared" ref="L285:O285" si="189">SUMIF($B$210:$B$228,$B285,L$210:L$228)+SUMIF($B$232:$B$255,$B285,L$232:L$255)+SUMIF($B$259,$B285,L$259)</f>
        <v>17998</v>
      </c>
      <c r="M285" s="65">
        <f t="shared" si="189"/>
        <v>0</v>
      </c>
      <c r="N285" s="65">
        <f t="shared" si="189"/>
        <v>0</v>
      </c>
      <c r="O285" s="65">
        <f t="shared" si="189"/>
        <v>0</v>
      </c>
      <c r="P285" s="157">
        <f t="shared" ref="P285:P286" si="190">IF(O285/9*12&lt;N285,N285,O285/9*12)</f>
        <v>0</v>
      </c>
      <c r="Q285" s="157">
        <f t="shared" ref="Q285:S285" si="191">SUMIF($B$210:$B$228,$B285,Q$210:Q$228)+SUMIF($B$232:$B$255,$B285,Q$232:Q$255)+SUMIF($B$259,$B285,Q$259)</f>
        <v>0</v>
      </c>
      <c r="R285" s="65">
        <f t="shared" si="191"/>
        <v>0</v>
      </c>
      <c r="S285" s="65">
        <f t="shared" si="191"/>
        <v>0</v>
      </c>
    </row>
    <row r="286" spans="1:19" ht="15.75" customHeight="1" x14ac:dyDescent="0.25">
      <c r="A286" s="51" t="s">
        <v>1235</v>
      </c>
      <c r="B286" s="51" t="s">
        <v>1481</v>
      </c>
      <c r="C286" s="400"/>
      <c r="D286" s="157">
        <f t="shared" si="141"/>
        <v>0</v>
      </c>
      <c r="E286" s="160" t="e">
        <f>D286*#REF!</f>
        <v>#REF!</v>
      </c>
      <c r="F286" s="160" t="e">
        <f>D286*#REF!</f>
        <v>#REF!</v>
      </c>
      <c r="G286" s="160" t="e">
        <f>(D286*#REF!)*#REF!</f>
        <v>#REF!</v>
      </c>
      <c r="H286" s="296">
        <f t="shared" si="142"/>
        <v>0</v>
      </c>
      <c r="I286" s="147" t="e">
        <f t="shared" si="143"/>
        <v>#REF!</v>
      </c>
      <c r="J286" s="147">
        <v>5000</v>
      </c>
      <c r="K286" s="400"/>
      <c r="L286" s="65">
        <f t="shared" ref="L286:O286" si="192">SUMIF($B$210:$B$228,$B286,L$210:L$228)+SUMIF($B$232:$B$255,$B286,L$232:L$255)+SUMIF($B$259,$B286,L$259)</f>
        <v>0</v>
      </c>
      <c r="M286" s="65">
        <f t="shared" si="192"/>
        <v>0</v>
      </c>
      <c r="N286" s="65">
        <f t="shared" si="192"/>
        <v>0</v>
      </c>
      <c r="O286" s="65">
        <f t="shared" si="192"/>
        <v>0</v>
      </c>
      <c r="P286" s="157">
        <f t="shared" si="190"/>
        <v>0</v>
      </c>
      <c r="Q286" s="157">
        <f t="shared" ref="Q286:S286" si="193">SUMIF($B$210:$B$228,$B286,Q$210:Q$228)+SUMIF($B$232:$B$255,$B286,Q$232:Q$255)+SUMIF($B$259,$B286,Q$259)</f>
        <v>0</v>
      </c>
      <c r="R286" s="65">
        <f t="shared" si="193"/>
        <v>5000</v>
      </c>
      <c r="S286" s="65">
        <f t="shared" si="193"/>
        <v>5000</v>
      </c>
    </row>
    <row r="287" spans="1:19" ht="15.75" customHeight="1" x14ac:dyDescent="0.25">
      <c r="A287" s="51" t="s">
        <v>1235</v>
      </c>
      <c r="B287" s="51" t="s">
        <v>1011</v>
      </c>
      <c r="C287" s="400"/>
      <c r="D287" s="157">
        <f t="shared" si="141"/>
        <v>0</v>
      </c>
      <c r="E287" s="160" t="e">
        <f>D287*#REF!</f>
        <v>#REF!</v>
      </c>
      <c r="F287" s="160" t="e">
        <f>D287*#REF!</f>
        <v>#REF!</v>
      </c>
      <c r="G287" s="160" t="e">
        <f>(D287*#REF!)*#REF!</f>
        <v>#REF!</v>
      </c>
      <c r="H287" s="296">
        <f t="shared" si="142"/>
        <v>0</v>
      </c>
      <c r="I287" s="147" t="e">
        <f t="shared" si="143"/>
        <v>#REF!</v>
      </c>
      <c r="J287" s="147">
        <v>-7200</v>
      </c>
      <c r="K287" s="400"/>
      <c r="L287" s="65">
        <f t="shared" ref="L287:O287" si="194">SUMIF($B$210:$B$228,$B287,L$210:L$228)+SUMIF($B$232:$B$255,$B287,L$232:L$255)+SUMIF($B$259,$B287,L$259)</f>
        <v>0</v>
      </c>
      <c r="M287" s="65">
        <f t="shared" si="194"/>
        <v>7458.14</v>
      </c>
      <c r="N287" s="65">
        <f t="shared" si="194"/>
        <v>7200</v>
      </c>
      <c r="O287" s="65">
        <f t="shared" si="194"/>
        <v>0</v>
      </c>
      <c r="P287" s="157">
        <f>O287/9*12</f>
        <v>0</v>
      </c>
      <c r="Q287" s="157">
        <f t="shared" ref="Q287:S287" si="195">SUMIF($B$210:$B$228,$B287,Q$210:Q$228)+SUMIF($B$232:$B$255,$B287,Q$232:Q$255)+SUMIF($B$259,$B287,Q$259)</f>
        <v>7200</v>
      </c>
      <c r="R287" s="65">
        <f t="shared" si="195"/>
        <v>0</v>
      </c>
      <c r="S287" s="65">
        <f t="shared" si="195"/>
        <v>-7200</v>
      </c>
    </row>
    <row r="288" spans="1:19" ht="15.75" customHeight="1" x14ac:dyDescent="0.25">
      <c r="A288" s="74" t="s">
        <v>1458</v>
      </c>
      <c r="B288" s="75"/>
      <c r="C288" s="299"/>
      <c r="D288" s="189">
        <f t="shared" ref="D288:G288" si="196">SUM(D265:D287)</f>
        <v>477526</v>
      </c>
      <c r="E288" s="189" t="e">
        <f t="shared" si="196"/>
        <v>#REF!</v>
      </c>
      <c r="F288" s="189" t="e">
        <f t="shared" si="196"/>
        <v>#REF!</v>
      </c>
      <c r="G288" s="189" t="e">
        <f t="shared" si="196"/>
        <v>#REF!</v>
      </c>
      <c r="H288" s="300">
        <f t="shared" si="142"/>
        <v>0</v>
      </c>
      <c r="I288" s="189" t="e">
        <f t="shared" si="143"/>
        <v>#REF!</v>
      </c>
      <c r="J288" s="189">
        <f>SUM(J265:J287)</f>
        <v>-74830</v>
      </c>
      <c r="K288" s="299"/>
      <c r="L288" s="77">
        <f t="shared" ref="L288:S288" si="197">SUM(L265:L287)</f>
        <v>666673</v>
      </c>
      <c r="M288" s="77">
        <f t="shared" si="197"/>
        <v>734483.63</v>
      </c>
      <c r="N288" s="77">
        <f t="shared" si="197"/>
        <v>929381</v>
      </c>
      <c r="O288" s="77">
        <f t="shared" si="197"/>
        <v>625164.84000000008</v>
      </c>
      <c r="P288" s="189">
        <f t="shared" si="197"/>
        <v>815163.7803333333</v>
      </c>
      <c r="Q288" s="189">
        <f t="shared" si="197"/>
        <v>979430</v>
      </c>
      <c r="R288" s="77">
        <f t="shared" si="197"/>
        <v>904600</v>
      </c>
      <c r="S288" s="77">
        <f t="shared" si="197"/>
        <v>-74830</v>
      </c>
    </row>
    <row r="289" spans="1:28" ht="15.75" customHeight="1" x14ac:dyDescent="0.25">
      <c r="A289" s="51"/>
      <c r="B289" s="51"/>
      <c r="C289" s="400"/>
      <c r="D289" s="65"/>
      <c r="E289" s="65"/>
      <c r="F289" s="65"/>
      <c r="G289" s="65"/>
      <c r="H289" s="234"/>
      <c r="K289" s="400"/>
      <c r="L289" s="65"/>
      <c r="M289" s="65"/>
      <c r="N289" s="65"/>
      <c r="O289" s="65"/>
      <c r="P289" s="65"/>
      <c r="Q289" s="65"/>
    </row>
    <row r="290" spans="1:28" ht="15.75" customHeight="1" x14ac:dyDescent="0.25">
      <c r="A290" s="51" t="s">
        <v>1235</v>
      </c>
      <c r="B290" s="51" t="s">
        <v>99</v>
      </c>
      <c r="C290" s="400"/>
      <c r="D290" s="157">
        <f t="shared" ref="D290:G290" si="198">SUMIF($B$210:$B$228,$B290,D$210:D$228)+SUMIF($B$232:$B$255,$B290,D$232:D$255)+SUMIF($B$259,$B290,D$259)</f>
        <v>121619</v>
      </c>
      <c r="E290" s="157" t="e">
        <f t="shared" si="198"/>
        <v>#REF!</v>
      </c>
      <c r="F290" s="157" t="e">
        <f t="shared" si="198"/>
        <v>#REF!</v>
      </c>
      <c r="G290" s="157" t="e">
        <f t="shared" si="198"/>
        <v>#REF!</v>
      </c>
      <c r="H290" s="296">
        <f t="shared" ref="H290:H291" si="199">IFERROR(((Q290-G290)/G290),0)</f>
        <v>0</v>
      </c>
      <c r="I290" s="147" t="e">
        <f t="shared" ref="I290:I291" si="200">Q290-G290</f>
        <v>#REF!</v>
      </c>
      <c r="J290" s="147">
        <v>-15000</v>
      </c>
      <c r="K290" s="400"/>
      <c r="L290" s="65">
        <f t="shared" ref="L290:O290" si="201">SUMIF($B$210:$B$228,$B290,L$210:L$228)+SUMIF($B$232:$B$255,$B290,L$232:L$255)+SUMIF($B$259,$B290,L$259)</f>
        <v>107368</v>
      </c>
      <c r="M290" s="65">
        <f t="shared" si="201"/>
        <v>121658.49</v>
      </c>
      <c r="N290" s="65">
        <f t="shared" si="201"/>
        <v>63000</v>
      </c>
      <c r="O290" s="65">
        <f t="shared" si="201"/>
        <v>55781.01</v>
      </c>
      <c r="P290" s="408">
        <f>N290</f>
        <v>63000</v>
      </c>
      <c r="Q290" s="157">
        <f t="shared" ref="Q290:S290" si="202">SUMIF($B$210:$B$228,$B290,Q$210:Q$228)+SUMIF($B$232:$B$255,$B290,Q$232:Q$255)+SUMIF($B$259,$B290,Q$259)</f>
        <v>61000</v>
      </c>
      <c r="R290" s="65">
        <f t="shared" si="202"/>
        <v>46000</v>
      </c>
      <c r="S290" s="65">
        <f t="shared" si="202"/>
        <v>-15000</v>
      </c>
    </row>
    <row r="291" spans="1:28" ht="15.75" customHeight="1" x14ac:dyDescent="0.25">
      <c r="A291" s="74" t="s">
        <v>1485</v>
      </c>
      <c r="B291" s="75"/>
      <c r="C291" s="299"/>
      <c r="D291" s="189">
        <f t="shared" ref="D291:G291" si="203">D290</f>
        <v>121619</v>
      </c>
      <c r="E291" s="189" t="e">
        <f t="shared" si="203"/>
        <v>#REF!</v>
      </c>
      <c r="F291" s="189" t="e">
        <f t="shared" si="203"/>
        <v>#REF!</v>
      </c>
      <c r="G291" s="189" t="e">
        <f t="shared" si="203"/>
        <v>#REF!</v>
      </c>
      <c r="H291" s="300">
        <f t="shared" si="199"/>
        <v>0</v>
      </c>
      <c r="I291" s="189" t="e">
        <f t="shared" si="200"/>
        <v>#REF!</v>
      </c>
      <c r="J291" s="189">
        <f>J290</f>
        <v>-15000</v>
      </c>
      <c r="K291" s="299"/>
      <c r="L291" s="77">
        <f t="shared" ref="L291:S291" si="204">L290</f>
        <v>107368</v>
      </c>
      <c r="M291" s="77">
        <f t="shared" si="204"/>
        <v>121658.49</v>
      </c>
      <c r="N291" s="77">
        <f t="shared" si="204"/>
        <v>63000</v>
      </c>
      <c r="O291" s="77">
        <f t="shared" si="204"/>
        <v>55781.01</v>
      </c>
      <c r="P291" s="189">
        <f t="shared" si="204"/>
        <v>63000</v>
      </c>
      <c r="Q291" s="189">
        <f t="shared" si="204"/>
        <v>61000</v>
      </c>
      <c r="R291" s="77">
        <f t="shared" si="204"/>
        <v>46000</v>
      </c>
      <c r="S291" s="77">
        <f t="shared" si="204"/>
        <v>-15000</v>
      </c>
    </row>
    <row r="292" spans="1:28" ht="15.75" customHeight="1" x14ac:dyDescent="0.2">
      <c r="A292" s="92"/>
      <c r="B292" s="92"/>
      <c r="C292" s="409"/>
      <c r="D292" s="89">
        <f t="shared" ref="D292:G292" si="205">(D291+D288)-D256-D229-D260</f>
        <v>0</v>
      </c>
      <c r="E292" s="89" t="e">
        <f t="shared" si="205"/>
        <v>#REF!</v>
      </c>
      <c r="F292" s="89" t="e">
        <f t="shared" si="205"/>
        <v>#REF!</v>
      </c>
      <c r="G292" s="89" t="e">
        <f t="shared" si="205"/>
        <v>#REF!</v>
      </c>
      <c r="H292" s="92"/>
      <c r="I292" s="92"/>
      <c r="J292" s="92"/>
      <c r="K292" s="409"/>
      <c r="L292" s="92"/>
      <c r="M292" s="92"/>
      <c r="N292" s="92"/>
      <c r="O292" s="92"/>
      <c r="P292" s="92"/>
      <c r="Q292" s="92"/>
      <c r="R292" s="92"/>
      <c r="V292" s="92"/>
      <c r="W292" s="92"/>
      <c r="X292" s="92"/>
      <c r="Y292" s="92"/>
      <c r="Z292" s="92"/>
      <c r="AA292" s="92"/>
      <c r="AB292" s="92"/>
    </row>
    <row r="293" spans="1:28" ht="15.75" customHeight="1" x14ac:dyDescent="0.25">
      <c r="A293" s="74" t="s">
        <v>1487</v>
      </c>
      <c r="B293" s="75"/>
      <c r="C293" s="299"/>
      <c r="D293" s="189">
        <f t="shared" ref="D293:G293" si="206">D288+D291</f>
        <v>599145</v>
      </c>
      <c r="E293" s="189" t="e">
        <f t="shared" si="206"/>
        <v>#REF!</v>
      </c>
      <c r="F293" s="189" t="e">
        <f t="shared" si="206"/>
        <v>#REF!</v>
      </c>
      <c r="G293" s="189" t="e">
        <f t="shared" si="206"/>
        <v>#REF!</v>
      </c>
      <c r="H293" s="300">
        <f>IFERROR(((Q293-G293)/G293),0)</f>
        <v>0</v>
      </c>
      <c r="I293" s="189" t="e">
        <f>Q293-G293</f>
        <v>#REF!</v>
      </c>
      <c r="J293" s="189">
        <f>J288+J291</f>
        <v>-89830</v>
      </c>
      <c r="K293" s="299"/>
      <c r="L293" s="77">
        <f t="shared" ref="L293:S293" si="207">L288+L291</f>
        <v>774041</v>
      </c>
      <c r="M293" s="77">
        <f t="shared" si="207"/>
        <v>856142.12</v>
      </c>
      <c r="N293" s="77">
        <f t="shared" si="207"/>
        <v>992381</v>
      </c>
      <c r="O293" s="77">
        <f t="shared" si="207"/>
        <v>680945.85000000009</v>
      </c>
      <c r="P293" s="189">
        <f t="shared" si="207"/>
        <v>878163.7803333333</v>
      </c>
      <c r="Q293" s="189">
        <f t="shared" si="207"/>
        <v>1040430</v>
      </c>
      <c r="R293" s="77">
        <f t="shared" si="207"/>
        <v>950600</v>
      </c>
      <c r="S293" s="77">
        <f t="shared" si="207"/>
        <v>-89830</v>
      </c>
    </row>
    <row r="294" spans="1:28" ht="15.75" customHeight="1" x14ac:dyDescent="0.2">
      <c r="C294" s="287"/>
      <c r="K294" s="287"/>
    </row>
    <row r="295" spans="1:28" ht="15.75" customHeight="1" x14ac:dyDescent="0.2">
      <c r="A295" s="69" t="s">
        <v>184</v>
      </c>
      <c r="C295" s="287"/>
      <c r="K295" s="287"/>
    </row>
    <row r="296" spans="1:28" ht="15.75" customHeight="1" x14ac:dyDescent="0.25">
      <c r="A296" s="51" t="s">
        <v>1488</v>
      </c>
      <c r="B296" s="51" t="s">
        <v>1489</v>
      </c>
      <c r="C296" s="287"/>
      <c r="D296" s="97">
        <v>0</v>
      </c>
      <c r="E296" s="160" t="e">
        <f>D296*#REF!</f>
        <v>#REF!</v>
      </c>
      <c r="F296" s="160" t="e">
        <f>D296*#REF!</f>
        <v>#REF!</v>
      </c>
      <c r="G296" s="160" t="e">
        <f>(D296*#REF!)*#REF!</f>
        <v>#REF!</v>
      </c>
      <c r="H296" s="296">
        <f t="shared" ref="H296:H307" si="208">IFERROR(((Q296-G296)/G296),0)</f>
        <v>0</v>
      </c>
      <c r="I296" s="147" t="e">
        <f t="shared" ref="I296:I307" si="209">Q296-G296</f>
        <v>#REF!</v>
      </c>
      <c r="J296" s="97"/>
      <c r="K296" s="287"/>
      <c r="L296" s="51">
        <v>0</v>
      </c>
      <c r="M296" s="54">
        <v>-23643.13</v>
      </c>
      <c r="N296" s="54">
        <v>-23000</v>
      </c>
      <c r="O296" s="51">
        <v>0</v>
      </c>
      <c r="P296" s="308">
        <f t="shared" ref="P296:P306" si="210">N296</f>
        <v>-23000</v>
      </c>
      <c r="Q296" s="147">
        <v>-23000</v>
      </c>
      <c r="R296" s="54">
        <f t="shared" ref="R296:R297" si="211">Q296</f>
        <v>-23000</v>
      </c>
      <c r="S296" s="65">
        <f t="shared" ref="S296:S306" si="212">R296-Q296</f>
        <v>0</v>
      </c>
    </row>
    <row r="297" spans="1:28" ht="15.75" customHeight="1" x14ac:dyDescent="0.25">
      <c r="A297" s="51" t="s">
        <v>1490</v>
      </c>
      <c r="B297" s="51" t="s">
        <v>1489</v>
      </c>
      <c r="C297" s="307"/>
      <c r="D297" s="147">
        <v>-8000</v>
      </c>
      <c r="E297" s="160" t="e">
        <f>D297*#REF!</f>
        <v>#REF!</v>
      </c>
      <c r="F297" s="160" t="e">
        <f>D297*#REF!</f>
        <v>#REF!</v>
      </c>
      <c r="G297" s="160" t="e">
        <f>(D297*#REF!)*#REF!</f>
        <v>#REF!</v>
      </c>
      <c r="H297" s="296">
        <f t="shared" si="208"/>
        <v>0</v>
      </c>
      <c r="I297" s="147" t="e">
        <f t="shared" si="209"/>
        <v>#REF!</v>
      </c>
      <c r="J297" s="97"/>
      <c r="K297" s="307"/>
      <c r="L297" s="54">
        <v>-76891</v>
      </c>
      <c r="M297" s="51">
        <v>0</v>
      </c>
      <c r="N297" s="51">
        <v>0</v>
      </c>
      <c r="O297" s="51">
        <v>0</v>
      </c>
      <c r="P297" s="147">
        <f t="shared" si="210"/>
        <v>0</v>
      </c>
      <c r="Q297" s="97">
        <v>0</v>
      </c>
      <c r="R297" s="54">
        <f t="shared" si="211"/>
        <v>0</v>
      </c>
      <c r="S297" s="65">
        <f t="shared" si="212"/>
        <v>0</v>
      </c>
    </row>
    <row r="298" spans="1:28" ht="15.75" customHeight="1" x14ac:dyDescent="0.25">
      <c r="A298" s="51" t="s">
        <v>1491</v>
      </c>
      <c r="B298" s="51" t="s">
        <v>1492</v>
      </c>
      <c r="C298" s="307"/>
      <c r="D298" s="147">
        <v>-5308</v>
      </c>
      <c r="E298" s="160" t="e">
        <f>D298*#REF!</f>
        <v>#REF!</v>
      </c>
      <c r="F298" s="160" t="e">
        <f>D298*#REF!</f>
        <v>#REF!</v>
      </c>
      <c r="G298" s="160" t="e">
        <f>(D298*#REF!)*#REF!</f>
        <v>#REF!</v>
      </c>
      <c r="H298" s="296">
        <f t="shared" si="208"/>
        <v>0</v>
      </c>
      <c r="I298" s="147" t="e">
        <f t="shared" si="209"/>
        <v>#REF!</v>
      </c>
      <c r="J298" s="97"/>
      <c r="K298" s="307"/>
      <c r="L298" s="54">
        <v>-25000</v>
      </c>
      <c r="M298" s="51">
        <v>0</v>
      </c>
      <c r="N298" s="51">
        <v>0</v>
      </c>
      <c r="O298" s="51">
        <v>0</v>
      </c>
      <c r="P298" s="147">
        <f t="shared" si="210"/>
        <v>0</v>
      </c>
      <c r="Q298" s="97">
        <v>0</v>
      </c>
      <c r="R298" s="54">
        <f>VLOOKUP(A298,TB!A:F,6)</f>
        <v>0</v>
      </c>
      <c r="S298" s="65">
        <f t="shared" si="212"/>
        <v>0</v>
      </c>
    </row>
    <row r="299" spans="1:28" ht="15.75" customHeight="1" x14ac:dyDescent="0.25">
      <c r="A299" s="51" t="s">
        <v>1493</v>
      </c>
      <c r="B299" s="51" t="s">
        <v>1492</v>
      </c>
      <c r="C299" s="287"/>
      <c r="D299" s="97">
        <v>0</v>
      </c>
      <c r="E299" s="160">
        <v>0</v>
      </c>
      <c r="F299" s="160">
        <v>0</v>
      </c>
      <c r="G299" s="160">
        <v>0</v>
      </c>
      <c r="H299" s="296">
        <f t="shared" si="208"/>
        <v>0</v>
      </c>
      <c r="I299" s="147">
        <f t="shared" si="209"/>
        <v>-25000</v>
      </c>
      <c r="J299" s="97"/>
      <c r="K299" s="287"/>
      <c r="L299" s="51">
        <v>0</v>
      </c>
      <c r="M299" s="54">
        <v>-25000</v>
      </c>
      <c r="N299" s="54">
        <v>-25000</v>
      </c>
      <c r="O299" s="51">
        <v>-562.5</v>
      </c>
      <c r="P299" s="308">
        <f t="shared" si="210"/>
        <v>-25000</v>
      </c>
      <c r="Q299" s="147">
        <v>-25000</v>
      </c>
      <c r="R299" s="54">
        <f>VLOOKUP(A299,TB!A:F,6)</f>
        <v>-25000</v>
      </c>
      <c r="S299" s="65">
        <f t="shared" si="212"/>
        <v>0</v>
      </c>
    </row>
    <row r="300" spans="1:28" ht="15.75" customHeight="1" x14ac:dyDescent="0.25">
      <c r="A300" s="51" t="s">
        <v>1494</v>
      </c>
      <c r="B300" s="51" t="s">
        <v>1495</v>
      </c>
      <c r="C300" s="287"/>
      <c r="D300" s="97">
        <v>0</v>
      </c>
      <c r="E300" s="160" t="e">
        <f>D300*#REF!</f>
        <v>#REF!</v>
      </c>
      <c r="F300" s="160" t="e">
        <f>D300*#REF!</f>
        <v>#REF!</v>
      </c>
      <c r="G300" s="160" t="e">
        <f>(D300*#REF!)*#REF!</f>
        <v>#REF!</v>
      </c>
      <c r="H300" s="296">
        <f t="shared" si="208"/>
        <v>0</v>
      </c>
      <c r="I300" s="147" t="e">
        <f t="shared" si="209"/>
        <v>#REF!</v>
      </c>
      <c r="J300" s="97"/>
      <c r="K300" s="287"/>
      <c r="L300" s="51">
        <v>0</v>
      </c>
      <c r="M300" s="54">
        <v>-123420</v>
      </c>
      <c r="N300" s="54">
        <v>-164000</v>
      </c>
      <c r="O300" s="51">
        <v>0</v>
      </c>
      <c r="P300" s="308">
        <f t="shared" si="210"/>
        <v>-164000</v>
      </c>
      <c r="Q300" s="147">
        <v>-120000</v>
      </c>
      <c r="R300" s="54">
        <f>VLOOKUP(A300,TB!A:F,6)</f>
        <v>-120000</v>
      </c>
      <c r="S300" s="65">
        <f t="shared" si="212"/>
        <v>0</v>
      </c>
    </row>
    <row r="301" spans="1:28" ht="15.75" customHeight="1" x14ac:dyDescent="0.25">
      <c r="A301" s="51" t="s">
        <v>1496</v>
      </c>
      <c r="B301" s="51" t="s">
        <v>1495</v>
      </c>
      <c r="C301" s="287"/>
      <c r="D301" s="97">
        <v>0</v>
      </c>
      <c r="E301" s="160" t="e">
        <f>D301*#REF!</f>
        <v>#REF!</v>
      </c>
      <c r="F301" s="160" t="e">
        <f>D301*#REF!</f>
        <v>#REF!</v>
      </c>
      <c r="G301" s="160" t="e">
        <f>(D301*#REF!)*#REF!</f>
        <v>#REF!</v>
      </c>
      <c r="H301" s="296">
        <f t="shared" si="208"/>
        <v>0</v>
      </c>
      <c r="I301" s="147" t="e">
        <f t="shared" si="209"/>
        <v>#REF!</v>
      </c>
      <c r="J301" s="97"/>
      <c r="K301" s="287"/>
      <c r="L301" s="54">
        <v>-127560</v>
      </c>
      <c r="M301" s="51">
        <v>0</v>
      </c>
      <c r="N301" s="51">
        <v>0</v>
      </c>
      <c r="O301" s="54">
        <v>-40580</v>
      </c>
      <c r="P301" s="147">
        <f t="shared" si="210"/>
        <v>0</v>
      </c>
      <c r="Q301" s="97">
        <v>0</v>
      </c>
      <c r="R301" s="54">
        <f>VLOOKUP(A301,TB!A:F,6)</f>
        <v>0</v>
      </c>
      <c r="S301" s="65">
        <f t="shared" si="212"/>
        <v>0</v>
      </c>
    </row>
    <row r="302" spans="1:28" ht="15.75" customHeight="1" x14ac:dyDescent="0.25">
      <c r="A302" s="51" t="s">
        <v>1497</v>
      </c>
      <c r="B302" s="51" t="s">
        <v>1498</v>
      </c>
      <c r="C302" s="287"/>
      <c r="D302" s="97">
        <v>0</v>
      </c>
      <c r="E302" s="160" t="e">
        <f>D302*#REF!</f>
        <v>#REF!</v>
      </c>
      <c r="F302" s="160" t="e">
        <f>D302*#REF!</f>
        <v>#REF!</v>
      </c>
      <c r="G302" s="160" t="e">
        <f>(D302*#REF!)*#REF!</f>
        <v>#REF!</v>
      </c>
      <c r="H302" s="296">
        <f t="shared" si="208"/>
        <v>0</v>
      </c>
      <c r="I302" s="147" t="e">
        <f t="shared" si="209"/>
        <v>#REF!</v>
      </c>
      <c r="J302" s="147">
        <v>-5000</v>
      </c>
      <c r="K302" s="287"/>
      <c r="L302" s="51">
        <v>0</v>
      </c>
      <c r="M302" s="54">
        <v>-28575.56</v>
      </c>
      <c r="N302" s="54">
        <v>-23000</v>
      </c>
      <c r="O302" s="54">
        <v>-13539.27</v>
      </c>
      <c r="P302" s="308">
        <f t="shared" si="210"/>
        <v>-23000</v>
      </c>
      <c r="Q302" s="147">
        <v>-25000</v>
      </c>
      <c r="R302" s="54">
        <f>VLOOKUP(A302,TB!A:F,6)</f>
        <v>-30000</v>
      </c>
      <c r="S302" s="65">
        <f t="shared" si="212"/>
        <v>-5000</v>
      </c>
    </row>
    <row r="303" spans="1:28" ht="15.75" customHeight="1" x14ac:dyDescent="0.25">
      <c r="A303" s="51" t="s">
        <v>1499</v>
      </c>
      <c r="B303" s="51" t="s">
        <v>1498</v>
      </c>
      <c r="C303" s="307"/>
      <c r="D303" s="147">
        <v>-35311</v>
      </c>
      <c r="E303" s="160" t="e">
        <f>D303*#REF!</f>
        <v>#REF!</v>
      </c>
      <c r="F303" s="160" t="e">
        <f>D303*#REF!</f>
        <v>#REF!</v>
      </c>
      <c r="G303" s="160" t="e">
        <f>(D303*#REF!)*#REF!</f>
        <v>#REF!</v>
      </c>
      <c r="H303" s="296">
        <f t="shared" si="208"/>
        <v>0</v>
      </c>
      <c r="I303" s="147" t="e">
        <f t="shared" si="209"/>
        <v>#REF!</v>
      </c>
      <c r="J303" s="97"/>
      <c r="K303" s="307"/>
      <c r="L303" s="54">
        <v>-22799</v>
      </c>
      <c r="M303" s="51">
        <v>0</v>
      </c>
      <c r="N303" s="51">
        <v>0</v>
      </c>
      <c r="O303" s="51">
        <v>0</v>
      </c>
      <c r="P303" s="147">
        <f t="shared" si="210"/>
        <v>0</v>
      </c>
      <c r="Q303" s="97">
        <v>0</v>
      </c>
      <c r="R303" s="54">
        <f>VLOOKUP(A303,TB!A:F,6)</f>
        <v>0</v>
      </c>
      <c r="S303" s="65">
        <f t="shared" si="212"/>
        <v>0</v>
      </c>
    </row>
    <row r="304" spans="1:28" ht="15.75" customHeight="1" x14ac:dyDescent="0.25">
      <c r="A304" s="51" t="s">
        <v>1500</v>
      </c>
      <c r="B304" s="51" t="s">
        <v>1501</v>
      </c>
      <c r="C304" s="287"/>
      <c r="D304" s="97">
        <v>0</v>
      </c>
      <c r="E304" s="160" t="e">
        <f>D304*#REF!</f>
        <v>#REF!</v>
      </c>
      <c r="F304" s="160" t="e">
        <f>D304*#REF!</f>
        <v>#REF!</v>
      </c>
      <c r="G304" s="160" t="e">
        <f>(D304*#REF!)*#REF!</f>
        <v>#REF!</v>
      </c>
      <c r="H304" s="296">
        <f t="shared" si="208"/>
        <v>0</v>
      </c>
      <c r="I304" s="147" t="e">
        <f t="shared" si="209"/>
        <v>#REF!</v>
      </c>
      <c r="J304" s="97"/>
      <c r="K304" s="287"/>
      <c r="L304" s="54">
        <v>-44594</v>
      </c>
      <c r="M304" s="51">
        <v>0</v>
      </c>
      <c r="N304" s="51">
        <v>0</v>
      </c>
      <c r="O304" s="51">
        <v>0</v>
      </c>
      <c r="P304" s="147">
        <f t="shared" si="210"/>
        <v>0</v>
      </c>
      <c r="Q304" s="97">
        <v>0</v>
      </c>
      <c r="R304" s="54">
        <f>VLOOKUP(A304,TB!A:F,6)</f>
        <v>0</v>
      </c>
      <c r="S304" s="65">
        <f t="shared" si="212"/>
        <v>0</v>
      </c>
    </row>
    <row r="305" spans="1:27" ht="15.75" customHeight="1" x14ac:dyDescent="0.25">
      <c r="A305" s="51" t="s">
        <v>1502</v>
      </c>
      <c r="B305" s="51" t="s">
        <v>1501</v>
      </c>
      <c r="C305" s="287"/>
      <c r="D305" s="97">
        <v>0</v>
      </c>
      <c r="E305" s="160" t="e">
        <f>D305*#REF!</f>
        <v>#REF!</v>
      </c>
      <c r="F305" s="160" t="e">
        <f>D305*#REF!</f>
        <v>#REF!</v>
      </c>
      <c r="G305" s="160" t="e">
        <f>(D305*#REF!)*#REF!</f>
        <v>#REF!</v>
      </c>
      <c r="H305" s="296">
        <f t="shared" si="208"/>
        <v>0</v>
      </c>
      <c r="I305" s="147" t="e">
        <f t="shared" si="209"/>
        <v>#REF!</v>
      </c>
      <c r="J305" s="97"/>
      <c r="K305" s="287"/>
      <c r="L305" s="51">
        <v>0</v>
      </c>
      <c r="M305" s="54">
        <v>-48816</v>
      </c>
      <c r="N305" s="54">
        <v>-45000</v>
      </c>
      <c r="O305" s="54">
        <v>-26797.7</v>
      </c>
      <c r="P305" s="308">
        <f t="shared" si="210"/>
        <v>-45000</v>
      </c>
      <c r="Q305" s="147">
        <v>-45000</v>
      </c>
      <c r="R305" s="54">
        <f>VLOOKUP(A305,TB!A:F,6)</f>
        <v>-45000</v>
      </c>
      <c r="S305" s="65">
        <f t="shared" si="212"/>
        <v>0</v>
      </c>
    </row>
    <row r="306" spans="1:27" ht="15.75" customHeight="1" x14ac:dyDescent="0.25">
      <c r="A306" s="51" t="s">
        <v>1503</v>
      </c>
      <c r="B306" s="51" t="s">
        <v>1504</v>
      </c>
      <c r="C306" s="307"/>
      <c r="D306" s="147">
        <v>-119143</v>
      </c>
      <c r="E306" s="160" t="e">
        <f>D306*#REF!</f>
        <v>#REF!</v>
      </c>
      <c r="F306" s="160" t="e">
        <f>D306*#REF!</f>
        <v>#REF!</v>
      </c>
      <c r="G306" s="160" t="e">
        <f>(D306*#REF!)*#REF!</f>
        <v>#REF!</v>
      </c>
      <c r="H306" s="296">
        <f t="shared" si="208"/>
        <v>0</v>
      </c>
      <c r="I306" s="147" t="e">
        <f t="shared" si="209"/>
        <v>#REF!</v>
      </c>
      <c r="J306" s="97"/>
      <c r="K306" s="307"/>
      <c r="L306" s="54">
        <v>-104177</v>
      </c>
      <c r="M306" s="51">
        <v>-100</v>
      </c>
      <c r="N306" s="51">
        <v>0</v>
      </c>
      <c r="O306" s="51">
        <v>0</v>
      </c>
      <c r="P306" s="147">
        <f t="shared" si="210"/>
        <v>0</v>
      </c>
      <c r="Q306" s="97">
        <v>0</v>
      </c>
      <c r="R306" s="54">
        <f>VLOOKUP(A306,TB!A:F,6)</f>
        <v>0</v>
      </c>
      <c r="S306" s="65">
        <f t="shared" si="212"/>
        <v>0</v>
      </c>
    </row>
    <row r="307" spans="1:27" ht="15.75" customHeight="1" x14ac:dyDescent="0.2">
      <c r="A307" s="239" t="s">
        <v>189</v>
      </c>
      <c r="B307" s="75"/>
      <c r="C307" s="299"/>
      <c r="D307" s="189">
        <f t="shared" ref="D307:G307" si="213">SUM(D296:D306)</f>
        <v>-167762</v>
      </c>
      <c r="E307" s="189" t="e">
        <f t="shared" si="213"/>
        <v>#REF!</v>
      </c>
      <c r="F307" s="189" t="e">
        <f t="shared" si="213"/>
        <v>#REF!</v>
      </c>
      <c r="G307" s="189" t="e">
        <f t="shared" si="213"/>
        <v>#REF!</v>
      </c>
      <c r="H307" s="300">
        <f t="shared" si="208"/>
        <v>0</v>
      </c>
      <c r="I307" s="189" t="e">
        <f t="shared" si="209"/>
        <v>#REF!</v>
      </c>
      <c r="J307" s="189">
        <f>SUM(J296:J306)</f>
        <v>-5000</v>
      </c>
      <c r="K307" s="299"/>
      <c r="L307" s="77">
        <f t="shared" ref="L307:S307" si="214">SUM(L296:L306)</f>
        <v>-401021</v>
      </c>
      <c r="M307" s="77">
        <f t="shared" si="214"/>
        <v>-249554.69</v>
      </c>
      <c r="N307" s="77">
        <f t="shared" si="214"/>
        <v>-280000</v>
      </c>
      <c r="O307" s="77">
        <f t="shared" si="214"/>
        <v>-81479.47</v>
      </c>
      <c r="P307" s="189">
        <f t="shared" si="214"/>
        <v>-280000</v>
      </c>
      <c r="Q307" s="189">
        <f t="shared" si="214"/>
        <v>-238000</v>
      </c>
      <c r="R307" s="77">
        <f t="shared" si="214"/>
        <v>-243000</v>
      </c>
      <c r="S307" s="77">
        <f t="shared" si="214"/>
        <v>-5000</v>
      </c>
    </row>
    <row r="308" spans="1:27" ht="15.75" customHeight="1" x14ac:dyDescent="0.2">
      <c r="C308" s="287"/>
      <c r="K308" s="287"/>
    </row>
    <row r="309" spans="1:27" ht="15.75" customHeight="1" x14ac:dyDescent="0.2">
      <c r="A309" s="69" t="s">
        <v>190</v>
      </c>
      <c r="B309" s="51"/>
      <c r="C309" s="309"/>
      <c r="D309" s="193">
        <f t="shared" ref="D309:G309" si="215">D293+D307</f>
        <v>431383</v>
      </c>
      <c r="E309" s="193" t="e">
        <f t="shared" si="215"/>
        <v>#REF!</v>
      </c>
      <c r="F309" s="193" t="e">
        <f t="shared" si="215"/>
        <v>#REF!</v>
      </c>
      <c r="G309" s="193" t="e">
        <f t="shared" si="215"/>
        <v>#REF!</v>
      </c>
      <c r="H309" s="310">
        <f>IFERROR(((Q309-G309)/G309),0)</f>
        <v>0</v>
      </c>
      <c r="I309" s="193" t="e">
        <f>Q309-G309</f>
        <v>#REF!</v>
      </c>
      <c r="J309" s="193">
        <f>J293+J307</f>
        <v>-94830</v>
      </c>
      <c r="K309" s="309"/>
      <c r="L309" s="245">
        <f t="shared" ref="L309:S309" si="216">L293+L307</f>
        <v>373020</v>
      </c>
      <c r="M309" s="245">
        <f t="shared" si="216"/>
        <v>606587.42999999993</v>
      </c>
      <c r="N309" s="245">
        <f t="shared" si="216"/>
        <v>712381</v>
      </c>
      <c r="O309" s="245">
        <f t="shared" si="216"/>
        <v>599466.38000000012</v>
      </c>
      <c r="P309" s="193">
        <f t="shared" si="216"/>
        <v>598163.7803333333</v>
      </c>
      <c r="Q309" s="193">
        <f t="shared" si="216"/>
        <v>802430</v>
      </c>
      <c r="R309" s="245">
        <f t="shared" si="216"/>
        <v>707600</v>
      </c>
      <c r="S309" s="245">
        <f t="shared" si="216"/>
        <v>-94830</v>
      </c>
      <c r="V309" s="56"/>
      <c r="W309" s="56"/>
      <c r="X309" s="56"/>
      <c r="Y309" s="56"/>
      <c r="Z309" s="56"/>
      <c r="AA309" s="56"/>
    </row>
    <row r="310" spans="1:27" ht="15.75" customHeight="1" x14ac:dyDescent="0.2">
      <c r="C310" s="287"/>
      <c r="K310" s="287"/>
    </row>
    <row r="311" spans="1:27" ht="15.75" customHeight="1" x14ac:dyDescent="0.2">
      <c r="C311" s="287"/>
      <c r="K311" s="287"/>
    </row>
    <row r="312" spans="1:27" ht="15.75" customHeight="1" x14ac:dyDescent="0.2">
      <c r="C312" s="288"/>
      <c r="K312" s="288"/>
      <c r="L312" s="173" t="e">
        <f t="shared" ref="L312:R312" si="217">#REF!</f>
        <v>#REF!</v>
      </c>
      <c r="M312" s="173" t="e">
        <f t="shared" si="217"/>
        <v>#REF!</v>
      </c>
      <c r="N312" s="173" t="e">
        <f t="shared" si="217"/>
        <v>#REF!</v>
      </c>
      <c r="O312" s="173" t="e">
        <f t="shared" si="217"/>
        <v>#REF!</v>
      </c>
      <c r="P312" s="173" t="e">
        <f t="shared" si="217"/>
        <v>#REF!</v>
      </c>
      <c r="Q312" s="173" t="e">
        <f t="shared" si="217"/>
        <v>#REF!</v>
      </c>
      <c r="R312" s="173" t="e">
        <f t="shared" si="217"/>
        <v>#REF!</v>
      </c>
      <c r="S312" s="57"/>
    </row>
    <row r="313" spans="1:27" ht="15.75" customHeight="1" x14ac:dyDescent="0.2">
      <c r="C313" s="289"/>
      <c r="K313" s="289"/>
      <c r="L313" s="63">
        <f t="shared" ref="L313:R313" si="218">L309</f>
        <v>373020</v>
      </c>
      <c r="M313" s="63">
        <f t="shared" si="218"/>
        <v>606587.42999999993</v>
      </c>
      <c r="N313" s="63">
        <f t="shared" si="218"/>
        <v>712381</v>
      </c>
      <c r="O313" s="63">
        <f t="shared" si="218"/>
        <v>599466.38000000012</v>
      </c>
      <c r="P313" s="63">
        <f t="shared" si="218"/>
        <v>598163.7803333333</v>
      </c>
      <c r="Q313" s="63">
        <f t="shared" si="218"/>
        <v>802430</v>
      </c>
      <c r="R313" s="63">
        <f t="shared" si="218"/>
        <v>707600</v>
      </c>
      <c r="S313" s="51"/>
    </row>
    <row r="314" spans="1:27" ht="15.75" customHeight="1" x14ac:dyDescent="0.2">
      <c r="C314" s="287"/>
      <c r="K314" s="287"/>
    </row>
    <row r="315" spans="1:27" ht="15.75" customHeight="1" x14ac:dyDescent="0.2">
      <c r="C315" s="287"/>
      <c r="K315" s="287"/>
    </row>
    <row r="316" spans="1:27" ht="15.75" customHeight="1" x14ac:dyDescent="0.2">
      <c r="C316" s="287"/>
      <c r="K316" s="287"/>
    </row>
    <row r="317" spans="1:27" ht="15.75" customHeight="1" x14ac:dyDescent="0.2">
      <c r="C317" s="287"/>
      <c r="K317" s="287"/>
    </row>
    <row r="318" spans="1:27" ht="15.75" customHeight="1" x14ac:dyDescent="0.2">
      <c r="C318" s="287"/>
      <c r="K318" s="287"/>
    </row>
    <row r="319" spans="1:27" ht="15.75" customHeight="1" x14ac:dyDescent="0.2">
      <c r="C319" s="287"/>
      <c r="K319" s="287"/>
    </row>
    <row r="320" spans="1:27" ht="15.75" customHeight="1" x14ac:dyDescent="0.2">
      <c r="C320" s="287"/>
      <c r="K320" s="287"/>
    </row>
    <row r="321" spans="3:11" ht="15.75" customHeight="1" x14ac:dyDescent="0.2">
      <c r="C321" s="287"/>
      <c r="K321" s="287"/>
    </row>
    <row r="322" spans="3:11" ht="15.75" customHeight="1" x14ac:dyDescent="0.2">
      <c r="C322" s="287"/>
      <c r="K322" s="287"/>
    </row>
    <row r="323" spans="3:11" ht="15.75" customHeight="1" x14ac:dyDescent="0.2">
      <c r="C323" s="287"/>
      <c r="K323" s="287"/>
    </row>
    <row r="324" spans="3:11" ht="15.75" customHeight="1" x14ac:dyDescent="0.2">
      <c r="C324" s="287"/>
      <c r="K324" s="287"/>
    </row>
    <row r="325" spans="3:11" ht="15.75" customHeight="1" x14ac:dyDescent="0.2">
      <c r="C325" s="287"/>
      <c r="K325" s="287"/>
    </row>
    <row r="326" spans="3:11" ht="15.75" customHeight="1" x14ac:dyDescent="0.2">
      <c r="C326" s="287"/>
      <c r="K326" s="287"/>
    </row>
    <row r="327" spans="3:11" ht="15.75" customHeight="1" x14ac:dyDescent="0.2">
      <c r="C327" s="287"/>
      <c r="K327" s="287"/>
    </row>
    <row r="328" spans="3:11" ht="15.75" customHeight="1" x14ac:dyDescent="0.2">
      <c r="C328" s="287"/>
      <c r="K328" s="287"/>
    </row>
    <row r="329" spans="3:11" ht="15.75" customHeight="1" x14ac:dyDescent="0.2">
      <c r="C329" s="287"/>
      <c r="K329" s="287"/>
    </row>
    <row r="330" spans="3:11" ht="15.75" customHeight="1" x14ac:dyDescent="0.2">
      <c r="C330" s="287"/>
      <c r="K330" s="287"/>
    </row>
    <row r="331" spans="3:11" ht="15.75" customHeight="1" x14ac:dyDescent="0.2">
      <c r="C331" s="287"/>
      <c r="K331" s="287"/>
    </row>
    <row r="332" spans="3:11" ht="15.75" customHeight="1" x14ac:dyDescent="0.2">
      <c r="C332" s="287"/>
      <c r="K332" s="287"/>
    </row>
    <row r="333" spans="3:11" ht="15.75" customHeight="1" x14ac:dyDescent="0.2">
      <c r="C333" s="287"/>
      <c r="K333" s="287"/>
    </row>
    <row r="334" spans="3:11" ht="15.75" customHeight="1" x14ac:dyDescent="0.2">
      <c r="C334" s="287"/>
      <c r="K334" s="287"/>
    </row>
    <row r="335" spans="3:11" ht="15.75" customHeight="1" x14ac:dyDescent="0.2">
      <c r="C335" s="287"/>
      <c r="K335" s="287"/>
    </row>
    <row r="336" spans="3:11" ht="15.75" customHeight="1" x14ac:dyDescent="0.2">
      <c r="C336" s="287"/>
      <c r="K336" s="287"/>
    </row>
    <row r="337" spans="3:11" ht="15.75" customHeight="1" x14ac:dyDescent="0.2">
      <c r="C337" s="287"/>
      <c r="K337" s="287"/>
    </row>
    <row r="338" spans="3:11" ht="15.75" customHeight="1" x14ac:dyDescent="0.2">
      <c r="C338" s="287"/>
      <c r="K338" s="287"/>
    </row>
    <row r="339" spans="3:11" ht="15.75" customHeight="1" x14ac:dyDescent="0.2">
      <c r="C339" s="287"/>
      <c r="K339" s="287"/>
    </row>
    <row r="340" spans="3:11" ht="15.75" customHeight="1" x14ac:dyDescent="0.2">
      <c r="C340" s="287"/>
      <c r="K340" s="287"/>
    </row>
    <row r="341" spans="3:11" ht="15.75" customHeight="1" x14ac:dyDescent="0.2">
      <c r="C341" s="287"/>
      <c r="K341" s="287"/>
    </row>
    <row r="342" spans="3:11" ht="15.75" customHeight="1" x14ac:dyDescent="0.2">
      <c r="C342" s="287"/>
      <c r="K342" s="287"/>
    </row>
    <row r="343" spans="3:11" ht="15.75" customHeight="1" x14ac:dyDescent="0.2">
      <c r="C343" s="287"/>
      <c r="K343" s="287"/>
    </row>
    <row r="344" spans="3:11" ht="15.75" customHeight="1" x14ac:dyDescent="0.2">
      <c r="C344" s="287"/>
      <c r="K344" s="287"/>
    </row>
    <row r="345" spans="3:11" ht="15.75" customHeight="1" x14ac:dyDescent="0.2">
      <c r="C345" s="287"/>
      <c r="K345" s="287"/>
    </row>
    <row r="346" spans="3:11" ht="15.75" customHeight="1" x14ac:dyDescent="0.2">
      <c r="C346" s="287"/>
      <c r="K346" s="287"/>
    </row>
    <row r="347" spans="3:11" ht="15.75" customHeight="1" x14ac:dyDescent="0.2">
      <c r="C347" s="287"/>
      <c r="K347" s="287"/>
    </row>
    <row r="348" spans="3:11" ht="15.75" customHeight="1" x14ac:dyDescent="0.2">
      <c r="C348" s="287"/>
      <c r="K348" s="287"/>
    </row>
    <row r="349" spans="3:11" ht="15.75" customHeight="1" x14ac:dyDescent="0.2">
      <c r="C349" s="287"/>
      <c r="K349" s="287"/>
    </row>
    <row r="350" spans="3:11" ht="15.75" customHeight="1" x14ac:dyDescent="0.2">
      <c r="C350" s="287"/>
      <c r="K350" s="287"/>
    </row>
    <row r="351" spans="3:11" ht="15.75" customHeight="1" x14ac:dyDescent="0.2">
      <c r="C351" s="287"/>
      <c r="K351" s="287"/>
    </row>
    <row r="352" spans="3:11" ht="15.75" customHeight="1" x14ac:dyDescent="0.2">
      <c r="C352" s="287"/>
      <c r="K352" s="287"/>
    </row>
    <row r="353" spans="3:11" ht="15.75" customHeight="1" x14ac:dyDescent="0.2">
      <c r="C353" s="287"/>
      <c r="K353" s="287"/>
    </row>
    <row r="354" spans="3:11" ht="15.75" customHeight="1" x14ac:dyDescent="0.2">
      <c r="C354" s="287"/>
      <c r="K354" s="287"/>
    </row>
    <row r="355" spans="3:11" ht="15.75" customHeight="1" x14ac:dyDescent="0.2">
      <c r="C355" s="287"/>
      <c r="K355" s="287"/>
    </row>
    <row r="356" spans="3:11" ht="15.75" customHeight="1" x14ac:dyDescent="0.2">
      <c r="C356" s="287"/>
      <c r="K356" s="287"/>
    </row>
    <row r="357" spans="3:11" ht="15.75" customHeight="1" x14ac:dyDescent="0.2">
      <c r="C357" s="287"/>
      <c r="K357" s="287"/>
    </row>
    <row r="358" spans="3:11" ht="15.75" customHeight="1" x14ac:dyDescent="0.2">
      <c r="C358" s="287"/>
      <c r="K358" s="287"/>
    </row>
    <row r="359" spans="3:11" ht="15.75" customHeight="1" x14ac:dyDescent="0.2">
      <c r="C359" s="287"/>
      <c r="K359" s="287"/>
    </row>
    <row r="360" spans="3:11" ht="15.75" customHeight="1" x14ac:dyDescent="0.2">
      <c r="C360" s="287"/>
      <c r="K360" s="287"/>
    </row>
    <row r="361" spans="3:11" ht="15.75" customHeight="1" x14ac:dyDescent="0.2">
      <c r="C361" s="287"/>
      <c r="K361" s="287"/>
    </row>
    <row r="362" spans="3:11" ht="15.75" customHeight="1" x14ac:dyDescent="0.2">
      <c r="C362" s="287"/>
      <c r="K362" s="287"/>
    </row>
    <row r="363" spans="3:11" ht="15.75" customHeight="1" x14ac:dyDescent="0.2">
      <c r="C363" s="287"/>
      <c r="K363" s="287"/>
    </row>
    <row r="364" spans="3:11" ht="15.75" customHeight="1" x14ac:dyDescent="0.2">
      <c r="C364" s="287"/>
      <c r="K364" s="287"/>
    </row>
    <row r="365" spans="3:11" ht="15.75" customHeight="1" x14ac:dyDescent="0.2">
      <c r="C365" s="287"/>
      <c r="K365" s="287"/>
    </row>
    <row r="366" spans="3:11" ht="15.75" customHeight="1" x14ac:dyDescent="0.2">
      <c r="C366" s="287"/>
      <c r="K366" s="287"/>
    </row>
    <row r="367" spans="3:11" ht="15.75" customHeight="1" x14ac:dyDescent="0.2">
      <c r="C367" s="287"/>
      <c r="K367" s="287"/>
    </row>
    <row r="368" spans="3:11" ht="15.75" hidden="1" customHeight="1" outlineLevel="1" x14ac:dyDescent="0.2">
      <c r="C368" s="287"/>
      <c r="K368" s="287"/>
    </row>
    <row r="369" spans="1:19" ht="15.75" hidden="1" customHeight="1" outlineLevel="1" x14ac:dyDescent="0.2">
      <c r="A369" s="379" t="s">
        <v>50</v>
      </c>
      <c r="B369" s="379" t="s">
        <v>51</v>
      </c>
      <c r="C369" s="292"/>
      <c r="D369" s="379" t="s">
        <v>52</v>
      </c>
      <c r="E369" s="380" t="s">
        <v>53</v>
      </c>
      <c r="F369" s="380" t="s">
        <v>1212</v>
      </c>
      <c r="G369" s="380" t="s">
        <v>55</v>
      </c>
      <c r="H369" s="230" t="s">
        <v>56</v>
      </c>
      <c r="I369" s="230" t="s">
        <v>57</v>
      </c>
      <c r="K369" s="292"/>
      <c r="L369" s="394" t="e">
        <f t="shared" ref="L369:S369" si="219">#REF!</f>
        <v>#REF!</v>
      </c>
      <c r="M369" s="394" t="e">
        <f t="shared" si="219"/>
        <v>#REF!</v>
      </c>
      <c r="N369" s="394" t="e">
        <f t="shared" si="219"/>
        <v>#REF!</v>
      </c>
      <c r="O369" s="394" t="e">
        <f t="shared" si="219"/>
        <v>#REF!</v>
      </c>
      <c r="P369" s="394" t="e">
        <f t="shared" si="219"/>
        <v>#REF!</v>
      </c>
      <c r="Q369" s="394" t="e">
        <f t="shared" si="219"/>
        <v>#REF!</v>
      </c>
      <c r="R369" s="394" t="e">
        <f t="shared" si="219"/>
        <v>#REF!</v>
      </c>
      <c r="S369" s="394" t="e">
        <f t="shared" si="219"/>
        <v>#REF!</v>
      </c>
    </row>
    <row r="370" spans="1:19" ht="15.75" hidden="1" customHeight="1" outlineLevel="1" x14ac:dyDescent="0.25">
      <c r="A370" s="51" t="s">
        <v>1238</v>
      </c>
      <c r="B370" s="51" t="s">
        <v>68</v>
      </c>
      <c r="C370" s="400"/>
      <c r="D370" s="65">
        <v>0</v>
      </c>
      <c r="E370" s="20" t="e">
        <f>D370*#REF!</f>
        <v>#REF!</v>
      </c>
      <c r="F370" s="20" t="e">
        <f>D370*#REF!</f>
        <v>#REF!</v>
      </c>
      <c r="G370" s="20" t="e">
        <f>(D370*#REF!)*#REF!</f>
        <v>#REF!</v>
      </c>
      <c r="H370" s="234">
        <f t="shared" ref="H370:H392" si="220">IFERROR(((Q370-D370)/D370),0)</f>
        <v>0</v>
      </c>
      <c r="I370" s="54" t="e">
        <f t="shared" ref="I370:I392" si="221">Q370-G370</f>
        <v>#REF!</v>
      </c>
      <c r="K370" s="400"/>
      <c r="L370" s="65">
        <v>0</v>
      </c>
      <c r="M370" s="20">
        <v>106175.43</v>
      </c>
      <c r="N370" s="20">
        <v>67493</v>
      </c>
      <c r="O370" s="20">
        <f>VLOOKUP(A370,TB!A:F,3)</f>
        <v>29967.42</v>
      </c>
      <c r="P370" s="20"/>
      <c r="Q370" s="20">
        <v>86700</v>
      </c>
      <c r="R370" s="54">
        <f>VLOOKUP(A370,TB!A:F,6)</f>
        <v>86700</v>
      </c>
      <c r="S370" s="54">
        <f t="shared" ref="S370:S391" si="222">R370-Q370</f>
        <v>0</v>
      </c>
    </row>
    <row r="371" spans="1:19" ht="15.75" hidden="1" customHeight="1" outlineLevel="1" x14ac:dyDescent="0.25">
      <c r="A371" s="51" t="s">
        <v>1239</v>
      </c>
      <c r="B371" s="51" t="s">
        <v>70</v>
      </c>
      <c r="C371" s="400"/>
      <c r="D371" s="65">
        <v>0</v>
      </c>
      <c r="E371" s="20" t="e">
        <f>D371*#REF!</f>
        <v>#REF!</v>
      </c>
      <c r="F371" s="20" t="e">
        <f>D371*#REF!</f>
        <v>#REF!</v>
      </c>
      <c r="G371" s="20" t="e">
        <f>(D371*#REF!)*#REF!</f>
        <v>#REF!</v>
      </c>
      <c r="H371" s="234">
        <f t="shared" si="220"/>
        <v>0</v>
      </c>
      <c r="I371" s="54" t="e">
        <f t="shared" si="221"/>
        <v>#REF!</v>
      </c>
      <c r="K371" s="400"/>
      <c r="L371" s="65">
        <v>0</v>
      </c>
      <c r="M371" s="20">
        <v>1510</v>
      </c>
      <c r="N371" s="20">
        <v>1375</v>
      </c>
      <c r="O371" s="20">
        <f>VLOOKUP(A371,TB!A:F,3)</f>
        <v>703.04</v>
      </c>
      <c r="P371" s="20"/>
      <c r="Q371" s="20">
        <v>1400</v>
      </c>
      <c r="R371" s="54">
        <f>VLOOKUP(A371,TB!A:F,6)</f>
        <v>1250</v>
      </c>
      <c r="S371" s="54">
        <f t="shared" si="222"/>
        <v>-150</v>
      </c>
    </row>
    <row r="372" spans="1:19" ht="15.75" hidden="1" customHeight="1" outlineLevel="1" x14ac:dyDescent="0.25">
      <c r="A372" s="51" t="s">
        <v>1240</v>
      </c>
      <c r="B372" s="51" t="s">
        <v>132</v>
      </c>
      <c r="C372" s="400"/>
      <c r="D372" s="65">
        <v>0</v>
      </c>
      <c r="E372" s="20" t="e">
        <f>D372*#REF!</f>
        <v>#REF!</v>
      </c>
      <c r="F372" s="20" t="e">
        <f>D372*#REF!</f>
        <v>#REF!</v>
      </c>
      <c r="G372" s="20" t="e">
        <f>(D372*#REF!)*#REF!</f>
        <v>#REF!</v>
      </c>
      <c r="H372" s="234">
        <f t="shared" si="220"/>
        <v>0</v>
      </c>
      <c r="I372" s="54" t="e">
        <f t="shared" si="221"/>
        <v>#REF!</v>
      </c>
      <c r="K372" s="400"/>
      <c r="L372" s="65">
        <v>0</v>
      </c>
      <c r="M372" s="20">
        <v>0</v>
      </c>
      <c r="N372" s="20">
        <v>5000</v>
      </c>
      <c r="O372" s="20">
        <f>VLOOKUP(A372,TB!A:F,3)</f>
        <v>0</v>
      </c>
      <c r="P372" s="20"/>
      <c r="Q372" s="20">
        <v>5000</v>
      </c>
      <c r="R372" s="54">
        <f>VLOOKUP(A372,TB!A:F,6)</f>
        <v>5000</v>
      </c>
      <c r="S372" s="54">
        <f t="shared" si="222"/>
        <v>0</v>
      </c>
    </row>
    <row r="373" spans="1:19" ht="15.75" hidden="1" customHeight="1" outlineLevel="1" x14ac:dyDescent="0.25">
      <c r="A373" s="51" t="s">
        <v>1241</v>
      </c>
      <c r="B373" s="51" t="s">
        <v>108</v>
      </c>
      <c r="C373" s="400"/>
      <c r="D373" s="65">
        <v>0</v>
      </c>
      <c r="E373" s="20" t="e">
        <f>D373*#REF!</f>
        <v>#REF!</v>
      </c>
      <c r="F373" s="20" t="e">
        <f>D373*#REF!</f>
        <v>#REF!</v>
      </c>
      <c r="G373" s="20" t="e">
        <f>(D373*#REF!)*#REF!</f>
        <v>#REF!</v>
      </c>
      <c r="H373" s="234">
        <f t="shared" si="220"/>
        <v>0</v>
      </c>
      <c r="I373" s="54" t="e">
        <f t="shared" si="221"/>
        <v>#REF!</v>
      </c>
      <c r="K373" s="400"/>
      <c r="L373" s="65">
        <v>0</v>
      </c>
      <c r="M373" s="20">
        <v>0</v>
      </c>
      <c r="N373" s="20">
        <v>0</v>
      </c>
      <c r="O373" s="20">
        <f>VLOOKUP(A373,TB!A:F,3)</f>
        <v>0</v>
      </c>
      <c r="P373" s="20"/>
      <c r="Q373" s="20">
        <v>0</v>
      </c>
      <c r="R373" s="54">
        <f>VLOOKUP(A373,TB!A:F,6)</f>
        <v>5000</v>
      </c>
      <c r="S373" s="54">
        <f t="shared" si="222"/>
        <v>5000</v>
      </c>
    </row>
    <row r="374" spans="1:19" ht="15.75" hidden="1" customHeight="1" outlineLevel="1" x14ac:dyDescent="0.25">
      <c r="A374" s="51" t="s">
        <v>1242</v>
      </c>
      <c r="B374" s="51" t="s">
        <v>72</v>
      </c>
      <c r="C374" s="400"/>
      <c r="D374" s="65">
        <v>0</v>
      </c>
      <c r="E374" s="20" t="e">
        <f>D374*#REF!</f>
        <v>#REF!</v>
      </c>
      <c r="F374" s="20" t="e">
        <f>D374*#REF!</f>
        <v>#REF!</v>
      </c>
      <c r="G374" s="20" t="e">
        <f>(D374*#REF!)*#REF!</f>
        <v>#REF!</v>
      </c>
      <c r="H374" s="234">
        <f t="shared" si="220"/>
        <v>0</v>
      </c>
      <c r="I374" s="54" t="e">
        <f t="shared" si="221"/>
        <v>#REF!</v>
      </c>
      <c r="K374" s="400"/>
      <c r="L374" s="65">
        <v>0</v>
      </c>
      <c r="M374" s="20">
        <v>54378.400000000001</v>
      </c>
      <c r="N374" s="20">
        <v>45371</v>
      </c>
      <c r="O374" s="20">
        <f>VLOOKUP(A374,TB!A:F,3)</f>
        <v>15366.86</v>
      </c>
      <c r="P374" s="20"/>
      <c r="Q374" s="20">
        <v>44400</v>
      </c>
      <c r="R374" s="54">
        <f>VLOOKUP(A374,TB!A:F,6)</f>
        <v>44400</v>
      </c>
      <c r="S374" s="54">
        <f t="shared" si="222"/>
        <v>0</v>
      </c>
    </row>
    <row r="375" spans="1:19" ht="15.75" hidden="1" customHeight="1" outlineLevel="1" x14ac:dyDescent="0.25">
      <c r="A375" s="51" t="s">
        <v>1243</v>
      </c>
      <c r="B375" s="51" t="s">
        <v>74</v>
      </c>
      <c r="C375" s="400"/>
      <c r="D375" s="65">
        <v>0</v>
      </c>
      <c r="E375" s="20" t="e">
        <f>D375*#REF!</f>
        <v>#REF!</v>
      </c>
      <c r="F375" s="20" t="e">
        <f>D375*#REF!</f>
        <v>#REF!</v>
      </c>
      <c r="G375" s="20" t="e">
        <f>(D375*#REF!)*#REF!</f>
        <v>#REF!</v>
      </c>
      <c r="H375" s="234">
        <f t="shared" si="220"/>
        <v>0</v>
      </c>
      <c r="I375" s="54" t="e">
        <f t="shared" si="221"/>
        <v>#REF!</v>
      </c>
      <c r="K375" s="400"/>
      <c r="L375" s="65">
        <v>0</v>
      </c>
      <c r="M375" s="20">
        <v>1831.5</v>
      </c>
      <c r="N375" s="20">
        <v>1075</v>
      </c>
      <c r="O375" s="20">
        <f>VLOOKUP(A375,TB!A:F,3)</f>
        <v>72.75</v>
      </c>
      <c r="P375" s="20"/>
      <c r="Q375" s="20">
        <v>1075</v>
      </c>
      <c r="R375" s="54">
        <f>VLOOKUP(A375,TB!A:F,6)</f>
        <v>1000</v>
      </c>
      <c r="S375" s="54">
        <f t="shared" si="222"/>
        <v>-75</v>
      </c>
    </row>
    <row r="376" spans="1:19" ht="15.75" hidden="1" customHeight="1" outlineLevel="1" x14ac:dyDescent="0.25">
      <c r="A376" s="51" t="s">
        <v>1244</v>
      </c>
      <c r="B376" s="51" t="s">
        <v>76</v>
      </c>
      <c r="C376" s="400"/>
      <c r="D376" s="65">
        <v>0</v>
      </c>
      <c r="E376" s="20" t="e">
        <f>D376*#REF!</f>
        <v>#REF!</v>
      </c>
      <c r="F376" s="20" t="e">
        <f>D376*#REF!</f>
        <v>#REF!</v>
      </c>
      <c r="G376" s="20" t="e">
        <f>(D376*#REF!)*#REF!</f>
        <v>#REF!</v>
      </c>
      <c r="H376" s="234">
        <f t="shared" si="220"/>
        <v>0</v>
      </c>
      <c r="I376" s="54" t="e">
        <f t="shared" si="221"/>
        <v>#REF!</v>
      </c>
      <c r="K376" s="400"/>
      <c r="L376" s="65">
        <v>0</v>
      </c>
      <c r="M376" s="20">
        <v>3827.31</v>
      </c>
      <c r="N376" s="20">
        <v>2875</v>
      </c>
      <c r="O376" s="20">
        <f>VLOOKUP(A376,TB!A:F,3)</f>
        <v>223.95</v>
      </c>
      <c r="P376" s="20"/>
      <c r="Q376" s="20">
        <v>3500</v>
      </c>
      <c r="R376" s="54">
        <f>VLOOKUP(A376,TB!A:F,6)</f>
        <v>2500</v>
      </c>
      <c r="S376" s="54">
        <f t="shared" si="222"/>
        <v>-1000</v>
      </c>
    </row>
    <row r="377" spans="1:19" ht="15.75" hidden="1" customHeight="1" outlineLevel="1" x14ac:dyDescent="0.25">
      <c r="A377" s="51" t="s">
        <v>1245</v>
      </c>
      <c r="B377" s="51" t="s">
        <v>80</v>
      </c>
      <c r="C377" s="400"/>
      <c r="D377" s="65">
        <v>0</v>
      </c>
      <c r="E377" s="20" t="e">
        <f>D377*#REF!</f>
        <v>#REF!</v>
      </c>
      <c r="F377" s="20" t="e">
        <f>D377*#REF!</f>
        <v>#REF!</v>
      </c>
      <c r="G377" s="20" t="e">
        <f>(D377*#REF!)*#REF!</f>
        <v>#REF!</v>
      </c>
      <c r="H377" s="234">
        <f t="shared" si="220"/>
        <v>0</v>
      </c>
      <c r="I377" s="54" t="e">
        <f t="shared" si="221"/>
        <v>#REF!</v>
      </c>
      <c r="K377" s="400"/>
      <c r="L377" s="65">
        <v>0</v>
      </c>
      <c r="M377" s="20">
        <v>1142.8</v>
      </c>
      <c r="N377" s="20">
        <v>2375</v>
      </c>
      <c r="O377" s="20">
        <f>VLOOKUP(A377,TB!A:F,3)</f>
        <v>346.32</v>
      </c>
      <c r="P377" s="20"/>
      <c r="Q377" s="20">
        <v>1375</v>
      </c>
      <c r="R377" s="54">
        <f>VLOOKUP(A377,TB!A:F,6)</f>
        <v>1250</v>
      </c>
      <c r="S377" s="54">
        <f t="shared" si="222"/>
        <v>-125</v>
      </c>
    </row>
    <row r="378" spans="1:19" ht="15.75" hidden="1" customHeight="1" outlineLevel="1" x14ac:dyDescent="0.25">
      <c r="A378" s="51" t="s">
        <v>1246</v>
      </c>
      <c r="B378" s="51" t="s">
        <v>82</v>
      </c>
      <c r="C378" s="400"/>
      <c r="D378" s="65">
        <v>0</v>
      </c>
      <c r="E378" s="20" t="e">
        <f>D378*#REF!</f>
        <v>#REF!</v>
      </c>
      <c r="F378" s="20" t="e">
        <f>D378*#REF!</f>
        <v>#REF!</v>
      </c>
      <c r="G378" s="20" t="e">
        <f>(D378*#REF!)*#REF!</f>
        <v>#REF!</v>
      </c>
      <c r="H378" s="234">
        <f t="shared" si="220"/>
        <v>0</v>
      </c>
      <c r="I378" s="54" t="e">
        <f t="shared" si="221"/>
        <v>#REF!</v>
      </c>
      <c r="K378" s="400"/>
      <c r="L378" s="65">
        <v>0</v>
      </c>
      <c r="M378" s="20">
        <v>10887.79</v>
      </c>
      <c r="N378" s="20">
        <v>6125</v>
      </c>
      <c r="O378" s="20">
        <f>VLOOKUP(A378,TB!A:F,3)</f>
        <v>757.05</v>
      </c>
      <c r="P378" s="20"/>
      <c r="Q378" s="20">
        <v>6125</v>
      </c>
      <c r="R378" s="54">
        <f>VLOOKUP(A378,TB!A:F,6)</f>
        <v>5000</v>
      </c>
      <c r="S378" s="54">
        <f t="shared" si="222"/>
        <v>-1125</v>
      </c>
    </row>
    <row r="379" spans="1:19" ht="15.75" hidden="1" customHeight="1" outlineLevel="1" x14ac:dyDescent="0.25">
      <c r="A379" s="51" t="s">
        <v>1247</v>
      </c>
      <c r="B379" s="51" t="s">
        <v>115</v>
      </c>
      <c r="C379" s="400"/>
      <c r="D379" s="65">
        <v>0</v>
      </c>
      <c r="E379" s="20" t="e">
        <f>D379*#REF!</f>
        <v>#REF!</v>
      </c>
      <c r="F379" s="20" t="e">
        <f>D379*#REF!</f>
        <v>#REF!</v>
      </c>
      <c r="G379" s="20" t="e">
        <f>(D379*#REF!)*#REF!</f>
        <v>#REF!</v>
      </c>
      <c r="H379" s="234">
        <f t="shared" si="220"/>
        <v>0</v>
      </c>
      <c r="I379" s="54" t="e">
        <f t="shared" si="221"/>
        <v>#REF!</v>
      </c>
      <c r="K379" s="400"/>
      <c r="L379" s="65">
        <v>0</v>
      </c>
      <c r="M379" s="20">
        <v>299</v>
      </c>
      <c r="N379" s="20">
        <v>1250</v>
      </c>
      <c r="O379" s="20">
        <f>VLOOKUP(A379,TB!A:F,3)</f>
        <v>0</v>
      </c>
      <c r="P379" s="20"/>
      <c r="Q379" s="20">
        <v>1500</v>
      </c>
      <c r="R379" s="54">
        <f>VLOOKUP(A379,TB!A:F,6)</f>
        <v>1000</v>
      </c>
      <c r="S379" s="54">
        <f t="shared" si="222"/>
        <v>-500</v>
      </c>
    </row>
    <row r="380" spans="1:19" ht="15.75" hidden="1" customHeight="1" outlineLevel="1" x14ac:dyDescent="0.25">
      <c r="A380" s="51" t="s">
        <v>1248</v>
      </c>
      <c r="B380" s="51" t="s">
        <v>84</v>
      </c>
      <c r="C380" s="400"/>
      <c r="D380" s="65">
        <v>0</v>
      </c>
      <c r="E380" s="20" t="e">
        <f>D380*#REF!</f>
        <v>#REF!</v>
      </c>
      <c r="F380" s="20" t="e">
        <f>D380*#REF!</f>
        <v>#REF!</v>
      </c>
      <c r="G380" s="20" t="e">
        <f>(D380*#REF!)*#REF!</f>
        <v>#REF!</v>
      </c>
      <c r="H380" s="234">
        <f t="shared" si="220"/>
        <v>0</v>
      </c>
      <c r="I380" s="54" t="e">
        <f t="shared" si="221"/>
        <v>#REF!</v>
      </c>
      <c r="K380" s="400"/>
      <c r="L380" s="65">
        <v>0</v>
      </c>
      <c r="M380" s="20">
        <v>2483.3200000000002</v>
      </c>
      <c r="N380" s="20">
        <v>1900</v>
      </c>
      <c r="O380" s="20">
        <f>VLOOKUP(A380,TB!A:F,3)</f>
        <v>408.42</v>
      </c>
      <c r="P380" s="20"/>
      <c r="Q380" s="20">
        <v>1900</v>
      </c>
      <c r="R380" s="54">
        <f>VLOOKUP(A380,TB!A:F,6)</f>
        <v>1650</v>
      </c>
      <c r="S380" s="54">
        <f t="shared" si="222"/>
        <v>-250</v>
      </c>
    </row>
    <row r="381" spans="1:19" ht="15.75" hidden="1" customHeight="1" outlineLevel="1" x14ac:dyDescent="0.25">
      <c r="A381" s="51" t="s">
        <v>1249</v>
      </c>
      <c r="B381" s="51" t="s">
        <v>86</v>
      </c>
      <c r="C381" s="400"/>
      <c r="D381" s="65">
        <v>0</v>
      </c>
      <c r="E381" s="20" t="e">
        <f>D381*#REF!</f>
        <v>#REF!</v>
      </c>
      <c r="F381" s="20" t="e">
        <f>D381*#REF!</f>
        <v>#REF!</v>
      </c>
      <c r="G381" s="20" t="e">
        <f>(D381*#REF!)*#REF!</f>
        <v>#REF!</v>
      </c>
      <c r="H381" s="234">
        <f t="shared" si="220"/>
        <v>0</v>
      </c>
      <c r="I381" s="54" t="e">
        <f t="shared" si="221"/>
        <v>#REF!</v>
      </c>
      <c r="K381" s="400"/>
      <c r="L381" s="65">
        <v>0</v>
      </c>
      <c r="M381" s="20">
        <v>112463.24</v>
      </c>
      <c r="N381" s="20">
        <v>48750</v>
      </c>
      <c r="O381" s="20">
        <f>VLOOKUP(A381,TB!A:F,3)</f>
        <v>20595.189999999999</v>
      </c>
      <c r="P381" s="20"/>
      <c r="Q381" s="20">
        <v>41250</v>
      </c>
      <c r="R381" s="54">
        <f>VLOOKUP(A381,TB!A:F,6)</f>
        <v>40000</v>
      </c>
      <c r="S381" s="54">
        <f t="shared" si="222"/>
        <v>-1250</v>
      </c>
    </row>
    <row r="382" spans="1:19" ht="15.75" hidden="1" customHeight="1" outlineLevel="1" x14ac:dyDescent="0.25">
      <c r="A382" s="51" t="s">
        <v>1250</v>
      </c>
      <c r="B382" s="51" t="s">
        <v>88</v>
      </c>
      <c r="C382" s="400"/>
      <c r="D382" s="65">
        <v>0</v>
      </c>
      <c r="E382" s="20" t="e">
        <f>D382*#REF!</f>
        <v>#REF!</v>
      </c>
      <c r="F382" s="20" t="e">
        <f>D382*#REF!</f>
        <v>#REF!</v>
      </c>
      <c r="G382" s="20" t="e">
        <f>(D382*#REF!)*#REF!</f>
        <v>#REF!</v>
      </c>
      <c r="H382" s="234">
        <f t="shared" si="220"/>
        <v>0</v>
      </c>
      <c r="I382" s="54" t="e">
        <f t="shared" si="221"/>
        <v>#REF!</v>
      </c>
      <c r="K382" s="400"/>
      <c r="L382" s="65">
        <v>0</v>
      </c>
      <c r="M382" s="20">
        <v>6297.17</v>
      </c>
      <c r="N382" s="20">
        <v>4600</v>
      </c>
      <c r="O382" s="20">
        <f>VLOOKUP(A382,TB!A:F,3)</f>
        <v>3040.13</v>
      </c>
      <c r="P382" s="20"/>
      <c r="Q382" s="20">
        <v>4850</v>
      </c>
      <c r="R382" s="54">
        <f>VLOOKUP(A382,TB!A:F,6)</f>
        <v>4850</v>
      </c>
      <c r="S382" s="54">
        <f t="shared" si="222"/>
        <v>0</v>
      </c>
    </row>
    <row r="383" spans="1:19" ht="15.75" hidden="1" customHeight="1" outlineLevel="1" x14ac:dyDescent="0.25">
      <c r="A383" s="51" t="s">
        <v>1251</v>
      </c>
      <c r="B383" s="51" t="s">
        <v>1252</v>
      </c>
      <c r="C383" s="400"/>
      <c r="D383" s="65">
        <v>0</v>
      </c>
      <c r="E383" s="20" t="e">
        <f>D383*#REF!</f>
        <v>#REF!</v>
      </c>
      <c r="F383" s="20" t="e">
        <f>D383*#REF!</f>
        <v>#REF!</v>
      </c>
      <c r="G383" s="20" t="e">
        <f>(D383*#REF!)*#REF!</f>
        <v>#REF!</v>
      </c>
      <c r="H383" s="234">
        <f t="shared" si="220"/>
        <v>0</v>
      </c>
      <c r="I383" s="54" t="e">
        <f t="shared" si="221"/>
        <v>#REF!</v>
      </c>
      <c r="K383" s="400"/>
      <c r="L383" s="65">
        <v>0</v>
      </c>
      <c r="M383" s="20">
        <v>0</v>
      </c>
      <c r="N383" s="20">
        <v>56962</v>
      </c>
      <c r="O383" s="20">
        <f>VLOOKUP(A383,TB!A:F,3)</f>
        <v>1812.5</v>
      </c>
      <c r="P383" s="20"/>
      <c r="Q383" s="20">
        <v>2500</v>
      </c>
      <c r="R383" s="54">
        <f>VLOOKUP(A383,TB!A:F,6)</f>
        <v>2500</v>
      </c>
      <c r="S383" s="54">
        <f t="shared" si="222"/>
        <v>0</v>
      </c>
    </row>
    <row r="384" spans="1:19" ht="15.75" hidden="1" customHeight="1" outlineLevel="1" x14ac:dyDescent="0.25">
      <c r="A384" s="51" t="s">
        <v>1253</v>
      </c>
      <c r="B384" s="51" t="s">
        <v>1254</v>
      </c>
      <c r="C384" s="400"/>
      <c r="D384" s="65">
        <v>0</v>
      </c>
      <c r="E384" s="20" t="e">
        <f>D384*#REF!</f>
        <v>#REF!</v>
      </c>
      <c r="F384" s="20" t="e">
        <f>D384*#REF!</f>
        <v>#REF!</v>
      </c>
      <c r="G384" s="20" t="e">
        <f>(D384*#REF!)*#REF!</f>
        <v>#REF!</v>
      </c>
      <c r="H384" s="234">
        <f t="shared" si="220"/>
        <v>0</v>
      </c>
      <c r="I384" s="54" t="e">
        <f t="shared" si="221"/>
        <v>#REF!</v>
      </c>
      <c r="K384" s="400"/>
      <c r="L384" s="65">
        <v>0</v>
      </c>
      <c r="M384" s="20">
        <v>19032.650000000001</v>
      </c>
      <c r="N384" s="20">
        <v>10000</v>
      </c>
      <c r="O384" s="20">
        <f>VLOOKUP(A384,TB!A:F,3)</f>
        <v>5906.93</v>
      </c>
      <c r="P384" s="20"/>
      <c r="Q384" s="20">
        <v>10000</v>
      </c>
      <c r="R384" s="54">
        <f>VLOOKUP(A384,TB!A:F,6)</f>
        <v>10000</v>
      </c>
      <c r="S384" s="54">
        <f t="shared" si="222"/>
        <v>0</v>
      </c>
    </row>
    <row r="385" spans="1:19" ht="15.75" hidden="1" customHeight="1" outlineLevel="1" x14ac:dyDescent="0.25">
      <c r="A385" s="51" t="s">
        <v>1255</v>
      </c>
      <c r="B385" s="51" t="s">
        <v>1256</v>
      </c>
      <c r="C385" s="400"/>
      <c r="D385" s="65">
        <v>0</v>
      </c>
      <c r="E385" s="20" t="e">
        <f>D385*#REF!</f>
        <v>#REF!</v>
      </c>
      <c r="F385" s="20" t="e">
        <f>D385*#REF!</f>
        <v>#REF!</v>
      </c>
      <c r="G385" s="20" t="e">
        <f>(D385*#REF!)*#REF!</f>
        <v>#REF!</v>
      </c>
      <c r="H385" s="234">
        <f t="shared" si="220"/>
        <v>0</v>
      </c>
      <c r="I385" s="54" t="e">
        <f t="shared" si="221"/>
        <v>#REF!</v>
      </c>
      <c r="K385" s="400"/>
      <c r="L385" s="65">
        <v>0</v>
      </c>
      <c r="M385" s="20">
        <v>23747.88</v>
      </c>
      <c r="N385" s="20">
        <v>6250</v>
      </c>
      <c r="O385" s="20">
        <f>VLOOKUP(A385,TB!A:F,3)</f>
        <v>9107.19</v>
      </c>
      <c r="P385" s="20"/>
      <c r="Q385" s="20">
        <v>15000</v>
      </c>
      <c r="R385" s="54">
        <f>VLOOKUP(A385,TB!A:F,6)</f>
        <v>15000</v>
      </c>
      <c r="S385" s="54">
        <f t="shared" si="222"/>
        <v>0</v>
      </c>
    </row>
    <row r="386" spans="1:19" ht="15.75" hidden="1" customHeight="1" outlineLevel="1" x14ac:dyDescent="0.25">
      <c r="A386" s="51" t="s">
        <v>1257</v>
      </c>
      <c r="B386" s="51" t="s">
        <v>1258</v>
      </c>
      <c r="C386" s="400"/>
      <c r="D386" s="65">
        <v>0</v>
      </c>
      <c r="E386" s="20" t="e">
        <f>D386*#REF!</f>
        <v>#REF!</v>
      </c>
      <c r="F386" s="20" t="e">
        <f>D386*#REF!</f>
        <v>#REF!</v>
      </c>
      <c r="G386" s="20" t="e">
        <f>(D386*#REF!)*#REF!</f>
        <v>#REF!</v>
      </c>
      <c r="H386" s="234">
        <f t="shared" si="220"/>
        <v>0</v>
      </c>
      <c r="I386" s="54" t="e">
        <f t="shared" si="221"/>
        <v>#REF!</v>
      </c>
      <c r="K386" s="400"/>
      <c r="L386" s="65">
        <v>0</v>
      </c>
      <c r="M386" s="20">
        <v>3993.58</v>
      </c>
      <c r="N386" s="20">
        <v>25000</v>
      </c>
      <c r="O386" s="20">
        <f>VLOOKUP(A386,TB!A:F,3)</f>
        <v>5968.07</v>
      </c>
      <c r="P386" s="20"/>
      <c r="Q386" s="20">
        <v>6250</v>
      </c>
      <c r="R386" s="54">
        <f>VLOOKUP(A386,TB!A:F,6)</f>
        <v>6250</v>
      </c>
      <c r="S386" s="54">
        <f t="shared" si="222"/>
        <v>0</v>
      </c>
    </row>
    <row r="387" spans="1:19" ht="15.75" hidden="1" customHeight="1" outlineLevel="1" x14ac:dyDescent="0.25">
      <c r="A387" s="51" t="s">
        <v>1259</v>
      </c>
      <c r="B387" s="51" t="s">
        <v>90</v>
      </c>
      <c r="C387" s="400"/>
      <c r="D387" s="65">
        <v>0</v>
      </c>
      <c r="E387" s="20" t="e">
        <f>D387*#REF!</f>
        <v>#REF!</v>
      </c>
      <c r="F387" s="20" t="e">
        <f>D387*#REF!</f>
        <v>#REF!</v>
      </c>
      <c r="G387" s="20" t="e">
        <f>(D387*#REF!)*#REF!</f>
        <v>#REF!</v>
      </c>
      <c r="H387" s="234">
        <f t="shared" si="220"/>
        <v>0</v>
      </c>
      <c r="I387" s="54" t="e">
        <f t="shared" si="221"/>
        <v>#REF!</v>
      </c>
      <c r="K387" s="400"/>
      <c r="L387" s="65">
        <v>0</v>
      </c>
      <c r="M387" s="20">
        <v>0</v>
      </c>
      <c r="N387" s="20">
        <v>1500</v>
      </c>
      <c r="O387" s="20">
        <f>VLOOKUP(A387,TB!A:F,3)</f>
        <v>770.53</v>
      </c>
      <c r="P387" s="20"/>
      <c r="Q387" s="20">
        <v>1500</v>
      </c>
      <c r="R387" s="54">
        <f>VLOOKUP(A387,TB!A:F,6)</f>
        <v>1250</v>
      </c>
      <c r="S387" s="54">
        <f t="shared" si="222"/>
        <v>-250</v>
      </c>
    </row>
    <row r="388" spans="1:19" ht="15.75" hidden="1" customHeight="1" outlineLevel="1" x14ac:dyDescent="0.25">
      <c r="A388" s="51" t="s">
        <v>1260</v>
      </c>
      <c r="B388" s="51" t="s">
        <v>1261</v>
      </c>
      <c r="C388" s="400"/>
      <c r="D388" s="65">
        <v>0</v>
      </c>
      <c r="E388" s="20" t="e">
        <f>D388*#REF!</f>
        <v>#REF!</v>
      </c>
      <c r="F388" s="20" t="e">
        <f>D388*#REF!</f>
        <v>#REF!</v>
      </c>
      <c r="G388" s="20" t="e">
        <f>(D388*#REF!)*#REF!</f>
        <v>#REF!</v>
      </c>
      <c r="H388" s="234">
        <f t="shared" si="220"/>
        <v>0</v>
      </c>
      <c r="I388" s="54" t="e">
        <f t="shared" si="221"/>
        <v>#REF!</v>
      </c>
      <c r="K388" s="400"/>
      <c r="L388" s="65">
        <v>0</v>
      </c>
      <c r="M388" s="20">
        <v>0</v>
      </c>
      <c r="N388" s="20">
        <v>0</v>
      </c>
      <c r="O388" s="20">
        <f>VLOOKUP(A388,TB!A:F,3)</f>
        <v>0</v>
      </c>
      <c r="P388" s="20"/>
      <c r="Q388" s="20">
        <v>25000</v>
      </c>
      <c r="R388" s="54">
        <f>VLOOKUP(A388,TB!A:F,6)</f>
        <v>25000</v>
      </c>
      <c r="S388" s="54">
        <f t="shared" si="222"/>
        <v>0</v>
      </c>
    </row>
    <row r="389" spans="1:19" ht="15.75" hidden="1" customHeight="1" outlineLevel="1" x14ac:dyDescent="0.25">
      <c r="A389" s="51" t="s">
        <v>1262</v>
      </c>
      <c r="B389" s="51" t="s">
        <v>92</v>
      </c>
      <c r="C389" s="400"/>
      <c r="D389" s="65">
        <v>0</v>
      </c>
      <c r="E389" s="20" t="e">
        <f>D389*#REF!</f>
        <v>#REF!</v>
      </c>
      <c r="F389" s="20" t="e">
        <f>D389*#REF!</f>
        <v>#REF!</v>
      </c>
      <c r="G389" s="20" t="e">
        <f>(D389*#REF!)*#REF!</f>
        <v>#REF!</v>
      </c>
      <c r="H389" s="234">
        <f t="shared" si="220"/>
        <v>0</v>
      </c>
      <c r="I389" s="54" t="e">
        <f t="shared" si="221"/>
        <v>#REF!</v>
      </c>
      <c r="K389" s="400"/>
      <c r="L389" s="65">
        <v>0</v>
      </c>
      <c r="M389" s="20">
        <v>1048.4100000000001</v>
      </c>
      <c r="N389" s="20">
        <v>1000</v>
      </c>
      <c r="O389" s="20">
        <f>VLOOKUP(A389,TB!A:F,3)</f>
        <v>757.16</v>
      </c>
      <c r="P389" s="20"/>
      <c r="Q389" s="20">
        <v>1000</v>
      </c>
      <c r="R389" s="54">
        <f>VLOOKUP(A389,TB!A:F,6)</f>
        <v>1000</v>
      </c>
      <c r="S389" s="54">
        <f t="shared" si="222"/>
        <v>0</v>
      </c>
    </row>
    <row r="390" spans="1:19" ht="15.75" hidden="1" customHeight="1" outlineLevel="1" x14ac:dyDescent="0.25">
      <c r="A390" s="51" t="s">
        <v>1263</v>
      </c>
      <c r="B390" s="51" t="s">
        <v>99</v>
      </c>
      <c r="C390" s="295"/>
      <c r="D390" s="20">
        <v>0</v>
      </c>
      <c r="E390" s="20" t="e">
        <f>D390*#REF!</f>
        <v>#REF!</v>
      </c>
      <c r="F390" s="20" t="e">
        <f>D390*#REF!</f>
        <v>#REF!</v>
      </c>
      <c r="G390" s="20" t="e">
        <f>(D390*#REF!)*#REF!</f>
        <v>#REF!</v>
      </c>
      <c r="H390" s="234">
        <f t="shared" si="220"/>
        <v>0</v>
      </c>
      <c r="I390" s="54" t="e">
        <f t="shared" si="221"/>
        <v>#REF!</v>
      </c>
      <c r="K390" s="295"/>
      <c r="L390" s="20">
        <v>0</v>
      </c>
      <c r="M390" s="20">
        <v>30018.99</v>
      </c>
      <c r="N390" s="20">
        <v>0</v>
      </c>
      <c r="O390" s="20">
        <f>VLOOKUP(A390,TB!A:F,3)</f>
        <v>0</v>
      </c>
      <c r="P390" s="20"/>
      <c r="Q390" s="20">
        <v>0</v>
      </c>
      <c r="R390" s="54">
        <f>VLOOKUP(A390,TB!A:F,6)</f>
        <v>0</v>
      </c>
      <c r="S390" s="54">
        <f t="shared" si="222"/>
        <v>0</v>
      </c>
    </row>
    <row r="391" spans="1:19" ht="15.75" hidden="1" customHeight="1" outlineLevel="1" x14ac:dyDescent="0.25">
      <c r="A391" s="51" t="s">
        <v>1264</v>
      </c>
      <c r="B391" s="51" t="s">
        <v>1265</v>
      </c>
      <c r="C391" s="295"/>
      <c r="D391" s="20">
        <v>0</v>
      </c>
      <c r="E391" s="20" t="e">
        <f>D391*#REF!</f>
        <v>#REF!</v>
      </c>
      <c r="F391" s="20" t="e">
        <f>D391*#REF!</f>
        <v>#REF!</v>
      </c>
      <c r="G391" s="20" t="e">
        <f>(D391*#REF!)*#REF!</f>
        <v>#REF!</v>
      </c>
      <c r="H391" s="234">
        <f t="shared" si="220"/>
        <v>0</v>
      </c>
      <c r="I391" s="54" t="e">
        <f t="shared" si="221"/>
        <v>#REF!</v>
      </c>
      <c r="K391" s="295"/>
      <c r="L391" s="20">
        <v>0</v>
      </c>
      <c r="M391" s="20">
        <v>966.19</v>
      </c>
      <c r="N391" s="20">
        <v>0</v>
      </c>
      <c r="O391" s="20">
        <f>VLOOKUP(A391,TB!A:F,3)</f>
        <v>0</v>
      </c>
      <c r="P391" s="20"/>
      <c r="Q391" s="20">
        <v>0</v>
      </c>
      <c r="R391" s="54">
        <f>VLOOKUP(A391,TB!A:F,6)</f>
        <v>0</v>
      </c>
      <c r="S391" s="54">
        <f t="shared" si="222"/>
        <v>0</v>
      </c>
    </row>
    <row r="392" spans="1:19" ht="15.75" hidden="1" customHeight="1" outlineLevel="1" x14ac:dyDescent="0.25">
      <c r="A392" s="74" t="s">
        <v>1266</v>
      </c>
      <c r="B392" s="75"/>
      <c r="C392" s="401"/>
      <c r="D392" s="75">
        <f t="shared" ref="D392:G392" si="223">SUM(D370:D391)</f>
        <v>0</v>
      </c>
      <c r="E392" s="75" t="e">
        <f t="shared" si="223"/>
        <v>#REF!</v>
      </c>
      <c r="F392" s="75" t="e">
        <f t="shared" si="223"/>
        <v>#REF!</v>
      </c>
      <c r="G392" s="75" t="e">
        <f t="shared" si="223"/>
        <v>#REF!</v>
      </c>
      <c r="H392" s="238">
        <f t="shared" si="220"/>
        <v>0</v>
      </c>
      <c r="I392" s="77" t="e">
        <f t="shared" si="221"/>
        <v>#REF!</v>
      </c>
      <c r="K392" s="401"/>
      <c r="L392" s="75">
        <f t="shared" ref="L392:S392" si="224">SUM(L370:L391)</f>
        <v>0</v>
      </c>
      <c r="M392" s="75">
        <f t="shared" si="224"/>
        <v>380103.66</v>
      </c>
      <c r="N392" s="75">
        <f t="shared" si="224"/>
        <v>288901</v>
      </c>
      <c r="O392" s="75">
        <f t="shared" si="224"/>
        <v>95803.510000000009</v>
      </c>
      <c r="P392" s="75">
        <f t="shared" si="224"/>
        <v>0</v>
      </c>
      <c r="Q392" s="75">
        <f t="shared" si="224"/>
        <v>260325</v>
      </c>
      <c r="R392" s="75">
        <f t="shared" si="224"/>
        <v>260600</v>
      </c>
      <c r="S392" s="75">
        <f t="shared" si="224"/>
        <v>275</v>
      </c>
    </row>
    <row r="393" spans="1:19" ht="15.75" hidden="1" customHeight="1" outlineLevel="1" x14ac:dyDescent="0.2">
      <c r="C393" s="287"/>
      <c r="K393" s="287"/>
    </row>
    <row r="394" spans="1:19" ht="15.75" hidden="1" customHeight="1" outlineLevel="1" x14ac:dyDescent="0.2">
      <c r="C394" s="287"/>
      <c r="K394" s="287"/>
    </row>
    <row r="395" spans="1:19" ht="15.75" hidden="1" customHeight="1" outlineLevel="1" x14ac:dyDescent="0.2">
      <c r="A395" s="379" t="s">
        <v>50</v>
      </c>
      <c r="B395" s="379" t="s">
        <v>51</v>
      </c>
      <c r="C395" s="292"/>
      <c r="D395" s="379" t="s">
        <v>52</v>
      </c>
      <c r="E395" s="380" t="s">
        <v>53</v>
      </c>
      <c r="F395" s="380" t="s">
        <v>1212</v>
      </c>
      <c r="G395" s="380" t="s">
        <v>55</v>
      </c>
      <c r="H395" s="230" t="s">
        <v>56</v>
      </c>
      <c r="I395" s="230" t="s">
        <v>57</v>
      </c>
      <c r="K395" s="292"/>
      <c r="L395" s="379" t="s">
        <v>59</v>
      </c>
      <c r="M395" s="379" t="s">
        <v>60</v>
      </c>
      <c r="N395" s="379" t="s">
        <v>436</v>
      </c>
      <c r="O395" s="379" t="s">
        <v>437</v>
      </c>
      <c r="P395" s="3" t="s">
        <v>541</v>
      </c>
      <c r="Q395" s="381" t="s">
        <v>438</v>
      </c>
      <c r="R395" s="293" t="s">
        <v>65</v>
      </c>
      <c r="S395" s="3" t="s">
        <v>586</v>
      </c>
    </row>
    <row r="396" spans="1:19" ht="15.75" hidden="1" customHeight="1" outlineLevel="1" x14ac:dyDescent="0.25">
      <c r="A396" s="51" t="s">
        <v>1267</v>
      </c>
      <c r="B396" s="51" t="s">
        <v>68</v>
      </c>
      <c r="C396" s="400"/>
      <c r="D396" s="65">
        <v>135153</v>
      </c>
      <c r="E396" s="20" t="e">
        <f>D396*#REF!</f>
        <v>#REF!</v>
      </c>
      <c r="F396" s="20" t="e">
        <f>D396*#REF!</f>
        <v>#REF!</v>
      </c>
      <c r="G396" s="20" t="e">
        <f>(D396*#REF!)*#REF!</f>
        <v>#REF!</v>
      </c>
      <c r="H396" s="234">
        <f t="shared" ref="H396:H418" si="225">IFERROR(((Q396-D396)/D396),0)</f>
        <v>0.92374568082099551</v>
      </c>
      <c r="I396" s="54" t="e">
        <f t="shared" ref="I396:I418" si="226">Q396-G396</f>
        <v>#REF!</v>
      </c>
      <c r="K396" s="400"/>
      <c r="L396" s="65">
        <v>165644</v>
      </c>
      <c r="M396" s="20">
        <v>106174.58</v>
      </c>
      <c r="N396" s="20">
        <v>210796</v>
      </c>
      <c r="O396" s="20">
        <f>VLOOKUP(A396,TB!A:F,3)</f>
        <v>84345.69</v>
      </c>
      <c r="P396" s="20"/>
      <c r="Q396" s="20">
        <v>260000</v>
      </c>
      <c r="R396" s="54">
        <f>VLOOKUP(A396,TB!A:F,6)</f>
        <v>260000</v>
      </c>
      <c r="S396" s="54">
        <f t="shared" ref="S396:S417" si="227">R396-Q396</f>
        <v>0</v>
      </c>
    </row>
    <row r="397" spans="1:19" ht="15.75" hidden="1" customHeight="1" outlineLevel="1" x14ac:dyDescent="0.25">
      <c r="A397" s="51" t="s">
        <v>1268</v>
      </c>
      <c r="B397" s="51" t="s">
        <v>70</v>
      </c>
      <c r="C397" s="400"/>
      <c r="D397" s="65">
        <v>91</v>
      </c>
      <c r="E397" s="20" t="e">
        <f>D397*#REF!</f>
        <v>#REF!</v>
      </c>
      <c r="F397" s="20" t="e">
        <f>D397*#REF!</f>
        <v>#REF!</v>
      </c>
      <c r="G397" s="20" t="e">
        <f>(D397*#REF!)*#REF!</f>
        <v>#REF!</v>
      </c>
      <c r="H397" s="234">
        <f t="shared" si="225"/>
        <v>45.153846153846153</v>
      </c>
      <c r="I397" s="54" t="e">
        <f t="shared" si="226"/>
        <v>#REF!</v>
      </c>
      <c r="K397" s="400"/>
      <c r="L397" s="65">
        <v>1609</v>
      </c>
      <c r="M397" s="20">
        <v>1509.98</v>
      </c>
      <c r="N397" s="20">
        <v>4125</v>
      </c>
      <c r="O397" s="20">
        <f>VLOOKUP(A397,TB!A:F,3)</f>
        <v>2003.9</v>
      </c>
      <c r="P397" s="20"/>
      <c r="Q397" s="20">
        <v>4200</v>
      </c>
      <c r="R397" s="54">
        <f>VLOOKUP(A397,TB!A:F,6)</f>
        <v>3750</v>
      </c>
      <c r="S397" s="54">
        <f t="shared" si="227"/>
        <v>-450</v>
      </c>
    </row>
    <row r="398" spans="1:19" ht="15.75" hidden="1" customHeight="1" outlineLevel="1" x14ac:dyDescent="0.25">
      <c r="A398" s="51" t="s">
        <v>1269</v>
      </c>
      <c r="B398" s="51" t="s">
        <v>132</v>
      </c>
      <c r="C398" s="400"/>
      <c r="D398" s="65">
        <v>8564</v>
      </c>
      <c r="E398" s="20" t="e">
        <f>D398*#REF!</f>
        <v>#REF!</v>
      </c>
      <c r="F398" s="20" t="e">
        <f>D398*#REF!</f>
        <v>#REF!</v>
      </c>
      <c r="G398" s="20" t="e">
        <f>(D398*#REF!)*#REF!</f>
        <v>#REF!</v>
      </c>
      <c r="H398" s="234">
        <f t="shared" si="225"/>
        <v>0.75151798225128441</v>
      </c>
      <c r="I398" s="54" t="e">
        <f t="shared" si="226"/>
        <v>#REF!</v>
      </c>
      <c r="K398" s="400"/>
      <c r="L398" s="65">
        <v>0</v>
      </c>
      <c r="M398" s="20">
        <v>0</v>
      </c>
      <c r="N398" s="20">
        <v>11250</v>
      </c>
      <c r="O398" s="20">
        <f>VLOOKUP(A398,TB!A:F,3)</f>
        <v>0</v>
      </c>
      <c r="P398" s="20"/>
      <c r="Q398" s="20">
        <v>15000</v>
      </c>
      <c r="R398" s="54">
        <f>VLOOKUP(A398,TB!A:F,6)</f>
        <v>15000</v>
      </c>
      <c r="S398" s="54">
        <f t="shared" si="227"/>
        <v>0</v>
      </c>
    </row>
    <row r="399" spans="1:19" ht="15.75" hidden="1" customHeight="1" outlineLevel="1" x14ac:dyDescent="0.25">
      <c r="A399" s="51" t="s">
        <v>1270</v>
      </c>
      <c r="B399" s="51" t="s">
        <v>72</v>
      </c>
      <c r="C399" s="400"/>
      <c r="D399" s="65">
        <v>53743</v>
      </c>
      <c r="E399" s="20" t="e">
        <f>D399*#REF!</f>
        <v>#REF!</v>
      </c>
      <c r="F399" s="20" t="e">
        <f>D399*#REF!</f>
        <v>#REF!</v>
      </c>
      <c r="G399" s="20" t="e">
        <f>(D399*#REF!)*#REF!</f>
        <v>#REF!</v>
      </c>
      <c r="H399" s="234">
        <f t="shared" si="225"/>
        <v>1.4710194816069069</v>
      </c>
      <c r="I399" s="54" t="e">
        <f t="shared" si="226"/>
        <v>#REF!</v>
      </c>
      <c r="K399" s="400"/>
      <c r="L399" s="65">
        <v>77954</v>
      </c>
      <c r="M399" s="20">
        <v>54377.22</v>
      </c>
      <c r="N399" s="20">
        <v>129708</v>
      </c>
      <c r="O399" s="20">
        <f>VLOOKUP(A399,TB!A:F,3)</f>
        <v>40852.400000000001</v>
      </c>
      <c r="P399" s="20"/>
      <c r="Q399" s="20">
        <v>132800</v>
      </c>
      <c r="R399" s="54">
        <f>VLOOKUP(A399,TB!A:F,6)</f>
        <v>132800</v>
      </c>
      <c r="S399" s="54">
        <f t="shared" si="227"/>
        <v>0</v>
      </c>
    </row>
    <row r="400" spans="1:19" ht="15.75" hidden="1" customHeight="1" outlineLevel="1" x14ac:dyDescent="0.25">
      <c r="A400" s="51" t="s">
        <v>1271</v>
      </c>
      <c r="B400" s="51" t="s">
        <v>74</v>
      </c>
      <c r="C400" s="400"/>
      <c r="D400" s="65">
        <v>2336</v>
      </c>
      <c r="E400" s="20" t="e">
        <f>D400*#REF!</f>
        <v>#REF!</v>
      </c>
      <c r="F400" s="20" t="e">
        <f>D400*#REF!</f>
        <v>#REF!</v>
      </c>
      <c r="G400" s="20" t="e">
        <f>(D400*#REF!)*#REF!</f>
        <v>#REF!</v>
      </c>
      <c r="H400" s="234">
        <f t="shared" si="225"/>
        <v>0.38056506849315069</v>
      </c>
      <c r="I400" s="54" t="e">
        <f t="shared" si="226"/>
        <v>#REF!</v>
      </c>
      <c r="K400" s="400"/>
      <c r="L400" s="65">
        <v>2000</v>
      </c>
      <c r="M400" s="20">
        <v>1831.5</v>
      </c>
      <c r="N400" s="20">
        <v>3225</v>
      </c>
      <c r="O400" s="20">
        <f>VLOOKUP(A400,TB!A:F,3)</f>
        <v>218.25</v>
      </c>
      <c r="P400" s="20"/>
      <c r="Q400" s="20">
        <v>3225</v>
      </c>
      <c r="R400" s="54">
        <f>VLOOKUP(A400,TB!A:F,6)</f>
        <v>3000</v>
      </c>
      <c r="S400" s="54">
        <f t="shared" si="227"/>
        <v>-225</v>
      </c>
    </row>
    <row r="401" spans="1:19" ht="15.75" hidden="1" customHeight="1" outlineLevel="1" x14ac:dyDescent="0.25">
      <c r="A401" s="51" t="s">
        <v>1272</v>
      </c>
      <c r="B401" s="51" t="s">
        <v>76</v>
      </c>
      <c r="C401" s="400"/>
      <c r="D401" s="65">
        <v>3083</v>
      </c>
      <c r="E401" s="20" t="e">
        <f>D401*#REF!</f>
        <v>#REF!</v>
      </c>
      <c r="F401" s="20" t="e">
        <f>D401*#REF!</f>
        <v>#REF!</v>
      </c>
      <c r="G401" s="20" t="e">
        <f>(D401*#REF!)*#REF!</f>
        <v>#REF!</v>
      </c>
      <c r="H401" s="234">
        <f t="shared" si="225"/>
        <v>2.4057735971456373</v>
      </c>
      <c r="I401" s="54" t="e">
        <f t="shared" si="226"/>
        <v>#REF!</v>
      </c>
      <c r="K401" s="400"/>
      <c r="L401" s="65">
        <v>5064</v>
      </c>
      <c r="M401" s="20">
        <v>3827.31</v>
      </c>
      <c r="N401" s="20">
        <v>8625</v>
      </c>
      <c r="O401" s="20">
        <f>VLOOKUP(A401,TB!A:F,3)</f>
        <v>671.85</v>
      </c>
      <c r="P401" s="20"/>
      <c r="Q401" s="20">
        <v>10500</v>
      </c>
      <c r="R401" s="54">
        <f>VLOOKUP(A401,TB!A:F,6)</f>
        <v>7500</v>
      </c>
      <c r="S401" s="54">
        <f t="shared" si="227"/>
        <v>-3000</v>
      </c>
    </row>
    <row r="402" spans="1:19" ht="15.75" hidden="1" customHeight="1" outlineLevel="1" x14ac:dyDescent="0.25">
      <c r="A402" s="51" t="s">
        <v>1273</v>
      </c>
      <c r="B402" s="51" t="s">
        <v>80</v>
      </c>
      <c r="C402" s="400"/>
      <c r="D402" s="65">
        <v>1744</v>
      </c>
      <c r="E402" s="20" t="e">
        <f>D402*#REF!</f>
        <v>#REF!</v>
      </c>
      <c r="F402" s="20" t="e">
        <f>D402*#REF!</f>
        <v>#REF!</v>
      </c>
      <c r="G402" s="20" t="e">
        <f>(D402*#REF!)*#REF!</f>
        <v>#REF!</v>
      </c>
      <c r="H402" s="234">
        <f t="shared" si="225"/>
        <v>1.3652522935779816</v>
      </c>
      <c r="I402" s="54" t="e">
        <f t="shared" si="226"/>
        <v>#REF!</v>
      </c>
      <c r="K402" s="400"/>
      <c r="L402" s="65">
        <v>2693</v>
      </c>
      <c r="M402" s="20">
        <v>1142.79</v>
      </c>
      <c r="N402" s="20">
        <v>7125</v>
      </c>
      <c r="O402" s="20">
        <f>VLOOKUP(A402,TB!A:F,3)</f>
        <v>1038.94</v>
      </c>
      <c r="P402" s="20"/>
      <c r="Q402" s="20">
        <v>4125</v>
      </c>
      <c r="R402" s="54">
        <f>VLOOKUP(A402,TB!A:F,6)</f>
        <v>3750</v>
      </c>
      <c r="S402" s="54">
        <f t="shared" si="227"/>
        <v>-375</v>
      </c>
    </row>
    <row r="403" spans="1:19" ht="15.75" hidden="1" customHeight="1" outlineLevel="1" x14ac:dyDescent="0.25">
      <c r="A403" s="51" t="s">
        <v>1274</v>
      </c>
      <c r="B403" s="51" t="s">
        <v>82</v>
      </c>
      <c r="C403" s="400"/>
      <c r="D403" s="65">
        <v>6615</v>
      </c>
      <c r="E403" s="20" t="e">
        <f>D403*#REF!</f>
        <v>#REF!</v>
      </c>
      <c r="F403" s="20" t="e">
        <f>D403*#REF!</f>
        <v>#REF!</v>
      </c>
      <c r="G403" s="20" t="e">
        <f>(D403*#REF!)*#REF!</f>
        <v>#REF!</v>
      </c>
      <c r="H403" s="234">
        <f t="shared" si="225"/>
        <v>1.7777777777777777</v>
      </c>
      <c r="I403" s="54" t="e">
        <f t="shared" si="226"/>
        <v>#REF!</v>
      </c>
      <c r="K403" s="400"/>
      <c r="L403" s="65">
        <v>17015</v>
      </c>
      <c r="M403" s="20">
        <v>10927.29</v>
      </c>
      <c r="N403" s="20">
        <v>18375</v>
      </c>
      <c r="O403" s="20">
        <f>VLOOKUP(A403,TB!A:F,3)</f>
        <v>2271.16</v>
      </c>
      <c r="P403" s="20"/>
      <c r="Q403" s="20">
        <v>18375</v>
      </c>
      <c r="R403" s="54">
        <f>VLOOKUP(A403,TB!A:F,6)</f>
        <v>15000</v>
      </c>
      <c r="S403" s="54">
        <f t="shared" si="227"/>
        <v>-3375</v>
      </c>
    </row>
    <row r="404" spans="1:19" ht="15.75" hidden="1" customHeight="1" outlineLevel="1" x14ac:dyDescent="0.25">
      <c r="A404" s="51" t="s">
        <v>1275</v>
      </c>
      <c r="B404" s="51" t="s">
        <v>115</v>
      </c>
      <c r="C404" s="400"/>
      <c r="D404" s="65">
        <v>894</v>
      </c>
      <c r="E404" s="20" t="e">
        <f>D404*#REF!</f>
        <v>#REF!</v>
      </c>
      <c r="F404" s="20" t="e">
        <f>D404*#REF!</f>
        <v>#REF!</v>
      </c>
      <c r="G404" s="20" t="e">
        <f>(D404*#REF!)*#REF!</f>
        <v>#REF!</v>
      </c>
      <c r="H404" s="234">
        <f t="shared" si="225"/>
        <v>4.0335570469798654</v>
      </c>
      <c r="I404" s="54" t="e">
        <f t="shared" si="226"/>
        <v>#REF!</v>
      </c>
      <c r="K404" s="400"/>
      <c r="L404" s="65">
        <v>2758</v>
      </c>
      <c r="M404" s="20">
        <v>299</v>
      </c>
      <c r="N404" s="20">
        <v>3750</v>
      </c>
      <c r="O404" s="20">
        <f>VLOOKUP(A404,TB!A:F,3)</f>
        <v>0</v>
      </c>
      <c r="P404" s="20"/>
      <c r="Q404" s="20">
        <v>4500</v>
      </c>
      <c r="R404" s="54">
        <f>VLOOKUP(A404,TB!A:F,6)</f>
        <v>3000</v>
      </c>
      <c r="S404" s="54">
        <f t="shared" si="227"/>
        <v>-1500</v>
      </c>
    </row>
    <row r="405" spans="1:19" ht="15.75" hidden="1" customHeight="1" outlineLevel="1" x14ac:dyDescent="0.25">
      <c r="A405" s="51" t="s">
        <v>1276</v>
      </c>
      <c r="B405" s="51" t="s">
        <v>84</v>
      </c>
      <c r="C405" s="400"/>
      <c r="D405" s="65">
        <v>1645</v>
      </c>
      <c r="E405" s="20" t="e">
        <f>D405*#REF!</f>
        <v>#REF!</v>
      </c>
      <c r="F405" s="20" t="e">
        <f>D405*#REF!</f>
        <v>#REF!</v>
      </c>
      <c r="G405" s="20" t="e">
        <f>(D405*#REF!)*#REF!</f>
        <v>#REF!</v>
      </c>
      <c r="H405" s="234">
        <f t="shared" si="225"/>
        <v>2.4650455927051671</v>
      </c>
      <c r="I405" s="54" t="e">
        <f t="shared" si="226"/>
        <v>#REF!</v>
      </c>
      <c r="K405" s="400"/>
      <c r="L405" s="65">
        <v>3727</v>
      </c>
      <c r="M405" s="20">
        <v>2501.8000000000002</v>
      </c>
      <c r="N405" s="20">
        <v>5700</v>
      </c>
      <c r="O405" s="20">
        <f>VLOOKUP(A405,TB!A:F,3)</f>
        <v>1225.25</v>
      </c>
      <c r="P405" s="20"/>
      <c r="Q405" s="20">
        <v>5700</v>
      </c>
      <c r="R405" s="54">
        <f>VLOOKUP(A405,TB!A:F,6)</f>
        <v>4950</v>
      </c>
      <c r="S405" s="54">
        <f t="shared" si="227"/>
        <v>-750</v>
      </c>
    </row>
    <row r="406" spans="1:19" ht="15.75" hidden="1" customHeight="1" outlineLevel="1" x14ac:dyDescent="0.25">
      <c r="A406" s="51" t="s">
        <v>1277</v>
      </c>
      <c r="B406" s="51" t="s">
        <v>86</v>
      </c>
      <c r="C406" s="400"/>
      <c r="D406" s="65">
        <v>0</v>
      </c>
      <c r="E406" s="20" t="e">
        <f>D406*#REF!</f>
        <v>#REF!</v>
      </c>
      <c r="F406" s="20" t="e">
        <f>D406*#REF!</f>
        <v>#REF!</v>
      </c>
      <c r="G406" s="20" t="e">
        <f>(D406*#REF!)*#REF!</f>
        <v>#REF!</v>
      </c>
      <c r="H406" s="234">
        <f t="shared" si="225"/>
        <v>0</v>
      </c>
      <c r="I406" s="54" t="e">
        <f t="shared" si="226"/>
        <v>#REF!</v>
      </c>
      <c r="K406" s="400"/>
      <c r="L406" s="65">
        <v>100347</v>
      </c>
      <c r="M406" s="20">
        <v>112463.24</v>
      </c>
      <c r="N406" s="20">
        <v>193583</v>
      </c>
      <c r="O406" s="20">
        <f>VLOOKUP(A406,TB!A:F,3)</f>
        <v>61785.59</v>
      </c>
      <c r="P406" s="20"/>
      <c r="Q406" s="20">
        <v>123750</v>
      </c>
      <c r="R406" s="54">
        <f>VLOOKUP(A406,TB!A:F,6)</f>
        <v>120000</v>
      </c>
      <c r="S406" s="54">
        <f t="shared" si="227"/>
        <v>-3750</v>
      </c>
    </row>
    <row r="407" spans="1:19" ht="15.75" hidden="1" customHeight="1" outlineLevel="1" x14ac:dyDescent="0.25">
      <c r="A407" s="51" t="s">
        <v>1278</v>
      </c>
      <c r="B407" s="51" t="s">
        <v>88</v>
      </c>
      <c r="C407" s="400"/>
      <c r="D407" s="65">
        <v>2303</v>
      </c>
      <c r="E407" s="20" t="e">
        <f>D407*#REF!</f>
        <v>#REF!</v>
      </c>
      <c r="F407" s="20" t="e">
        <f>D407*#REF!</f>
        <v>#REF!</v>
      </c>
      <c r="G407" s="20" t="e">
        <f>(D407*#REF!)*#REF!</f>
        <v>#REF!</v>
      </c>
      <c r="H407" s="234">
        <f t="shared" si="225"/>
        <v>5.3178462874511503</v>
      </c>
      <c r="I407" s="54" t="e">
        <f t="shared" si="226"/>
        <v>#REF!</v>
      </c>
      <c r="K407" s="400"/>
      <c r="L407" s="65">
        <v>12748</v>
      </c>
      <c r="M407" s="20">
        <v>6297.17</v>
      </c>
      <c r="N407" s="20">
        <v>13800</v>
      </c>
      <c r="O407" s="20">
        <f>VLOOKUP(A407,TB!A:F,3)</f>
        <v>9120.3799999999992</v>
      </c>
      <c r="P407" s="20"/>
      <c r="Q407" s="20">
        <v>14550</v>
      </c>
      <c r="R407" s="54">
        <f>VLOOKUP(A407,TB!A:F,6)</f>
        <v>14550</v>
      </c>
      <c r="S407" s="54">
        <f t="shared" si="227"/>
        <v>0</v>
      </c>
    </row>
    <row r="408" spans="1:19" ht="15.75" hidden="1" customHeight="1" outlineLevel="1" x14ac:dyDescent="0.25">
      <c r="A408" s="51" t="s">
        <v>1279</v>
      </c>
      <c r="B408" s="51" t="s">
        <v>1252</v>
      </c>
      <c r="C408" s="400"/>
      <c r="D408" s="65">
        <v>81302</v>
      </c>
      <c r="E408" s="20" t="e">
        <f>D408*#REF!</f>
        <v>#REF!</v>
      </c>
      <c r="F408" s="20" t="e">
        <f>D408*#REF!</f>
        <v>#REF!</v>
      </c>
      <c r="G408" s="20" t="e">
        <f>(D408*#REF!)*#REF!</f>
        <v>#REF!</v>
      </c>
      <c r="H408" s="234">
        <f t="shared" si="225"/>
        <v>-0.90775134683033631</v>
      </c>
      <c r="I408" s="54" t="e">
        <f t="shared" si="226"/>
        <v>#REF!</v>
      </c>
      <c r="K408" s="400"/>
      <c r="L408" s="65">
        <v>0</v>
      </c>
      <c r="M408" s="20">
        <v>0</v>
      </c>
      <c r="N408" s="20">
        <v>25654</v>
      </c>
      <c r="O408" s="20">
        <f>VLOOKUP(A408,TB!A:F,3)</f>
        <v>4875</v>
      </c>
      <c r="P408" s="20"/>
      <c r="Q408" s="20">
        <v>7500</v>
      </c>
      <c r="R408" s="54">
        <f>VLOOKUP(A408,TB!A:F,6)</f>
        <v>7500</v>
      </c>
      <c r="S408" s="54">
        <f t="shared" si="227"/>
        <v>0</v>
      </c>
    </row>
    <row r="409" spans="1:19" ht="15.75" hidden="1" customHeight="1" outlineLevel="1" x14ac:dyDescent="0.25">
      <c r="A409" s="51" t="s">
        <v>1280</v>
      </c>
      <c r="B409" s="51" t="s">
        <v>1254</v>
      </c>
      <c r="C409" s="400"/>
      <c r="D409" s="65">
        <v>27264</v>
      </c>
      <c r="E409" s="20" t="e">
        <f>D409*#REF!</f>
        <v>#REF!</v>
      </c>
      <c r="F409" s="20" t="e">
        <f>D409*#REF!</f>
        <v>#REF!</v>
      </c>
      <c r="G409" s="20" t="e">
        <f>(D409*#REF!)*#REF!</f>
        <v>#REF!</v>
      </c>
      <c r="H409" s="234">
        <f t="shared" si="225"/>
        <v>0.10035211267605634</v>
      </c>
      <c r="I409" s="54" t="e">
        <f t="shared" si="226"/>
        <v>#REF!</v>
      </c>
      <c r="K409" s="400"/>
      <c r="L409" s="65">
        <v>32082</v>
      </c>
      <c r="M409" s="20">
        <v>19032.650000000001</v>
      </c>
      <c r="N409" s="20">
        <v>30000</v>
      </c>
      <c r="O409" s="20">
        <f>VLOOKUP(A409,TB!A:F,3)</f>
        <v>16033.47</v>
      </c>
      <c r="P409" s="20"/>
      <c r="Q409" s="20">
        <v>30000</v>
      </c>
      <c r="R409" s="54">
        <f>VLOOKUP(A409,TB!A:F,6)</f>
        <v>30000</v>
      </c>
      <c r="S409" s="54">
        <f t="shared" si="227"/>
        <v>0</v>
      </c>
    </row>
    <row r="410" spans="1:19" ht="15.75" hidden="1" customHeight="1" outlineLevel="1" x14ac:dyDescent="0.25">
      <c r="A410" s="51" t="s">
        <v>1281</v>
      </c>
      <c r="B410" s="51" t="s">
        <v>1282</v>
      </c>
      <c r="C410" s="400"/>
      <c r="D410" s="65">
        <v>975</v>
      </c>
      <c r="E410" s="20" t="e">
        <f>D410*#REF!</f>
        <v>#REF!</v>
      </c>
      <c r="F410" s="20" t="e">
        <f>D410*#REF!</f>
        <v>#REF!</v>
      </c>
      <c r="G410" s="20" t="e">
        <f>(D410*#REF!)*#REF!</f>
        <v>#REF!</v>
      </c>
      <c r="H410" s="234">
        <f t="shared" si="225"/>
        <v>-1</v>
      </c>
      <c r="I410" s="54" t="e">
        <f t="shared" si="226"/>
        <v>#REF!</v>
      </c>
      <c r="K410" s="400"/>
      <c r="L410" s="65">
        <v>0</v>
      </c>
      <c r="M410" s="20">
        <v>0</v>
      </c>
      <c r="N410" s="20">
        <v>0</v>
      </c>
      <c r="O410" s="20">
        <v>0</v>
      </c>
      <c r="P410" s="20"/>
      <c r="Q410" s="20">
        <v>0</v>
      </c>
      <c r="R410" s="54">
        <v>0</v>
      </c>
      <c r="S410" s="54">
        <f t="shared" si="227"/>
        <v>0</v>
      </c>
    </row>
    <row r="411" spans="1:19" ht="15.75" hidden="1" customHeight="1" outlineLevel="1" x14ac:dyDescent="0.25">
      <c r="A411" s="51" t="s">
        <v>1283</v>
      </c>
      <c r="B411" s="51" t="s">
        <v>1256</v>
      </c>
      <c r="C411" s="400"/>
      <c r="D411" s="65">
        <v>29633</v>
      </c>
      <c r="E411" s="20" t="e">
        <f>D411*#REF!</f>
        <v>#REF!</v>
      </c>
      <c r="F411" s="20" t="e">
        <f>D411*#REF!</f>
        <v>#REF!</v>
      </c>
      <c r="G411" s="20" t="e">
        <f>(D411*#REF!)*#REF!</f>
        <v>#REF!</v>
      </c>
      <c r="H411" s="234">
        <f t="shared" si="225"/>
        <v>0.51857726183646613</v>
      </c>
      <c r="I411" s="54" t="e">
        <f t="shared" si="226"/>
        <v>#REF!</v>
      </c>
      <c r="K411" s="400"/>
      <c r="L411" s="65">
        <v>57975</v>
      </c>
      <c r="M411" s="20">
        <v>23747.88</v>
      </c>
      <c r="N411" s="20">
        <v>46750</v>
      </c>
      <c r="O411" s="20">
        <f>VLOOKUP(A411,TB!A:F,3)</f>
        <v>55321.599999999999</v>
      </c>
      <c r="P411" s="20"/>
      <c r="Q411" s="20">
        <v>45000</v>
      </c>
      <c r="R411" s="54">
        <f>VLOOKUP(A411,TB!A:F,6)</f>
        <v>45000</v>
      </c>
      <c r="S411" s="54">
        <f t="shared" si="227"/>
        <v>0</v>
      </c>
    </row>
    <row r="412" spans="1:19" ht="15.75" hidden="1" customHeight="1" outlineLevel="1" x14ac:dyDescent="0.25">
      <c r="A412" s="51" t="s">
        <v>1284</v>
      </c>
      <c r="B412" s="51" t="s">
        <v>1258</v>
      </c>
      <c r="C412" s="400"/>
      <c r="D412" s="65">
        <v>3962</v>
      </c>
      <c r="E412" s="20" t="e">
        <f>D412*#REF!</f>
        <v>#REF!</v>
      </c>
      <c r="F412" s="20" t="e">
        <f>D412*#REF!</f>
        <v>#REF!</v>
      </c>
      <c r="G412" s="20" t="e">
        <f>(D412*#REF!)*#REF!</f>
        <v>#REF!</v>
      </c>
      <c r="H412" s="234">
        <f t="shared" si="225"/>
        <v>3.7324583543664818</v>
      </c>
      <c r="I412" s="54" t="e">
        <f t="shared" si="226"/>
        <v>#REF!</v>
      </c>
      <c r="K412" s="400"/>
      <c r="L412" s="65">
        <v>5254</v>
      </c>
      <c r="M412" s="20">
        <v>3993.56</v>
      </c>
      <c r="N412" s="20">
        <v>0</v>
      </c>
      <c r="O412" s="20">
        <f>VLOOKUP(A412,TB!A:F,3)</f>
        <v>0</v>
      </c>
      <c r="P412" s="20"/>
      <c r="Q412" s="20">
        <v>18750</v>
      </c>
      <c r="R412" s="54">
        <f>VLOOKUP(A412,TB!A:F,6)</f>
        <v>18750</v>
      </c>
      <c r="S412" s="54">
        <f t="shared" si="227"/>
        <v>0</v>
      </c>
    </row>
    <row r="413" spans="1:19" ht="15.75" hidden="1" customHeight="1" outlineLevel="1" x14ac:dyDescent="0.25">
      <c r="A413" s="51" t="s">
        <v>1285</v>
      </c>
      <c r="B413" s="51" t="s">
        <v>90</v>
      </c>
      <c r="C413" s="400"/>
      <c r="D413" s="65">
        <v>0</v>
      </c>
      <c r="E413" s="20" t="e">
        <f>D413*#REF!</f>
        <v>#REF!</v>
      </c>
      <c r="F413" s="20" t="e">
        <f>D413*#REF!</f>
        <v>#REF!</v>
      </c>
      <c r="G413" s="20" t="e">
        <f>(D413*#REF!)*#REF!</f>
        <v>#REF!</v>
      </c>
      <c r="H413" s="234">
        <f t="shared" si="225"/>
        <v>0</v>
      </c>
      <c r="I413" s="54" t="e">
        <f t="shared" si="226"/>
        <v>#REF!</v>
      </c>
      <c r="K413" s="400"/>
      <c r="L413" s="65">
        <v>0</v>
      </c>
      <c r="M413" s="20">
        <v>0</v>
      </c>
      <c r="N413" s="20">
        <v>4500</v>
      </c>
      <c r="O413" s="20">
        <f>VLOOKUP(A413,TB!A:F,3)</f>
        <v>2311.61</v>
      </c>
      <c r="P413" s="20"/>
      <c r="Q413" s="20">
        <v>4500</v>
      </c>
      <c r="R413" s="54">
        <f>VLOOKUP(A413,TB!A:F,6)</f>
        <v>3750</v>
      </c>
      <c r="S413" s="54">
        <f t="shared" si="227"/>
        <v>-750</v>
      </c>
    </row>
    <row r="414" spans="1:19" ht="15.75" hidden="1" customHeight="1" outlineLevel="1" x14ac:dyDescent="0.25">
      <c r="A414" s="51" t="s">
        <v>1286</v>
      </c>
      <c r="B414" s="51" t="s">
        <v>1261</v>
      </c>
      <c r="C414" s="400"/>
      <c r="D414" s="65">
        <v>0</v>
      </c>
      <c r="E414" s="20" t="e">
        <f>D414*#REF!</f>
        <v>#REF!</v>
      </c>
      <c r="F414" s="20" t="e">
        <f>D414*#REF!</f>
        <v>#REF!</v>
      </c>
      <c r="G414" s="20" t="e">
        <f>(D414*#REF!)*#REF!</f>
        <v>#REF!</v>
      </c>
      <c r="H414" s="234">
        <f t="shared" si="225"/>
        <v>0</v>
      </c>
      <c r="I414" s="54" t="e">
        <f t="shared" si="226"/>
        <v>#REF!</v>
      </c>
      <c r="K414" s="400"/>
      <c r="L414" s="65">
        <v>101202</v>
      </c>
      <c r="M414" s="20">
        <v>0</v>
      </c>
      <c r="N414" s="20">
        <v>0</v>
      </c>
      <c r="O414" s="20">
        <f>VLOOKUP(A414,TB!A:F,3)</f>
        <v>49127</v>
      </c>
      <c r="P414" s="20"/>
      <c r="Q414" s="20">
        <v>75000</v>
      </c>
      <c r="R414" s="54">
        <f>VLOOKUP(A414,TB!A:F,6)</f>
        <v>75000</v>
      </c>
      <c r="S414" s="54">
        <f t="shared" si="227"/>
        <v>0</v>
      </c>
    </row>
    <row r="415" spans="1:19" ht="15.75" hidden="1" customHeight="1" outlineLevel="1" x14ac:dyDescent="0.25">
      <c r="A415" s="51" t="s">
        <v>1287</v>
      </c>
      <c r="B415" s="51" t="s">
        <v>92</v>
      </c>
      <c r="C415" s="400"/>
      <c r="D415" s="65">
        <v>1910</v>
      </c>
      <c r="E415" s="20" t="e">
        <f>D415*#REF!</f>
        <v>#REF!</v>
      </c>
      <c r="F415" s="20" t="e">
        <f>D415*#REF!</f>
        <v>#REF!</v>
      </c>
      <c r="G415" s="20" t="e">
        <f>(D415*#REF!)*#REF!</f>
        <v>#REF!</v>
      </c>
      <c r="H415" s="234">
        <f t="shared" si="225"/>
        <v>0.5706806282722513</v>
      </c>
      <c r="I415" s="54" t="e">
        <f t="shared" si="226"/>
        <v>#REF!</v>
      </c>
      <c r="K415" s="400"/>
      <c r="L415" s="65">
        <v>2694</v>
      </c>
      <c r="M415" s="20">
        <v>1048.4100000000001</v>
      </c>
      <c r="N415" s="20">
        <v>3000</v>
      </c>
      <c r="O415" s="20">
        <f>VLOOKUP(A415,TB!A:F,3)</f>
        <v>2259.8200000000002</v>
      </c>
      <c r="P415" s="20"/>
      <c r="Q415" s="20">
        <v>3000</v>
      </c>
      <c r="R415" s="54">
        <f>VLOOKUP(A415,TB!A:F,6)</f>
        <v>3000</v>
      </c>
      <c r="S415" s="54">
        <f t="shared" si="227"/>
        <v>0</v>
      </c>
    </row>
    <row r="416" spans="1:19" ht="15.75" hidden="1" customHeight="1" outlineLevel="1" x14ac:dyDescent="0.25">
      <c r="A416" s="51" t="s">
        <v>1288</v>
      </c>
      <c r="B416" s="51" t="s">
        <v>99</v>
      </c>
      <c r="C416" s="295"/>
      <c r="D416" s="20">
        <v>0</v>
      </c>
      <c r="E416" s="20" t="e">
        <f>D416*#REF!</f>
        <v>#REF!</v>
      </c>
      <c r="F416" s="20" t="e">
        <f>D416*#REF!</f>
        <v>#REF!</v>
      </c>
      <c r="G416" s="20" t="e">
        <f>(D416*#REF!)*#REF!</f>
        <v>#REF!</v>
      </c>
      <c r="H416" s="234">
        <f t="shared" si="225"/>
        <v>0</v>
      </c>
      <c r="I416" s="54" t="e">
        <f t="shared" si="226"/>
        <v>#REF!</v>
      </c>
      <c r="K416" s="295"/>
      <c r="L416" s="20">
        <v>146003</v>
      </c>
      <c r="M416" s="20">
        <v>30019</v>
      </c>
      <c r="N416" s="20">
        <v>0</v>
      </c>
      <c r="O416" s="20">
        <f>VLOOKUP(A416,TB!A:F,3)</f>
        <v>0</v>
      </c>
      <c r="P416" s="20"/>
      <c r="Q416" s="20">
        <v>0</v>
      </c>
      <c r="R416" s="54">
        <f>VLOOKUP(A416,TB!A:F,6)</f>
        <v>0</v>
      </c>
      <c r="S416" s="54">
        <f t="shared" si="227"/>
        <v>0</v>
      </c>
    </row>
    <row r="417" spans="1:28" ht="21" hidden="1" customHeight="1" outlineLevel="1" x14ac:dyDescent="0.25">
      <c r="A417" s="51" t="s">
        <v>1289</v>
      </c>
      <c r="B417" s="51" t="s">
        <v>1265</v>
      </c>
      <c r="C417" s="295"/>
      <c r="D417" s="20">
        <v>0</v>
      </c>
      <c r="E417" s="20" t="e">
        <f>D417*#REF!</f>
        <v>#REF!</v>
      </c>
      <c r="F417" s="20" t="e">
        <f>D417*#REF!</f>
        <v>#REF!</v>
      </c>
      <c r="G417" s="20" t="e">
        <f>(D417*#REF!)*#REF!</f>
        <v>#REF!</v>
      </c>
      <c r="H417" s="234">
        <f t="shared" si="225"/>
        <v>0</v>
      </c>
      <c r="I417" s="54" t="e">
        <f t="shared" si="226"/>
        <v>#REF!</v>
      </c>
      <c r="K417" s="295"/>
      <c r="L417" s="20">
        <v>0</v>
      </c>
      <c r="M417" s="20">
        <v>-966.19</v>
      </c>
      <c r="N417" s="20">
        <v>0</v>
      </c>
      <c r="O417" s="20">
        <f>VLOOKUP(A417,TB!A:F,3)</f>
        <v>0</v>
      </c>
      <c r="P417" s="20"/>
      <c r="Q417" s="20">
        <v>0</v>
      </c>
      <c r="R417" s="54">
        <f>VLOOKUP(A417,TB!A:F,6)</f>
        <v>0</v>
      </c>
      <c r="S417" s="54">
        <f t="shared" si="227"/>
        <v>0</v>
      </c>
    </row>
    <row r="418" spans="1:28" ht="15.75" hidden="1" customHeight="1" outlineLevel="1" x14ac:dyDescent="0.25">
      <c r="A418" s="74" t="s">
        <v>1266</v>
      </c>
      <c r="B418" s="75"/>
      <c r="C418" s="401"/>
      <c r="D418" s="75">
        <f t="shared" ref="D418:G418" si="228">SUM(D396:D417)</f>
        <v>361217</v>
      </c>
      <c r="E418" s="75" t="e">
        <f t="shared" si="228"/>
        <v>#REF!</v>
      </c>
      <c r="F418" s="75" t="e">
        <f t="shared" si="228"/>
        <v>#REF!</v>
      </c>
      <c r="G418" s="75" t="e">
        <f t="shared" si="228"/>
        <v>#REF!</v>
      </c>
      <c r="H418" s="238">
        <f t="shared" si="225"/>
        <v>1.1606818062272817</v>
      </c>
      <c r="I418" s="77" t="e">
        <f t="shared" si="226"/>
        <v>#REF!</v>
      </c>
      <c r="K418" s="401"/>
      <c r="L418" s="75">
        <f t="shared" ref="L418:S418" si="229">SUM(L396:L417)</f>
        <v>736769</v>
      </c>
      <c r="M418" s="75">
        <f t="shared" si="229"/>
        <v>378227.19</v>
      </c>
      <c r="N418" s="75">
        <f t="shared" si="229"/>
        <v>719966</v>
      </c>
      <c r="O418" s="75">
        <f t="shared" si="229"/>
        <v>333461.90999999997</v>
      </c>
      <c r="P418" s="75">
        <f t="shared" si="229"/>
        <v>0</v>
      </c>
      <c r="Q418" s="75">
        <f t="shared" si="229"/>
        <v>780475</v>
      </c>
      <c r="R418" s="75">
        <f t="shared" si="229"/>
        <v>766300</v>
      </c>
      <c r="S418" s="75">
        <f t="shared" si="229"/>
        <v>-14175</v>
      </c>
    </row>
    <row r="419" spans="1:28" ht="15.75" hidden="1" customHeight="1" outlineLevel="1" x14ac:dyDescent="0.2">
      <c r="C419" s="287"/>
      <c r="K419" s="287"/>
    </row>
    <row r="420" spans="1:28" ht="15.75" hidden="1" customHeight="1" outlineLevel="1" x14ac:dyDescent="0.2">
      <c r="A420" s="379" t="s">
        <v>50</v>
      </c>
      <c r="B420" s="379" t="s">
        <v>51</v>
      </c>
      <c r="C420" s="292"/>
      <c r="D420" s="379" t="s">
        <v>52</v>
      </c>
      <c r="E420" s="380" t="s">
        <v>53</v>
      </c>
      <c r="F420" s="380" t="s">
        <v>1212</v>
      </c>
      <c r="G420" s="380" t="s">
        <v>55</v>
      </c>
      <c r="H420" s="230" t="s">
        <v>56</v>
      </c>
      <c r="I420" s="230" t="s">
        <v>57</v>
      </c>
      <c r="K420" s="292"/>
      <c r="L420" s="379" t="s">
        <v>59</v>
      </c>
      <c r="M420" s="379" t="s">
        <v>60</v>
      </c>
      <c r="N420" s="379" t="s">
        <v>436</v>
      </c>
      <c r="O420" s="379" t="s">
        <v>437</v>
      </c>
      <c r="P420" s="3" t="s">
        <v>541</v>
      </c>
      <c r="Q420" s="381" t="s">
        <v>438</v>
      </c>
      <c r="R420" s="293" t="s">
        <v>65</v>
      </c>
      <c r="S420" s="3" t="s">
        <v>586</v>
      </c>
    </row>
    <row r="421" spans="1:28" ht="15.75" hidden="1" customHeight="1" outlineLevel="1" x14ac:dyDescent="0.25">
      <c r="A421" s="83" t="s">
        <v>1290</v>
      </c>
      <c r="B421" s="51" t="s">
        <v>532</v>
      </c>
      <c r="C421" s="406"/>
      <c r="D421" s="410">
        <v>0</v>
      </c>
      <c r="E421" s="233" t="e">
        <f>D421*#REF!</f>
        <v>#REF!</v>
      </c>
      <c r="F421" s="233" t="e">
        <f>D421*#REF!</f>
        <v>#REF!</v>
      </c>
      <c r="G421" s="233" t="e">
        <f>(D421*#REF!)*#REF!</f>
        <v>#REF!</v>
      </c>
      <c r="H421" s="241"/>
      <c r="I421" s="83"/>
      <c r="J421" s="83"/>
      <c r="K421" s="406"/>
      <c r="L421" s="410">
        <v>0</v>
      </c>
      <c r="M421" s="410">
        <v>0</v>
      </c>
      <c r="N421" s="274">
        <v>50000</v>
      </c>
      <c r="O421" s="20">
        <f>VLOOKUP(A421,TB!A:F,3)</f>
        <v>0</v>
      </c>
      <c r="P421" s="274"/>
      <c r="Q421" s="274">
        <v>3000000</v>
      </c>
      <c r="R421" s="54">
        <f>VLOOKUP(A421,TB!A:F,6)</f>
        <v>3000000</v>
      </c>
      <c r="S421" s="54">
        <f t="shared" ref="S421:S424" si="230">R421-Q421</f>
        <v>0</v>
      </c>
      <c r="V421" s="83"/>
      <c r="W421" s="83"/>
      <c r="X421" s="83"/>
      <c r="Y421" s="83"/>
      <c r="Z421" s="83"/>
      <c r="AA421" s="83"/>
      <c r="AB421" s="83"/>
    </row>
    <row r="422" spans="1:28" ht="15.75" hidden="1" customHeight="1" outlineLevel="1" x14ac:dyDescent="0.25">
      <c r="A422" s="83" t="s">
        <v>1291</v>
      </c>
      <c r="B422" s="83" t="s">
        <v>1292</v>
      </c>
      <c r="C422" s="406"/>
      <c r="D422" s="410">
        <v>0</v>
      </c>
      <c r="E422" s="233" t="e">
        <f>D422*#REF!</f>
        <v>#REF!</v>
      </c>
      <c r="F422" s="233" t="e">
        <f>D422*#REF!</f>
        <v>#REF!</v>
      </c>
      <c r="G422" s="233" t="e">
        <f>(D422*#REF!)*#REF!</f>
        <v>#REF!</v>
      </c>
      <c r="H422" s="241"/>
      <c r="I422" s="83"/>
      <c r="J422" s="83"/>
      <c r="K422" s="406"/>
      <c r="L422" s="410">
        <v>0</v>
      </c>
      <c r="M422" s="410">
        <v>0</v>
      </c>
      <c r="N422" s="274">
        <v>1061066</v>
      </c>
      <c r="O422" s="20">
        <f>VLOOKUP(A422,TB!A:F,3)</f>
        <v>637084.72</v>
      </c>
      <c r="P422" s="274"/>
      <c r="Q422" s="274">
        <v>0</v>
      </c>
      <c r="R422" s="54">
        <f>VLOOKUP(A422,TB!A:F,6)</f>
        <v>0</v>
      </c>
      <c r="S422" s="54">
        <f t="shared" si="230"/>
        <v>0</v>
      </c>
      <c r="V422" s="83"/>
      <c r="W422" s="83"/>
      <c r="X422" s="83"/>
      <c r="Y422" s="83"/>
      <c r="Z422" s="83"/>
      <c r="AA422" s="83"/>
      <c r="AB422" s="83"/>
    </row>
    <row r="423" spans="1:28" ht="15.75" hidden="1" customHeight="1" outlineLevel="1" x14ac:dyDescent="0.25">
      <c r="A423" s="51" t="s">
        <v>1293</v>
      </c>
      <c r="B423" s="51" t="s">
        <v>532</v>
      </c>
      <c r="C423" s="406"/>
      <c r="D423" s="80">
        <v>0</v>
      </c>
      <c r="E423" s="20" t="e">
        <f>D423*#REF!</f>
        <v>#REF!</v>
      </c>
      <c r="F423" s="20" t="e">
        <f>D423*#REF!</f>
        <v>#REF!</v>
      </c>
      <c r="G423" s="20" t="e">
        <f>(D423*#REF!)*#REF!</f>
        <v>#REF!</v>
      </c>
      <c r="H423" s="234">
        <f t="shared" ref="H423:H425" si="231">IFERROR(((Q423-D423)/D423),0)</f>
        <v>0</v>
      </c>
      <c r="I423" s="54" t="e">
        <f t="shared" ref="I423:I425" si="232">Q423-G423</f>
        <v>#REF!</v>
      </c>
      <c r="K423" s="406"/>
      <c r="L423" s="80">
        <v>0</v>
      </c>
      <c r="M423" s="80">
        <v>0</v>
      </c>
      <c r="N423" s="73">
        <v>1891604</v>
      </c>
      <c r="O423" s="20">
        <f>VLOOKUP(A423,TB!A:F,3)</f>
        <v>1239.1099999999999</v>
      </c>
      <c r="P423" s="73"/>
      <c r="Q423" s="73">
        <v>1000000</v>
      </c>
      <c r="R423" s="54">
        <f>VLOOKUP(A423,TB!A:F,6)</f>
        <v>1000000</v>
      </c>
      <c r="S423" s="54">
        <f t="shared" si="230"/>
        <v>0</v>
      </c>
    </row>
    <row r="424" spans="1:28" ht="15.75" hidden="1" customHeight="1" outlineLevel="1" x14ac:dyDescent="0.25">
      <c r="A424" s="51" t="s">
        <v>1294</v>
      </c>
      <c r="B424" s="51" t="s">
        <v>99</v>
      </c>
      <c r="C424" s="406"/>
      <c r="D424" s="80">
        <v>0</v>
      </c>
      <c r="E424" s="20" t="e">
        <f>D424*#REF!</f>
        <v>#REF!</v>
      </c>
      <c r="F424" s="20" t="e">
        <f>D424*#REF!</f>
        <v>#REF!</v>
      </c>
      <c r="G424" s="20" t="e">
        <f>(D424*#REF!)*#REF!</f>
        <v>#REF!</v>
      </c>
      <c r="H424" s="234">
        <f t="shared" si="231"/>
        <v>0</v>
      </c>
      <c r="I424" s="54" t="e">
        <f t="shared" si="232"/>
        <v>#REF!</v>
      </c>
      <c r="K424" s="406"/>
      <c r="L424" s="80">
        <v>0</v>
      </c>
      <c r="M424" s="80">
        <v>0</v>
      </c>
      <c r="N424" s="80">
        <v>0</v>
      </c>
      <c r="O424" s="20">
        <v>0</v>
      </c>
      <c r="P424" s="80"/>
      <c r="Q424" s="80">
        <v>0</v>
      </c>
      <c r="R424" s="54">
        <v>0</v>
      </c>
      <c r="S424" s="54">
        <f t="shared" si="230"/>
        <v>0</v>
      </c>
    </row>
    <row r="425" spans="1:28" ht="15.75" hidden="1" customHeight="1" outlineLevel="1" x14ac:dyDescent="0.25">
      <c r="A425" s="74" t="s">
        <v>1266</v>
      </c>
      <c r="B425" s="75"/>
      <c r="C425" s="401"/>
      <c r="D425" s="75">
        <f t="shared" ref="D425:G425" si="233">SUM(D423:D424)</f>
        <v>0</v>
      </c>
      <c r="E425" s="75" t="e">
        <f t="shared" si="233"/>
        <v>#REF!</v>
      </c>
      <c r="F425" s="75" t="e">
        <f t="shared" si="233"/>
        <v>#REF!</v>
      </c>
      <c r="G425" s="75" t="e">
        <f t="shared" si="233"/>
        <v>#REF!</v>
      </c>
      <c r="H425" s="238">
        <f t="shared" si="231"/>
        <v>0</v>
      </c>
      <c r="I425" s="77" t="e">
        <f t="shared" si="232"/>
        <v>#REF!</v>
      </c>
      <c r="K425" s="401"/>
      <c r="L425" s="77">
        <f t="shared" ref="L425:M425" si="234">SUM(L423:L424)</f>
        <v>0</v>
      </c>
      <c r="M425" s="77">
        <f t="shared" si="234"/>
        <v>0</v>
      </c>
      <c r="N425" s="77">
        <f t="shared" ref="N425:S425" si="235">SUM(N421:N424)</f>
        <v>3002670</v>
      </c>
      <c r="O425" s="77">
        <f t="shared" si="235"/>
        <v>638323.82999999996</v>
      </c>
      <c r="P425" s="77">
        <f t="shared" si="235"/>
        <v>0</v>
      </c>
      <c r="Q425" s="77">
        <f t="shared" si="235"/>
        <v>4000000</v>
      </c>
      <c r="R425" s="77">
        <f t="shared" si="235"/>
        <v>4000000</v>
      </c>
      <c r="S425" s="77">
        <f t="shared" si="235"/>
        <v>0</v>
      </c>
    </row>
    <row r="426" spans="1:28" ht="24.75" customHeight="1" collapsed="1" x14ac:dyDescent="0.3">
      <c r="A426" s="411" t="s">
        <v>1295</v>
      </c>
      <c r="B426" s="51"/>
      <c r="C426" s="400"/>
      <c r="D426" s="157"/>
      <c r="E426" s="160"/>
      <c r="F426" s="160"/>
      <c r="G426" s="160"/>
      <c r="H426" s="296"/>
      <c r="I426" s="97"/>
      <c r="J426" s="407"/>
      <c r="K426" s="400"/>
      <c r="L426" s="65"/>
      <c r="M426" s="65"/>
      <c r="N426" s="65"/>
      <c r="O426" s="65"/>
      <c r="P426" s="157"/>
      <c r="Q426" s="157"/>
      <c r="R426" s="65"/>
    </row>
    <row r="427" spans="1:28" ht="15.75" customHeight="1" x14ac:dyDescent="0.2">
      <c r="A427" s="3" t="s">
        <v>50</v>
      </c>
      <c r="B427" s="3" t="s">
        <v>51</v>
      </c>
      <c r="C427" s="21"/>
      <c r="D427" s="22" t="s">
        <v>52</v>
      </c>
      <c r="E427" s="23" t="s">
        <v>53</v>
      </c>
      <c r="F427" s="23" t="s">
        <v>54</v>
      </c>
      <c r="G427" s="23" t="s">
        <v>55</v>
      </c>
      <c r="H427" s="24" t="s">
        <v>56</v>
      </c>
      <c r="I427" s="25" t="s">
        <v>57</v>
      </c>
      <c r="J427" s="26" t="s">
        <v>58</v>
      </c>
      <c r="K427" s="21"/>
      <c r="L427" s="4" t="s">
        <v>59</v>
      </c>
      <c r="M427" s="27" t="s">
        <v>60</v>
      </c>
      <c r="N427" s="27" t="s">
        <v>61</v>
      </c>
      <c r="O427" s="27" t="s">
        <v>62</v>
      </c>
      <c r="P427" s="70" t="s">
        <v>63</v>
      </c>
      <c r="Q427" s="70" t="s">
        <v>64</v>
      </c>
      <c r="R427" s="118" t="s">
        <v>65</v>
      </c>
      <c r="S427" s="118" t="s">
        <v>586</v>
      </c>
    </row>
    <row r="428" spans="1:28" ht="15.75" customHeight="1" x14ac:dyDescent="0.2"/>
    <row r="429" spans="1:28" ht="15.75" customHeight="1" x14ac:dyDescent="0.25">
      <c r="A429" s="51" t="s">
        <v>1235</v>
      </c>
      <c r="B429" s="51" t="s">
        <v>68</v>
      </c>
      <c r="C429" s="400"/>
      <c r="D429" s="157">
        <f t="shared" ref="D429:D448" si="236">SUMIF($B$370:$B$391,$B429,D$370:D$391)+SUMIF($B$396:$B$417,$B429,D$396:D$417)+SUMIF($B$423:$B$424,$B429,D$423:D$424)</f>
        <v>135153</v>
      </c>
      <c r="E429" s="160" t="e">
        <f>D429*#REF!</f>
        <v>#REF!</v>
      </c>
      <c r="F429" s="160" t="e">
        <f>D429*#REF!</f>
        <v>#REF!</v>
      </c>
      <c r="G429" s="160" t="e">
        <f>(D429*#REF!)*#REF!</f>
        <v>#REF!</v>
      </c>
      <c r="H429" s="296">
        <f t="shared" ref="H429:H449" si="237">IFERROR(((Q429-G429)/G429),0)</f>
        <v>0</v>
      </c>
      <c r="I429" s="147" t="e">
        <f t="shared" ref="I429:I449" si="238">Q429-G429</f>
        <v>#REF!</v>
      </c>
      <c r="J429" s="407"/>
      <c r="K429" s="400"/>
      <c r="L429" s="65">
        <f t="shared" ref="L429:O429" si="239">SUMIF($B$370:$B$391,$B429,L$370:L$391)+SUMIF($B$396:$B$417,$B429,L$396:L$417)+SUMIF($B$423:$B$424,$B429,L$423:L$424)</f>
        <v>165644</v>
      </c>
      <c r="M429" s="65">
        <f t="shared" si="239"/>
        <v>212350.01</v>
      </c>
      <c r="N429" s="65">
        <f t="shared" si="239"/>
        <v>278289</v>
      </c>
      <c r="O429" s="65">
        <f t="shared" si="239"/>
        <v>114313.11</v>
      </c>
      <c r="P429" s="157">
        <f t="shared" ref="P429:P432" si="240">O429/20*26</f>
        <v>148607.04300000001</v>
      </c>
      <c r="Q429" s="157">
        <f t="shared" ref="Q429:R429" si="241">SUMIF($B$370:$B$391,$B429,Q$370:Q$391)+SUMIF($B$396:$B$417,$B429,Q$396:Q$417)+SUMIF($B$423:$B$424,$B429,Q$423:Q$424)</f>
        <v>346700</v>
      </c>
      <c r="R429" s="65">
        <f t="shared" si="241"/>
        <v>346700</v>
      </c>
      <c r="S429" s="54">
        <f t="shared" ref="S429:S448" si="242">R429-Q429</f>
        <v>0</v>
      </c>
    </row>
    <row r="430" spans="1:28" ht="15.75" customHeight="1" x14ac:dyDescent="0.25">
      <c r="A430" s="51" t="s">
        <v>1235</v>
      </c>
      <c r="B430" s="51" t="s">
        <v>70</v>
      </c>
      <c r="C430" s="400"/>
      <c r="D430" s="157">
        <f t="shared" si="236"/>
        <v>91</v>
      </c>
      <c r="E430" s="160" t="e">
        <f>D430*#REF!</f>
        <v>#REF!</v>
      </c>
      <c r="F430" s="160" t="e">
        <f>D430*#REF!</f>
        <v>#REF!</v>
      </c>
      <c r="G430" s="160" t="e">
        <f>(D430*#REF!)*#REF!</f>
        <v>#REF!</v>
      </c>
      <c r="H430" s="296">
        <f t="shared" si="237"/>
        <v>0</v>
      </c>
      <c r="I430" s="147" t="e">
        <f t="shared" si="238"/>
        <v>#REF!</v>
      </c>
      <c r="J430" s="147">
        <v>-600</v>
      </c>
      <c r="K430" s="400"/>
      <c r="L430" s="65">
        <f t="shared" ref="L430:O430" si="243">SUMIF($B$370:$B$391,$B430,L$370:L$391)+SUMIF($B$396:$B$417,$B430,L$396:L$417)+SUMIF($B$423:$B$424,$B430,L$423:L$424)</f>
        <v>1609</v>
      </c>
      <c r="M430" s="65">
        <f t="shared" si="243"/>
        <v>3019.98</v>
      </c>
      <c r="N430" s="65">
        <f t="shared" si="243"/>
        <v>5500</v>
      </c>
      <c r="O430" s="65">
        <f t="shared" si="243"/>
        <v>2706.94</v>
      </c>
      <c r="P430" s="157">
        <f t="shared" si="240"/>
        <v>3519.0220000000004</v>
      </c>
      <c r="Q430" s="157">
        <f t="shared" ref="Q430:R430" si="244">SUMIF($B$370:$B$391,$B430,Q$370:Q$391)+SUMIF($B$396:$B$417,$B430,Q$396:Q$417)+SUMIF($B$423:$B$424,$B430,Q$423:Q$424)</f>
        <v>5600</v>
      </c>
      <c r="R430" s="65">
        <f t="shared" si="244"/>
        <v>5000</v>
      </c>
      <c r="S430" s="54">
        <f t="shared" si="242"/>
        <v>-600</v>
      </c>
    </row>
    <row r="431" spans="1:28" ht="15.75" customHeight="1" x14ac:dyDescent="0.25">
      <c r="A431" s="51" t="s">
        <v>1235</v>
      </c>
      <c r="B431" s="51" t="s">
        <v>132</v>
      </c>
      <c r="C431" s="400"/>
      <c r="D431" s="157">
        <f t="shared" si="236"/>
        <v>8564</v>
      </c>
      <c r="E431" s="160" t="e">
        <f>D431*#REF!</f>
        <v>#REF!</v>
      </c>
      <c r="F431" s="160" t="e">
        <f>D431*#REF!</f>
        <v>#REF!</v>
      </c>
      <c r="G431" s="160" t="e">
        <f>(D431*#REF!)*#REF!</f>
        <v>#REF!</v>
      </c>
      <c r="H431" s="296">
        <f t="shared" si="237"/>
        <v>0</v>
      </c>
      <c r="I431" s="147" t="e">
        <f t="shared" si="238"/>
        <v>#REF!</v>
      </c>
      <c r="J431" s="147"/>
      <c r="K431" s="400"/>
      <c r="L431" s="65">
        <f t="shared" ref="L431:O431" si="245">SUMIF($B$370:$B$391,$B431,L$370:L$391)+SUMIF($B$396:$B$417,$B431,L$396:L$417)+SUMIF($B$423:$B$424,$B431,L$423:L$424)</f>
        <v>0</v>
      </c>
      <c r="M431" s="65">
        <f t="shared" si="245"/>
        <v>0</v>
      </c>
      <c r="N431" s="65">
        <f t="shared" si="245"/>
        <v>16250</v>
      </c>
      <c r="O431" s="65">
        <f t="shared" si="245"/>
        <v>0</v>
      </c>
      <c r="P431" s="157">
        <f t="shared" si="240"/>
        <v>0</v>
      </c>
      <c r="Q431" s="157">
        <f t="shared" ref="Q431:R431" si="246">SUMIF($B$370:$B$391,$B431,Q$370:Q$391)+SUMIF($B$396:$B$417,$B431,Q$396:Q$417)+SUMIF($B$423:$B$424,$B431,Q$423:Q$424)</f>
        <v>20000</v>
      </c>
      <c r="R431" s="65">
        <f t="shared" si="246"/>
        <v>20000</v>
      </c>
      <c r="S431" s="54">
        <f t="shared" si="242"/>
        <v>0</v>
      </c>
    </row>
    <row r="432" spans="1:28" ht="15.75" customHeight="1" x14ac:dyDescent="0.25">
      <c r="A432" s="51" t="s">
        <v>1235</v>
      </c>
      <c r="B432" s="51" t="s">
        <v>72</v>
      </c>
      <c r="C432" s="400"/>
      <c r="D432" s="157">
        <f t="shared" si="236"/>
        <v>53743</v>
      </c>
      <c r="E432" s="160" t="e">
        <f>D432*#REF!</f>
        <v>#REF!</v>
      </c>
      <c r="F432" s="160" t="e">
        <f>D432*#REF!</f>
        <v>#REF!</v>
      </c>
      <c r="G432" s="160" t="e">
        <f>(D432*#REF!)*#REF!</f>
        <v>#REF!</v>
      </c>
      <c r="H432" s="296">
        <f t="shared" si="237"/>
        <v>0</v>
      </c>
      <c r="I432" s="147" t="e">
        <f t="shared" si="238"/>
        <v>#REF!</v>
      </c>
      <c r="J432" s="147"/>
      <c r="K432" s="400"/>
      <c r="L432" s="65">
        <f t="shared" ref="L432:O432" si="247">SUMIF($B$370:$B$391,$B432,L$370:L$391)+SUMIF($B$396:$B$417,$B432,L$396:L$417)+SUMIF($B$423:$B$424,$B432,L$423:L$424)</f>
        <v>77954</v>
      </c>
      <c r="M432" s="65">
        <f t="shared" si="247"/>
        <v>108755.62</v>
      </c>
      <c r="N432" s="65">
        <f t="shared" si="247"/>
        <v>175079</v>
      </c>
      <c r="O432" s="65">
        <f t="shared" si="247"/>
        <v>56219.26</v>
      </c>
      <c r="P432" s="157">
        <f t="shared" si="240"/>
        <v>73085.038</v>
      </c>
      <c r="Q432" s="157">
        <f t="shared" ref="Q432:R432" si="248">SUMIF($B$370:$B$391,$B432,Q$370:Q$391)+SUMIF($B$396:$B$417,$B432,Q$396:Q$417)+SUMIF($B$423:$B$424,$B432,Q$423:Q$424)</f>
        <v>177200</v>
      </c>
      <c r="R432" s="65">
        <f t="shared" si="248"/>
        <v>177200</v>
      </c>
      <c r="S432" s="54">
        <f t="shared" si="242"/>
        <v>0</v>
      </c>
    </row>
    <row r="433" spans="1:19" ht="15.75" customHeight="1" x14ac:dyDescent="0.25">
      <c r="A433" s="51" t="s">
        <v>1235</v>
      </c>
      <c r="B433" s="51" t="s">
        <v>74</v>
      </c>
      <c r="C433" s="400"/>
      <c r="D433" s="157">
        <f t="shared" si="236"/>
        <v>2336</v>
      </c>
      <c r="E433" s="160" t="e">
        <f>D433*#REF!</f>
        <v>#REF!</v>
      </c>
      <c r="F433" s="160" t="e">
        <f>D433*#REF!</f>
        <v>#REF!</v>
      </c>
      <c r="G433" s="160" t="e">
        <f>(D433*#REF!)*#REF!</f>
        <v>#REF!</v>
      </c>
      <c r="H433" s="296">
        <f t="shared" si="237"/>
        <v>0</v>
      </c>
      <c r="I433" s="147" t="e">
        <f t="shared" si="238"/>
        <v>#REF!</v>
      </c>
      <c r="J433" s="147">
        <v>-300</v>
      </c>
      <c r="K433" s="400"/>
      <c r="L433" s="65">
        <f t="shared" ref="L433:O433" si="249">SUMIF($B$370:$B$391,$B433,L$370:L$391)+SUMIF($B$396:$B$417,$B433,L$396:L$417)+SUMIF($B$423:$B$424,$B433,L$423:L$424)</f>
        <v>2000</v>
      </c>
      <c r="M433" s="65">
        <f t="shared" si="249"/>
        <v>3663</v>
      </c>
      <c r="N433" s="65">
        <f t="shared" si="249"/>
        <v>4300</v>
      </c>
      <c r="O433" s="65">
        <f t="shared" si="249"/>
        <v>291</v>
      </c>
      <c r="P433" s="157">
        <f t="shared" ref="P433:P439" si="250">O433/9*12</f>
        <v>388</v>
      </c>
      <c r="Q433" s="157">
        <f t="shared" ref="Q433:R433" si="251">SUMIF($B$370:$B$391,$B433,Q$370:Q$391)+SUMIF($B$396:$B$417,$B433,Q$396:Q$417)+SUMIF($B$423:$B$424,$B433,Q$423:Q$424)</f>
        <v>4300</v>
      </c>
      <c r="R433" s="65">
        <f t="shared" si="251"/>
        <v>4000</v>
      </c>
      <c r="S433" s="54">
        <f t="shared" si="242"/>
        <v>-300</v>
      </c>
    </row>
    <row r="434" spans="1:19" ht="15.75" customHeight="1" x14ac:dyDescent="0.25">
      <c r="A434" s="51" t="s">
        <v>1235</v>
      </c>
      <c r="B434" s="51" t="s">
        <v>76</v>
      </c>
      <c r="C434" s="400"/>
      <c r="D434" s="157">
        <f t="shared" si="236"/>
        <v>3083</v>
      </c>
      <c r="E434" s="160" t="e">
        <f>D434*#REF!</f>
        <v>#REF!</v>
      </c>
      <c r="F434" s="160" t="e">
        <f>D434*#REF!</f>
        <v>#REF!</v>
      </c>
      <c r="G434" s="160" t="e">
        <f>(D434*#REF!)*#REF!</f>
        <v>#REF!</v>
      </c>
      <c r="H434" s="296">
        <f t="shared" si="237"/>
        <v>0</v>
      </c>
      <c r="I434" s="147" t="e">
        <f t="shared" si="238"/>
        <v>#REF!</v>
      </c>
      <c r="J434" s="147">
        <v>-4000</v>
      </c>
      <c r="K434" s="400"/>
      <c r="L434" s="65">
        <f t="shared" ref="L434:O434" si="252">SUMIF($B$370:$B$391,$B434,L$370:L$391)+SUMIF($B$396:$B$417,$B434,L$396:L$417)+SUMIF($B$423:$B$424,$B434,L$423:L$424)</f>
        <v>5064</v>
      </c>
      <c r="M434" s="65">
        <f t="shared" si="252"/>
        <v>7654.62</v>
      </c>
      <c r="N434" s="65">
        <f t="shared" si="252"/>
        <v>11500</v>
      </c>
      <c r="O434" s="65">
        <f t="shared" si="252"/>
        <v>895.8</v>
      </c>
      <c r="P434" s="157">
        <f t="shared" si="250"/>
        <v>1194.4000000000001</v>
      </c>
      <c r="Q434" s="157">
        <f t="shared" ref="Q434:R434" si="253">SUMIF($B$370:$B$391,$B434,Q$370:Q$391)+SUMIF($B$396:$B$417,$B434,Q$396:Q$417)+SUMIF($B$423:$B$424,$B434,Q$423:Q$424)</f>
        <v>14000</v>
      </c>
      <c r="R434" s="65">
        <f t="shared" si="253"/>
        <v>10000</v>
      </c>
      <c r="S434" s="54">
        <f t="shared" si="242"/>
        <v>-4000</v>
      </c>
    </row>
    <row r="435" spans="1:19" ht="15.75" customHeight="1" x14ac:dyDescent="0.25">
      <c r="A435" s="51" t="s">
        <v>1235</v>
      </c>
      <c r="B435" s="51" t="s">
        <v>80</v>
      </c>
      <c r="C435" s="400"/>
      <c r="D435" s="157">
        <f t="shared" si="236"/>
        <v>1744</v>
      </c>
      <c r="E435" s="160" t="e">
        <f>D435*#REF!</f>
        <v>#REF!</v>
      </c>
      <c r="F435" s="160" t="e">
        <f>D435*#REF!</f>
        <v>#REF!</v>
      </c>
      <c r="G435" s="160" t="e">
        <f>(D435*#REF!)*#REF!</f>
        <v>#REF!</v>
      </c>
      <c r="H435" s="296">
        <f t="shared" si="237"/>
        <v>0</v>
      </c>
      <c r="I435" s="147" t="e">
        <f t="shared" si="238"/>
        <v>#REF!</v>
      </c>
      <c r="J435" s="147">
        <v>-500</v>
      </c>
      <c r="K435" s="400"/>
      <c r="L435" s="65">
        <f t="shared" ref="L435:O435" si="254">SUMIF($B$370:$B$391,$B435,L$370:L$391)+SUMIF($B$396:$B$417,$B435,L$396:L$417)+SUMIF($B$423:$B$424,$B435,L$423:L$424)</f>
        <v>2693</v>
      </c>
      <c r="M435" s="65">
        <f t="shared" si="254"/>
        <v>2285.59</v>
      </c>
      <c r="N435" s="65">
        <f t="shared" si="254"/>
        <v>9500</v>
      </c>
      <c r="O435" s="65">
        <f t="shared" si="254"/>
        <v>1385.26</v>
      </c>
      <c r="P435" s="157">
        <f t="shared" si="250"/>
        <v>1847.0133333333333</v>
      </c>
      <c r="Q435" s="157">
        <f t="shared" ref="Q435:R435" si="255">SUMIF($B$370:$B$391,$B435,Q$370:Q$391)+SUMIF($B$396:$B$417,$B435,Q$396:Q$417)+SUMIF($B$423:$B$424,$B435,Q$423:Q$424)</f>
        <v>5500</v>
      </c>
      <c r="R435" s="65">
        <f t="shared" si="255"/>
        <v>5000</v>
      </c>
      <c r="S435" s="54">
        <f t="shared" si="242"/>
        <v>-500</v>
      </c>
    </row>
    <row r="436" spans="1:19" ht="15.75" customHeight="1" x14ac:dyDescent="0.25">
      <c r="A436" s="51" t="s">
        <v>1235</v>
      </c>
      <c r="B436" s="51" t="s">
        <v>82</v>
      </c>
      <c r="C436" s="400"/>
      <c r="D436" s="157">
        <f t="shared" si="236"/>
        <v>6615</v>
      </c>
      <c r="E436" s="160" t="e">
        <f>D436*#REF!</f>
        <v>#REF!</v>
      </c>
      <c r="F436" s="160" t="e">
        <f>D436*#REF!</f>
        <v>#REF!</v>
      </c>
      <c r="G436" s="160" t="e">
        <f>(D436*#REF!)*#REF!</f>
        <v>#REF!</v>
      </c>
      <c r="H436" s="296">
        <f t="shared" si="237"/>
        <v>0</v>
      </c>
      <c r="I436" s="147" t="e">
        <f t="shared" si="238"/>
        <v>#REF!</v>
      </c>
      <c r="J436" s="147">
        <v>-4500</v>
      </c>
      <c r="K436" s="400"/>
      <c r="L436" s="65">
        <f t="shared" ref="L436:O436" si="256">SUMIF($B$370:$B$391,$B436,L$370:L$391)+SUMIF($B$396:$B$417,$B436,L$396:L$417)+SUMIF($B$423:$B$424,$B436,L$423:L$424)</f>
        <v>17015</v>
      </c>
      <c r="M436" s="65">
        <f t="shared" si="256"/>
        <v>21815.08</v>
      </c>
      <c r="N436" s="65">
        <f t="shared" si="256"/>
        <v>24500</v>
      </c>
      <c r="O436" s="65">
        <f t="shared" si="256"/>
        <v>3028.21</v>
      </c>
      <c r="P436" s="157">
        <f t="shared" si="250"/>
        <v>4037.6133333333332</v>
      </c>
      <c r="Q436" s="157">
        <f t="shared" ref="Q436:R436" si="257">SUMIF($B$370:$B$391,$B436,Q$370:Q$391)+SUMIF($B$396:$B$417,$B436,Q$396:Q$417)+SUMIF($B$423:$B$424,$B436,Q$423:Q$424)</f>
        <v>24500</v>
      </c>
      <c r="R436" s="65">
        <f t="shared" si="257"/>
        <v>20000</v>
      </c>
      <c r="S436" s="54">
        <f t="shared" si="242"/>
        <v>-4500</v>
      </c>
    </row>
    <row r="437" spans="1:19" ht="15.75" customHeight="1" x14ac:dyDescent="0.25">
      <c r="A437" s="51" t="s">
        <v>1235</v>
      </c>
      <c r="B437" s="51" t="s">
        <v>115</v>
      </c>
      <c r="C437" s="400"/>
      <c r="D437" s="157">
        <f t="shared" si="236"/>
        <v>894</v>
      </c>
      <c r="E437" s="160" t="e">
        <f>D437*#REF!</f>
        <v>#REF!</v>
      </c>
      <c r="F437" s="160" t="e">
        <f>D437*#REF!</f>
        <v>#REF!</v>
      </c>
      <c r="G437" s="160" t="e">
        <f>(D437*#REF!)*#REF!</f>
        <v>#REF!</v>
      </c>
      <c r="H437" s="296">
        <f t="shared" si="237"/>
        <v>0</v>
      </c>
      <c r="I437" s="147" t="e">
        <f t="shared" si="238"/>
        <v>#REF!</v>
      </c>
      <c r="J437" s="147">
        <v>-2000</v>
      </c>
      <c r="K437" s="400"/>
      <c r="L437" s="65">
        <f t="shared" ref="L437:O437" si="258">SUMIF($B$370:$B$391,$B437,L$370:L$391)+SUMIF($B$396:$B$417,$B437,L$396:L$417)+SUMIF($B$423:$B$424,$B437,L$423:L$424)</f>
        <v>2758</v>
      </c>
      <c r="M437" s="65">
        <f t="shared" si="258"/>
        <v>598</v>
      </c>
      <c r="N437" s="65">
        <f t="shared" si="258"/>
        <v>5000</v>
      </c>
      <c r="O437" s="65">
        <f t="shared" si="258"/>
        <v>0</v>
      </c>
      <c r="P437" s="157">
        <f t="shared" si="250"/>
        <v>0</v>
      </c>
      <c r="Q437" s="157">
        <f t="shared" ref="Q437:R437" si="259">SUMIF($B$370:$B$391,$B437,Q$370:Q$391)+SUMIF($B$396:$B$417,$B437,Q$396:Q$417)+SUMIF($B$423:$B$424,$B437,Q$423:Q$424)</f>
        <v>6000</v>
      </c>
      <c r="R437" s="65">
        <f t="shared" si="259"/>
        <v>4000</v>
      </c>
      <c r="S437" s="54">
        <f t="shared" si="242"/>
        <v>-2000</v>
      </c>
    </row>
    <row r="438" spans="1:19" ht="15.75" customHeight="1" x14ac:dyDescent="0.25">
      <c r="A438" s="51" t="s">
        <v>1235</v>
      </c>
      <c r="B438" s="51" t="s">
        <v>84</v>
      </c>
      <c r="C438" s="400"/>
      <c r="D438" s="157">
        <f t="shared" si="236"/>
        <v>1645</v>
      </c>
      <c r="E438" s="160" t="e">
        <f>D438*#REF!</f>
        <v>#REF!</v>
      </c>
      <c r="F438" s="160" t="e">
        <f>D438*#REF!</f>
        <v>#REF!</v>
      </c>
      <c r="G438" s="160" t="e">
        <f>(D438*#REF!)*#REF!</f>
        <v>#REF!</v>
      </c>
      <c r="H438" s="296">
        <f t="shared" si="237"/>
        <v>0</v>
      </c>
      <c r="I438" s="147" t="e">
        <f t="shared" si="238"/>
        <v>#REF!</v>
      </c>
      <c r="J438" s="147">
        <v>-1000</v>
      </c>
      <c r="K438" s="400"/>
      <c r="L438" s="65">
        <f t="shared" ref="L438:O438" si="260">SUMIF($B$370:$B$391,$B438,L$370:L$391)+SUMIF($B$396:$B$417,$B438,L$396:L$417)+SUMIF($B$423:$B$424,$B438,L$423:L$424)</f>
        <v>3727</v>
      </c>
      <c r="M438" s="65">
        <f t="shared" si="260"/>
        <v>4985.1200000000008</v>
      </c>
      <c r="N438" s="65">
        <f t="shared" si="260"/>
        <v>7600</v>
      </c>
      <c r="O438" s="65">
        <f t="shared" si="260"/>
        <v>1633.67</v>
      </c>
      <c r="P438" s="157">
        <f t="shared" si="250"/>
        <v>2178.2266666666669</v>
      </c>
      <c r="Q438" s="157">
        <f t="shared" ref="Q438:R438" si="261">SUMIF($B$370:$B$391,$B438,Q$370:Q$391)+SUMIF($B$396:$B$417,$B438,Q$396:Q$417)+SUMIF($B$423:$B$424,$B438,Q$423:Q$424)</f>
        <v>7600</v>
      </c>
      <c r="R438" s="65">
        <f t="shared" si="261"/>
        <v>6600</v>
      </c>
      <c r="S438" s="54">
        <f t="shared" si="242"/>
        <v>-1000</v>
      </c>
    </row>
    <row r="439" spans="1:19" ht="15.75" customHeight="1" x14ac:dyDescent="0.25">
      <c r="A439" s="51" t="s">
        <v>1235</v>
      </c>
      <c r="B439" s="51" t="s">
        <v>86</v>
      </c>
      <c r="C439" s="400"/>
      <c r="D439" s="157">
        <f t="shared" si="236"/>
        <v>0</v>
      </c>
      <c r="E439" s="160" t="e">
        <f>D439*#REF!</f>
        <v>#REF!</v>
      </c>
      <c r="F439" s="160" t="e">
        <f>D439*#REF!</f>
        <v>#REF!</v>
      </c>
      <c r="G439" s="160" t="e">
        <f>(D439*#REF!)*#REF!</f>
        <v>#REF!</v>
      </c>
      <c r="H439" s="296">
        <f t="shared" si="237"/>
        <v>0</v>
      </c>
      <c r="I439" s="147" t="e">
        <f t="shared" si="238"/>
        <v>#REF!</v>
      </c>
      <c r="J439" s="147">
        <v>-5000</v>
      </c>
      <c r="K439" s="400"/>
      <c r="L439" s="65">
        <f t="shared" ref="L439:O439" si="262">SUMIF($B$370:$B$391,$B439,L$370:L$391)+SUMIF($B$396:$B$417,$B439,L$396:L$417)+SUMIF($B$423:$B$424,$B439,L$423:L$424)</f>
        <v>100347</v>
      </c>
      <c r="M439" s="65">
        <f t="shared" si="262"/>
        <v>224926.48</v>
      </c>
      <c r="N439" s="65">
        <f t="shared" si="262"/>
        <v>242333</v>
      </c>
      <c r="O439" s="65">
        <f t="shared" si="262"/>
        <v>82380.78</v>
      </c>
      <c r="P439" s="157">
        <f t="shared" si="250"/>
        <v>109841.04000000001</v>
      </c>
      <c r="Q439" s="157">
        <f t="shared" ref="Q439:R439" si="263">SUMIF($B$370:$B$391,$B439,Q$370:Q$391)+SUMIF($B$396:$B$417,$B439,Q$396:Q$417)+SUMIF($B$423:$B$424,$B439,Q$423:Q$424)</f>
        <v>165000</v>
      </c>
      <c r="R439" s="65">
        <f t="shared" si="263"/>
        <v>160000</v>
      </c>
      <c r="S439" s="54">
        <f t="shared" si="242"/>
        <v>-5000</v>
      </c>
    </row>
    <row r="440" spans="1:19" ht="15.75" customHeight="1" x14ac:dyDescent="0.25">
      <c r="A440" s="51" t="s">
        <v>1235</v>
      </c>
      <c r="B440" s="51" t="s">
        <v>88</v>
      </c>
      <c r="C440" s="400"/>
      <c r="D440" s="157">
        <f t="shared" si="236"/>
        <v>2303</v>
      </c>
      <c r="E440" s="160" t="e">
        <f>D440*#REF!</f>
        <v>#REF!</v>
      </c>
      <c r="F440" s="160" t="e">
        <f>D440*#REF!</f>
        <v>#REF!</v>
      </c>
      <c r="G440" s="160" t="e">
        <f>(D440*#REF!)*#REF!</f>
        <v>#REF!</v>
      </c>
      <c r="H440" s="296">
        <f t="shared" si="237"/>
        <v>0</v>
      </c>
      <c r="I440" s="147" t="e">
        <f t="shared" si="238"/>
        <v>#REF!</v>
      </c>
      <c r="J440" s="147"/>
      <c r="K440" s="400"/>
      <c r="L440" s="65">
        <f t="shared" ref="L440:O440" si="264">SUMIF($B$370:$B$391,$B440,L$370:L$391)+SUMIF($B$396:$B$417,$B440,L$396:L$417)+SUMIF($B$423:$B$424,$B440,L$423:L$424)</f>
        <v>12748</v>
      </c>
      <c r="M440" s="65">
        <f t="shared" si="264"/>
        <v>12594.34</v>
      </c>
      <c r="N440" s="65">
        <f t="shared" si="264"/>
        <v>18400</v>
      </c>
      <c r="O440" s="65">
        <f t="shared" si="264"/>
        <v>12160.509999999998</v>
      </c>
      <c r="P440" s="408">
        <f>IF(O440/9*12&lt;N440,N440,O440/9*12)</f>
        <v>18400</v>
      </c>
      <c r="Q440" s="157">
        <f t="shared" ref="Q440:R440" si="265">SUMIF($B$370:$B$391,$B440,Q$370:Q$391)+SUMIF($B$396:$B$417,$B440,Q$396:Q$417)+SUMIF($B$423:$B$424,$B440,Q$423:Q$424)</f>
        <v>19400</v>
      </c>
      <c r="R440" s="65">
        <f t="shared" si="265"/>
        <v>19400</v>
      </c>
      <c r="S440" s="54">
        <f t="shared" si="242"/>
        <v>0</v>
      </c>
    </row>
    <row r="441" spans="1:19" ht="15.75" customHeight="1" x14ac:dyDescent="0.25">
      <c r="A441" s="51" t="s">
        <v>1235</v>
      </c>
      <c r="B441" s="51" t="s">
        <v>1252</v>
      </c>
      <c r="C441" s="400"/>
      <c r="D441" s="157">
        <f t="shared" si="236"/>
        <v>81302</v>
      </c>
      <c r="E441" s="160" t="e">
        <f>D441*#REF!</f>
        <v>#REF!</v>
      </c>
      <c r="F441" s="160" t="e">
        <f>D441*#REF!</f>
        <v>#REF!</v>
      </c>
      <c r="G441" s="160" t="e">
        <f>(D441*#REF!)*#REF!</f>
        <v>#REF!</v>
      </c>
      <c r="H441" s="296">
        <f t="shared" si="237"/>
        <v>0</v>
      </c>
      <c r="I441" s="147" t="e">
        <f t="shared" si="238"/>
        <v>#REF!</v>
      </c>
      <c r="J441" s="147"/>
      <c r="K441" s="400"/>
      <c r="L441" s="65">
        <f t="shared" ref="L441:O441" si="266">SUMIF($B$370:$B$391,$B441,L$370:L$391)+SUMIF($B$396:$B$417,$B441,L$396:L$417)+SUMIF($B$423:$B$424,$B441,L$423:L$424)</f>
        <v>0</v>
      </c>
      <c r="M441" s="65">
        <f t="shared" si="266"/>
        <v>0</v>
      </c>
      <c r="N441" s="65">
        <f t="shared" si="266"/>
        <v>82616</v>
      </c>
      <c r="O441" s="65">
        <f t="shared" si="266"/>
        <v>6687.5</v>
      </c>
      <c r="P441" s="157">
        <f>O441/9*12</f>
        <v>8916.6666666666661</v>
      </c>
      <c r="Q441" s="157">
        <f t="shared" ref="Q441:R441" si="267">SUMIF($B$370:$B$391,$B441,Q$370:Q$391)+SUMIF($B$396:$B$417,$B441,Q$396:Q$417)+SUMIF($B$423:$B$424,$B441,Q$423:Q$424)</f>
        <v>10000</v>
      </c>
      <c r="R441" s="65">
        <f t="shared" si="267"/>
        <v>10000</v>
      </c>
      <c r="S441" s="54">
        <f t="shared" si="242"/>
        <v>0</v>
      </c>
    </row>
    <row r="442" spans="1:19" ht="15.75" customHeight="1" x14ac:dyDescent="0.25">
      <c r="A442" s="51" t="s">
        <v>1235</v>
      </c>
      <c r="B442" s="51" t="s">
        <v>1254</v>
      </c>
      <c r="C442" s="400"/>
      <c r="D442" s="157">
        <f t="shared" si="236"/>
        <v>27264</v>
      </c>
      <c r="E442" s="160" t="e">
        <f>D442*#REF!</f>
        <v>#REF!</v>
      </c>
      <c r="F442" s="160" t="e">
        <f>D442*#REF!</f>
        <v>#REF!</v>
      </c>
      <c r="G442" s="160" t="e">
        <f>(D442*#REF!)*#REF!</f>
        <v>#REF!</v>
      </c>
      <c r="H442" s="296">
        <f t="shared" si="237"/>
        <v>0</v>
      </c>
      <c r="I442" s="147" t="e">
        <f t="shared" si="238"/>
        <v>#REF!</v>
      </c>
      <c r="J442" s="147"/>
      <c r="K442" s="400"/>
      <c r="L442" s="65">
        <f t="shared" ref="L442:O442" si="268">SUMIF($B$370:$B$391,$B442,L$370:L$391)+SUMIF($B$396:$B$417,$B442,L$396:L$417)+SUMIF($B$423:$B$424,$B442,L$423:L$424)</f>
        <v>32082</v>
      </c>
      <c r="M442" s="65">
        <f t="shared" si="268"/>
        <v>38065.300000000003</v>
      </c>
      <c r="N442" s="65">
        <f t="shared" si="268"/>
        <v>40000</v>
      </c>
      <c r="O442" s="65">
        <f t="shared" si="268"/>
        <v>21940.400000000001</v>
      </c>
      <c r="P442" s="408">
        <f t="shared" ref="P442:P443" si="269">IF(O442/9*12&lt;N442,N442,O442/9*12)</f>
        <v>40000</v>
      </c>
      <c r="Q442" s="157">
        <f t="shared" ref="Q442:R442" si="270">SUMIF($B$370:$B$391,$B442,Q$370:Q$391)+SUMIF($B$396:$B$417,$B442,Q$396:Q$417)+SUMIF($B$423:$B$424,$B442,Q$423:Q$424)</f>
        <v>40000</v>
      </c>
      <c r="R442" s="65">
        <f t="shared" si="270"/>
        <v>40000</v>
      </c>
      <c r="S442" s="54">
        <f t="shared" si="242"/>
        <v>0</v>
      </c>
    </row>
    <row r="443" spans="1:19" ht="15.75" customHeight="1" x14ac:dyDescent="0.25">
      <c r="A443" s="51" t="s">
        <v>1235</v>
      </c>
      <c r="B443" s="51" t="s">
        <v>1282</v>
      </c>
      <c r="C443" s="400"/>
      <c r="D443" s="157">
        <f t="shared" si="236"/>
        <v>975</v>
      </c>
      <c r="E443" s="160" t="e">
        <f>D443*#REF!</f>
        <v>#REF!</v>
      </c>
      <c r="F443" s="160" t="e">
        <f>D443*#REF!</f>
        <v>#REF!</v>
      </c>
      <c r="G443" s="160" t="e">
        <f>(D443*#REF!)*#REF!</f>
        <v>#REF!</v>
      </c>
      <c r="H443" s="296">
        <f t="shared" si="237"/>
        <v>0</v>
      </c>
      <c r="I443" s="147" t="e">
        <f t="shared" si="238"/>
        <v>#REF!</v>
      </c>
      <c r="J443" s="147"/>
      <c r="K443" s="400"/>
      <c r="L443" s="65">
        <f t="shared" ref="L443:O443" si="271">SUMIF($B$370:$B$391,$B443,L$370:L$391)+SUMIF($B$396:$B$417,$B443,L$396:L$417)+SUMIF($B$423:$B$424,$B443,L$423:L$424)</f>
        <v>0</v>
      </c>
      <c r="M443" s="65">
        <f t="shared" si="271"/>
        <v>0</v>
      </c>
      <c r="N443" s="65">
        <f t="shared" si="271"/>
        <v>0</v>
      </c>
      <c r="O443" s="65">
        <f t="shared" si="271"/>
        <v>0</v>
      </c>
      <c r="P443" s="157">
        <f t="shared" si="269"/>
        <v>0</v>
      </c>
      <c r="Q443" s="157">
        <f t="shared" ref="Q443:R443" si="272">SUMIF($B$370:$B$391,$B443,Q$370:Q$391)+SUMIF($B$396:$B$417,$B443,Q$396:Q$417)+SUMIF($B$423:$B$424,$B443,Q$423:Q$424)</f>
        <v>0</v>
      </c>
      <c r="R443" s="65">
        <f t="shared" si="272"/>
        <v>0</v>
      </c>
      <c r="S443" s="54">
        <f t="shared" si="242"/>
        <v>0</v>
      </c>
    </row>
    <row r="444" spans="1:19" ht="15.75" customHeight="1" x14ac:dyDescent="0.25">
      <c r="A444" s="51" t="s">
        <v>1235</v>
      </c>
      <c r="B444" s="51" t="s">
        <v>1256</v>
      </c>
      <c r="C444" s="400"/>
      <c r="D444" s="157">
        <f t="shared" si="236"/>
        <v>29633</v>
      </c>
      <c r="E444" s="160" t="e">
        <f>D444*#REF!</f>
        <v>#REF!</v>
      </c>
      <c r="F444" s="160" t="e">
        <f>D444*#REF!</f>
        <v>#REF!</v>
      </c>
      <c r="G444" s="160" t="e">
        <f>(D444*#REF!)*#REF!</f>
        <v>#REF!</v>
      </c>
      <c r="H444" s="296">
        <f t="shared" si="237"/>
        <v>0</v>
      </c>
      <c r="I444" s="147" t="e">
        <f t="shared" si="238"/>
        <v>#REF!</v>
      </c>
      <c r="J444" s="147"/>
      <c r="K444" s="400"/>
      <c r="L444" s="65">
        <f t="shared" ref="L444:O444" si="273">SUMIF($B$370:$B$391,$B444,L$370:L$391)+SUMIF($B$396:$B$417,$B444,L$396:L$417)+SUMIF($B$423:$B$424,$B444,L$423:L$424)</f>
        <v>57975</v>
      </c>
      <c r="M444" s="65">
        <f t="shared" si="273"/>
        <v>47495.76</v>
      </c>
      <c r="N444" s="65">
        <f t="shared" si="273"/>
        <v>53000</v>
      </c>
      <c r="O444" s="65">
        <f t="shared" si="273"/>
        <v>64428.79</v>
      </c>
      <c r="P444" s="408">
        <f>O444</f>
        <v>64428.79</v>
      </c>
      <c r="Q444" s="157">
        <f t="shared" ref="Q444:R444" si="274">SUMIF($B$370:$B$391,$B444,Q$370:Q$391)+SUMIF($B$396:$B$417,$B444,Q$396:Q$417)+SUMIF($B$423:$B$424,$B444,Q$423:Q$424)</f>
        <v>60000</v>
      </c>
      <c r="R444" s="65">
        <f t="shared" si="274"/>
        <v>60000</v>
      </c>
      <c r="S444" s="54">
        <f t="shared" si="242"/>
        <v>0</v>
      </c>
    </row>
    <row r="445" spans="1:19" ht="15.75" customHeight="1" x14ac:dyDescent="0.25">
      <c r="A445" s="51" t="s">
        <v>1235</v>
      </c>
      <c r="B445" s="51" t="s">
        <v>1258</v>
      </c>
      <c r="C445" s="400"/>
      <c r="D445" s="157">
        <f t="shared" si="236"/>
        <v>3962</v>
      </c>
      <c r="E445" s="160" t="e">
        <f>D445*#REF!</f>
        <v>#REF!</v>
      </c>
      <c r="F445" s="160" t="e">
        <f>D445*#REF!</f>
        <v>#REF!</v>
      </c>
      <c r="G445" s="160" t="e">
        <f>(D445*#REF!)*#REF!</f>
        <v>#REF!</v>
      </c>
      <c r="H445" s="296">
        <f t="shared" si="237"/>
        <v>0</v>
      </c>
      <c r="I445" s="147" t="e">
        <f t="shared" si="238"/>
        <v>#REF!</v>
      </c>
      <c r="J445" s="147"/>
      <c r="K445" s="400"/>
      <c r="L445" s="65">
        <f t="shared" ref="L445:O445" si="275">SUMIF($B$370:$B$391,$B445,L$370:L$391)+SUMIF($B$396:$B$417,$B445,L$396:L$417)+SUMIF($B$423:$B$424,$B445,L$423:L$424)</f>
        <v>5254</v>
      </c>
      <c r="M445" s="65">
        <f t="shared" si="275"/>
        <v>7987.1399999999994</v>
      </c>
      <c r="N445" s="65">
        <f t="shared" si="275"/>
        <v>25000</v>
      </c>
      <c r="O445" s="65">
        <f t="shared" si="275"/>
        <v>5968.07</v>
      </c>
      <c r="P445" s="157">
        <f>O445/9*12</f>
        <v>7957.4266666666663</v>
      </c>
      <c r="Q445" s="157">
        <f t="shared" ref="Q445:R445" si="276">SUMIF($B$370:$B$391,$B445,Q$370:Q$391)+SUMIF($B$396:$B$417,$B445,Q$396:Q$417)+SUMIF($B$423:$B$424,$B445,Q$423:Q$424)</f>
        <v>25000</v>
      </c>
      <c r="R445" s="65">
        <f t="shared" si="276"/>
        <v>25000</v>
      </c>
      <c r="S445" s="54">
        <f t="shared" si="242"/>
        <v>0</v>
      </c>
    </row>
    <row r="446" spans="1:19" ht="15.75" customHeight="1" x14ac:dyDescent="0.25">
      <c r="A446" s="51" t="s">
        <v>1235</v>
      </c>
      <c r="B446" s="51" t="s">
        <v>90</v>
      </c>
      <c r="C446" s="400"/>
      <c r="D446" s="157">
        <f t="shared" si="236"/>
        <v>0</v>
      </c>
      <c r="E446" s="160" t="e">
        <f>D446*#REF!</f>
        <v>#REF!</v>
      </c>
      <c r="F446" s="160" t="e">
        <f>D446*#REF!</f>
        <v>#REF!</v>
      </c>
      <c r="G446" s="160" t="e">
        <f>(D446*#REF!)*#REF!</f>
        <v>#REF!</v>
      </c>
      <c r="H446" s="296">
        <f t="shared" si="237"/>
        <v>0</v>
      </c>
      <c r="I446" s="147" t="e">
        <f t="shared" si="238"/>
        <v>#REF!</v>
      </c>
      <c r="J446" s="147">
        <v>-1000</v>
      </c>
      <c r="K446" s="400"/>
      <c r="L446" s="65">
        <f t="shared" ref="L446:O446" si="277">SUMIF($B$370:$B$391,$B446,L$370:L$391)+SUMIF($B$396:$B$417,$B446,L$396:L$417)+SUMIF($B$423:$B$424,$B446,L$423:L$424)</f>
        <v>0</v>
      </c>
      <c r="M446" s="65">
        <f t="shared" si="277"/>
        <v>0</v>
      </c>
      <c r="N446" s="65">
        <f t="shared" si="277"/>
        <v>6000</v>
      </c>
      <c r="O446" s="65">
        <f t="shared" si="277"/>
        <v>3082.1400000000003</v>
      </c>
      <c r="P446" s="408">
        <f>IF(O446/9*12&lt;N446,N446,O446/9*12)</f>
        <v>6000</v>
      </c>
      <c r="Q446" s="157">
        <f t="shared" ref="Q446:R446" si="278">SUMIF($B$370:$B$391,$B446,Q$370:Q$391)+SUMIF($B$396:$B$417,$B446,Q$396:Q$417)+SUMIF($B$423:$B$424,$B446,Q$423:Q$424)</f>
        <v>6000</v>
      </c>
      <c r="R446" s="65">
        <f t="shared" si="278"/>
        <v>5000</v>
      </c>
      <c r="S446" s="54">
        <f t="shared" si="242"/>
        <v>-1000</v>
      </c>
    </row>
    <row r="447" spans="1:19" ht="15.75" customHeight="1" x14ac:dyDescent="0.25">
      <c r="A447" s="51" t="s">
        <v>1235</v>
      </c>
      <c r="B447" s="51" t="s">
        <v>1261</v>
      </c>
      <c r="C447" s="400"/>
      <c r="D447" s="157">
        <f t="shared" si="236"/>
        <v>0</v>
      </c>
      <c r="E447" s="160" t="e">
        <f>D447*#REF!</f>
        <v>#REF!</v>
      </c>
      <c r="F447" s="160" t="e">
        <f>D447*#REF!</f>
        <v>#REF!</v>
      </c>
      <c r="G447" s="160" t="e">
        <f>(D447*#REF!)*#REF!</f>
        <v>#REF!</v>
      </c>
      <c r="H447" s="296">
        <f t="shared" si="237"/>
        <v>0</v>
      </c>
      <c r="I447" s="147" t="e">
        <f t="shared" si="238"/>
        <v>#REF!</v>
      </c>
      <c r="J447" s="407"/>
      <c r="K447" s="400"/>
      <c r="L447" s="65">
        <f t="shared" ref="L447:O447" si="279">SUMIF($B$370:$B$391,$B447,L$370:L$391)+SUMIF($B$396:$B$417,$B447,L$396:L$417)+SUMIF($B$423:$B$424,$B447,L$423:L$424)</f>
        <v>101202</v>
      </c>
      <c r="M447" s="65">
        <f t="shared" si="279"/>
        <v>0</v>
      </c>
      <c r="N447" s="65">
        <f t="shared" si="279"/>
        <v>0</v>
      </c>
      <c r="O447" s="65">
        <f t="shared" si="279"/>
        <v>49127</v>
      </c>
      <c r="P447" s="408">
        <f>O447</f>
        <v>49127</v>
      </c>
      <c r="Q447" s="157">
        <f t="shared" ref="Q447:R447" si="280">SUMIF($B$370:$B$391,$B447,Q$370:Q$391)+SUMIF($B$396:$B$417,$B447,Q$396:Q$417)+SUMIF($B$423:$B$424,$B447,Q$423:Q$424)</f>
        <v>100000</v>
      </c>
      <c r="R447" s="65">
        <f t="shared" si="280"/>
        <v>100000</v>
      </c>
      <c r="S447" s="54">
        <f t="shared" si="242"/>
        <v>0</v>
      </c>
    </row>
    <row r="448" spans="1:19" ht="15.75" customHeight="1" x14ac:dyDescent="0.25">
      <c r="A448" s="51" t="s">
        <v>1235</v>
      </c>
      <c r="B448" s="51" t="s">
        <v>92</v>
      </c>
      <c r="C448" s="400"/>
      <c r="D448" s="157">
        <f t="shared" si="236"/>
        <v>1910</v>
      </c>
      <c r="E448" s="160" t="e">
        <f>D448*#REF!</f>
        <v>#REF!</v>
      </c>
      <c r="F448" s="160" t="e">
        <f>D448*#REF!</f>
        <v>#REF!</v>
      </c>
      <c r="G448" s="160" t="e">
        <f>(D448*#REF!)*#REF!</f>
        <v>#REF!</v>
      </c>
      <c r="H448" s="296">
        <f t="shared" si="237"/>
        <v>0</v>
      </c>
      <c r="I448" s="147" t="e">
        <f t="shared" si="238"/>
        <v>#REF!</v>
      </c>
      <c r="J448" s="407"/>
      <c r="K448" s="400"/>
      <c r="L448" s="65">
        <f t="shared" ref="L448:O448" si="281">SUMIF($B$370:$B$391,$B448,L$370:L$391)+SUMIF($B$396:$B$417,$B448,L$396:L$417)+SUMIF($B$423:$B$424,$B448,L$423:L$424)</f>
        <v>2694</v>
      </c>
      <c r="M448" s="65">
        <f t="shared" si="281"/>
        <v>2096.8200000000002</v>
      </c>
      <c r="N448" s="65">
        <f t="shared" si="281"/>
        <v>4000</v>
      </c>
      <c r="O448" s="65">
        <f t="shared" si="281"/>
        <v>3016.98</v>
      </c>
      <c r="P448" s="408">
        <f>N448</f>
        <v>4000</v>
      </c>
      <c r="Q448" s="157">
        <f t="shared" ref="Q448:R448" si="282">SUMIF($B$370:$B$391,$B448,Q$370:Q$391)+SUMIF($B$396:$B$417,$B448,Q$396:Q$417)+SUMIF($B$423:$B$424,$B448,Q$423:Q$424)</f>
        <v>4000</v>
      </c>
      <c r="R448" s="65">
        <f t="shared" si="282"/>
        <v>4000</v>
      </c>
      <c r="S448" s="54">
        <f t="shared" si="242"/>
        <v>0</v>
      </c>
    </row>
    <row r="449" spans="1:28" ht="15.75" customHeight="1" x14ac:dyDescent="0.25">
      <c r="A449" s="74" t="s">
        <v>1266</v>
      </c>
      <c r="B449" s="75"/>
      <c r="C449" s="299"/>
      <c r="D449" s="189">
        <f t="shared" ref="D449:G449" si="283">SUM(D429:D448)</f>
        <v>361217</v>
      </c>
      <c r="E449" s="189" t="e">
        <f t="shared" si="283"/>
        <v>#REF!</v>
      </c>
      <c r="F449" s="189" t="e">
        <f t="shared" si="283"/>
        <v>#REF!</v>
      </c>
      <c r="G449" s="189" t="e">
        <f t="shared" si="283"/>
        <v>#REF!</v>
      </c>
      <c r="H449" s="300">
        <f t="shared" si="237"/>
        <v>0</v>
      </c>
      <c r="I449" s="189" t="e">
        <f t="shared" si="238"/>
        <v>#REF!</v>
      </c>
      <c r="J449" s="189">
        <f>SUM(J429:J448)</f>
        <v>-18900</v>
      </c>
      <c r="K449" s="299"/>
      <c r="L449" s="77">
        <f t="shared" ref="L449:S449" si="284">SUM(L429:L448)</f>
        <v>590766</v>
      </c>
      <c r="M449" s="77">
        <f t="shared" si="284"/>
        <v>698292.86</v>
      </c>
      <c r="N449" s="77">
        <f t="shared" si="284"/>
        <v>1008867</v>
      </c>
      <c r="O449" s="77">
        <f t="shared" si="284"/>
        <v>429265.42000000004</v>
      </c>
      <c r="P449" s="189">
        <f t="shared" si="284"/>
        <v>543527.27966666664</v>
      </c>
      <c r="Q449" s="189">
        <f t="shared" si="284"/>
        <v>1040800</v>
      </c>
      <c r="R449" s="77">
        <f t="shared" si="284"/>
        <v>1021900</v>
      </c>
      <c r="S449" s="77">
        <f t="shared" si="284"/>
        <v>-18900</v>
      </c>
    </row>
    <row r="450" spans="1:28" ht="15.75" customHeight="1" x14ac:dyDescent="0.25">
      <c r="A450" s="51"/>
      <c r="B450" s="51"/>
      <c r="C450" s="400"/>
      <c r="D450" s="65"/>
      <c r="E450" s="65"/>
      <c r="F450" s="65"/>
      <c r="G450" s="65"/>
      <c r="H450" s="234"/>
      <c r="K450" s="400"/>
      <c r="L450" s="65"/>
      <c r="M450" s="65"/>
      <c r="N450" s="65"/>
      <c r="O450" s="65"/>
      <c r="P450" s="65"/>
      <c r="Q450" s="65"/>
    </row>
    <row r="451" spans="1:28" ht="15.75" customHeight="1" x14ac:dyDescent="0.25">
      <c r="A451" s="51" t="s">
        <v>1235</v>
      </c>
      <c r="B451" s="51" t="s">
        <v>99</v>
      </c>
      <c r="C451" s="400"/>
      <c r="D451" s="157">
        <f t="shared" ref="D451:D454" si="285">SUMIF($B$370:$B$391,$B451,D$370:D$391)+SUMIF($B$396:$B$417,$B451,D$396:D$417)+SUMIF($B$423:$B$424,$B451,D$423:D$424)</f>
        <v>0</v>
      </c>
      <c r="E451" s="160" t="e">
        <f>D451*#REF!</f>
        <v>#REF!</v>
      </c>
      <c r="F451" s="160" t="e">
        <f>D451*#REF!</f>
        <v>#REF!</v>
      </c>
      <c r="G451" s="160" t="e">
        <f>(D451*#REF!)*#REF!</f>
        <v>#REF!</v>
      </c>
      <c r="H451" s="296">
        <f t="shared" ref="H451:H455" si="286">IFERROR(((Q451-G451)/G451),0)</f>
        <v>0</v>
      </c>
      <c r="I451" s="147" t="e">
        <f t="shared" ref="I451:I455" si="287">Q451-G451</f>
        <v>#REF!</v>
      </c>
      <c r="J451" s="97"/>
      <c r="K451" s="400"/>
      <c r="L451" s="65">
        <f t="shared" ref="L451:M451" si="288">SUMIF($B$370:$B$391,$B451,L$370:L$391)+SUMIF($B$396:$B$417,$B451,L$396:L$417)+SUMIF($B$423:$B$424,$B451,L$423:L$424)</f>
        <v>146003</v>
      </c>
      <c r="M451" s="65">
        <f t="shared" si="288"/>
        <v>60037.990000000005</v>
      </c>
      <c r="N451" s="65">
        <f t="shared" ref="N451:N454" si="289">SUMIF($B$370:$B$391,$B451,N$370:N$391)+SUMIF($B$396:$B$417,$B451,N$396:N$417)+SUMIF($B$421:$B$424,$B451,N$421:N$424)</f>
        <v>0</v>
      </c>
      <c r="O451" s="65">
        <f t="shared" ref="O451:O454" si="290">SUMIF($B$370:$B$391,$B451,O$370:O$391)+SUMIF($B$396:$B$417,$B451,O$396:O$417)+SUMIF($B$423:$B$424,$B451,O$423:O$424)</f>
        <v>0</v>
      </c>
      <c r="P451" s="157">
        <f>O451</f>
        <v>0</v>
      </c>
      <c r="Q451" s="157">
        <f t="shared" ref="Q451:R451" si="291">SUMIF($B$370:$B$391,$B451,Q$370:Q$391)+SUMIF($B$396:$B$417,$B451,Q$396:Q$417)+SUMIF($B$421:$B$424,$B451,Q$421:Q$424)</f>
        <v>0</v>
      </c>
      <c r="R451" s="275">
        <f t="shared" si="291"/>
        <v>0</v>
      </c>
      <c r="S451" s="54">
        <f t="shared" ref="S451:S454" si="292">R451-Q451</f>
        <v>0</v>
      </c>
    </row>
    <row r="452" spans="1:28" ht="15.75" customHeight="1" x14ac:dyDescent="0.25">
      <c r="A452" s="51" t="s">
        <v>1235</v>
      </c>
      <c r="B452" s="51" t="s">
        <v>1292</v>
      </c>
      <c r="C452" s="400"/>
      <c r="D452" s="157">
        <f t="shared" si="285"/>
        <v>0</v>
      </c>
      <c r="E452" s="160" t="e">
        <f>D452*#REF!</f>
        <v>#REF!</v>
      </c>
      <c r="F452" s="160" t="e">
        <f>D452*#REF!</f>
        <v>#REF!</v>
      </c>
      <c r="G452" s="160" t="e">
        <f>(D452*#REF!)*#REF!</f>
        <v>#REF!</v>
      </c>
      <c r="H452" s="296">
        <f t="shared" si="286"/>
        <v>0</v>
      </c>
      <c r="I452" s="147" t="e">
        <f t="shared" si="287"/>
        <v>#REF!</v>
      </c>
      <c r="J452" s="97"/>
      <c r="K452" s="400"/>
      <c r="L452" s="65">
        <f t="shared" ref="L452:M452" si="293">SUMIF($B$370:$B$391,$B452,L$370:L$391)+SUMIF($B$396:$B$417,$B452,L$396:L$417)+SUMIF($B$423:$B$424,$B452,L$423:L$424)</f>
        <v>0</v>
      </c>
      <c r="M452" s="65">
        <f t="shared" si="293"/>
        <v>0</v>
      </c>
      <c r="N452" s="65">
        <f t="shared" si="289"/>
        <v>1061066</v>
      </c>
      <c r="O452" s="65">
        <f t="shared" si="290"/>
        <v>0</v>
      </c>
      <c r="P452" s="408">
        <f>N452</f>
        <v>1061066</v>
      </c>
      <c r="Q452" s="157">
        <f t="shared" ref="Q452:R452" si="294">SUMIF($B$370:$B$391,$B452,Q$370:Q$391)+SUMIF($B$396:$B$417,$B452,Q$396:Q$417)+SUMIF($B$421:$B$424,$B452,Q$421:Q$424)</f>
        <v>0</v>
      </c>
      <c r="R452" s="275">
        <f t="shared" si="294"/>
        <v>0</v>
      </c>
      <c r="S452" s="54">
        <f t="shared" si="292"/>
        <v>0</v>
      </c>
    </row>
    <row r="453" spans="1:28" ht="15.75" customHeight="1" x14ac:dyDescent="0.25">
      <c r="A453" s="51" t="s">
        <v>1235</v>
      </c>
      <c r="B453" s="51" t="s">
        <v>1265</v>
      </c>
      <c r="C453" s="400"/>
      <c r="D453" s="157">
        <f t="shared" si="285"/>
        <v>0</v>
      </c>
      <c r="E453" s="160" t="e">
        <f>D453*#REF!</f>
        <v>#REF!</v>
      </c>
      <c r="F453" s="160" t="e">
        <f>D453*#REF!</f>
        <v>#REF!</v>
      </c>
      <c r="G453" s="160" t="e">
        <f>(D453*#REF!)*#REF!</f>
        <v>#REF!</v>
      </c>
      <c r="H453" s="296">
        <f t="shared" si="286"/>
        <v>0</v>
      </c>
      <c r="I453" s="147" t="e">
        <f t="shared" si="287"/>
        <v>#REF!</v>
      </c>
      <c r="J453" s="97"/>
      <c r="K453" s="400"/>
      <c r="L453" s="65">
        <f t="shared" ref="L453:M453" si="295">SUMIF($B$370:$B$391,$B453,L$370:L$391)+SUMIF($B$396:$B$417,$B453,L$396:L$417)+SUMIF($B$423:$B$424,$B453,L$423:L$424)</f>
        <v>0</v>
      </c>
      <c r="M453" s="65">
        <f t="shared" si="295"/>
        <v>0</v>
      </c>
      <c r="N453" s="65">
        <f t="shared" si="289"/>
        <v>0</v>
      </c>
      <c r="O453" s="65">
        <f t="shared" si="290"/>
        <v>0</v>
      </c>
      <c r="P453" s="157">
        <v>0</v>
      </c>
      <c r="Q453" s="157">
        <f t="shared" ref="Q453:R453" si="296">SUMIF($B$370:$B$391,$B453,Q$370:Q$391)+SUMIF($B$396:$B$417,$B453,Q$396:Q$417)+SUMIF($B$421:$B$424,$B453,Q$421:Q$424)</f>
        <v>0</v>
      </c>
      <c r="R453" s="275">
        <f t="shared" si="296"/>
        <v>0</v>
      </c>
      <c r="S453" s="54">
        <f t="shared" si="292"/>
        <v>0</v>
      </c>
    </row>
    <row r="454" spans="1:28" ht="15.75" customHeight="1" x14ac:dyDescent="0.25">
      <c r="A454" s="51" t="s">
        <v>1235</v>
      </c>
      <c r="B454" s="51" t="str">
        <f>B423</f>
        <v>IMPROVEMENTS</v>
      </c>
      <c r="C454" s="400"/>
      <c r="D454" s="157">
        <f t="shared" si="285"/>
        <v>0</v>
      </c>
      <c r="E454" s="160" t="e">
        <f>D454*#REF!</f>
        <v>#REF!</v>
      </c>
      <c r="F454" s="160" t="e">
        <f>D454*#REF!</f>
        <v>#REF!</v>
      </c>
      <c r="G454" s="160" t="e">
        <f>(D454*#REF!)*#REF!</f>
        <v>#REF!</v>
      </c>
      <c r="H454" s="296">
        <f t="shared" si="286"/>
        <v>0</v>
      </c>
      <c r="I454" s="147" t="e">
        <f t="shared" si="287"/>
        <v>#REF!</v>
      </c>
      <c r="J454" s="97"/>
      <c r="K454" s="400"/>
      <c r="L454" s="65">
        <f t="shared" ref="L454:M454" si="297">SUMIF($B$370:$B$391,$B454,L$370:L$391)+SUMIF($B$396:$B$417,$B454,L$396:L$417)+SUMIF($B$423:$B$424,$B454,L$423:L$424)</f>
        <v>0</v>
      </c>
      <c r="M454" s="65">
        <f t="shared" si="297"/>
        <v>0</v>
      </c>
      <c r="N454" s="65">
        <f t="shared" si="289"/>
        <v>1941604</v>
      </c>
      <c r="O454" s="65">
        <f t="shared" si="290"/>
        <v>1239.1099999999999</v>
      </c>
      <c r="P454" s="408">
        <f>N454</f>
        <v>1941604</v>
      </c>
      <c r="Q454" s="157">
        <f t="shared" ref="Q454:R454" si="298">SUMIF($B$370:$B$391,$B454,Q$370:Q$391)+SUMIF($B$396:$B$417,$B454,Q$396:Q$417)+SUMIF($B$421:$B$424,$B454,Q$421:Q$424)</f>
        <v>4000000</v>
      </c>
      <c r="R454" s="275">
        <f t="shared" si="298"/>
        <v>4000000</v>
      </c>
      <c r="S454" s="54">
        <f t="shared" si="292"/>
        <v>0</v>
      </c>
    </row>
    <row r="455" spans="1:28" ht="15.75" customHeight="1" x14ac:dyDescent="0.25">
      <c r="A455" s="74" t="s">
        <v>1296</v>
      </c>
      <c r="B455" s="75"/>
      <c r="C455" s="299"/>
      <c r="D455" s="189">
        <f t="shared" ref="D455:G455" si="299">SUM(D451:D454)</f>
        <v>0</v>
      </c>
      <c r="E455" s="189" t="e">
        <f t="shared" si="299"/>
        <v>#REF!</v>
      </c>
      <c r="F455" s="189" t="e">
        <f t="shared" si="299"/>
        <v>#REF!</v>
      </c>
      <c r="G455" s="189" t="e">
        <f t="shared" si="299"/>
        <v>#REF!</v>
      </c>
      <c r="H455" s="300">
        <f t="shared" si="286"/>
        <v>0</v>
      </c>
      <c r="I455" s="189" t="e">
        <f t="shared" si="287"/>
        <v>#REF!</v>
      </c>
      <c r="J455" s="189">
        <f>SUM(J451:J454)</f>
        <v>0</v>
      </c>
      <c r="K455" s="299"/>
      <c r="L455" s="77">
        <f t="shared" ref="L455:S455" si="300">SUM(L451:L454)</f>
        <v>146003</v>
      </c>
      <c r="M455" s="77">
        <f t="shared" si="300"/>
        <v>60037.990000000005</v>
      </c>
      <c r="N455" s="77">
        <f t="shared" si="300"/>
        <v>3002670</v>
      </c>
      <c r="O455" s="77">
        <f t="shared" si="300"/>
        <v>1239.1099999999999</v>
      </c>
      <c r="P455" s="189">
        <f t="shared" si="300"/>
        <v>3002670</v>
      </c>
      <c r="Q455" s="189">
        <f t="shared" si="300"/>
        <v>4000000</v>
      </c>
      <c r="R455" s="77">
        <f t="shared" si="300"/>
        <v>4000000</v>
      </c>
      <c r="S455" s="77">
        <f t="shared" si="300"/>
        <v>0</v>
      </c>
    </row>
    <row r="456" spans="1:28" ht="15.75" customHeight="1" x14ac:dyDescent="0.2">
      <c r="A456" s="92"/>
      <c r="B456" s="92"/>
      <c r="C456" s="409"/>
      <c r="D456" s="89">
        <f t="shared" ref="D456:G456" si="301">(D455+D449)-D418-D392-D425</f>
        <v>0</v>
      </c>
      <c r="E456" s="89" t="e">
        <f t="shared" si="301"/>
        <v>#REF!</v>
      </c>
      <c r="F456" s="89" t="e">
        <f t="shared" si="301"/>
        <v>#REF!</v>
      </c>
      <c r="G456" s="89" t="e">
        <f t="shared" si="301"/>
        <v>#REF!</v>
      </c>
      <c r="H456" s="92"/>
      <c r="I456" s="92"/>
      <c r="J456" s="92"/>
      <c r="K456" s="409"/>
      <c r="L456" s="92"/>
      <c r="M456" s="92"/>
      <c r="N456" s="92"/>
      <c r="O456" s="92"/>
      <c r="P456" s="92"/>
      <c r="Q456" s="92"/>
      <c r="R456" s="92"/>
      <c r="V456" s="92"/>
      <c r="W456" s="92"/>
      <c r="X456" s="92"/>
      <c r="Y456" s="92"/>
      <c r="Z456" s="92"/>
      <c r="AA456" s="92"/>
      <c r="AB456" s="92"/>
    </row>
    <row r="457" spans="1:28" ht="15.75" customHeight="1" x14ac:dyDescent="0.25">
      <c r="A457" s="74" t="s">
        <v>1297</v>
      </c>
      <c r="B457" s="75"/>
      <c r="C457" s="299"/>
      <c r="D457" s="189">
        <f t="shared" ref="D457:G457" si="302">D455+D449</f>
        <v>361217</v>
      </c>
      <c r="E457" s="189" t="e">
        <f t="shared" si="302"/>
        <v>#REF!</v>
      </c>
      <c r="F457" s="189" t="e">
        <f t="shared" si="302"/>
        <v>#REF!</v>
      </c>
      <c r="G457" s="189" t="e">
        <f t="shared" si="302"/>
        <v>#REF!</v>
      </c>
      <c r="H457" s="300">
        <f>IFERROR(((Q457-G457)/G457),0)</f>
        <v>0</v>
      </c>
      <c r="I457" s="189" t="e">
        <f t="shared" ref="I457:J457" si="303">I455+I449</f>
        <v>#REF!</v>
      </c>
      <c r="J457" s="189">
        <f t="shared" si="303"/>
        <v>-18900</v>
      </c>
      <c r="K457" s="299"/>
      <c r="L457" s="77">
        <f t="shared" ref="L457:S457" si="304">L455+L449</f>
        <v>736769</v>
      </c>
      <c r="M457" s="77">
        <f t="shared" si="304"/>
        <v>758330.85</v>
      </c>
      <c r="N457" s="77">
        <f t="shared" si="304"/>
        <v>4011537</v>
      </c>
      <c r="O457" s="77">
        <f t="shared" si="304"/>
        <v>430504.53</v>
      </c>
      <c r="P457" s="189">
        <f t="shared" si="304"/>
        <v>3546197.2796666669</v>
      </c>
      <c r="Q457" s="189">
        <f t="shared" si="304"/>
        <v>5040800</v>
      </c>
      <c r="R457" s="77">
        <f t="shared" si="304"/>
        <v>5021900</v>
      </c>
      <c r="S457" s="77">
        <f t="shared" si="304"/>
        <v>-18900</v>
      </c>
    </row>
    <row r="458" spans="1:28" ht="15.75" customHeight="1" x14ac:dyDescent="0.2">
      <c r="C458" s="287"/>
      <c r="K458" s="287"/>
    </row>
    <row r="459" spans="1:28" ht="15.75" customHeight="1" x14ac:dyDescent="0.2">
      <c r="A459" s="69" t="s">
        <v>184</v>
      </c>
      <c r="C459" s="287"/>
      <c r="K459" s="287"/>
    </row>
    <row r="460" spans="1:28" ht="15.75" customHeight="1" x14ac:dyDescent="0.25">
      <c r="A460" s="51" t="s">
        <v>1298</v>
      </c>
      <c r="B460" s="51" t="s">
        <v>1299</v>
      </c>
      <c r="C460" s="307"/>
      <c r="D460" s="147">
        <v>-7000</v>
      </c>
      <c r="E460" s="161" t="e">
        <f>D460*#REF!</f>
        <v>#REF!</v>
      </c>
      <c r="F460" s="161" t="e">
        <f>D460*#REF!</f>
        <v>#REF!</v>
      </c>
      <c r="G460" s="161" t="e">
        <f>(D460*#REF!)*#REF!</f>
        <v>#REF!</v>
      </c>
      <c r="H460" s="296">
        <f t="shared" ref="H460:H469" si="305">IFERROR(((Q460-G460)/G460),0)</f>
        <v>0</v>
      </c>
      <c r="I460" s="147" t="e">
        <f t="shared" ref="I460:I469" si="306">Q460-G460</f>
        <v>#REF!</v>
      </c>
      <c r="J460" s="97"/>
      <c r="K460" s="307"/>
      <c r="L460" s="54">
        <v>-30305</v>
      </c>
      <c r="M460" s="54">
        <v>-606792</v>
      </c>
      <c r="N460" s="54">
        <v>-28000</v>
      </c>
      <c r="O460" s="20">
        <f>VLOOKUP(A460,TB!A:F,3)</f>
        <v>-28229.96</v>
      </c>
      <c r="P460" s="147">
        <f>O460</f>
        <v>-28229.96</v>
      </c>
      <c r="Q460" s="147">
        <v>-30000</v>
      </c>
      <c r="R460" s="54">
        <f>VLOOKUP(A460,TB!A:F,6)</f>
        <v>-30000</v>
      </c>
      <c r="S460" s="54">
        <f t="shared" ref="S460:S468" si="307">R460-Q460</f>
        <v>0</v>
      </c>
    </row>
    <row r="461" spans="1:28" ht="15.75" customHeight="1" x14ac:dyDescent="0.25">
      <c r="A461" s="51" t="s">
        <v>1300</v>
      </c>
      <c r="B461" s="51" t="s">
        <v>1299</v>
      </c>
      <c r="C461" s="287"/>
      <c r="D461" s="97">
        <v>0</v>
      </c>
      <c r="E461" s="160">
        <v>0</v>
      </c>
      <c r="F461" s="160">
        <v>0</v>
      </c>
      <c r="G461" s="160">
        <v>0</v>
      </c>
      <c r="H461" s="296">
        <f t="shared" si="305"/>
        <v>0</v>
      </c>
      <c r="I461" s="147">
        <f t="shared" si="306"/>
        <v>-25000</v>
      </c>
      <c r="J461" s="97"/>
      <c r="K461" s="287"/>
      <c r="L461" s="51">
        <v>0</v>
      </c>
      <c r="M461" s="51">
        <v>0</v>
      </c>
      <c r="N461" s="54">
        <v>-25000</v>
      </c>
      <c r="O461" s="20">
        <f>VLOOKUP(A461,TB!A:F,3)</f>
        <v>0</v>
      </c>
      <c r="P461" s="308">
        <f t="shared" ref="P461:P468" si="308">N461</f>
        <v>-25000</v>
      </c>
      <c r="Q461" s="147">
        <v>-25000</v>
      </c>
      <c r="R461" s="54">
        <f>P461</f>
        <v>-25000</v>
      </c>
      <c r="S461" s="54">
        <f t="shared" si="307"/>
        <v>0</v>
      </c>
    </row>
    <row r="462" spans="1:28" ht="15.75" customHeight="1" x14ac:dyDescent="0.25">
      <c r="A462" s="51" t="s">
        <v>1301</v>
      </c>
      <c r="B462" s="51" t="s">
        <v>1302</v>
      </c>
      <c r="C462" s="287"/>
      <c r="D462" s="97">
        <v>-20</v>
      </c>
      <c r="E462" s="160">
        <v>0</v>
      </c>
      <c r="F462" s="160">
        <v>0</v>
      </c>
      <c r="G462" s="160">
        <v>0</v>
      </c>
      <c r="H462" s="296">
        <f t="shared" si="305"/>
        <v>0</v>
      </c>
      <c r="I462" s="147">
        <f t="shared" si="306"/>
        <v>-20000</v>
      </c>
      <c r="J462" s="97"/>
      <c r="K462" s="287"/>
      <c r="L462" s="51">
        <v>0</v>
      </c>
      <c r="M462" s="51">
        <v>0</v>
      </c>
      <c r="N462" s="54">
        <v>-30000</v>
      </c>
      <c r="O462" s="20">
        <f>VLOOKUP(A462,TB!A:F,3)</f>
        <v>0</v>
      </c>
      <c r="P462" s="308">
        <f t="shared" si="308"/>
        <v>-30000</v>
      </c>
      <c r="Q462" s="147">
        <v>-20000</v>
      </c>
      <c r="R462" s="54">
        <f>VLOOKUP(A462,TB!A:F,6)</f>
        <v>-20000</v>
      </c>
      <c r="S462" s="54">
        <f t="shared" si="307"/>
        <v>0</v>
      </c>
    </row>
    <row r="463" spans="1:28" ht="15.75" customHeight="1" x14ac:dyDescent="0.25">
      <c r="A463" s="51" t="s">
        <v>1303</v>
      </c>
      <c r="B463" s="51" t="s">
        <v>1304</v>
      </c>
      <c r="C463" s="307"/>
      <c r="D463" s="147">
        <v>-5660</v>
      </c>
      <c r="E463" s="160">
        <v>0</v>
      </c>
      <c r="F463" s="160">
        <v>0</v>
      </c>
      <c r="G463" s="160">
        <v>0</v>
      </c>
      <c r="H463" s="296">
        <f t="shared" si="305"/>
        <v>0</v>
      </c>
      <c r="I463" s="147">
        <f t="shared" si="306"/>
        <v>-10000</v>
      </c>
      <c r="J463" s="97"/>
      <c r="K463" s="307"/>
      <c r="L463" s="54">
        <v>-10398</v>
      </c>
      <c r="M463" s="54">
        <v>-9705.7000000000007</v>
      </c>
      <c r="N463" s="54">
        <v>-8000</v>
      </c>
      <c r="O463" s="20">
        <f>VLOOKUP(A463,TB!A:F,3)</f>
        <v>-6916.9</v>
      </c>
      <c r="P463" s="147">
        <f t="shared" si="308"/>
        <v>-8000</v>
      </c>
      <c r="Q463" s="147">
        <v>-10000</v>
      </c>
      <c r="R463" s="54">
        <f>VLOOKUP(A463,TB!A:F,6)</f>
        <v>-10000</v>
      </c>
      <c r="S463" s="54">
        <f t="shared" si="307"/>
        <v>0</v>
      </c>
    </row>
    <row r="464" spans="1:28" ht="15.75" customHeight="1" x14ac:dyDescent="0.25">
      <c r="A464" s="51" t="s">
        <v>1305</v>
      </c>
      <c r="B464" s="51" t="s">
        <v>1306</v>
      </c>
      <c r="C464" s="307"/>
      <c r="D464" s="147">
        <v>-3950</v>
      </c>
      <c r="E464" s="160">
        <v>0</v>
      </c>
      <c r="F464" s="160">
        <v>0</v>
      </c>
      <c r="G464" s="160">
        <v>0</v>
      </c>
      <c r="H464" s="296">
        <f t="shared" si="305"/>
        <v>0</v>
      </c>
      <c r="I464" s="147">
        <f t="shared" si="306"/>
        <v>-12000</v>
      </c>
      <c r="J464" s="97"/>
      <c r="K464" s="307"/>
      <c r="L464" s="54">
        <v>-12650</v>
      </c>
      <c r="M464" s="54">
        <v>-14600</v>
      </c>
      <c r="N464" s="54">
        <v>-12000</v>
      </c>
      <c r="O464" s="20">
        <f>VLOOKUP(A464,TB!A:F,3)</f>
        <v>-7800</v>
      </c>
      <c r="P464" s="147">
        <f t="shared" si="308"/>
        <v>-12000</v>
      </c>
      <c r="Q464" s="147">
        <v>-12000</v>
      </c>
      <c r="R464" s="54">
        <f>VLOOKUP(A464,TB!A:F,6)</f>
        <v>-12000</v>
      </c>
      <c r="S464" s="54">
        <f t="shared" si="307"/>
        <v>0</v>
      </c>
    </row>
    <row r="465" spans="1:27" ht="15.75" customHeight="1" x14ac:dyDescent="0.25">
      <c r="A465" s="51" t="s">
        <v>1307</v>
      </c>
      <c r="B465" s="51" t="s">
        <v>1308</v>
      </c>
      <c r="C465" s="287"/>
      <c r="D465" s="97">
        <v>0</v>
      </c>
      <c r="E465" s="160">
        <v>0</v>
      </c>
      <c r="F465" s="160">
        <v>0</v>
      </c>
      <c r="G465" s="160">
        <v>0</v>
      </c>
      <c r="H465" s="296">
        <f t="shared" si="305"/>
        <v>0</v>
      </c>
      <c r="I465" s="147">
        <f t="shared" si="306"/>
        <v>-22000</v>
      </c>
      <c r="J465" s="97"/>
      <c r="K465" s="287"/>
      <c r="L465" s="54">
        <v>-23925</v>
      </c>
      <c r="M465" s="54">
        <v>-22150</v>
      </c>
      <c r="N465" s="54">
        <v>-22000</v>
      </c>
      <c r="O465" s="20">
        <f>VLOOKUP(A465,TB!A:F,3)</f>
        <v>-16100</v>
      </c>
      <c r="P465" s="147">
        <f t="shared" si="308"/>
        <v>-22000</v>
      </c>
      <c r="Q465" s="147">
        <v>-22000</v>
      </c>
      <c r="R465" s="54">
        <f>VLOOKUP(A465,TB!A:F,6)</f>
        <v>-22000</v>
      </c>
      <c r="S465" s="54">
        <f t="shared" si="307"/>
        <v>0</v>
      </c>
    </row>
    <row r="466" spans="1:27" ht="15.75" customHeight="1" x14ac:dyDescent="0.25">
      <c r="A466" s="51" t="s">
        <v>1309</v>
      </c>
      <c r="B466" s="51" t="s">
        <v>1310</v>
      </c>
      <c r="C466" s="307"/>
      <c r="D466" s="147">
        <v>-85500</v>
      </c>
      <c r="E466" s="160">
        <v>0</v>
      </c>
      <c r="F466" s="160">
        <v>0</v>
      </c>
      <c r="G466" s="160">
        <v>0</v>
      </c>
      <c r="H466" s="296">
        <f t="shared" si="305"/>
        <v>0</v>
      </c>
      <c r="I466" s="147">
        <f t="shared" si="306"/>
        <v>0</v>
      </c>
      <c r="J466" s="97"/>
      <c r="K466" s="307"/>
      <c r="L466" s="54">
        <v>-132476</v>
      </c>
      <c r="M466" s="54">
        <v>-184012.24</v>
      </c>
      <c r="N466" s="51">
        <v>0</v>
      </c>
      <c r="O466" s="20">
        <f>VLOOKUP(A466,TB!A:F,3)</f>
        <v>0</v>
      </c>
      <c r="P466" s="147">
        <f t="shared" si="308"/>
        <v>0</v>
      </c>
      <c r="Q466" s="97">
        <v>0</v>
      </c>
      <c r="R466" s="54">
        <f>VLOOKUP(A466,TB!A:F,6)</f>
        <v>0</v>
      </c>
      <c r="S466" s="54">
        <f t="shared" si="307"/>
        <v>0</v>
      </c>
    </row>
    <row r="467" spans="1:27" ht="15.75" customHeight="1" x14ac:dyDescent="0.25">
      <c r="A467" s="83" t="s">
        <v>1311</v>
      </c>
      <c r="B467" s="83" t="s">
        <v>1312</v>
      </c>
      <c r="C467" s="287"/>
      <c r="D467" s="97">
        <v>0</v>
      </c>
      <c r="E467" s="160">
        <v>0</v>
      </c>
      <c r="F467" s="160">
        <v>0</v>
      </c>
      <c r="G467" s="160">
        <v>0</v>
      </c>
      <c r="H467" s="296">
        <f t="shared" si="305"/>
        <v>0</v>
      </c>
      <c r="I467" s="147">
        <f t="shared" si="306"/>
        <v>-920000</v>
      </c>
      <c r="J467" s="97"/>
      <c r="K467" s="287"/>
      <c r="L467" s="83">
        <v>0</v>
      </c>
      <c r="M467" s="83">
        <v>0</v>
      </c>
      <c r="N467" s="81">
        <v>-798775</v>
      </c>
      <c r="O467" s="20">
        <f>VLOOKUP(A467,TB!A:F,3)</f>
        <v>0</v>
      </c>
      <c r="P467" s="308">
        <f t="shared" si="308"/>
        <v>-798775</v>
      </c>
      <c r="Q467" s="147">
        <v>-920000</v>
      </c>
      <c r="R467" s="54">
        <f>VLOOKUP(A467,TB!A:F,6)</f>
        <v>-920000</v>
      </c>
      <c r="S467" s="54">
        <f t="shared" si="307"/>
        <v>0</v>
      </c>
    </row>
    <row r="468" spans="1:27" ht="15.75" customHeight="1" x14ac:dyDescent="0.25">
      <c r="A468" s="83" t="s">
        <v>1313</v>
      </c>
      <c r="B468" s="83" t="s">
        <v>1310</v>
      </c>
      <c r="C468" s="287"/>
      <c r="D468" s="97">
        <v>0</v>
      </c>
      <c r="E468" s="160">
        <v>0</v>
      </c>
      <c r="F468" s="160">
        <v>0</v>
      </c>
      <c r="G468" s="160">
        <v>0</v>
      </c>
      <c r="H468" s="296">
        <f t="shared" si="305"/>
        <v>0</v>
      </c>
      <c r="I468" s="147">
        <f t="shared" si="306"/>
        <v>-2760000</v>
      </c>
      <c r="J468" s="97"/>
      <c r="K468" s="287"/>
      <c r="L468" s="83">
        <v>0</v>
      </c>
      <c r="M468" s="83">
        <v>0</v>
      </c>
      <c r="N468" s="81">
        <v>-272025</v>
      </c>
      <c r="O468" s="20">
        <f>VLOOKUP(A468,TB!A:F,3)</f>
        <v>0</v>
      </c>
      <c r="P468" s="308">
        <f t="shared" si="308"/>
        <v>-272025</v>
      </c>
      <c r="Q468" s="147">
        <v>-2760000</v>
      </c>
      <c r="R468" s="54">
        <f>VLOOKUP(A468,TB!A:F,6)</f>
        <v>-2760000</v>
      </c>
      <c r="S468" s="54">
        <f t="shared" si="307"/>
        <v>0</v>
      </c>
    </row>
    <row r="469" spans="1:27" ht="15.75" customHeight="1" x14ac:dyDescent="0.2">
      <c r="A469" s="239" t="s">
        <v>189</v>
      </c>
      <c r="B469" s="75"/>
      <c r="C469" s="299"/>
      <c r="D469" s="189">
        <f t="shared" ref="D469:G469" si="309">SUM(D460:D468)</f>
        <v>-102130</v>
      </c>
      <c r="E469" s="189" t="e">
        <f t="shared" si="309"/>
        <v>#REF!</v>
      </c>
      <c r="F469" s="189" t="e">
        <f t="shared" si="309"/>
        <v>#REF!</v>
      </c>
      <c r="G469" s="189" t="e">
        <f t="shared" si="309"/>
        <v>#REF!</v>
      </c>
      <c r="H469" s="300">
        <f t="shared" si="305"/>
        <v>0</v>
      </c>
      <c r="I469" s="189" t="e">
        <f t="shared" si="306"/>
        <v>#REF!</v>
      </c>
      <c r="J469" s="189">
        <f>SUM(J460:J468)</f>
        <v>0</v>
      </c>
      <c r="K469" s="299"/>
      <c r="L469" s="77">
        <f t="shared" ref="L469:S469" si="310">SUM(L460:L468)</f>
        <v>-209754</v>
      </c>
      <c r="M469" s="77">
        <f t="shared" si="310"/>
        <v>-837259.94</v>
      </c>
      <c r="N469" s="77">
        <f t="shared" si="310"/>
        <v>-1195800</v>
      </c>
      <c r="O469" s="77">
        <f t="shared" si="310"/>
        <v>-59046.86</v>
      </c>
      <c r="P469" s="189">
        <f t="shared" si="310"/>
        <v>-1196029.96</v>
      </c>
      <c r="Q469" s="189">
        <f t="shared" si="310"/>
        <v>-3799000</v>
      </c>
      <c r="R469" s="77">
        <f t="shared" si="310"/>
        <v>-3799000</v>
      </c>
      <c r="S469" s="77">
        <f t="shared" si="310"/>
        <v>0</v>
      </c>
    </row>
    <row r="470" spans="1:27" ht="15.75" customHeight="1" x14ac:dyDescent="0.2">
      <c r="C470" s="287"/>
      <c r="K470" s="287"/>
    </row>
    <row r="471" spans="1:27" ht="15.75" customHeight="1" x14ac:dyDescent="0.2">
      <c r="A471" s="69" t="s">
        <v>190</v>
      </c>
      <c r="B471" s="51"/>
      <c r="C471" s="309"/>
      <c r="D471" s="193">
        <f t="shared" ref="D471:G471" si="311">D457+D469</f>
        <v>259087</v>
      </c>
      <c r="E471" s="193" t="e">
        <f t="shared" si="311"/>
        <v>#REF!</v>
      </c>
      <c r="F471" s="193" t="e">
        <f t="shared" si="311"/>
        <v>#REF!</v>
      </c>
      <c r="G471" s="193" t="e">
        <f t="shared" si="311"/>
        <v>#REF!</v>
      </c>
      <c r="H471" s="310">
        <f>IFERROR(((Q471-G471)/G471),0)</f>
        <v>0</v>
      </c>
      <c r="I471" s="193" t="e">
        <f>Q471-G471</f>
        <v>#REF!</v>
      </c>
      <c r="J471" s="193">
        <f>J469+J462</f>
        <v>0</v>
      </c>
      <c r="K471" s="309"/>
      <c r="L471" s="245">
        <f t="shared" ref="L471:S471" si="312">L457+L469</f>
        <v>527015</v>
      </c>
      <c r="M471" s="245">
        <f t="shared" si="312"/>
        <v>-78929.089999999967</v>
      </c>
      <c r="N471" s="245">
        <f t="shared" si="312"/>
        <v>2815737</v>
      </c>
      <c r="O471" s="245">
        <f t="shared" si="312"/>
        <v>371457.67000000004</v>
      </c>
      <c r="P471" s="193">
        <f t="shared" si="312"/>
        <v>2350167.3196666669</v>
      </c>
      <c r="Q471" s="193">
        <f t="shared" si="312"/>
        <v>1241800</v>
      </c>
      <c r="R471" s="245">
        <f t="shared" si="312"/>
        <v>1222900</v>
      </c>
      <c r="S471" s="245">
        <f t="shared" si="312"/>
        <v>-18900</v>
      </c>
      <c r="V471" s="56"/>
      <c r="W471" s="56"/>
      <c r="X471" s="56"/>
      <c r="Y471" s="56"/>
      <c r="Z471" s="56"/>
      <c r="AA471" s="56"/>
    </row>
    <row r="472" spans="1:27" ht="15.75" customHeight="1" x14ac:dyDescent="0.2">
      <c r="C472" s="287"/>
      <c r="K472" s="287"/>
    </row>
    <row r="473" spans="1:27" ht="15.75" customHeight="1" x14ac:dyDescent="0.2">
      <c r="C473" s="287"/>
      <c r="K473" s="287"/>
    </row>
    <row r="474" spans="1:27" ht="15.75" customHeight="1" x14ac:dyDescent="0.2">
      <c r="C474" s="288"/>
      <c r="K474" s="288"/>
      <c r="L474" s="61" t="e">
        <f t="shared" ref="L474:R474" si="313">#REF!</f>
        <v>#REF!</v>
      </c>
      <c r="M474" s="61" t="e">
        <f t="shared" si="313"/>
        <v>#REF!</v>
      </c>
      <c r="N474" s="61" t="e">
        <f t="shared" si="313"/>
        <v>#REF!</v>
      </c>
      <c r="O474" s="61" t="e">
        <f t="shared" si="313"/>
        <v>#REF!</v>
      </c>
      <c r="P474" s="61" t="e">
        <f t="shared" si="313"/>
        <v>#REF!</v>
      </c>
      <c r="Q474" s="61" t="e">
        <f t="shared" si="313"/>
        <v>#REF!</v>
      </c>
      <c r="R474" s="61" t="e">
        <f t="shared" si="313"/>
        <v>#REF!</v>
      </c>
      <c r="S474" s="57"/>
    </row>
    <row r="475" spans="1:27" ht="15.75" customHeight="1" x14ac:dyDescent="0.2">
      <c r="C475" s="289"/>
      <c r="K475" s="289"/>
      <c r="L475" s="63">
        <f t="shared" ref="L475:R475" si="314">L471</f>
        <v>527015</v>
      </c>
      <c r="M475" s="63">
        <f t="shared" si="314"/>
        <v>-78929.089999999967</v>
      </c>
      <c r="N475" s="63">
        <f t="shared" si="314"/>
        <v>2815737</v>
      </c>
      <c r="O475" s="63">
        <f t="shared" si="314"/>
        <v>371457.67000000004</v>
      </c>
      <c r="P475" s="63">
        <f t="shared" si="314"/>
        <v>2350167.3196666669</v>
      </c>
      <c r="Q475" s="63">
        <f t="shared" si="314"/>
        <v>1241800</v>
      </c>
      <c r="R475" s="63">
        <f t="shared" si="314"/>
        <v>1222900</v>
      </c>
      <c r="S475" s="51"/>
    </row>
    <row r="476" spans="1:27" ht="15.75" customHeight="1" x14ac:dyDescent="0.2">
      <c r="C476" s="287"/>
      <c r="K476" s="287"/>
    </row>
    <row r="477" spans="1:27" ht="15.75" customHeight="1" x14ac:dyDescent="0.2">
      <c r="C477" s="287"/>
      <c r="K477" s="287"/>
    </row>
    <row r="478" spans="1:27" ht="15.75" customHeight="1" x14ac:dyDescent="0.2">
      <c r="C478" s="287"/>
      <c r="K478" s="287"/>
    </row>
    <row r="479" spans="1:27" ht="15.75" customHeight="1" x14ac:dyDescent="0.2">
      <c r="C479" s="287"/>
      <c r="K479" s="287"/>
    </row>
    <row r="480" spans="1:27" ht="15.75" customHeight="1" x14ac:dyDescent="0.2">
      <c r="C480" s="287"/>
      <c r="K480" s="287"/>
    </row>
    <row r="481" spans="3:11" ht="15.75" customHeight="1" x14ac:dyDescent="0.2">
      <c r="C481" s="287"/>
      <c r="K481" s="287"/>
    </row>
    <row r="482" spans="3:11" ht="15.75" customHeight="1" x14ac:dyDescent="0.2">
      <c r="C482" s="287"/>
      <c r="K482" s="287"/>
    </row>
    <row r="483" spans="3:11" ht="15.75" customHeight="1" x14ac:dyDescent="0.2">
      <c r="C483" s="287"/>
      <c r="K483" s="287"/>
    </row>
    <row r="484" spans="3:11" ht="15.75" customHeight="1" x14ac:dyDescent="0.2">
      <c r="C484" s="287"/>
      <c r="K484" s="287"/>
    </row>
    <row r="485" spans="3:11" ht="15.75" customHeight="1" x14ac:dyDescent="0.2">
      <c r="C485" s="287"/>
      <c r="K485" s="287"/>
    </row>
    <row r="486" spans="3:11" ht="15.75" customHeight="1" x14ac:dyDescent="0.2">
      <c r="C486" s="287"/>
      <c r="K486" s="287"/>
    </row>
    <row r="487" spans="3:11" ht="15.75" customHeight="1" x14ac:dyDescent="0.2">
      <c r="C487" s="287"/>
      <c r="K487" s="287"/>
    </row>
    <row r="488" spans="3:11" ht="15.75" customHeight="1" x14ac:dyDescent="0.2">
      <c r="C488" s="287"/>
      <c r="K488" s="287"/>
    </row>
    <row r="489" spans="3:11" ht="15.75" customHeight="1" x14ac:dyDescent="0.2">
      <c r="C489" s="287"/>
      <c r="K489" s="287"/>
    </row>
    <row r="490" spans="3:11" ht="15.75" customHeight="1" x14ac:dyDescent="0.2">
      <c r="C490" s="287"/>
      <c r="K490" s="287"/>
    </row>
    <row r="491" spans="3:11" ht="15.75" customHeight="1" x14ac:dyDescent="0.2">
      <c r="C491" s="287"/>
      <c r="K491" s="287"/>
    </row>
    <row r="492" spans="3:11" ht="15.75" customHeight="1" x14ac:dyDescent="0.2">
      <c r="C492" s="287"/>
      <c r="K492" s="287"/>
    </row>
    <row r="493" spans="3:11" ht="15.75" customHeight="1" x14ac:dyDescent="0.2">
      <c r="C493" s="287"/>
      <c r="K493" s="287"/>
    </row>
    <row r="494" spans="3:11" ht="15.75" customHeight="1" x14ac:dyDescent="0.2">
      <c r="C494" s="287"/>
      <c r="K494" s="287"/>
    </row>
    <row r="495" spans="3:11" ht="15.75" customHeight="1" x14ac:dyDescent="0.2">
      <c r="C495" s="287"/>
      <c r="K495" s="287"/>
    </row>
    <row r="496" spans="3:11" ht="15.75" customHeight="1" x14ac:dyDescent="0.2">
      <c r="C496" s="287"/>
      <c r="K496" s="287"/>
    </row>
    <row r="497" spans="3:11" ht="15.75" customHeight="1" x14ac:dyDescent="0.2">
      <c r="C497" s="287"/>
      <c r="K497" s="287"/>
    </row>
    <row r="498" spans="3:11" ht="15.75" customHeight="1" x14ac:dyDescent="0.2">
      <c r="C498" s="287"/>
      <c r="K498" s="287"/>
    </row>
    <row r="499" spans="3:11" ht="15.75" customHeight="1" x14ac:dyDescent="0.2">
      <c r="C499" s="287"/>
      <c r="K499" s="287"/>
    </row>
    <row r="500" spans="3:11" ht="15.75" customHeight="1" x14ac:dyDescent="0.2">
      <c r="C500" s="287"/>
      <c r="K500" s="287"/>
    </row>
    <row r="501" spans="3:11" ht="15.75" customHeight="1" x14ac:dyDescent="0.2">
      <c r="C501" s="287"/>
      <c r="K501" s="287"/>
    </row>
    <row r="502" spans="3:11" ht="15.75" customHeight="1" x14ac:dyDescent="0.2">
      <c r="C502" s="287"/>
      <c r="K502" s="287"/>
    </row>
    <row r="503" spans="3:11" ht="15.75" customHeight="1" x14ac:dyDescent="0.2">
      <c r="C503" s="287"/>
      <c r="K503" s="287"/>
    </row>
    <row r="504" spans="3:11" ht="15.75" customHeight="1" x14ac:dyDescent="0.2">
      <c r="C504" s="287"/>
      <c r="K504" s="287"/>
    </row>
    <row r="505" spans="3:11" ht="15.75" customHeight="1" x14ac:dyDescent="0.2">
      <c r="C505" s="287"/>
      <c r="K505" s="287"/>
    </row>
    <row r="506" spans="3:11" ht="15.75" customHeight="1" x14ac:dyDescent="0.2">
      <c r="C506" s="287"/>
      <c r="K506" s="287"/>
    </row>
    <row r="507" spans="3:11" ht="15.75" customHeight="1" x14ac:dyDescent="0.2">
      <c r="C507" s="287"/>
      <c r="K507" s="287"/>
    </row>
    <row r="508" spans="3:11" ht="15.75" customHeight="1" x14ac:dyDescent="0.2">
      <c r="C508" s="287"/>
      <c r="K508" s="287"/>
    </row>
    <row r="509" spans="3:11" ht="15.75" customHeight="1" x14ac:dyDescent="0.2">
      <c r="C509" s="287"/>
      <c r="K509" s="287"/>
    </row>
    <row r="510" spans="3:11" ht="15.75" customHeight="1" x14ac:dyDescent="0.2">
      <c r="C510" s="287"/>
      <c r="K510" s="287"/>
    </row>
    <row r="511" spans="3:11" ht="15.75" customHeight="1" x14ac:dyDescent="0.2">
      <c r="C511" s="287"/>
      <c r="K511" s="287"/>
    </row>
    <row r="512" spans="3:11" ht="15.75" customHeight="1" x14ac:dyDescent="0.2">
      <c r="C512" s="287"/>
      <c r="K512" s="287"/>
    </row>
    <row r="513" spans="3:11" ht="15.75" customHeight="1" x14ac:dyDescent="0.2">
      <c r="C513" s="287"/>
      <c r="K513" s="287"/>
    </row>
    <row r="514" spans="3:11" ht="15.75" customHeight="1" x14ac:dyDescent="0.2">
      <c r="C514" s="287"/>
      <c r="K514" s="287"/>
    </row>
    <row r="515" spans="3:11" ht="15.75" customHeight="1" x14ac:dyDescent="0.2">
      <c r="C515" s="287"/>
      <c r="K515" s="287"/>
    </row>
    <row r="516" spans="3:11" ht="15.75" customHeight="1" x14ac:dyDescent="0.2">
      <c r="C516" s="287"/>
      <c r="K516" s="287"/>
    </row>
    <row r="517" spans="3:11" ht="15.75" customHeight="1" x14ac:dyDescent="0.2">
      <c r="C517" s="287"/>
      <c r="K517" s="287"/>
    </row>
    <row r="518" spans="3:11" ht="15.75" customHeight="1" x14ac:dyDescent="0.2">
      <c r="C518" s="287"/>
      <c r="K518" s="287"/>
    </row>
    <row r="519" spans="3:11" ht="15.75" customHeight="1" x14ac:dyDescent="0.2">
      <c r="C519" s="287"/>
      <c r="K519" s="287"/>
    </row>
    <row r="520" spans="3:11" ht="15.75" customHeight="1" x14ac:dyDescent="0.2">
      <c r="C520" s="287"/>
      <c r="K520" s="287"/>
    </row>
    <row r="521" spans="3:11" ht="15.75" customHeight="1" x14ac:dyDescent="0.2">
      <c r="C521" s="287"/>
      <c r="K521" s="287"/>
    </row>
    <row r="522" spans="3:11" ht="15.75" customHeight="1" x14ac:dyDescent="0.2">
      <c r="C522" s="287"/>
      <c r="K522" s="287"/>
    </row>
    <row r="523" spans="3:11" ht="15.75" customHeight="1" x14ac:dyDescent="0.2">
      <c r="C523" s="287"/>
      <c r="K523" s="287"/>
    </row>
    <row r="524" spans="3:11" ht="15.75" customHeight="1" x14ac:dyDescent="0.2">
      <c r="C524" s="287"/>
      <c r="K524" s="287"/>
    </row>
    <row r="525" spans="3:11" ht="15.75" customHeight="1" x14ac:dyDescent="0.2">
      <c r="C525" s="287"/>
      <c r="K525" s="287"/>
    </row>
    <row r="526" spans="3:11" ht="15.75" customHeight="1" x14ac:dyDescent="0.2">
      <c r="C526" s="287"/>
      <c r="K526" s="287"/>
    </row>
    <row r="527" spans="3:11" ht="15.75" customHeight="1" x14ac:dyDescent="0.2">
      <c r="C527" s="287"/>
      <c r="K527" s="287"/>
    </row>
    <row r="528" spans="3:11" ht="15.75" customHeight="1" x14ac:dyDescent="0.2">
      <c r="C528" s="287"/>
      <c r="K528" s="287"/>
    </row>
    <row r="529" spans="3:11" ht="15.75" customHeight="1" x14ac:dyDescent="0.2">
      <c r="C529" s="287"/>
      <c r="K529" s="287"/>
    </row>
    <row r="530" spans="3:11" ht="15.75" customHeight="1" x14ac:dyDescent="0.2">
      <c r="C530" s="287"/>
      <c r="K530" s="287"/>
    </row>
    <row r="531" spans="3:11" ht="15.75" customHeight="1" x14ac:dyDescent="0.2">
      <c r="C531" s="287"/>
      <c r="K531" s="287"/>
    </row>
    <row r="532" spans="3:11" ht="15.75" customHeight="1" x14ac:dyDescent="0.2">
      <c r="C532" s="287"/>
      <c r="K532" s="287"/>
    </row>
    <row r="533" spans="3:11" ht="15.75" customHeight="1" x14ac:dyDescent="0.2">
      <c r="C533" s="287"/>
      <c r="K533" s="287"/>
    </row>
    <row r="534" spans="3:11" ht="15.75" customHeight="1" x14ac:dyDescent="0.2">
      <c r="C534" s="287"/>
      <c r="K534" s="287"/>
    </row>
    <row r="535" spans="3:11" ht="15.75" customHeight="1" x14ac:dyDescent="0.2">
      <c r="C535" s="287"/>
      <c r="K535" s="287"/>
    </row>
    <row r="536" spans="3:11" ht="15.75" customHeight="1" x14ac:dyDescent="0.2">
      <c r="C536" s="287"/>
      <c r="K536" s="287"/>
    </row>
    <row r="537" spans="3:11" ht="15.75" customHeight="1" x14ac:dyDescent="0.2">
      <c r="C537" s="287"/>
      <c r="K537" s="287"/>
    </row>
    <row r="538" spans="3:11" ht="15.75" customHeight="1" x14ac:dyDescent="0.2">
      <c r="C538" s="287"/>
      <c r="K538" s="287"/>
    </row>
    <row r="539" spans="3:11" ht="15.75" customHeight="1" x14ac:dyDescent="0.2">
      <c r="C539" s="287"/>
      <c r="K539" s="287"/>
    </row>
    <row r="540" spans="3:11" ht="15.75" customHeight="1" x14ac:dyDescent="0.2">
      <c r="C540" s="287"/>
      <c r="K540" s="287"/>
    </row>
    <row r="541" spans="3:11" ht="15.75" customHeight="1" x14ac:dyDescent="0.2">
      <c r="C541" s="287"/>
      <c r="K541" s="287"/>
    </row>
    <row r="542" spans="3:11" ht="15.75" customHeight="1" x14ac:dyDescent="0.2">
      <c r="C542" s="287"/>
      <c r="K542" s="287"/>
    </row>
    <row r="543" spans="3:11" ht="15.75" customHeight="1" x14ac:dyDescent="0.2">
      <c r="C543" s="287"/>
      <c r="K543" s="287"/>
    </row>
    <row r="544" spans="3:11" ht="15.75" customHeight="1" x14ac:dyDescent="0.2">
      <c r="C544" s="287"/>
      <c r="K544" s="287"/>
    </row>
    <row r="545" spans="3:11" ht="15.75" customHeight="1" x14ac:dyDescent="0.2">
      <c r="C545" s="287"/>
      <c r="K545" s="287"/>
    </row>
    <row r="546" spans="3:11" ht="15.75" customHeight="1" x14ac:dyDescent="0.2">
      <c r="C546" s="287"/>
      <c r="K546" s="287"/>
    </row>
    <row r="547" spans="3:11" ht="15.75" customHeight="1" x14ac:dyDescent="0.2">
      <c r="C547" s="287"/>
      <c r="K547" s="287"/>
    </row>
    <row r="548" spans="3:11" ht="15.75" customHeight="1" x14ac:dyDescent="0.2">
      <c r="C548" s="287"/>
      <c r="K548" s="287"/>
    </row>
    <row r="549" spans="3:11" ht="15.75" customHeight="1" x14ac:dyDescent="0.2">
      <c r="C549" s="287"/>
      <c r="K549" s="287"/>
    </row>
    <row r="550" spans="3:11" ht="15.75" customHeight="1" x14ac:dyDescent="0.2">
      <c r="C550" s="287"/>
      <c r="K550" s="287"/>
    </row>
    <row r="551" spans="3:11" ht="15.75" customHeight="1" x14ac:dyDescent="0.2">
      <c r="C551" s="287"/>
      <c r="K551" s="287"/>
    </row>
    <row r="552" spans="3:11" ht="15.75" customHeight="1" x14ac:dyDescent="0.2">
      <c r="C552" s="287"/>
      <c r="K552" s="287"/>
    </row>
    <row r="553" spans="3:11" ht="15.75" customHeight="1" x14ac:dyDescent="0.2">
      <c r="C553" s="287"/>
      <c r="K553" s="287"/>
    </row>
    <row r="554" spans="3:11" ht="15.75" customHeight="1" x14ac:dyDescent="0.2">
      <c r="C554" s="287"/>
      <c r="K554" s="287"/>
    </row>
    <row r="555" spans="3:11" ht="15.75" customHeight="1" x14ac:dyDescent="0.2">
      <c r="C555" s="287"/>
      <c r="K555" s="287"/>
    </row>
    <row r="556" spans="3:11" ht="15.75" customHeight="1" x14ac:dyDescent="0.2">
      <c r="C556" s="287"/>
      <c r="K556" s="287"/>
    </row>
    <row r="557" spans="3:11" ht="15.75" customHeight="1" x14ac:dyDescent="0.2">
      <c r="C557" s="287"/>
      <c r="K557" s="287"/>
    </row>
    <row r="558" spans="3:11" ht="15.75" customHeight="1" x14ac:dyDescent="0.2">
      <c r="C558" s="287"/>
      <c r="K558" s="287"/>
    </row>
    <row r="559" spans="3:11" ht="15.75" customHeight="1" x14ac:dyDescent="0.2">
      <c r="C559" s="287"/>
      <c r="K559" s="287"/>
    </row>
    <row r="560" spans="3:11" ht="15.75" customHeight="1" x14ac:dyDescent="0.2">
      <c r="C560" s="287"/>
      <c r="K560" s="287"/>
    </row>
    <row r="561" spans="3:11" ht="15.75" customHeight="1" x14ac:dyDescent="0.2">
      <c r="C561" s="287"/>
      <c r="K561" s="287"/>
    </row>
    <row r="562" spans="3:11" ht="15.75" customHeight="1" x14ac:dyDescent="0.2">
      <c r="C562" s="287"/>
      <c r="K562" s="287"/>
    </row>
    <row r="563" spans="3:11" ht="15.75" customHeight="1" x14ac:dyDescent="0.2">
      <c r="C563" s="287"/>
      <c r="K563" s="287"/>
    </row>
    <row r="564" spans="3:11" ht="15.75" customHeight="1" x14ac:dyDescent="0.2">
      <c r="C564" s="287"/>
      <c r="K564" s="287"/>
    </row>
    <row r="565" spans="3:11" ht="15.75" customHeight="1" x14ac:dyDescent="0.2">
      <c r="C565" s="287"/>
      <c r="K565" s="287"/>
    </row>
    <row r="566" spans="3:11" ht="15.75" customHeight="1" x14ac:dyDescent="0.2">
      <c r="C566" s="287"/>
      <c r="K566" s="287"/>
    </row>
    <row r="567" spans="3:11" ht="15.75" customHeight="1" x14ac:dyDescent="0.2">
      <c r="C567" s="287"/>
      <c r="K567" s="287"/>
    </row>
    <row r="568" spans="3:11" ht="15.75" customHeight="1" x14ac:dyDescent="0.2">
      <c r="C568" s="287"/>
      <c r="K568" s="287"/>
    </row>
    <row r="569" spans="3:11" ht="15.75" customHeight="1" x14ac:dyDescent="0.2">
      <c r="C569" s="287"/>
      <c r="K569" s="287"/>
    </row>
    <row r="570" spans="3:11" ht="15.75" customHeight="1" x14ac:dyDescent="0.2">
      <c r="C570" s="287"/>
      <c r="K570" s="287"/>
    </row>
    <row r="571" spans="3:11" ht="15.75" customHeight="1" x14ac:dyDescent="0.2">
      <c r="C571" s="287"/>
      <c r="K571" s="287"/>
    </row>
    <row r="572" spans="3:11" ht="15.75" customHeight="1" x14ac:dyDescent="0.2">
      <c r="C572" s="287"/>
      <c r="K572" s="287"/>
    </row>
    <row r="573" spans="3:11" ht="15.75" customHeight="1" x14ac:dyDescent="0.2">
      <c r="C573" s="287"/>
      <c r="K573" s="287"/>
    </row>
    <row r="574" spans="3:11" ht="15.75" customHeight="1" x14ac:dyDescent="0.2">
      <c r="C574" s="287"/>
      <c r="K574" s="287"/>
    </row>
    <row r="575" spans="3:11" ht="15.75" customHeight="1" x14ac:dyDescent="0.2">
      <c r="C575" s="287"/>
      <c r="K575" s="287"/>
    </row>
    <row r="576" spans="3:11" ht="15.75" customHeight="1" x14ac:dyDescent="0.2">
      <c r="C576" s="287"/>
      <c r="K576" s="287"/>
    </row>
    <row r="577" spans="3:11" ht="15.75" customHeight="1" x14ac:dyDescent="0.2">
      <c r="C577" s="287"/>
      <c r="K577" s="287"/>
    </row>
    <row r="578" spans="3:11" ht="15.75" customHeight="1" x14ac:dyDescent="0.2">
      <c r="C578" s="287"/>
      <c r="K578" s="287"/>
    </row>
    <row r="579" spans="3:11" ht="15.75" customHeight="1" x14ac:dyDescent="0.2">
      <c r="C579" s="287"/>
      <c r="K579" s="287"/>
    </row>
    <row r="580" spans="3:11" ht="15.75" customHeight="1" x14ac:dyDescent="0.2">
      <c r="C580" s="287"/>
      <c r="K580" s="287"/>
    </row>
    <row r="581" spans="3:11" ht="15.75" customHeight="1" x14ac:dyDescent="0.2">
      <c r="C581" s="287"/>
      <c r="K581" s="287"/>
    </row>
    <row r="582" spans="3:11" ht="15.75" customHeight="1" x14ac:dyDescent="0.2">
      <c r="C582" s="287"/>
      <c r="K582" s="287"/>
    </row>
    <row r="583" spans="3:11" ht="15.75" customHeight="1" x14ac:dyDescent="0.2">
      <c r="C583" s="287"/>
      <c r="K583" s="287"/>
    </row>
    <row r="584" spans="3:11" ht="15.75" customHeight="1" x14ac:dyDescent="0.2">
      <c r="C584" s="287"/>
      <c r="K584" s="287"/>
    </row>
    <row r="585" spans="3:11" ht="15.75" customHeight="1" x14ac:dyDescent="0.2">
      <c r="C585" s="287"/>
      <c r="K585" s="287"/>
    </row>
    <row r="586" spans="3:11" ht="15.75" customHeight="1" x14ac:dyDescent="0.2">
      <c r="C586" s="287"/>
      <c r="K586" s="287"/>
    </row>
    <row r="587" spans="3:11" ht="15.75" customHeight="1" x14ac:dyDescent="0.2">
      <c r="C587" s="287"/>
      <c r="K587" s="287"/>
    </row>
    <row r="588" spans="3:11" ht="15.75" customHeight="1" x14ac:dyDescent="0.2">
      <c r="C588" s="287"/>
      <c r="K588" s="287"/>
    </row>
    <row r="589" spans="3:11" ht="15.75" customHeight="1" x14ac:dyDescent="0.2">
      <c r="C589" s="287"/>
      <c r="K589" s="287"/>
    </row>
    <row r="590" spans="3:11" ht="15.75" customHeight="1" x14ac:dyDescent="0.2">
      <c r="C590" s="287"/>
      <c r="K590" s="287"/>
    </row>
    <row r="591" spans="3:11" ht="15.75" customHeight="1" x14ac:dyDescent="0.2">
      <c r="C591" s="287"/>
      <c r="K591" s="287"/>
    </row>
    <row r="592" spans="3:11" ht="15.75" customHeight="1" x14ac:dyDescent="0.2">
      <c r="C592" s="287"/>
      <c r="K592" s="287"/>
    </row>
    <row r="593" spans="3:11" ht="15.75" customHeight="1" x14ac:dyDescent="0.2">
      <c r="C593" s="287"/>
      <c r="K593" s="287"/>
    </row>
    <row r="594" spans="3:11" ht="15.75" customHeight="1" x14ac:dyDescent="0.2">
      <c r="C594" s="287"/>
      <c r="K594" s="287"/>
    </row>
    <row r="595" spans="3:11" ht="15.75" customHeight="1" x14ac:dyDescent="0.2">
      <c r="C595" s="287"/>
      <c r="K595" s="287"/>
    </row>
    <row r="596" spans="3:11" ht="15.75" customHeight="1" x14ac:dyDescent="0.2">
      <c r="C596" s="287"/>
      <c r="K596" s="287"/>
    </row>
    <row r="597" spans="3:11" ht="15.75" customHeight="1" x14ac:dyDescent="0.2">
      <c r="C597" s="287"/>
      <c r="K597" s="287"/>
    </row>
    <row r="598" spans="3:11" ht="15.75" customHeight="1" x14ac:dyDescent="0.2">
      <c r="C598" s="287"/>
      <c r="K598" s="287"/>
    </row>
    <row r="599" spans="3:11" ht="15.75" customHeight="1" x14ac:dyDescent="0.2">
      <c r="C599" s="287"/>
      <c r="K599" s="287"/>
    </row>
    <row r="600" spans="3:11" ht="15.75" customHeight="1" x14ac:dyDescent="0.2">
      <c r="C600" s="287"/>
      <c r="K600" s="287"/>
    </row>
    <row r="601" spans="3:11" ht="15.75" customHeight="1" x14ac:dyDescent="0.2">
      <c r="C601" s="287"/>
      <c r="K601" s="287"/>
    </row>
    <row r="602" spans="3:11" ht="15.75" customHeight="1" x14ac:dyDescent="0.2">
      <c r="C602" s="287"/>
      <c r="K602" s="287"/>
    </row>
    <row r="603" spans="3:11" ht="15.75" customHeight="1" x14ac:dyDescent="0.2">
      <c r="C603" s="287"/>
      <c r="K603" s="287"/>
    </row>
    <row r="604" spans="3:11" ht="15.75" customHeight="1" x14ac:dyDescent="0.2">
      <c r="C604" s="287"/>
      <c r="K604" s="287"/>
    </row>
    <row r="605" spans="3:11" ht="15.75" customHeight="1" x14ac:dyDescent="0.2">
      <c r="C605" s="287"/>
      <c r="K605" s="287"/>
    </row>
    <row r="606" spans="3:11" ht="15.75" customHeight="1" x14ac:dyDescent="0.2">
      <c r="C606" s="287"/>
      <c r="K606" s="287"/>
    </row>
    <row r="607" spans="3:11" ht="15.75" customHeight="1" x14ac:dyDescent="0.2">
      <c r="C607" s="287"/>
      <c r="K607" s="287"/>
    </row>
    <row r="608" spans="3:11" ht="15.75" customHeight="1" x14ac:dyDescent="0.2">
      <c r="C608" s="287"/>
      <c r="K608" s="287"/>
    </row>
    <row r="609" spans="3:11" ht="15.75" customHeight="1" x14ac:dyDescent="0.2">
      <c r="C609" s="287"/>
      <c r="K609" s="287"/>
    </row>
    <row r="610" spans="3:11" ht="15.75" customHeight="1" x14ac:dyDescent="0.2">
      <c r="C610" s="287"/>
      <c r="K610" s="287"/>
    </row>
    <row r="611" spans="3:11" ht="15.75" customHeight="1" x14ac:dyDescent="0.2">
      <c r="C611" s="287"/>
      <c r="K611" s="287"/>
    </row>
    <row r="612" spans="3:11" ht="15.75" customHeight="1" x14ac:dyDescent="0.2">
      <c r="C612" s="287"/>
      <c r="K612" s="287"/>
    </row>
    <row r="613" spans="3:11" ht="15.75" customHeight="1" x14ac:dyDescent="0.2">
      <c r="C613" s="287"/>
      <c r="K613" s="287"/>
    </row>
    <row r="614" spans="3:11" ht="15.75" customHeight="1" x14ac:dyDescent="0.2">
      <c r="C614" s="287"/>
      <c r="K614" s="287"/>
    </row>
    <row r="615" spans="3:11" ht="15.75" customHeight="1" x14ac:dyDescent="0.2">
      <c r="C615" s="287"/>
      <c r="K615" s="287"/>
    </row>
    <row r="616" spans="3:11" ht="15.75" customHeight="1" x14ac:dyDescent="0.2">
      <c r="C616" s="287"/>
      <c r="K616" s="287"/>
    </row>
    <row r="617" spans="3:11" ht="15.75" customHeight="1" x14ac:dyDescent="0.2">
      <c r="C617" s="287"/>
      <c r="K617" s="287"/>
    </row>
    <row r="618" spans="3:11" ht="15.75" customHeight="1" x14ac:dyDescent="0.2">
      <c r="C618" s="287"/>
      <c r="K618" s="287"/>
    </row>
    <row r="619" spans="3:11" ht="15.75" customHeight="1" x14ac:dyDescent="0.2">
      <c r="C619" s="287"/>
      <c r="K619" s="287"/>
    </row>
    <row r="620" spans="3:11" ht="15.75" customHeight="1" x14ac:dyDescent="0.2">
      <c r="C620" s="287"/>
      <c r="K620" s="287"/>
    </row>
    <row r="621" spans="3:11" ht="15.75" customHeight="1" x14ac:dyDescent="0.2">
      <c r="C621" s="287"/>
      <c r="K621" s="287"/>
    </row>
    <row r="622" spans="3:11" ht="15.75" customHeight="1" x14ac:dyDescent="0.2">
      <c r="C622" s="287"/>
      <c r="K622" s="287"/>
    </row>
    <row r="623" spans="3:11" ht="15.75" customHeight="1" x14ac:dyDescent="0.2">
      <c r="C623" s="287"/>
      <c r="K623" s="287"/>
    </row>
    <row r="624" spans="3:11" ht="15.75" customHeight="1" x14ac:dyDescent="0.2">
      <c r="C624" s="287"/>
      <c r="K624" s="287"/>
    </row>
    <row r="625" spans="3:11" ht="15.75" customHeight="1" x14ac:dyDescent="0.2">
      <c r="C625" s="287"/>
      <c r="K625" s="287"/>
    </row>
    <row r="626" spans="3:11" ht="15.75" customHeight="1" x14ac:dyDescent="0.2">
      <c r="C626" s="287"/>
      <c r="K626" s="287"/>
    </row>
    <row r="627" spans="3:11" ht="15.75" customHeight="1" x14ac:dyDescent="0.2">
      <c r="C627" s="287"/>
      <c r="K627" s="287"/>
    </row>
    <row r="628" spans="3:11" ht="15.75" customHeight="1" x14ac:dyDescent="0.2">
      <c r="C628" s="287"/>
      <c r="K628" s="287"/>
    </row>
    <row r="629" spans="3:11" ht="15.75" customHeight="1" x14ac:dyDescent="0.2">
      <c r="C629" s="287"/>
      <c r="K629" s="287"/>
    </row>
    <row r="630" spans="3:11" ht="15.75" customHeight="1" x14ac:dyDescent="0.2">
      <c r="C630" s="287"/>
      <c r="K630" s="287"/>
    </row>
    <row r="631" spans="3:11" ht="15.75" customHeight="1" x14ac:dyDescent="0.2">
      <c r="C631" s="287"/>
      <c r="K631" s="287"/>
    </row>
    <row r="632" spans="3:11" ht="15.75" customHeight="1" x14ac:dyDescent="0.2">
      <c r="C632" s="287"/>
      <c r="K632" s="287"/>
    </row>
    <row r="633" spans="3:11" ht="15.75" customHeight="1" x14ac:dyDescent="0.2">
      <c r="C633" s="287"/>
      <c r="K633" s="287"/>
    </row>
    <row r="634" spans="3:11" ht="15.75" customHeight="1" x14ac:dyDescent="0.2">
      <c r="C634" s="287"/>
      <c r="K634" s="287"/>
    </row>
    <row r="635" spans="3:11" ht="15.75" customHeight="1" x14ac:dyDescent="0.2">
      <c r="C635" s="287"/>
      <c r="K635" s="287"/>
    </row>
    <row r="636" spans="3:11" ht="15.75" customHeight="1" x14ac:dyDescent="0.2">
      <c r="C636" s="287"/>
      <c r="K636" s="287"/>
    </row>
    <row r="637" spans="3:11" ht="15.75" customHeight="1" x14ac:dyDescent="0.2">
      <c r="C637" s="287"/>
      <c r="K637" s="287"/>
    </row>
    <row r="638" spans="3:11" ht="15.75" customHeight="1" x14ac:dyDescent="0.2">
      <c r="C638" s="287"/>
      <c r="K638" s="287"/>
    </row>
    <row r="639" spans="3:11" ht="15.75" customHeight="1" x14ac:dyDescent="0.2">
      <c r="C639" s="287"/>
      <c r="K639" s="287"/>
    </row>
    <row r="640" spans="3:11" ht="15.75" customHeight="1" x14ac:dyDescent="0.2">
      <c r="C640" s="287"/>
      <c r="K640" s="287"/>
    </row>
    <row r="641" spans="3:11" ht="15.75" customHeight="1" x14ac:dyDescent="0.2">
      <c r="C641" s="287"/>
      <c r="K641" s="287"/>
    </row>
    <row r="642" spans="3:11" ht="15.75" customHeight="1" x14ac:dyDescent="0.2">
      <c r="C642" s="287"/>
      <c r="K642" s="287"/>
    </row>
    <row r="643" spans="3:11" ht="15.75" customHeight="1" x14ac:dyDescent="0.2">
      <c r="C643" s="287"/>
      <c r="K643" s="287"/>
    </row>
    <row r="644" spans="3:11" ht="15.75" customHeight="1" x14ac:dyDescent="0.2">
      <c r="C644" s="287"/>
      <c r="K644" s="287"/>
    </row>
    <row r="645" spans="3:11" ht="15.75" customHeight="1" x14ac:dyDescent="0.2">
      <c r="C645" s="287"/>
      <c r="K645" s="287"/>
    </row>
    <row r="646" spans="3:11" ht="15.75" customHeight="1" x14ac:dyDescent="0.2">
      <c r="C646" s="287"/>
      <c r="K646" s="287"/>
    </row>
    <row r="647" spans="3:11" ht="15.75" customHeight="1" x14ac:dyDescent="0.2">
      <c r="C647" s="287"/>
      <c r="K647" s="287"/>
    </row>
    <row r="648" spans="3:11" ht="15.75" customHeight="1" x14ac:dyDescent="0.2">
      <c r="C648" s="287"/>
      <c r="K648" s="287"/>
    </row>
    <row r="649" spans="3:11" ht="15.75" customHeight="1" x14ac:dyDescent="0.2">
      <c r="C649" s="287"/>
      <c r="K649" s="287"/>
    </row>
    <row r="650" spans="3:11" ht="15.75" customHeight="1" x14ac:dyDescent="0.2">
      <c r="C650" s="287"/>
      <c r="K650" s="287"/>
    </row>
    <row r="651" spans="3:11" ht="15.75" customHeight="1" x14ac:dyDescent="0.2">
      <c r="C651" s="287"/>
      <c r="K651" s="287"/>
    </row>
    <row r="652" spans="3:11" ht="15.75" customHeight="1" x14ac:dyDescent="0.2">
      <c r="C652" s="287"/>
      <c r="K652" s="287"/>
    </row>
    <row r="653" spans="3:11" ht="15.75" customHeight="1" x14ac:dyDescent="0.2">
      <c r="C653" s="287"/>
      <c r="K653" s="287"/>
    </row>
    <row r="654" spans="3:11" ht="15.75" customHeight="1" x14ac:dyDescent="0.2">
      <c r="C654" s="287"/>
      <c r="K654" s="287"/>
    </row>
    <row r="655" spans="3:11" ht="15.75" customHeight="1" x14ac:dyDescent="0.2">
      <c r="C655" s="287"/>
      <c r="K655" s="287"/>
    </row>
    <row r="656" spans="3:11" ht="15.75" customHeight="1" x14ac:dyDescent="0.2">
      <c r="C656" s="287"/>
      <c r="K656" s="287"/>
    </row>
    <row r="657" spans="3:11" ht="15.75" customHeight="1" x14ac:dyDescent="0.2">
      <c r="C657" s="287"/>
      <c r="K657" s="287"/>
    </row>
    <row r="658" spans="3:11" ht="15.75" customHeight="1" x14ac:dyDescent="0.2">
      <c r="C658" s="287"/>
      <c r="K658" s="287"/>
    </row>
    <row r="659" spans="3:11" ht="15.75" customHeight="1" x14ac:dyDescent="0.2">
      <c r="C659" s="287"/>
      <c r="K659" s="287"/>
    </row>
    <row r="660" spans="3:11" ht="15.75" customHeight="1" x14ac:dyDescent="0.2">
      <c r="C660" s="287"/>
      <c r="K660" s="287"/>
    </row>
    <row r="661" spans="3:11" ht="15.75" customHeight="1" x14ac:dyDescent="0.2">
      <c r="C661" s="287"/>
      <c r="K661" s="287"/>
    </row>
    <row r="662" spans="3:11" ht="15.75" customHeight="1" x14ac:dyDescent="0.2">
      <c r="C662" s="287"/>
      <c r="K662" s="287"/>
    </row>
    <row r="663" spans="3:11" ht="15.75" customHeight="1" x14ac:dyDescent="0.2">
      <c r="C663" s="287"/>
      <c r="K663" s="287"/>
    </row>
    <row r="664" spans="3:11" ht="15.75" customHeight="1" x14ac:dyDescent="0.2">
      <c r="C664" s="287"/>
      <c r="K664" s="287"/>
    </row>
    <row r="665" spans="3:11" ht="15.75" customHeight="1" x14ac:dyDescent="0.2">
      <c r="C665" s="287"/>
      <c r="K665" s="287"/>
    </row>
    <row r="666" spans="3:11" ht="15.75" customHeight="1" x14ac:dyDescent="0.2">
      <c r="C666" s="287"/>
      <c r="K666" s="287"/>
    </row>
    <row r="667" spans="3:11" ht="15.75" customHeight="1" x14ac:dyDescent="0.2">
      <c r="C667" s="287"/>
      <c r="K667" s="287"/>
    </row>
    <row r="668" spans="3:11" ht="15.75" customHeight="1" x14ac:dyDescent="0.2">
      <c r="C668" s="287"/>
      <c r="K668" s="287"/>
    </row>
    <row r="669" spans="3:11" ht="15.75" customHeight="1" x14ac:dyDescent="0.2">
      <c r="C669" s="287"/>
      <c r="K669" s="287"/>
    </row>
    <row r="670" spans="3:11" ht="15.75" customHeight="1" x14ac:dyDescent="0.2">
      <c r="C670" s="287"/>
      <c r="K670" s="287"/>
    </row>
    <row r="671" spans="3:11" ht="15.75" customHeight="1" x14ac:dyDescent="0.2">
      <c r="C671" s="287"/>
      <c r="K671" s="287"/>
    </row>
    <row r="672" spans="3:11" ht="15.75" customHeight="1" x14ac:dyDescent="0.2">
      <c r="C672" s="287"/>
      <c r="K672" s="287"/>
    </row>
    <row r="673" spans="3:11" ht="15.75" customHeight="1" x14ac:dyDescent="0.2">
      <c r="C673" s="287"/>
      <c r="K673" s="287"/>
    </row>
    <row r="674" spans="3:11" ht="15.75" customHeight="1" x14ac:dyDescent="0.2">
      <c r="C674" s="287"/>
      <c r="K674" s="287"/>
    </row>
    <row r="675" spans="3:11" ht="15.75" customHeight="1" x14ac:dyDescent="0.2">
      <c r="C675" s="287"/>
      <c r="K675" s="287"/>
    </row>
    <row r="676" spans="3:11" ht="15.75" customHeight="1" x14ac:dyDescent="0.2"/>
    <row r="677" spans="3:11" ht="15.75" customHeight="1" x14ac:dyDescent="0.2"/>
    <row r="678" spans="3:11" ht="15.75" customHeight="1" x14ac:dyDescent="0.2"/>
    <row r="679" spans="3:11" ht="15.75" customHeight="1" x14ac:dyDescent="0.2"/>
    <row r="680" spans="3:11" ht="15.75" customHeight="1" x14ac:dyDescent="0.2"/>
    <row r="681" spans="3:11" ht="15.75" customHeight="1" x14ac:dyDescent="0.2"/>
    <row r="682" spans="3:11" ht="15.75" customHeight="1" x14ac:dyDescent="0.2"/>
    <row r="683" spans="3:11" ht="15.75" customHeight="1" x14ac:dyDescent="0.2"/>
    <row r="684" spans="3:11" ht="15.75" customHeight="1" x14ac:dyDescent="0.2"/>
    <row r="685" spans="3:11" ht="15.75" customHeight="1" x14ac:dyDescent="0.2"/>
    <row r="686" spans="3:11" ht="15.75" customHeight="1" x14ac:dyDescent="0.2"/>
    <row r="687" spans="3:11" ht="15.75" customHeight="1" x14ac:dyDescent="0.2"/>
    <row r="688" spans="3:11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conditionalFormatting sqref="H4:H38 H42:H73 H76:H81 H83:H113 H115:H123 H125 H128:H148 H210:H229 H232:H256 H259:H260 H264:H291 H293 H296:H306 H370:H392 H396:H418 H421:H426 H429:H449 H451:H455 H457 H460:H468">
    <cfRule type="cellIs" dxfId="1" priority="1" operator="lessThan">
      <formula>0</formula>
    </cfRule>
  </conditionalFormatting>
  <printOptions horizontalCentered="1" verticalCentered="1"/>
  <pageMargins left="0.25" right="0.25" top="0.75" bottom="0.75" header="0.3" footer="0.3"/>
  <pageSetup scale="91" fitToHeight="0" orientation="landscape" r:id="rId1"/>
  <headerFooter>
    <oddHeader>&amp;A</oddHeader>
    <oddFooter>Page 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topLeftCell="A400" workbookViewId="0"/>
  </sheetViews>
  <sheetFormatPr defaultColWidth="12.5703125" defaultRowHeight="15" customHeight="1" outlineLevelRow="1" outlineLevelCol="1" x14ac:dyDescent="0.2"/>
  <cols>
    <col min="2" max="2" width="32.28515625" customWidth="1"/>
    <col min="3" max="3" width="4.28515625" hidden="1" customWidth="1" outlineLevel="1"/>
    <col min="4" max="10" width="0.140625" hidden="1" customWidth="1" outlineLevel="1"/>
    <col min="11" max="11" width="4.28515625" hidden="1" customWidth="1" outlineLevel="1"/>
    <col min="12" max="12" width="12.5703125" collapsed="1"/>
    <col min="13" max="13" width="14.85546875" customWidth="1"/>
    <col min="18" max="18" width="9.42578125" customWidth="1"/>
    <col min="22" max="22" width="5.7109375" customWidth="1"/>
  </cols>
  <sheetData>
    <row r="1" spans="1:31" ht="28.5" hidden="1" customHeight="1" x14ac:dyDescent="0.25">
      <c r="A1" s="205" t="s">
        <v>1190</v>
      </c>
      <c r="B1" s="5"/>
      <c r="C1" s="15"/>
      <c r="D1" s="16"/>
      <c r="E1" s="16"/>
      <c r="F1" s="16"/>
      <c r="G1" s="16"/>
      <c r="H1" s="18"/>
      <c r="I1" s="16"/>
      <c r="J1" s="16"/>
      <c r="K1" s="15"/>
      <c r="L1" s="7"/>
      <c r="M1" s="7"/>
      <c r="N1" s="7"/>
      <c r="O1" s="7"/>
      <c r="P1" s="7"/>
      <c r="Q1" s="7"/>
      <c r="R1" s="7"/>
      <c r="S1" s="7"/>
      <c r="T1" s="206"/>
      <c r="W1" s="19"/>
      <c r="X1" s="20"/>
    </row>
    <row r="2" spans="1:31" ht="50.25" hidden="1" customHeight="1" x14ac:dyDescent="0.2">
      <c r="A2" s="3" t="s">
        <v>50</v>
      </c>
      <c r="B2" s="3" t="s">
        <v>51</v>
      </c>
      <c r="C2" s="21"/>
      <c r="D2" s="22" t="s">
        <v>52</v>
      </c>
      <c r="E2" s="23" t="s">
        <v>53</v>
      </c>
      <c r="F2" s="23" t="s">
        <v>54</v>
      </c>
      <c r="G2" s="23" t="s">
        <v>55</v>
      </c>
      <c r="H2" s="100" t="s">
        <v>56</v>
      </c>
      <c r="I2" s="23" t="s">
        <v>57</v>
      </c>
      <c r="J2" s="129" t="s">
        <v>58</v>
      </c>
      <c r="K2" s="130"/>
      <c r="L2" s="27" t="s">
        <v>59</v>
      </c>
      <c r="M2" s="27" t="s">
        <v>60</v>
      </c>
      <c r="N2" s="27" t="s">
        <v>61</v>
      </c>
      <c r="O2" s="27" t="s">
        <v>62</v>
      </c>
      <c r="P2" s="27" t="s">
        <v>63</v>
      </c>
      <c r="Q2" s="27" t="s">
        <v>64</v>
      </c>
      <c r="R2" s="27" t="s">
        <v>65</v>
      </c>
      <c r="S2" s="27" t="s">
        <v>66</v>
      </c>
      <c r="T2" s="207"/>
      <c r="U2" s="28"/>
      <c r="V2" s="19"/>
      <c r="X2" s="28"/>
      <c r="Y2" s="28"/>
      <c r="Z2" s="28"/>
      <c r="AA2" s="28"/>
      <c r="AB2" s="28"/>
      <c r="AC2" s="28"/>
      <c r="AD2" s="28"/>
      <c r="AE2" s="28"/>
    </row>
    <row r="3" spans="1:31" ht="15.75" hidden="1" customHeight="1" outlineLevel="1" x14ac:dyDescent="0.25">
      <c r="A3" s="6" t="s">
        <v>1194</v>
      </c>
      <c r="B3" s="6" t="s">
        <v>70</v>
      </c>
      <c r="C3" s="280"/>
      <c r="D3" s="216"/>
      <c r="E3" s="216" t="e">
        <f>D3*#REF!</f>
        <v>#REF!</v>
      </c>
      <c r="F3" s="216" t="e">
        <f>D3*#REF!</f>
        <v>#REF!</v>
      </c>
      <c r="G3" s="216" t="e">
        <f>(D3*#REF!)*#REF!</f>
        <v>#REF!</v>
      </c>
      <c r="H3" s="211">
        <f t="shared" ref="H3:H19" si="0">IFERROR(((Q3-G3)/G3),0)</f>
        <v>0</v>
      </c>
      <c r="I3" s="7" t="e">
        <f t="shared" ref="I3:I19" si="1">Q3-G3</f>
        <v>#REF!</v>
      </c>
      <c r="J3" s="5"/>
      <c r="K3" s="280"/>
      <c r="L3" s="216"/>
      <c r="M3" s="216"/>
      <c r="N3" s="36">
        <v>1625</v>
      </c>
      <c r="O3" s="36">
        <f>VLOOKUP(A3,TB!A:F,3)</f>
        <v>139.71</v>
      </c>
      <c r="P3" s="36"/>
      <c r="Q3" s="36">
        <v>1700</v>
      </c>
      <c r="R3" s="281">
        <f>VLOOKUP(A3,TB!A:F,6)</f>
        <v>1075</v>
      </c>
      <c r="S3" s="5"/>
    </row>
    <row r="4" spans="1:31" ht="15.75" hidden="1" customHeight="1" outlineLevel="1" x14ac:dyDescent="0.25">
      <c r="A4" s="6" t="s">
        <v>1195</v>
      </c>
      <c r="B4" s="6" t="s">
        <v>132</v>
      </c>
      <c r="C4" s="323"/>
      <c r="D4" s="319"/>
      <c r="E4" s="216" t="e">
        <f>D4*#REF!</f>
        <v>#REF!</v>
      </c>
      <c r="F4" s="216" t="e">
        <f>D4*#REF!</f>
        <v>#REF!</v>
      </c>
      <c r="G4" s="216" t="e">
        <f>(D4*#REF!)*#REF!</f>
        <v>#REF!</v>
      </c>
      <c r="H4" s="211">
        <f t="shared" si="0"/>
        <v>0</v>
      </c>
      <c r="I4" s="7" t="e">
        <f t="shared" si="1"/>
        <v>#REF!</v>
      </c>
      <c r="J4" s="5"/>
      <c r="K4" s="323"/>
      <c r="L4" s="216"/>
      <c r="M4" s="216"/>
      <c r="N4" s="36">
        <v>2500</v>
      </c>
      <c r="O4" s="36">
        <f>VLOOKUP(A4,TB!A:F,3)</f>
        <v>95.71</v>
      </c>
      <c r="P4" s="36"/>
      <c r="Q4" s="36">
        <v>2500</v>
      </c>
      <c r="R4" s="281">
        <f>VLOOKUP(A4,TB!A:F,6)</f>
        <v>2500</v>
      </c>
      <c r="S4" s="5"/>
    </row>
    <row r="5" spans="1:31" ht="15.75" hidden="1" customHeight="1" outlineLevel="1" x14ac:dyDescent="0.25">
      <c r="A5" s="6" t="s">
        <v>1196</v>
      </c>
      <c r="B5" s="6" t="s">
        <v>72</v>
      </c>
      <c r="C5" s="280"/>
      <c r="D5" s="216"/>
      <c r="E5" s="216" t="e">
        <f>D5*#REF!</f>
        <v>#REF!</v>
      </c>
      <c r="F5" s="216" t="e">
        <f>D5*#REF!</f>
        <v>#REF!</v>
      </c>
      <c r="G5" s="216" t="e">
        <f>(D5*#REF!)*#REF!</f>
        <v>#REF!</v>
      </c>
      <c r="H5" s="211">
        <f t="shared" si="0"/>
        <v>0</v>
      </c>
      <c r="I5" s="7" t="e">
        <f t="shared" si="1"/>
        <v>#REF!</v>
      </c>
      <c r="J5" s="5"/>
      <c r="K5" s="280"/>
      <c r="L5" s="216"/>
      <c r="M5" s="216"/>
      <c r="N5" s="36">
        <v>37386</v>
      </c>
      <c r="O5" s="36">
        <f>VLOOKUP(A5,TB!A:F,3)</f>
        <v>20638.150000000001</v>
      </c>
      <c r="P5" s="36"/>
      <c r="Q5" s="36">
        <v>36300</v>
      </c>
      <c r="R5" s="281">
        <f>VLOOKUP(A5,TB!A:F,6)</f>
        <v>36300</v>
      </c>
      <c r="S5" s="5"/>
    </row>
    <row r="6" spans="1:31" ht="15.75" hidden="1" customHeight="1" outlineLevel="1" x14ac:dyDescent="0.25">
      <c r="A6" s="6" t="s">
        <v>1197</v>
      </c>
      <c r="B6" s="6" t="s">
        <v>74</v>
      </c>
      <c r="C6" s="280"/>
      <c r="D6" s="216"/>
      <c r="E6" s="216" t="e">
        <f>D6*#REF!</f>
        <v>#REF!</v>
      </c>
      <c r="F6" s="216" t="e">
        <f>D6*#REF!</f>
        <v>#REF!</v>
      </c>
      <c r="G6" s="216" t="e">
        <f>(D6*#REF!)*#REF!</f>
        <v>#REF!</v>
      </c>
      <c r="H6" s="211">
        <f t="shared" si="0"/>
        <v>0</v>
      </c>
      <c r="I6" s="7" t="e">
        <f t="shared" si="1"/>
        <v>#REF!</v>
      </c>
      <c r="J6" s="5"/>
      <c r="K6" s="280"/>
      <c r="L6" s="216"/>
      <c r="M6" s="216"/>
      <c r="N6" s="36">
        <v>800</v>
      </c>
      <c r="O6" s="36">
        <f>VLOOKUP(A6,TB!A:F,3)</f>
        <v>398</v>
      </c>
      <c r="P6" s="36"/>
      <c r="Q6" s="36">
        <v>1200</v>
      </c>
      <c r="R6" s="281">
        <f>VLOOKUP(A6,TB!A:F,6)</f>
        <v>825</v>
      </c>
      <c r="S6" s="5"/>
    </row>
    <row r="7" spans="1:31" ht="15.75" hidden="1" customHeight="1" outlineLevel="1" x14ac:dyDescent="0.25">
      <c r="A7" s="6" t="s">
        <v>1198</v>
      </c>
      <c r="B7" s="6" t="s">
        <v>76</v>
      </c>
      <c r="C7" s="280"/>
      <c r="D7" s="216"/>
      <c r="E7" s="216" t="e">
        <f>D7*#REF!</f>
        <v>#REF!</v>
      </c>
      <c r="F7" s="216" t="e">
        <f>D7*#REF!</f>
        <v>#REF!</v>
      </c>
      <c r="G7" s="216" t="e">
        <f>(D7*#REF!)*#REF!</f>
        <v>#REF!</v>
      </c>
      <c r="H7" s="211">
        <f t="shared" si="0"/>
        <v>0</v>
      </c>
      <c r="I7" s="7" t="e">
        <f t="shared" si="1"/>
        <v>#REF!</v>
      </c>
      <c r="J7" s="5"/>
      <c r="K7" s="280"/>
      <c r="L7" s="216"/>
      <c r="M7" s="216"/>
      <c r="N7" s="36">
        <v>875</v>
      </c>
      <c r="O7" s="36">
        <f>VLOOKUP(A7,TB!A:F,3)</f>
        <v>638.53</v>
      </c>
      <c r="P7" s="36"/>
      <c r="Q7" s="36">
        <v>1750</v>
      </c>
      <c r="R7" s="281">
        <f>VLOOKUP(A7,TB!A:F,6)</f>
        <v>1250</v>
      </c>
      <c r="S7" s="5"/>
    </row>
    <row r="8" spans="1:31" ht="15.75" hidden="1" customHeight="1" outlineLevel="1" x14ac:dyDescent="0.25">
      <c r="A8" s="6" t="s">
        <v>1199</v>
      </c>
      <c r="B8" s="6" t="s">
        <v>80</v>
      </c>
      <c r="C8" s="323"/>
      <c r="D8" s="319"/>
      <c r="E8" s="216" t="e">
        <f>D8*#REF!</f>
        <v>#REF!</v>
      </c>
      <c r="F8" s="216" t="e">
        <f>D8*#REF!</f>
        <v>#REF!</v>
      </c>
      <c r="G8" s="216" t="e">
        <f>(D8*#REF!)*#REF!</f>
        <v>#REF!</v>
      </c>
      <c r="H8" s="211">
        <f t="shared" si="0"/>
        <v>0</v>
      </c>
      <c r="I8" s="7" t="e">
        <f t="shared" si="1"/>
        <v>#REF!</v>
      </c>
      <c r="J8" s="5"/>
      <c r="K8" s="323"/>
      <c r="L8" s="216"/>
      <c r="M8" s="216"/>
      <c r="N8" s="36">
        <v>1950</v>
      </c>
      <c r="O8" s="36">
        <f>VLOOKUP(A8,TB!A:F,3)</f>
        <v>1700.58</v>
      </c>
      <c r="P8" s="36"/>
      <c r="Q8" s="36">
        <v>2750</v>
      </c>
      <c r="R8" s="281">
        <f>VLOOKUP(A8,TB!A:F,6)</f>
        <v>2500</v>
      </c>
      <c r="S8" s="5"/>
    </row>
    <row r="9" spans="1:31" ht="15.75" hidden="1" customHeight="1" outlineLevel="1" x14ac:dyDescent="0.25">
      <c r="A9" s="6" t="s">
        <v>1200</v>
      </c>
      <c r="B9" s="6" t="s">
        <v>82</v>
      </c>
      <c r="C9" s="280"/>
      <c r="D9" s="216"/>
      <c r="E9" s="216" t="e">
        <f>D9*#REF!</f>
        <v>#REF!</v>
      </c>
      <c r="F9" s="216" t="e">
        <f>D9*#REF!</f>
        <v>#REF!</v>
      </c>
      <c r="G9" s="216" t="e">
        <f>(D9*#REF!)*#REF!</f>
        <v>#REF!</v>
      </c>
      <c r="H9" s="211">
        <f t="shared" si="0"/>
        <v>0</v>
      </c>
      <c r="I9" s="7" t="e">
        <f t="shared" si="1"/>
        <v>#REF!</v>
      </c>
      <c r="J9" s="5"/>
      <c r="K9" s="280"/>
      <c r="L9" s="216"/>
      <c r="M9" s="216"/>
      <c r="N9" s="36">
        <v>2625</v>
      </c>
      <c r="O9" s="36">
        <f>VLOOKUP(A9,TB!A:F,3)</f>
        <v>817.48</v>
      </c>
      <c r="P9" s="36"/>
      <c r="Q9" s="36">
        <v>2625</v>
      </c>
      <c r="R9" s="281">
        <f>VLOOKUP(A9,TB!A:F,6)</f>
        <v>2500</v>
      </c>
      <c r="S9" s="5"/>
    </row>
    <row r="10" spans="1:31" ht="15.75" hidden="1" customHeight="1" outlineLevel="1" x14ac:dyDescent="0.25">
      <c r="A10" s="6" t="s">
        <v>1201</v>
      </c>
      <c r="B10" s="6" t="s">
        <v>115</v>
      </c>
      <c r="C10" s="280"/>
      <c r="D10" s="216"/>
      <c r="E10" s="216" t="e">
        <f>D10*#REF!</f>
        <v>#REF!</v>
      </c>
      <c r="F10" s="216" t="e">
        <f>D10*#REF!</f>
        <v>#REF!</v>
      </c>
      <c r="G10" s="216" t="e">
        <f>(D10*#REF!)*#REF!</f>
        <v>#REF!</v>
      </c>
      <c r="H10" s="211">
        <f t="shared" si="0"/>
        <v>0</v>
      </c>
      <c r="I10" s="7" t="e">
        <f t="shared" si="1"/>
        <v>#REF!</v>
      </c>
      <c r="J10" s="5"/>
      <c r="K10" s="280"/>
      <c r="L10" s="216"/>
      <c r="M10" s="216"/>
      <c r="N10" s="36">
        <v>1750</v>
      </c>
      <c r="O10" s="36">
        <f>VLOOKUP(A10,TB!A:F,3)</f>
        <v>198.23</v>
      </c>
      <c r="P10" s="36"/>
      <c r="Q10" s="36">
        <v>1750</v>
      </c>
      <c r="R10" s="281">
        <f>VLOOKUP(A10,TB!A:F,6)</f>
        <v>1250</v>
      </c>
      <c r="S10" s="5"/>
    </row>
    <row r="11" spans="1:31" ht="15.75" hidden="1" customHeight="1" outlineLevel="1" x14ac:dyDescent="0.25">
      <c r="A11" s="6" t="s">
        <v>1202</v>
      </c>
      <c r="B11" s="6" t="s">
        <v>555</v>
      </c>
      <c r="C11" s="280"/>
      <c r="D11" s="216"/>
      <c r="E11" s="216" t="e">
        <f>D11*#REF!</f>
        <v>#REF!</v>
      </c>
      <c r="F11" s="216" t="e">
        <f>D11*#REF!</f>
        <v>#REF!</v>
      </c>
      <c r="G11" s="216" t="e">
        <f>(D11*#REF!)*#REF!</f>
        <v>#REF!</v>
      </c>
      <c r="H11" s="211">
        <f t="shared" si="0"/>
        <v>0</v>
      </c>
      <c r="I11" s="7" t="e">
        <f t="shared" si="1"/>
        <v>#REF!</v>
      </c>
      <c r="J11" s="5"/>
      <c r="K11" s="280"/>
      <c r="L11" s="216"/>
      <c r="M11" s="216"/>
      <c r="N11" s="36">
        <v>27525</v>
      </c>
      <c r="O11" s="36">
        <f>VLOOKUP(A11,TB!A:F,3)</f>
        <v>14065.4</v>
      </c>
      <c r="P11" s="36"/>
      <c r="Q11" s="36">
        <v>27525</v>
      </c>
      <c r="R11" s="281">
        <f>VLOOKUP(A11,TB!A:F,6)</f>
        <v>25025</v>
      </c>
      <c r="S11" s="5"/>
    </row>
    <row r="12" spans="1:31" ht="15.75" hidden="1" customHeight="1" outlineLevel="1" x14ac:dyDescent="0.25">
      <c r="A12" s="6" t="s">
        <v>1203</v>
      </c>
      <c r="B12" s="6" t="s">
        <v>277</v>
      </c>
      <c r="C12" s="323"/>
      <c r="D12" s="319"/>
      <c r="E12" s="216" t="e">
        <f>D12*#REF!</f>
        <v>#REF!</v>
      </c>
      <c r="F12" s="216" t="e">
        <f>D12*#REF!</f>
        <v>#REF!</v>
      </c>
      <c r="G12" s="216" t="e">
        <f>(D12*#REF!)*#REF!</f>
        <v>#REF!</v>
      </c>
      <c r="H12" s="211">
        <f t="shared" si="0"/>
        <v>0</v>
      </c>
      <c r="I12" s="7" t="e">
        <f t="shared" si="1"/>
        <v>#REF!</v>
      </c>
      <c r="J12" s="5"/>
      <c r="K12" s="323"/>
      <c r="L12" s="216"/>
      <c r="M12" s="216"/>
      <c r="N12" s="36">
        <v>34700</v>
      </c>
      <c r="O12" s="36">
        <f>VLOOKUP(A12,TB!A:F,3)</f>
        <v>12590.23</v>
      </c>
      <c r="P12" s="36"/>
      <c r="Q12" s="36">
        <v>34700</v>
      </c>
      <c r="R12" s="281">
        <f>VLOOKUP(A12,TB!A:F,6)</f>
        <v>25000</v>
      </c>
      <c r="S12" s="5"/>
    </row>
    <row r="13" spans="1:31" ht="15.75" hidden="1" customHeight="1" outlineLevel="1" x14ac:dyDescent="0.25">
      <c r="A13" s="6" t="s">
        <v>1204</v>
      </c>
      <c r="B13" s="6" t="s">
        <v>84</v>
      </c>
      <c r="C13" s="323"/>
      <c r="D13" s="319"/>
      <c r="E13" s="216" t="e">
        <f>D13*#REF!</f>
        <v>#REF!</v>
      </c>
      <c r="F13" s="216" t="e">
        <f>D13*#REF!</f>
        <v>#REF!</v>
      </c>
      <c r="G13" s="216" t="e">
        <f>(D13*#REF!)*#REF!</f>
        <v>#REF!</v>
      </c>
      <c r="H13" s="211">
        <f t="shared" si="0"/>
        <v>0</v>
      </c>
      <c r="I13" s="7" t="e">
        <f t="shared" si="1"/>
        <v>#REF!</v>
      </c>
      <c r="J13" s="5"/>
      <c r="K13" s="323"/>
      <c r="L13" s="216"/>
      <c r="M13" s="216"/>
      <c r="N13" s="36">
        <v>1250</v>
      </c>
      <c r="O13" s="36">
        <f>VLOOKUP(A13,TB!A:F,3)</f>
        <v>461.19</v>
      </c>
      <c r="P13" s="36"/>
      <c r="Q13" s="36">
        <v>1100</v>
      </c>
      <c r="R13" s="281">
        <f>VLOOKUP(A13,TB!A:F,6)</f>
        <v>1100</v>
      </c>
      <c r="S13" s="5"/>
    </row>
    <row r="14" spans="1:31" ht="15.75" hidden="1" customHeight="1" outlineLevel="1" x14ac:dyDescent="0.25">
      <c r="A14" s="6" t="s">
        <v>1205</v>
      </c>
      <c r="B14" s="6" t="s">
        <v>86</v>
      </c>
      <c r="C14" s="280"/>
      <c r="D14" s="216"/>
      <c r="E14" s="216" t="e">
        <f>D14*#REF!</f>
        <v>#REF!</v>
      </c>
      <c r="F14" s="216" t="e">
        <f>D14*#REF!</f>
        <v>#REF!</v>
      </c>
      <c r="G14" s="216" t="e">
        <f>(D14*#REF!)*#REF!</f>
        <v>#REF!</v>
      </c>
      <c r="H14" s="211">
        <f t="shared" si="0"/>
        <v>0</v>
      </c>
      <c r="I14" s="7" t="e">
        <f t="shared" si="1"/>
        <v>#REF!</v>
      </c>
      <c r="J14" s="5"/>
      <c r="K14" s="280"/>
      <c r="L14" s="216"/>
      <c r="M14" s="216"/>
      <c r="N14" s="36">
        <v>1250</v>
      </c>
      <c r="O14" s="36">
        <f>VLOOKUP(A14,TB!A:F,3)</f>
        <v>0</v>
      </c>
      <c r="P14" s="36"/>
      <c r="Q14" s="36">
        <v>2500</v>
      </c>
      <c r="R14" s="281">
        <f>VLOOKUP(A14,TB!A:F,6)</f>
        <v>1250</v>
      </c>
      <c r="S14" s="5"/>
    </row>
    <row r="15" spans="1:31" ht="15.75" hidden="1" customHeight="1" outlineLevel="1" x14ac:dyDescent="0.25">
      <c r="A15" s="6" t="s">
        <v>1206</v>
      </c>
      <c r="B15" s="6" t="s">
        <v>1160</v>
      </c>
      <c r="C15" s="323"/>
      <c r="D15" s="319"/>
      <c r="E15" s="216" t="e">
        <f>D15*#REF!</f>
        <v>#REF!</v>
      </c>
      <c r="F15" s="216" t="e">
        <f>D15*#REF!</f>
        <v>#REF!</v>
      </c>
      <c r="G15" s="216" t="e">
        <f>(D15*#REF!)*#REF!</f>
        <v>#REF!</v>
      </c>
      <c r="H15" s="211">
        <f t="shared" si="0"/>
        <v>0</v>
      </c>
      <c r="I15" s="7" t="e">
        <f t="shared" si="1"/>
        <v>#REF!</v>
      </c>
      <c r="J15" s="5"/>
      <c r="K15" s="323"/>
      <c r="L15" s="216"/>
      <c r="M15" s="216"/>
      <c r="N15" s="36">
        <v>0</v>
      </c>
      <c r="O15" s="36">
        <f>VLOOKUP(A15,TB!A:F,3)</f>
        <v>38.630000000000003</v>
      </c>
      <c r="P15" s="36"/>
      <c r="Q15" s="36">
        <v>525</v>
      </c>
      <c r="R15" s="281">
        <f>VLOOKUP(A15,TB!A:F,6)</f>
        <v>525</v>
      </c>
      <c r="S15" s="5"/>
    </row>
    <row r="16" spans="1:31" ht="15.75" hidden="1" customHeight="1" outlineLevel="1" x14ac:dyDescent="0.25">
      <c r="A16" s="6" t="s">
        <v>1207</v>
      </c>
      <c r="B16" s="6" t="s">
        <v>90</v>
      </c>
      <c r="C16" s="323"/>
      <c r="D16" s="319"/>
      <c r="E16" s="216" t="e">
        <f>D16*#REF!</f>
        <v>#REF!</v>
      </c>
      <c r="F16" s="216" t="e">
        <f>D16*#REF!</f>
        <v>#REF!</v>
      </c>
      <c r="G16" s="216" t="e">
        <f>(D16*#REF!)*#REF!</f>
        <v>#REF!</v>
      </c>
      <c r="H16" s="211">
        <f t="shared" si="0"/>
        <v>0</v>
      </c>
      <c r="I16" s="7" t="e">
        <f t="shared" si="1"/>
        <v>#REF!</v>
      </c>
      <c r="J16" s="5"/>
      <c r="K16" s="323"/>
      <c r="L16" s="216"/>
      <c r="M16" s="216"/>
      <c r="N16" s="36">
        <v>875</v>
      </c>
      <c r="O16" s="36">
        <f>VLOOKUP(A16,TB!A:F,3)</f>
        <v>442.89</v>
      </c>
      <c r="P16" s="36"/>
      <c r="Q16" s="36">
        <v>2000</v>
      </c>
      <c r="R16" s="281">
        <f>VLOOKUP(A16,TB!A:F,6)</f>
        <v>1250</v>
      </c>
      <c r="S16" s="5"/>
    </row>
    <row r="17" spans="1:28" ht="15.75" hidden="1" customHeight="1" outlineLevel="1" x14ac:dyDescent="0.25">
      <c r="A17" s="6" t="s">
        <v>1208</v>
      </c>
      <c r="B17" s="6" t="s">
        <v>1209</v>
      </c>
      <c r="C17" s="323"/>
      <c r="D17" s="319"/>
      <c r="E17" s="216" t="e">
        <f>D17*#REF!</f>
        <v>#REF!</v>
      </c>
      <c r="F17" s="216" t="e">
        <f>D17*#REF!</f>
        <v>#REF!</v>
      </c>
      <c r="G17" s="216" t="e">
        <f>(D17*#REF!)*#REF!</f>
        <v>#REF!</v>
      </c>
      <c r="H17" s="211">
        <f t="shared" si="0"/>
        <v>0</v>
      </c>
      <c r="I17" s="7" t="e">
        <f t="shared" si="1"/>
        <v>#REF!</v>
      </c>
      <c r="J17" s="5"/>
      <c r="K17" s="323"/>
      <c r="L17" s="216"/>
      <c r="M17" s="216"/>
      <c r="N17" s="36">
        <v>1500</v>
      </c>
      <c r="O17" s="36">
        <f>VLOOKUP(A17,TB!A:F,3)</f>
        <v>846.18</v>
      </c>
      <c r="P17" s="36"/>
      <c r="Q17" s="36">
        <v>1500</v>
      </c>
      <c r="R17" s="281">
        <f>VLOOKUP(A17,TB!A:F,6)</f>
        <v>1250</v>
      </c>
      <c r="S17" s="5"/>
    </row>
    <row r="18" spans="1:28" ht="15.75" hidden="1" customHeight="1" outlineLevel="1" x14ac:dyDescent="0.25">
      <c r="A18" s="6" t="s">
        <v>1210</v>
      </c>
      <c r="B18" s="6" t="s">
        <v>92</v>
      </c>
      <c r="C18" s="280"/>
      <c r="D18" s="216"/>
      <c r="E18" s="216" t="e">
        <f>D18*#REF!</f>
        <v>#REF!</v>
      </c>
      <c r="F18" s="216" t="e">
        <f>D18*#REF!</f>
        <v>#REF!</v>
      </c>
      <c r="G18" s="216" t="e">
        <f>(D18*#REF!)*#REF!</f>
        <v>#REF!</v>
      </c>
      <c r="H18" s="211">
        <f t="shared" si="0"/>
        <v>0</v>
      </c>
      <c r="I18" s="7" t="e">
        <f t="shared" si="1"/>
        <v>#REF!</v>
      </c>
      <c r="J18" s="5"/>
      <c r="K18" s="280"/>
      <c r="L18" s="216"/>
      <c r="M18" s="216"/>
      <c r="N18" s="36">
        <v>1000</v>
      </c>
      <c r="O18" s="36">
        <f>VLOOKUP(A18,TB!A:F,3)</f>
        <v>1133.5999999999999</v>
      </c>
      <c r="P18" s="36"/>
      <c r="Q18" s="36">
        <v>1000</v>
      </c>
      <c r="R18" s="281">
        <f>VLOOKUP(A18,TB!A:F,6)</f>
        <v>1000</v>
      </c>
      <c r="S18" s="5"/>
    </row>
    <row r="19" spans="1:28" ht="15.75" hidden="1" customHeight="1" outlineLevel="1" x14ac:dyDescent="0.25">
      <c r="A19" s="47" t="s">
        <v>1211</v>
      </c>
      <c r="B19" s="48"/>
      <c r="C19" s="325"/>
      <c r="D19" s="48">
        <f t="shared" ref="D19:G19" si="2">SUM(D2:D18)</f>
        <v>0</v>
      </c>
      <c r="E19" s="48" t="e">
        <f t="shared" si="2"/>
        <v>#REF!</v>
      </c>
      <c r="F19" s="48" t="e">
        <f t="shared" si="2"/>
        <v>#REF!</v>
      </c>
      <c r="G19" s="48" t="e">
        <f t="shared" si="2"/>
        <v>#REF!</v>
      </c>
      <c r="H19" s="212">
        <f t="shared" si="0"/>
        <v>0</v>
      </c>
      <c r="I19" s="12" t="e">
        <f t="shared" si="1"/>
        <v>#REF!</v>
      </c>
      <c r="J19" s="48"/>
      <c r="K19" s="325"/>
      <c r="L19" s="12">
        <f t="shared" ref="L19:O19" si="3">SUM(L2:L18)</f>
        <v>0</v>
      </c>
      <c r="M19" s="12">
        <f t="shared" si="3"/>
        <v>0</v>
      </c>
      <c r="N19" s="12">
        <f t="shared" si="3"/>
        <v>117611</v>
      </c>
      <c r="O19" s="12">
        <f t="shared" si="3"/>
        <v>54204.51</v>
      </c>
      <c r="P19" s="12"/>
      <c r="Q19" s="12">
        <f t="shared" ref="Q19:R19" si="4">SUM(Q2:Q18)</f>
        <v>121425</v>
      </c>
      <c r="R19" s="12">
        <f t="shared" si="4"/>
        <v>104600</v>
      </c>
      <c r="S19" s="5"/>
      <c r="V19" s="44"/>
      <c r="W19" s="44"/>
      <c r="X19" s="44"/>
      <c r="Y19" s="44"/>
      <c r="Z19" s="44"/>
      <c r="AA19" s="44"/>
      <c r="AB19" s="44"/>
    </row>
    <row r="20" spans="1:28" ht="15.75" hidden="1" customHeight="1" outlineLevel="1" x14ac:dyDescent="0.2">
      <c r="A20" s="5"/>
      <c r="B20" s="5"/>
      <c r="C20" s="284"/>
      <c r="D20" s="5"/>
      <c r="E20" s="5"/>
      <c r="F20" s="5"/>
      <c r="G20" s="5"/>
      <c r="H20" s="5"/>
      <c r="I20" s="5"/>
      <c r="J20" s="5"/>
      <c r="K20" s="284"/>
      <c r="L20" s="5"/>
      <c r="M20" s="5"/>
      <c r="N20" s="5"/>
      <c r="O20" s="5"/>
      <c r="P20" s="5"/>
      <c r="Q20" s="5"/>
      <c r="R20" s="5"/>
      <c r="S20" s="5"/>
    </row>
    <row r="21" spans="1:28" ht="15.75" hidden="1" customHeight="1" outlineLevel="1" x14ac:dyDescent="0.2">
      <c r="A21" s="5"/>
      <c r="B21" s="5"/>
      <c r="C21" s="284"/>
      <c r="D21" s="5"/>
      <c r="E21" s="5"/>
      <c r="F21" s="5"/>
      <c r="G21" s="5"/>
      <c r="H21" s="5"/>
      <c r="I21" s="5"/>
      <c r="J21" s="5"/>
      <c r="K21" s="284"/>
      <c r="L21" s="5"/>
      <c r="M21" s="5"/>
      <c r="N21" s="5"/>
      <c r="O21" s="5"/>
      <c r="P21" s="5"/>
      <c r="Q21" s="5"/>
      <c r="R21" s="5"/>
      <c r="S21" s="5"/>
    </row>
    <row r="22" spans="1:28" ht="15.75" hidden="1" customHeight="1" outlineLevel="1" x14ac:dyDescent="0.2">
      <c r="A22" s="379" t="s">
        <v>50</v>
      </c>
      <c r="B22" s="379" t="s">
        <v>51</v>
      </c>
      <c r="C22" s="292"/>
      <c r="D22" s="379" t="s">
        <v>52</v>
      </c>
      <c r="E22" s="380" t="s">
        <v>53</v>
      </c>
      <c r="F22" s="380" t="s">
        <v>1212</v>
      </c>
      <c r="G22" s="380" t="s">
        <v>55</v>
      </c>
      <c r="H22" s="230" t="s">
        <v>56</v>
      </c>
      <c r="I22" s="230" t="s">
        <v>57</v>
      </c>
      <c r="J22" s="5"/>
      <c r="K22" s="292"/>
      <c r="L22" s="379" t="s">
        <v>59</v>
      </c>
      <c r="M22" s="379" t="s">
        <v>60</v>
      </c>
      <c r="N22" s="379" t="s">
        <v>436</v>
      </c>
      <c r="O22" s="379" t="s">
        <v>437</v>
      </c>
      <c r="P22" s="3" t="s">
        <v>541</v>
      </c>
      <c r="Q22" s="381" t="s">
        <v>438</v>
      </c>
      <c r="R22" s="293" t="s">
        <v>65</v>
      </c>
      <c r="S22" s="5"/>
    </row>
    <row r="23" spans="1:28" ht="15.75" hidden="1" customHeight="1" outlineLevel="1" x14ac:dyDescent="0.25">
      <c r="A23" s="6" t="s">
        <v>1213</v>
      </c>
      <c r="B23" s="6" t="s">
        <v>68</v>
      </c>
      <c r="C23" s="324"/>
      <c r="D23" s="103"/>
      <c r="E23" s="216" t="e">
        <f>D23*#REF!</f>
        <v>#REF!</v>
      </c>
      <c r="F23" s="216" t="e">
        <f>D23*#REF!</f>
        <v>#REF!</v>
      </c>
      <c r="G23" s="216" t="e">
        <f>(D23*#REF!)*#REF!</f>
        <v>#REF!</v>
      </c>
      <c r="H23" s="211">
        <f t="shared" ref="H23:H43" si="5">IFERROR(((Q23-G23)/G23),0)</f>
        <v>0</v>
      </c>
      <c r="I23" s="7" t="e">
        <f t="shared" ref="I23:I43" si="6">Q23-G23</f>
        <v>#REF!</v>
      </c>
      <c r="J23" s="5"/>
      <c r="K23" s="324"/>
      <c r="L23" s="265">
        <v>237863</v>
      </c>
      <c r="M23" s="265">
        <v>248954.63</v>
      </c>
      <c r="N23" s="36">
        <v>195349</v>
      </c>
      <c r="O23" s="36">
        <f>VLOOKUP(A23,TB!A:F,3)</f>
        <v>145342.43</v>
      </c>
      <c r="P23" s="36"/>
      <c r="Q23" s="36">
        <v>214000</v>
      </c>
      <c r="R23" s="281">
        <f>VLOOKUP(A23,TB!A:F,6)</f>
        <v>214000</v>
      </c>
      <c r="S23" s="5"/>
    </row>
    <row r="24" spans="1:28" ht="15.75" hidden="1" customHeight="1" outlineLevel="1" x14ac:dyDescent="0.25">
      <c r="A24" s="6" t="s">
        <v>1214</v>
      </c>
      <c r="B24" s="6" t="s">
        <v>70</v>
      </c>
      <c r="C24" s="280"/>
      <c r="D24" s="216"/>
      <c r="E24" s="216" t="e">
        <f>D24*#REF!</f>
        <v>#REF!</v>
      </c>
      <c r="F24" s="216" t="e">
        <f>D24*#REF!</f>
        <v>#REF!</v>
      </c>
      <c r="G24" s="216" t="e">
        <f>(D24*#REF!)*#REF!</f>
        <v>#REF!</v>
      </c>
      <c r="H24" s="211">
        <f t="shared" si="5"/>
        <v>0</v>
      </c>
      <c r="I24" s="7" t="e">
        <f t="shared" si="6"/>
        <v>#REF!</v>
      </c>
      <c r="J24" s="5"/>
      <c r="K24" s="280"/>
      <c r="L24" s="216">
        <v>2502</v>
      </c>
      <c r="M24" s="216">
        <v>2773.02</v>
      </c>
      <c r="N24" s="36">
        <v>4875</v>
      </c>
      <c r="O24" s="36">
        <f>VLOOKUP(A24,TB!A:F,3)</f>
        <v>762.64</v>
      </c>
      <c r="P24" s="36"/>
      <c r="Q24" s="36">
        <v>4900</v>
      </c>
      <c r="R24" s="281">
        <f>VLOOKUP(A24,TB!A:F,6)</f>
        <v>3025</v>
      </c>
      <c r="S24" s="5"/>
    </row>
    <row r="25" spans="1:28" ht="15.75" hidden="1" customHeight="1" outlineLevel="1" x14ac:dyDescent="0.25">
      <c r="A25" s="6" t="s">
        <v>1215</v>
      </c>
      <c r="B25" s="6" t="s">
        <v>132</v>
      </c>
      <c r="C25" s="323"/>
      <c r="D25" s="319"/>
      <c r="E25" s="216" t="e">
        <f>D25*#REF!</f>
        <v>#REF!</v>
      </c>
      <c r="F25" s="216" t="e">
        <f>D25*#REF!</f>
        <v>#REF!</v>
      </c>
      <c r="G25" s="216" t="e">
        <f>(D25*#REF!)*#REF!</f>
        <v>#REF!</v>
      </c>
      <c r="H25" s="211">
        <f t="shared" si="5"/>
        <v>0</v>
      </c>
      <c r="I25" s="7" t="e">
        <f t="shared" si="6"/>
        <v>#REF!</v>
      </c>
      <c r="J25" s="5"/>
      <c r="K25" s="323"/>
      <c r="L25" s="216">
        <v>0</v>
      </c>
      <c r="M25" s="216">
        <v>0</v>
      </c>
      <c r="N25" s="36">
        <v>7500</v>
      </c>
      <c r="O25" s="36">
        <f>VLOOKUP(A25,TB!A:F,3)</f>
        <v>287.13</v>
      </c>
      <c r="P25" s="36"/>
      <c r="Q25" s="36">
        <v>7500</v>
      </c>
      <c r="R25" s="281">
        <f>VLOOKUP(A25,TB!A:F,6)</f>
        <v>7500</v>
      </c>
      <c r="S25" s="5"/>
    </row>
    <row r="26" spans="1:28" ht="15.75" hidden="1" customHeight="1" outlineLevel="1" x14ac:dyDescent="0.25">
      <c r="A26" s="6" t="s">
        <v>1216</v>
      </c>
      <c r="B26" s="6" t="s">
        <v>72</v>
      </c>
      <c r="C26" s="280"/>
      <c r="D26" s="216"/>
      <c r="E26" s="216" t="e">
        <f>D26*#REF!</f>
        <v>#REF!</v>
      </c>
      <c r="F26" s="216" t="e">
        <f>D26*#REF!</f>
        <v>#REF!</v>
      </c>
      <c r="G26" s="216" t="e">
        <f>(D26*#REF!)*#REF!</f>
        <v>#REF!</v>
      </c>
      <c r="H26" s="211">
        <f t="shared" si="5"/>
        <v>0</v>
      </c>
      <c r="I26" s="7" t="e">
        <f t="shared" si="6"/>
        <v>#REF!</v>
      </c>
      <c r="J26" s="5"/>
      <c r="K26" s="280"/>
      <c r="L26" s="216">
        <v>113759</v>
      </c>
      <c r="M26" s="216">
        <v>122715.3</v>
      </c>
      <c r="N26" s="36">
        <v>112213</v>
      </c>
      <c r="O26" s="36">
        <f>VLOOKUP(A26,TB!A:F,3)</f>
        <v>71660.02</v>
      </c>
      <c r="P26" s="36"/>
      <c r="Q26" s="36">
        <v>108500</v>
      </c>
      <c r="R26" s="281">
        <f>VLOOKUP(A26,TB!A:F,6)</f>
        <v>108500</v>
      </c>
      <c r="S26" s="5"/>
    </row>
    <row r="27" spans="1:28" ht="15.75" hidden="1" customHeight="1" outlineLevel="1" x14ac:dyDescent="0.25">
      <c r="A27" s="6" t="s">
        <v>1217</v>
      </c>
      <c r="B27" s="6" t="s">
        <v>74</v>
      </c>
      <c r="C27" s="280"/>
      <c r="D27" s="216"/>
      <c r="E27" s="216" t="e">
        <f>D27*#REF!</f>
        <v>#REF!</v>
      </c>
      <c r="F27" s="216" t="e">
        <f>D27*#REF!</f>
        <v>#REF!</v>
      </c>
      <c r="G27" s="216" t="e">
        <f>(D27*#REF!)*#REF!</f>
        <v>#REF!</v>
      </c>
      <c r="H27" s="211">
        <f t="shared" si="5"/>
        <v>0</v>
      </c>
      <c r="I27" s="7" t="e">
        <f t="shared" si="6"/>
        <v>#REF!</v>
      </c>
      <c r="J27" s="5"/>
      <c r="K27" s="280"/>
      <c r="L27" s="216">
        <v>1179</v>
      </c>
      <c r="M27" s="216">
        <v>1790.8</v>
      </c>
      <c r="N27" s="36">
        <v>2200</v>
      </c>
      <c r="O27" s="36">
        <f>VLOOKUP(A27,TB!A:F,3)</f>
        <v>1194.02</v>
      </c>
      <c r="P27" s="36"/>
      <c r="Q27" s="36">
        <v>3600</v>
      </c>
      <c r="R27" s="281">
        <f>VLOOKUP(A27,TB!A:F,6)</f>
        <v>2475</v>
      </c>
      <c r="S27" s="5"/>
    </row>
    <row r="28" spans="1:28" ht="15.75" hidden="1" customHeight="1" outlineLevel="1" x14ac:dyDescent="0.25">
      <c r="A28" s="6" t="s">
        <v>1218</v>
      </c>
      <c r="B28" s="6" t="s">
        <v>76</v>
      </c>
      <c r="C28" s="280"/>
      <c r="D28" s="216"/>
      <c r="E28" s="216" t="e">
        <f>D28*#REF!</f>
        <v>#REF!</v>
      </c>
      <c r="F28" s="216" t="e">
        <f>D28*#REF!</f>
        <v>#REF!</v>
      </c>
      <c r="G28" s="216" t="e">
        <f>(D28*#REF!)*#REF!</f>
        <v>#REF!</v>
      </c>
      <c r="H28" s="211">
        <f t="shared" si="5"/>
        <v>0</v>
      </c>
      <c r="I28" s="7" t="e">
        <f t="shared" si="6"/>
        <v>#REF!</v>
      </c>
      <c r="J28" s="5"/>
      <c r="K28" s="280"/>
      <c r="L28" s="216">
        <v>4912</v>
      </c>
      <c r="M28" s="216">
        <v>3803.78</v>
      </c>
      <c r="N28" s="36">
        <v>2625</v>
      </c>
      <c r="O28" s="36">
        <f>VLOOKUP(A28,TB!A:F,3)</f>
        <v>1915.6</v>
      </c>
      <c r="P28" s="36"/>
      <c r="Q28" s="36">
        <v>5250</v>
      </c>
      <c r="R28" s="281">
        <f>VLOOKUP(A28,TB!A:F,6)</f>
        <v>3750</v>
      </c>
      <c r="S28" s="5"/>
    </row>
    <row r="29" spans="1:28" ht="15.75" hidden="1" customHeight="1" outlineLevel="1" x14ac:dyDescent="0.25">
      <c r="A29" s="6" t="s">
        <v>1219</v>
      </c>
      <c r="B29" s="6" t="s">
        <v>80</v>
      </c>
      <c r="C29" s="323"/>
      <c r="D29" s="319"/>
      <c r="E29" s="216" t="e">
        <f>D29*#REF!</f>
        <v>#REF!</v>
      </c>
      <c r="F29" s="216" t="e">
        <f>D29*#REF!</f>
        <v>#REF!</v>
      </c>
      <c r="G29" s="216" t="e">
        <f>(D29*#REF!)*#REF!</f>
        <v>#REF!</v>
      </c>
      <c r="H29" s="211">
        <f t="shared" si="5"/>
        <v>0</v>
      </c>
      <c r="I29" s="7" t="e">
        <f t="shared" si="6"/>
        <v>#REF!</v>
      </c>
      <c r="J29" s="5"/>
      <c r="K29" s="323"/>
      <c r="L29" s="216">
        <v>5613</v>
      </c>
      <c r="M29" s="216">
        <v>9195.85</v>
      </c>
      <c r="N29" s="36">
        <v>8250</v>
      </c>
      <c r="O29" s="36">
        <f>VLOOKUP(A29,TB!A:F,3)</f>
        <v>5101.76</v>
      </c>
      <c r="P29" s="36"/>
      <c r="Q29" s="36">
        <v>8250</v>
      </c>
      <c r="R29" s="281">
        <f>VLOOKUP(A29,TB!A:F,6)</f>
        <v>7500</v>
      </c>
      <c r="S29" s="5"/>
    </row>
    <row r="30" spans="1:28" ht="15.75" hidden="1" customHeight="1" outlineLevel="1" x14ac:dyDescent="0.25">
      <c r="A30" s="6" t="s">
        <v>1220</v>
      </c>
      <c r="B30" s="6" t="s">
        <v>82</v>
      </c>
      <c r="C30" s="280"/>
      <c r="D30" s="216"/>
      <c r="E30" s="216" t="e">
        <f>D30*#REF!</f>
        <v>#REF!</v>
      </c>
      <c r="F30" s="216" t="e">
        <f>D30*#REF!</f>
        <v>#REF!</v>
      </c>
      <c r="G30" s="216" t="e">
        <f>(D30*#REF!)*#REF!</f>
        <v>#REF!</v>
      </c>
      <c r="H30" s="211">
        <f t="shared" si="5"/>
        <v>0</v>
      </c>
      <c r="I30" s="7" t="e">
        <f t="shared" si="6"/>
        <v>#REF!</v>
      </c>
      <c r="J30" s="5"/>
      <c r="K30" s="280"/>
      <c r="L30" s="216">
        <v>9382</v>
      </c>
      <c r="M30" s="216">
        <v>7600.31</v>
      </c>
      <c r="N30" s="36">
        <v>7875</v>
      </c>
      <c r="O30" s="36">
        <f>VLOOKUP(A30,TB!A:F,3)</f>
        <v>2432.4299999999998</v>
      </c>
      <c r="P30" s="36"/>
      <c r="Q30" s="36">
        <v>7875</v>
      </c>
      <c r="R30" s="281">
        <f>VLOOKUP(A30,TB!A:F,6)</f>
        <v>7500</v>
      </c>
      <c r="S30" s="5"/>
    </row>
    <row r="31" spans="1:28" ht="15.75" hidden="1" customHeight="1" outlineLevel="1" x14ac:dyDescent="0.25">
      <c r="A31" s="6" t="s">
        <v>1221</v>
      </c>
      <c r="B31" s="6" t="s">
        <v>115</v>
      </c>
      <c r="C31" s="280"/>
      <c r="D31" s="216"/>
      <c r="E31" s="216" t="e">
        <f>D31*#REF!</f>
        <v>#REF!</v>
      </c>
      <c r="F31" s="216" t="e">
        <f>D31*#REF!</f>
        <v>#REF!</v>
      </c>
      <c r="G31" s="216" t="e">
        <f>(D31*#REF!)*#REF!</f>
        <v>#REF!</v>
      </c>
      <c r="H31" s="211">
        <f t="shared" si="5"/>
        <v>0</v>
      </c>
      <c r="I31" s="7" t="e">
        <f t="shared" si="6"/>
        <v>#REF!</v>
      </c>
      <c r="J31" s="5"/>
      <c r="K31" s="280"/>
      <c r="L31" s="216">
        <v>7100</v>
      </c>
      <c r="M31" s="216">
        <v>4346.7299999999996</v>
      </c>
      <c r="N31" s="36">
        <v>5250</v>
      </c>
      <c r="O31" s="36">
        <f>VLOOKUP(A31,TB!A:F,3)</f>
        <v>594.66999999999996</v>
      </c>
      <c r="P31" s="36"/>
      <c r="Q31" s="36">
        <v>5250</v>
      </c>
      <c r="R31" s="281">
        <f>VLOOKUP(A31,TB!A:F,6)</f>
        <v>3750</v>
      </c>
      <c r="S31" s="5"/>
    </row>
    <row r="32" spans="1:28" ht="15.75" hidden="1" customHeight="1" outlineLevel="1" x14ac:dyDescent="0.25">
      <c r="A32" s="6" t="s">
        <v>1222</v>
      </c>
      <c r="B32" s="6" t="s">
        <v>555</v>
      </c>
      <c r="C32" s="280"/>
      <c r="D32" s="216"/>
      <c r="E32" s="216" t="e">
        <f>D32*#REF!</f>
        <v>#REF!</v>
      </c>
      <c r="F32" s="216" t="e">
        <f>D32*#REF!</f>
        <v>#REF!</v>
      </c>
      <c r="G32" s="216" t="e">
        <f>(D32*#REF!)*#REF!</f>
        <v>#REF!</v>
      </c>
      <c r="H32" s="211">
        <f t="shared" si="5"/>
        <v>0</v>
      </c>
      <c r="I32" s="7" t="e">
        <f t="shared" si="6"/>
        <v>#REF!</v>
      </c>
      <c r="J32" s="5"/>
      <c r="K32" s="280"/>
      <c r="L32" s="216">
        <v>94794</v>
      </c>
      <c r="M32" s="216">
        <v>104562.55</v>
      </c>
      <c r="N32" s="36">
        <v>82575</v>
      </c>
      <c r="O32" s="36">
        <f>VLOOKUP(A32,TB!A:F,3)</f>
        <v>42196.22</v>
      </c>
      <c r="P32" s="36"/>
      <c r="Q32" s="36">
        <v>82575</v>
      </c>
      <c r="R32" s="281">
        <f>VLOOKUP(A32,TB!A:F,6)</f>
        <v>75075</v>
      </c>
      <c r="S32" s="5"/>
    </row>
    <row r="33" spans="1:19" ht="15.75" hidden="1" customHeight="1" outlineLevel="1" x14ac:dyDescent="0.25">
      <c r="A33" s="6" t="s">
        <v>1223</v>
      </c>
      <c r="B33" s="6" t="s">
        <v>277</v>
      </c>
      <c r="C33" s="323"/>
      <c r="D33" s="319"/>
      <c r="E33" s="216" t="e">
        <f>D33*#REF!</f>
        <v>#REF!</v>
      </c>
      <c r="F33" s="216" t="e">
        <f>D33*#REF!</f>
        <v>#REF!</v>
      </c>
      <c r="G33" s="216" t="e">
        <f>(D33*#REF!)*#REF!</f>
        <v>#REF!</v>
      </c>
      <c r="H33" s="211">
        <f t="shared" si="5"/>
        <v>0</v>
      </c>
      <c r="I33" s="7" t="e">
        <f t="shared" si="6"/>
        <v>#REF!</v>
      </c>
      <c r="J33" s="5"/>
      <c r="K33" s="323"/>
      <c r="L33" s="216">
        <v>93830</v>
      </c>
      <c r="M33" s="216">
        <v>67264.539999999994</v>
      </c>
      <c r="N33" s="36">
        <v>104100</v>
      </c>
      <c r="O33" s="36">
        <f>VLOOKUP(A33,TB!A:F,3)</f>
        <v>39053.31</v>
      </c>
      <c r="P33" s="36"/>
      <c r="Q33" s="36">
        <v>104100</v>
      </c>
      <c r="R33" s="281">
        <f>VLOOKUP(A33,TB!A:F,6)</f>
        <v>75000</v>
      </c>
      <c r="S33" s="5"/>
    </row>
    <row r="34" spans="1:19" ht="15.75" hidden="1" customHeight="1" outlineLevel="1" x14ac:dyDescent="0.25">
      <c r="A34" s="6" t="s">
        <v>1224</v>
      </c>
      <c r="B34" s="6" t="s">
        <v>84</v>
      </c>
      <c r="C34" s="323"/>
      <c r="D34" s="319"/>
      <c r="E34" s="216" t="e">
        <f>D34*#REF!</f>
        <v>#REF!</v>
      </c>
      <c r="F34" s="216" t="e">
        <f>D34*#REF!</f>
        <v>#REF!</v>
      </c>
      <c r="G34" s="216" t="e">
        <f>(D34*#REF!)*#REF!</f>
        <v>#REF!</v>
      </c>
      <c r="H34" s="211">
        <f t="shared" si="5"/>
        <v>0</v>
      </c>
      <c r="I34" s="7" t="e">
        <f t="shared" si="6"/>
        <v>#REF!</v>
      </c>
      <c r="J34" s="5"/>
      <c r="K34" s="323"/>
      <c r="L34" s="216">
        <v>3931</v>
      </c>
      <c r="M34" s="216">
        <v>2622.08</v>
      </c>
      <c r="N34" s="36">
        <v>3750</v>
      </c>
      <c r="O34" s="36">
        <f>VLOOKUP(A34,TB!A:F,3)</f>
        <v>1383.52</v>
      </c>
      <c r="P34" s="36"/>
      <c r="Q34" s="36">
        <v>3300</v>
      </c>
      <c r="R34" s="281">
        <f>VLOOKUP(A34,TB!A:F,6)</f>
        <v>3300</v>
      </c>
      <c r="S34" s="5"/>
    </row>
    <row r="35" spans="1:19" ht="15.75" hidden="1" customHeight="1" outlineLevel="1" x14ac:dyDescent="0.25">
      <c r="A35" s="6" t="s">
        <v>1225</v>
      </c>
      <c r="B35" s="6" t="s">
        <v>86</v>
      </c>
      <c r="C35" s="280"/>
      <c r="D35" s="216"/>
      <c r="E35" s="216" t="e">
        <f>D35*#REF!</f>
        <v>#REF!</v>
      </c>
      <c r="F35" s="216" t="e">
        <f>D35*#REF!</f>
        <v>#REF!</v>
      </c>
      <c r="G35" s="216" t="e">
        <f>(D35*#REF!)*#REF!</f>
        <v>#REF!</v>
      </c>
      <c r="H35" s="211">
        <f t="shared" si="5"/>
        <v>0</v>
      </c>
      <c r="I35" s="7" t="e">
        <f t="shared" si="6"/>
        <v>#REF!</v>
      </c>
      <c r="J35" s="5"/>
      <c r="K35" s="280"/>
      <c r="L35" s="216">
        <v>0</v>
      </c>
      <c r="M35" s="216">
        <v>231.75</v>
      </c>
      <c r="N35" s="36">
        <v>3750</v>
      </c>
      <c r="O35" s="36">
        <f>VLOOKUP(A35,TB!A:F,3)</f>
        <v>0</v>
      </c>
      <c r="P35" s="36"/>
      <c r="Q35" s="36">
        <v>7500</v>
      </c>
      <c r="R35" s="281">
        <f>VLOOKUP(A35,TB!A:F,6)</f>
        <v>3750</v>
      </c>
      <c r="S35" s="5"/>
    </row>
    <row r="36" spans="1:19" ht="15.75" hidden="1" customHeight="1" outlineLevel="1" x14ac:dyDescent="0.25">
      <c r="A36" s="6" t="s">
        <v>1226</v>
      </c>
      <c r="B36" s="6" t="s">
        <v>1160</v>
      </c>
      <c r="C36" s="323"/>
      <c r="D36" s="319"/>
      <c r="E36" s="216" t="e">
        <f>D36*#REF!</f>
        <v>#REF!</v>
      </c>
      <c r="F36" s="216" t="e">
        <f>D36*#REF!</f>
        <v>#REF!</v>
      </c>
      <c r="G36" s="216" t="e">
        <f>(D36*#REF!)*#REF!</f>
        <v>#REF!</v>
      </c>
      <c r="H36" s="211">
        <f t="shared" si="5"/>
        <v>0</v>
      </c>
      <c r="I36" s="7" t="e">
        <f t="shared" si="6"/>
        <v>#REF!</v>
      </c>
      <c r="J36" s="5"/>
      <c r="K36" s="323"/>
      <c r="L36" s="216">
        <v>700</v>
      </c>
      <c r="M36" s="216">
        <v>308.08</v>
      </c>
      <c r="N36" s="36">
        <v>1575</v>
      </c>
      <c r="O36" s="36">
        <f>VLOOKUP(A36,TB!A:F,3)</f>
        <v>115.88</v>
      </c>
      <c r="P36" s="36"/>
      <c r="Q36" s="36">
        <v>1575</v>
      </c>
      <c r="R36" s="281">
        <f>VLOOKUP(A36,TB!A:F,6)</f>
        <v>1575</v>
      </c>
      <c r="S36" s="5"/>
    </row>
    <row r="37" spans="1:19" ht="15.75" hidden="1" customHeight="1" outlineLevel="1" x14ac:dyDescent="0.25">
      <c r="A37" s="6" t="s">
        <v>1227</v>
      </c>
      <c r="B37" s="6" t="s">
        <v>90</v>
      </c>
      <c r="C37" s="323"/>
      <c r="D37" s="319"/>
      <c r="E37" s="216" t="e">
        <f>D37*#REF!</f>
        <v>#REF!</v>
      </c>
      <c r="F37" s="216" t="e">
        <f>D37*#REF!</f>
        <v>#REF!</v>
      </c>
      <c r="G37" s="216" t="e">
        <f>(D37*#REF!)*#REF!</f>
        <v>#REF!</v>
      </c>
      <c r="H37" s="211">
        <f t="shared" si="5"/>
        <v>0</v>
      </c>
      <c r="I37" s="7" t="e">
        <f t="shared" si="6"/>
        <v>#REF!</v>
      </c>
      <c r="J37" s="5"/>
      <c r="K37" s="323"/>
      <c r="L37" s="216">
        <v>0</v>
      </c>
      <c r="M37" s="216">
        <v>0</v>
      </c>
      <c r="N37" s="36">
        <v>2625</v>
      </c>
      <c r="O37" s="36">
        <f>VLOOKUP(A37,TB!A:F,3)</f>
        <v>1328.68</v>
      </c>
      <c r="P37" s="36"/>
      <c r="Q37" s="36">
        <v>6000</v>
      </c>
      <c r="R37" s="281">
        <f>VLOOKUP(A37,TB!A:F,6)</f>
        <v>3750</v>
      </c>
      <c r="S37" s="5"/>
    </row>
    <row r="38" spans="1:19" ht="15.75" hidden="1" customHeight="1" outlineLevel="1" x14ac:dyDescent="0.25">
      <c r="A38" s="6" t="s">
        <v>1228</v>
      </c>
      <c r="B38" s="6" t="s">
        <v>1209</v>
      </c>
      <c r="C38" s="323"/>
      <c r="D38" s="319"/>
      <c r="E38" s="216" t="e">
        <f>D38*#REF!</f>
        <v>#REF!</v>
      </c>
      <c r="F38" s="216" t="e">
        <f>D38*#REF!</f>
        <v>#REF!</v>
      </c>
      <c r="G38" s="216" t="e">
        <f>(D38*#REF!)*#REF!</f>
        <v>#REF!</v>
      </c>
      <c r="H38" s="211">
        <f t="shared" si="5"/>
        <v>0</v>
      </c>
      <c r="I38" s="7" t="e">
        <f t="shared" si="6"/>
        <v>#REF!</v>
      </c>
      <c r="J38" s="5"/>
      <c r="K38" s="323"/>
      <c r="L38" s="216">
        <v>0</v>
      </c>
      <c r="M38" s="216">
        <v>2374.91</v>
      </c>
      <c r="N38" s="36">
        <v>4500</v>
      </c>
      <c r="O38" s="36">
        <f>VLOOKUP(A38,TB!A:F,3)</f>
        <v>2538.64</v>
      </c>
      <c r="P38" s="36"/>
      <c r="Q38" s="36">
        <v>4500</v>
      </c>
      <c r="R38" s="281">
        <f>VLOOKUP(A38,TB!A:F,6)</f>
        <v>3750</v>
      </c>
      <c r="S38" s="5"/>
    </row>
    <row r="39" spans="1:19" ht="15.75" hidden="1" customHeight="1" outlineLevel="1" x14ac:dyDescent="0.25">
      <c r="A39" s="6" t="s">
        <v>1229</v>
      </c>
      <c r="B39" s="6" t="s">
        <v>92</v>
      </c>
      <c r="C39" s="280"/>
      <c r="D39" s="216"/>
      <c r="E39" s="216" t="e">
        <f>D39*#REF!</f>
        <v>#REF!</v>
      </c>
      <c r="F39" s="216" t="e">
        <f>D39*#REF!</f>
        <v>#REF!</v>
      </c>
      <c r="G39" s="216" t="e">
        <f>(D39*#REF!)*#REF!</f>
        <v>#REF!</v>
      </c>
      <c r="H39" s="211">
        <f t="shared" si="5"/>
        <v>0</v>
      </c>
      <c r="I39" s="7" t="e">
        <f t="shared" si="6"/>
        <v>#REF!</v>
      </c>
      <c r="J39" s="5"/>
      <c r="K39" s="280"/>
      <c r="L39" s="216">
        <v>3366</v>
      </c>
      <c r="M39" s="216">
        <v>4463.66</v>
      </c>
      <c r="N39" s="36">
        <v>3000</v>
      </c>
      <c r="O39" s="36">
        <f>VLOOKUP(A39,TB!A:F,3)</f>
        <v>3333.02</v>
      </c>
      <c r="P39" s="36"/>
      <c r="Q39" s="36">
        <v>3000</v>
      </c>
      <c r="R39" s="281">
        <f>VLOOKUP(A39,TB!A:F,6)</f>
        <v>3000</v>
      </c>
      <c r="S39" s="5"/>
    </row>
    <row r="40" spans="1:19" ht="15.75" hidden="1" customHeight="1" outlineLevel="1" x14ac:dyDescent="0.25">
      <c r="A40" s="103" t="s">
        <v>1230</v>
      </c>
      <c r="B40" s="103" t="s">
        <v>94</v>
      </c>
      <c r="C40" s="323"/>
      <c r="D40" s="319"/>
      <c r="E40" s="216" t="e">
        <f>D40*#REF!</f>
        <v>#REF!</v>
      </c>
      <c r="F40" s="216" t="e">
        <f>D40*#REF!</f>
        <v>#REF!</v>
      </c>
      <c r="G40" s="216" t="e">
        <f>(D40*#REF!)*#REF!</f>
        <v>#REF!</v>
      </c>
      <c r="H40" s="211">
        <f t="shared" si="5"/>
        <v>0</v>
      </c>
      <c r="I40" s="7" t="e">
        <f t="shared" si="6"/>
        <v>#REF!</v>
      </c>
      <c r="J40" s="5"/>
      <c r="K40" s="323"/>
      <c r="L40" s="216">
        <v>0</v>
      </c>
      <c r="M40" s="216">
        <v>0</v>
      </c>
      <c r="N40" s="216">
        <v>0</v>
      </c>
      <c r="O40" s="36">
        <v>0</v>
      </c>
      <c r="P40" s="216"/>
      <c r="Q40" s="216">
        <v>0</v>
      </c>
      <c r="R40" s="281">
        <v>0</v>
      </c>
      <c r="S40" s="5"/>
    </row>
    <row r="41" spans="1:19" ht="15.75" hidden="1" customHeight="1" outlineLevel="1" x14ac:dyDescent="0.25">
      <c r="A41" s="103" t="s">
        <v>1231</v>
      </c>
      <c r="B41" s="103" t="s">
        <v>532</v>
      </c>
      <c r="C41" s="323"/>
      <c r="D41" s="319"/>
      <c r="E41" s="216" t="e">
        <f>D41*#REF!</f>
        <v>#REF!</v>
      </c>
      <c r="F41" s="216" t="e">
        <f>D41*#REF!</f>
        <v>#REF!</v>
      </c>
      <c r="G41" s="216" t="e">
        <f>(D41*#REF!)*#REF!</f>
        <v>#REF!</v>
      </c>
      <c r="H41" s="211">
        <f t="shared" si="5"/>
        <v>0</v>
      </c>
      <c r="I41" s="7" t="e">
        <f t="shared" si="6"/>
        <v>#REF!</v>
      </c>
      <c r="J41" s="5"/>
      <c r="K41" s="323"/>
      <c r="L41" s="216">
        <v>0</v>
      </c>
      <c r="M41" s="216">
        <v>21395</v>
      </c>
      <c r="N41" s="216">
        <v>0</v>
      </c>
      <c r="O41" s="36">
        <f>VLOOKUP(A41,TB!A:F,3)</f>
        <v>0</v>
      </c>
      <c r="P41" s="216"/>
      <c r="Q41" s="216">
        <v>0</v>
      </c>
      <c r="R41" s="281">
        <f>VLOOKUP(A41,TB!A:F,6)</f>
        <v>0</v>
      </c>
      <c r="S41" s="5"/>
    </row>
    <row r="42" spans="1:19" ht="15.75" hidden="1" customHeight="1" outlineLevel="1" x14ac:dyDescent="0.25">
      <c r="A42" s="103" t="s">
        <v>1232</v>
      </c>
      <c r="B42" s="103" t="s">
        <v>99</v>
      </c>
      <c r="C42" s="323"/>
      <c r="D42" s="319"/>
      <c r="E42" s="216" t="e">
        <f>D42*#REF!</f>
        <v>#REF!</v>
      </c>
      <c r="F42" s="216" t="e">
        <f>D42*#REF!</f>
        <v>#REF!</v>
      </c>
      <c r="G42" s="216" t="e">
        <f>(D42*#REF!)*#REF!</f>
        <v>#REF!</v>
      </c>
      <c r="H42" s="211">
        <f t="shared" si="5"/>
        <v>0</v>
      </c>
      <c r="I42" s="7" t="e">
        <f t="shared" si="6"/>
        <v>#REF!</v>
      </c>
      <c r="J42" s="5"/>
      <c r="K42" s="323"/>
      <c r="L42" s="216">
        <v>93217</v>
      </c>
      <c r="M42" s="216">
        <v>109235.5</v>
      </c>
      <c r="N42" s="216">
        <v>0</v>
      </c>
      <c r="O42" s="36">
        <f>VLOOKUP(A42,TB!A:F,3)</f>
        <v>0</v>
      </c>
      <c r="P42" s="216"/>
      <c r="Q42" s="216">
        <v>0</v>
      </c>
      <c r="R42" s="281">
        <f>VLOOKUP(A42,TB!A:F,6)</f>
        <v>0</v>
      </c>
      <c r="S42" s="5"/>
    </row>
    <row r="43" spans="1:19" ht="15.75" hidden="1" customHeight="1" outlineLevel="1" x14ac:dyDescent="0.25">
      <c r="A43" s="47" t="s">
        <v>1211</v>
      </c>
      <c r="B43" s="48"/>
      <c r="C43" s="325"/>
      <c r="D43" s="48">
        <f t="shared" ref="D43:G43" si="7">SUM(D23:D42)</f>
        <v>0</v>
      </c>
      <c r="E43" s="48" t="e">
        <f t="shared" si="7"/>
        <v>#REF!</v>
      </c>
      <c r="F43" s="48" t="e">
        <f t="shared" si="7"/>
        <v>#REF!</v>
      </c>
      <c r="G43" s="48" t="e">
        <f t="shared" si="7"/>
        <v>#REF!</v>
      </c>
      <c r="H43" s="212">
        <f t="shared" si="5"/>
        <v>0</v>
      </c>
      <c r="I43" s="12" t="e">
        <f t="shared" si="6"/>
        <v>#REF!</v>
      </c>
      <c r="J43" s="5"/>
      <c r="K43" s="325"/>
      <c r="L43" s="12">
        <f t="shared" ref="L43:O43" si="8">SUM(L23:L42)</f>
        <v>672148</v>
      </c>
      <c r="M43" s="12">
        <f t="shared" si="8"/>
        <v>713638.49</v>
      </c>
      <c r="N43" s="12">
        <f t="shared" si="8"/>
        <v>552012</v>
      </c>
      <c r="O43" s="12">
        <f t="shared" si="8"/>
        <v>319239.97000000009</v>
      </c>
      <c r="P43" s="12"/>
      <c r="Q43" s="12">
        <f t="shared" ref="Q43:R43" si="9">SUM(Q23:Q42)</f>
        <v>577675</v>
      </c>
      <c r="R43" s="12">
        <f t="shared" si="9"/>
        <v>527200</v>
      </c>
      <c r="S43" s="5"/>
    </row>
    <row r="44" spans="1:19" ht="15.75" hidden="1" customHeight="1" outlineLevel="1" x14ac:dyDescent="0.2">
      <c r="A44" s="5"/>
      <c r="B44" s="5"/>
      <c r="C44" s="284"/>
      <c r="D44" s="5"/>
      <c r="E44" s="5"/>
      <c r="F44" s="5"/>
      <c r="G44" s="5"/>
      <c r="H44" s="5"/>
      <c r="I44" s="5"/>
      <c r="J44" s="5"/>
      <c r="K44" s="284"/>
      <c r="L44" s="5"/>
      <c r="M44" s="5"/>
      <c r="N44" s="5"/>
      <c r="O44" s="5"/>
      <c r="P44" s="5"/>
      <c r="Q44" s="5"/>
      <c r="R44" s="5"/>
      <c r="S44" s="5"/>
    </row>
    <row r="45" spans="1:19" ht="15.75" hidden="1" customHeight="1" outlineLevel="1" x14ac:dyDescent="0.2">
      <c r="A45" s="379" t="s">
        <v>50</v>
      </c>
      <c r="B45" s="379" t="s">
        <v>51</v>
      </c>
      <c r="C45" s="292"/>
      <c r="D45" s="379" t="s">
        <v>52</v>
      </c>
      <c r="E45" s="380" t="s">
        <v>53</v>
      </c>
      <c r="F45" s="380" t="s">
        <v>1212</v>
      </c>
      <c r="G45" s="380" t="s">
        <v>55</v>
      </c>
      <c r="H45" s="230" t="s">
        <v>56</v>
      </c>
      <c r="I45" s="230" t="s">
        <v>57</v>
      </c>
      <c r="J45" s="5"/>
      <c r="K45" s="292"/>
      <c r="L45" s="379" t="s">
        <v>59</v>
      </c>
      <c r="M45" s="379" t="s">
        <v>60</v>
      </c>
      <c r="N45" s="379" t="s">
        <v>436</v>
      </c>
      <c r="O45" s="379" t="s">
        <v>437</v>
      </c>
      <c r="P45" s="3" t="s">
        <v>541</v>
      </c>
      <c r="Q45" s="381" t="s">
        <v>438</v>
      </c>
      <c r="R45" s="293" t="s">
        <v>65</v>
      </c>
      <c r="S45" s="5"/>
    </row>
    <row r="46" spans="1:19" ht="15.75" hidden="1" customHeight="1" outlineLevel="1" x14ac:dyDescent="0.25">
      <c r="A46" s="6" t="s">
        <v>1233</v>
      </c>
      <c r="B46" s="6" t="s">
        <v>532</v>
      </c>
      <c r="C46" s="382"/>
      <c r="D46" s="112">
        <v>0</v>
      </c>
      <c r="E46" s="216" t="e">
        <f>D46*#REF!</f>
        <v>#REF!</v>
      </c>
      <c r="F46" s="216" t="e">
        <f>D46*#REF!</f>
        <v>#REF!</v>
      </c>
      <c r="G46" s="216" t="e">
        <f>(D46*#REF!)*#REF!</f>
        <v>#REF!</v>
      </c>
      <c r="H46" s="211">
        <f t="shared" ref="H46:H48" si="10">IFERROR(((Q46-G46)/G46),0)</f>
        <v>0</v>
      </c>
      <c r="I46" s="7" t="e">
        <f t="shared" ref="I46:I48" si="11">Q46-G46</f>
        <v>#REF!</v>
      </c>
      <c r="J46" s="5"/>
      <c r="K46" s="382"/>
      <c r="L46" s="36">
        <v>0</v>
      </c>
      <c r="M46" s="36">
        <v>0</v>
      </c>
      <c r="N46" s="36">
        <v>50000</v>
      </c>
      <c r="O46" s="36">
        <f>VLOOKUP(A46,TB!A:F,3)</f>
        <v>0</v>
      </c>
      <c r="P46" s="36"/>
      <c r="Q46" s="36">
        <v>0</v>
      </c>
      <c r="R46" s="281">
        <f>VLOOKUP(A46,TB!A:F,6)</f>
        <v>0</v>
      </c>
      <c r="S46" s="5"/>
    </row>
    <row r="47" spans="1:19" ht="15.75" hidden="1" customHeight="1" outlineLevel="1" x14ac:dyDescent="0.25">
      <c r="A47" s="6" t="s">
        <v>1234</v>
      </c>
      <c r="B47" s="6" t="s">
        <v>99</v>
      </c>
      <c r="C47" s="382"/>
      <c r="D47" s="112">
        <v>0</v>
      </c>
      <c r="E47" s="216" t="e">
        <f>D47*#REF!</f>
        <v>#REF!</v>
      </c>
      <c r="F47" s="216" t="e">
        <f>D47*#REF!</f>
        <v>#REF!</v>
      </c>
      <c r="G47" s="216" t="e">
        <f>(D47*#REF!)*#REF!</f>
        <v>#REF!</v>
      </c>
      <c r="H47" s="211">
        <f t="shared" si="10"/>
        <v>0</v>
      </c>
      <c r="I47" s="7" t="e">
        <f t="shared" si="11"/>
        <v>#REF!</v>
      </c>
      <c r="J47" s="5"/>
      <c r="K47" s="382"/>
      <c r="L47" s="36">
        <v>0</v>
      </c>
      <c r="M47" s="36">
        <v>0</v>
      </c>
      <c r="N47" s="36">
        <v>3750</v>
      </c>
      <c r="O47" s="36">
        <f>VLOOKUP(A47,TB!A:F,3)</f>
        <v>0</v>
      </c>
      <c r="P47" s="36"/>
      <c r="Q47" s="36">
        <v>23750</v>
      </c>
      <c r="R47" s="281">
        <f>VLOOKUP(A47,TB!A:F,6)</f>
        <v>0</v>
      </c>
      <c r="S47" s="5"/>
    </row>
    <row r="48" spans="1:19" ht="15.75" hidden="1" customHeight="1" outlineLevel="1" x14ac:dyDescent="0.25">
      <c r="A48" s="47" t="s">
        <v>1211</v>
      </c>
      <c r="B48" s="48"/>
      <c r="C48" s="325"/>
      <c r="D48" s="48">
        <f t="shared" ref="D48:G48" si="12">SUM(D46:D47)</f>
        <v>0</v>
      </c>
      <c r="E48" s="48" t="e">
        <f t="shared" si="12"/>
        <v>#REF!</v>
      </c>
      <c r="F48" s="48" t="e">
        <f t="shared" si="12"/>
        <v>#REF!</v>
      </c>
      <c r="G48" s="48" t="e">
        <f t="shared" si="12"/>
        <v>#REF!</v>
      </c>
      <c r="H48" s="212">
        <f t="shared" si="10"/>
        <v>0</v>
      </c>
      <c r="I48" s="12" t="e">
        <f t="shared" si="11"/>
        <v>#REF!</v>
      </c>
      <c r="J48" s="5"/>
      <c r="K48" s="325"/>
      <c r="L48" s="12">
        <f t="shared" ref="L48:O48" si="13">SUM(L46:L47)</f>
        <v>0</v>
      </c>
      <c r="M48" s="12">
        <f t="shared" si="13"/>
        <v>0</v>
      </c>
      <c r="N48" s="12">
        <f t="shared" si="13"/>
        <v>53750</v>
      </c>
      <c r="O48" s="12">
        <f t="shared" si="13"/>
        <v>0</v>
      </c>
      <c r="P48" s="12"/>
      <c r="Q48" s="12">
        <f t="shared" ref="Q48:R48" si="14">SUM(Q46:Q47)</f>
        <v>23750</v>
      </c>
      <c r="R48" s="12">
        <f t="shared" si="14"/>
        <v>0</v>
      </c>
      <c r="S48" s="5"/>
    </row>
    <row r="49" spans="1:23" ht="15.75" hidden="1" customHeight="1" outlineLevel="1" x14ac:dyDescent="0.2">
      <c r="A49" s="5"/>
      <c r="B49" s="5"/>
      <c r="C49" s="284"/>
      <c r="D49" s="5"/>
      <c r="E49" s="5"/>
      <c r="F49" s="5"/>
      <c r="G49" s="5"/>
      <c r="H49" s="5"/>
      <c r="I49" s="5"/>
      <c r="J49" s="5"/>
      <c r="K49" s="284"/>
      <c r="L49" s="5"/>
      <c r="M49" s="5"/>
      <c r="N49" s="5"/>
      <c r="O49" s="5"/>
      <c r="P49" s="5"/>
      <c r="Q49" s="5"/>
      <c r="R49" s="5"/>
      <c r="S49" s="5"/>
    </row>
    <row r="50" spans="1:23" ht="15" hidden="1" customHeight="1" outlineLevel="1" x14ac:dyDescent="0.2">
      <c r="A50" s="5"/>
      <c r="B50" s="5"/>
      <c r="C50" s="284"/>
      <c r="D50" s="5"/>
      <c r="E50" s="5"/>
      <c r="F50" s="5"/>
      <c r="G50" s="5"/>
      <c r="H50" s="5"/>
      <c r="I50" s="5"/>
      <c r="J50" s="5"/>
      <c r="K50" s="284"/>
      <c r="L50" s="5"/>
      <c r="M50" s="5"/>
      <c r="N50" s="5"/>
      <c r="O50" s="5"/>
      <c r="P50" s="5"/>
      <c r="Q50" s="5"/>
      <c r="R50" s="5"/>
      <c r="S50" s="5"/>
    </row>
    <row r="51" spans="1:23" ht="15.75" hidden="1" customHeight="1" outlineLevel="1" x14ac:dyDescent="0.2">
      <c r="A51" s="5"/>
      <c r="B51" s="5"/>
      <c r="C51" s="284"/>
      <c r="D51" s="5"/>
      <c r="E51" s="5"/>
      <c r="F51" s="5"/>
      <c r="G51" s="5"/>
      <c r="H51" s="5"/>
      <c r="I51" s="5"/>
      <c r="J51" s="5"/>
      <c r="K51" s="284"/>
      <c r="L51" s="5"/>
      <c r="M51" s="5"/>
      <c r="N51" s="5"/>
      <c r="O51" s="5"/>
      <c r="P51" s="5"/>
      <c r="Q51" s="5"/>
      <c r="R51" s="5"/>
      <c r="S51" s="5"/>
    </row>
    <row r="52" spans="1:23" ht="15.75" hidden="1" customHeight="1" collapsed="1" x14ac:dyDescent="0.25">
      <c r="A52" s="6" t="s">
        <v>1235</v>
      </c>
      <c r="B52" s="6" t="s">
        <v>68</v>
      </c>
      <c r="C52" s="383"/>
      <c r="D52" s="266">
        <f t="shared" ref="D52:D69" si="15">SUMIF($B$23:$B$42,$B52,D$23:D$42)+SUMIF($B$2:$B$18,$B52,D$2:D$18)+SUMIF($B$46:$B$47,$B52,D$46:D$47)</f>
        <v>0</v>
      </c>
      <c r="E52" s="142" t="e">
        <f>D52*#REF!</f>
        <v>#REF!</v>
      </c>
      <c r="F52" s="142" t="e">
        <f>D52*#REF!</f>
        <v>#REF!</v>
      </c>
      <c r="G52" s="142" t="e">
        <f>(D52*#REF!)*#REF!</f>
        <v>#REF!</v>
      </c>
      <c r="H52" s="33">
        <f t="shared" ref="H52:H70" si="16">IFERROR(((Q52-G52)/G52),0)</f>
        <v>0</v>
      </c>
      <c r="I52" s="16" t="e">
        <f t="shared" ref="I52:I70" si="17">Q52-G52</f>
        <v>#REF!</v>
      </c>
      <c r="J52" s="384"/>
      <c r="K52" s="383"/>
      <c r="L52" s="265">
        <f t="shared" ref="L52:O52" si="18">SUMIF($B$23:$B$42,$B52,L$23:L$42)+SUMIF($B$2:$B$18,$B52,L$2:L$18)+SUMIF($B$46:$B$47,$B52,L$46:L$47)</f>
        <v>237863</v>
      </c>
      <c r="M52" s="265">
        <f t="shared" si="18"/>
        <v>248954.63</v>
      </c>
      <c r="N52" s="265">
        <f t="shared" si="18"/>
        <v>195349</v>
      </c>
      <c r="O52" s="265">
        <f t="shared" si="18"/>
        <v>145342.43</v>
      </c>
      <c r="P52" s="142">
        <f t="shared" ref="P52:P55" si="19">O52/20*26</f>
        <v>188945.15899999999</v>
      </c>
      <c r="Q52" s="266">
        <f t="shared" ref="Q52:R52" si="20">SUMIF($B$23:$B$42,$B52,Q$23:Q$42)+SUMIF($B$2:$B$18,$B52,Q$2:Q$18)+SUMIF($B$46:$B$47,$B52,Q$46:Q$47)</f>
        <v>214000</v>
      </c>
      <c r="R52" s="315">
        <f t="shared" si="20"/>
        <v>214000</v>
      </c>
      <c r="S52" s="7">
        <f t="shared" ref="S52:S69" si="21">R52-Q52</f>
        <v>0</v>
      </c>
    </row>
    <row r="53" spans="1:23" ht="15.75" hidden="1" customHeight="1" x14ac:dyDescent="0.25">
      <c r="A53" s="6" t="s">
        <v>1235</v>
      </c>
      <c r="B53" s="6" t="s">
        <v>70</v>
      </c>
      <c r="C53" s="383"/>
      <c r="D53" s="266">
        <f t="shared" si="15"/>
        <v>0</v>
      </c>
      <c r="E53" s="142" t="e">
        <f>D53*#REF!</f>
        <v>#REF!</v>
      </c>
      <c r="F53" s="142" t="e">
        <f>D53*#REF!</f>
        <v>#REF!</v>
      </c>
      <c r="G53" s="142" t="e">
        <f>(D53*#REF!)*#REF!</f>
        <v>#REF!</v>
      </c>
      <c r="H53" s="33">
        <f t="shared" si="16"/>
        <v>0</v>
      </c>
      <c r="I53" s="16" t="e">
        <f t="shared" si="17"/>
        <v>#REF!</v>
      </c>
      <c r="J53" s="16">
        <v>-2500</v>
      </c>
      <c r="K53" s="383"/>
      <c r="L53" s="265">
        <f t="shared" ref="L53:O53" si="22">SUMIF($B$23:$B$42,$B53,L$23:L$42)+SUMIF($B$2:$B$18,$B53,L$2:L$18)+SUMIF($B$46:$B$47,$B53,L$46:L$47)</f>
        <v>2502</v>
      </c>
      <c r="M53" s="265">
        <f t="shared" si="22"/>
        <v>2773.02</v>
      </c>
      <c r="N53" s="265">
        <f t="shared" si="22"/>
        <v>6500</v>
      </c>
      <c r="O53" s="265">
        <f t="shared" si="22"/>
        <v>902.35</v>
      </c>
      <c r="P53" s="142">
        <f t="shared" si="19"/>
        <v>1173.0550000000001</v>
      </c>
      <c r="Q53" s="266">
        <f t="shared" ref="Q53:R53" si="23">SUMIF($B$23:$B$42,$B53,Q$23:Q$42)+SUMIF($B$2:$B$18,$B53,Q$2:Q$18)+SUMIF($B$46:$B$47,$B53,Q$46:Q$47)</f>
        <v>6600</v>
      </c>
      <c r="R53" s="315">
        <f t="shared" si="23"/>
        <v>4100</v>
      </c>
      <c r="S53" s="7">
        <f t="shared" si="21"/>
        <v>-2500</v>
      </c>
    </row>
    <row r="54" spans="1:23" ht="15.75" hidden="1" customHeight="1" x14ac:dyDescent="0.25">
      <c r="A54" s="6" t="s">
        <v>1235</v>
      </c>
      <c r="B54" s="6" t="s">
        <v>132</v>
      </c>
      <c r="C54" s="383"/>
      <c r="D54" s="266">
        <f t="shared" si="15"/>
        <v>0</v>
      </c>
      <c r="E54" s="142" t="e">
        <f>D54*#REF!</f>
        <v>#REF!</v>
      </c>
      <c r="F54" s="142" t="e">
        <f>D54*#REF!</f>
        <v>#REF!</v>
      </c>
      <c r="G54" s="142" t="e">
        <f>(D54*#REF!)*#REF!</f>
        <v>#REF!</v>
      </c>
      <c r="H54" s="33">
        <f t="shared" si="16"/>
        <v>0</v>
      </c>
      <c r="I54" s="16" t="e">
        <f t="shared" si="17"/>
        <v>#REF!</v>
      </c>
      <c r="J54" s="16"/>
      <c r="K54" s="383"/>
      <c r="L54" s="265">
        <f t="shared" ref="L54:O54" si="24">SUMIF($B$23:$B$42,$B54,L$23:L$42)+SUMIF($B$2:$B$18,$B54,L$2:L$18)+SUMIF($B$46:$B$47,$B54,L$46:L$47)</f>
        <v>0</v>
      </c>
      <c r="M54" s="265">
        <f t="shared" si="24"/>
        <v>0</v>
      </c>
      <c r="N54" s="265">
        <f t="shared" si="24"/>
        <v>10000</v>
      </c>
      <c r="O54" s="265">
        <f t="shared" si="24"/>
        <v>382.84</v>
      </c>
      <c r="P54" s="142">
        <f t="shared" si="19"/>
        <v>497.69200000000001</v>
      </c>
      <c r="Q54" s="266">
        <f t="shared" ref="Q54:R54" si="25">SUMIF($B$23:$B$42,$B54,Q$23:Q$42)+SUMIF($B$2:$B$18,$B54,Q$2:Q$18)+SUMIF($B$46:$B$47,$B54,Q$46:Q$47)</f>
        <v>10000</v>
      </c>
      <c r="R54" s="315">
        <f t="shared" si="25"/>
        <v>10000</v>
      </c>
      <c r="S54" s="7">
        <f t="shared" si="21"/>
        <v>0</v>
      </c>
    </row>
    <row r="55" spans="1:23" ht="15.75" hidden="1" customHeight="1" x14ac:dyDescent="0.25">
      <c r="A55" s="6" t="s">
        <v>1235</v>
      </c>
      <c r="B55" s="6" t="s">
        <v>72</v>
      </c>
      <c r="C55" s="383"/>
      <c r="D55" s="266">
        <f t="shared" si="15"/>
        <v>0</v>
      </c>
      <c r="E55" s="142" t="e">
        <f>D55*#REF!</f>
        <v>#REF!</v>
      </c>
      <c r="F55" s="142" t="e">
        <f>D55*#REF!</f>
        <v>#REF!</v>
      </c>
      <c r="G55" s="142" t="e">
        <f>(D55*#REF!)*#REF!</f>
        <v>#REF!</v>
      </c>
      <c r="H55" s="33">
        <f t="shared" si="16"/>
        <v>0</v>
      </c>
      <c r="I55" s="16" t="e">
        <f t="shared" si="17"/>
        <v>#REF!</v>
      </c>
      <c r="J55" s="16"/>
      <c r="K55" s="383"/>
      <c r="L55" s="265">
        <f t="shared" ref="L55:O55" si="26">SUMIF($B$23:$B$42,$B55,L$23:L$42)+SUMIF($B$2:$B$18,$B55,L$2:L$18)+SUMIF($B$46:$B$47,$B55,L$46:L$47)</f>
        <v>113759</v>
      </c>
      <c r="M55" s="265">
        <f t="shared" si="26"/>
        <v>122715.3</v>
      </c>
      <c r="N55" s="265">
        <f t="shared" si="26"/>
        <v>149599</v>
      </c>
      <c r="O55" s="265">
        <f t="shared" si="26"/>
        <v>92298.170000000013</v>
      </c>
      <c r="P55" s="142">
        <f t="shared" si="19"/>
        <v>119987.62100000001</v>
      </c>
      <c r="Q55" s="266">
        <f t="shared" ref="Q55:R55" si="27">SUMIF($B$23:$B$42,$B55,Q$23:Q$42)+SUMIF($B$2:$B$18,$B55,Q$2:Q$18)+SUMIF($B$46:$B$47,$B55,Q$46:Q$47)</f>
        <v>144800</v>
      </c>
      <c r="R55" s="315">
        <f t="shared" si="27"/>
        <v>144800</v>
      </c>
      <c r="S55" s="7">
        <f t="shared" si="21"/>
        <v>0</v>
      </c>
    </row>
    <row r="56" spans="1:23" ht="15.75" hidden="1" customHeight="1" x14ac:dyDescent="0.25">
      <c r="A56" s="6" t="s">
        <v>1235</v>
      </c>
      <c r="B56" s="6" t="s">
        <v>74</v>
      </c>
      <c r="C56" s="383"/>
      <c r="D56" s="266">
        <f t="shared" si="15"/>
        <v>0</v>
      </c>
      <c r="E56" s="142" t="e">
        <f>D56*#REF!</f>
        <v>#REF!</v>
      </c>
      <c r="F56" s="142" t="e">
        <f>D56*#REF!</f>
        <v>#REF!</v>
      </c>
      <c r="G56" s="142" t="e">
        <f>(D56*#REF!)*#REF!</f>
        <v>#REF!</v>
      </c>
      <c r="H56" s="33">
        <f t="shared" si="16"/>
        <v>0</v>
      </c>
      <c r="I56" s="16" t="e">
        <f t="shared" si="17"/>
        <v>#REF!</v>
      </c>
      <c r="J56" s="16">
        <v>-1500</v>
      </c>
      <c r="K56" s="383"/>
      <c r="L56" s="265">
        <f t="shared" ref="L56:O56" si="28">SUMIF($B$23:$B$42,$B56,L$23:L$42)+SUMIF($B$2:$B$18,$B56,L$2:L$18)+SUMIF($B$46:$B$47,$B56,L$46:L$47)</f>
        <v>1179</v>
      </c>
      <c r="M56" s="265">
        <f t="shared" si="28"/>
        <v>1790.8</v>
      </c>
      <c r="N56" s="265">
        <f t="shared" si="28"/>
        <v>3000</v>
      </c>
      <c r="O56" s="265">
        <f t="shared" si="28"/>
        <v>1592.02</v>
      </c>
      <c r="P56" s="266">
        <f>O56/9*12</f>
        <v>2122.6933333333336</v>
      </c>
      <c r="Q56" s="266">
        <f t="shared" ref="Q56:R56" si="29">SUMIF($B$23:$B$42,$B56,Q$23:Q$42)+SUMIF($B$2:$B$18,$B56,Q$2:Q$18)+SUMIF($B$46:$B$47,$B56,Q$46:Q$47)</f>
        <v>4800</v>
      </c>
      <c r="R56" s="315">
        <f t="shared" si="29"/>
        <v>3300</v>
      </c>
      <c r="S56" s="7">
        <f t="shared" si="21"/>
        <v>-1500</v>
      </c>
      <c r="W56" s="385"/>
    </row>
    <row r="57" spans="1:23" ht="15.75" hidden="1" customHeight="1" x14ac:dyDescent="0.25">
      <c r="A57" s="6" t="s">
        <v>1235</v>
      </c>
      <c r="B57" s="6" t="s">
        <v>76</v>
      </c>
      <c r="C57" s="383"/>
      <c r="D57" s="266">
        <f t="shared" si="15"/>
        <v>0</v>
      </c>
      <c r="E57" s="142" t="e">
        <f>D57*#REF!</f>
        <v>#REF!</v>
      </c>
      <c r="F57" s="142" t="e">
        <f>D57*#REF!</f>
        <v>#REF!</v>
      </c>
      <c r="G57" s="142" t="e">
        <f>(D57*#REF!)*#REF!</f>
        <v>#REF!</v>
      </c>
      <c r="H57" s="33">
        <f t="shared" si="16"/>
        <v>0</v>
      </c>
      <c r="I57" s="16" t="e">
        <f t="shared" si="17"/>
        <v>#REF!</v>
      </c>
      <c r="J57" s="16">
        <v>-2000</v>
      </c>
      <c r="K57" s="383"/>
      <c r="L57" s="265">
        <f t="shared" ref="L57:O57" si="30">SUMIF($B$23:$B$42,$B57,L$23:L$42)+SUMIF($B$2:$B$18,$B57,L$2:L$18)+SUMIF($B$46:$B$47,$B57,L$46:L$47)</f>
        <v>4912</v>
      </c>
      <c r="M57" s="265">
        <f t="shared" si="30"/>
        <v>3803.78</v>
      </c>
      <c r="N57" s="265">
        <f t="shared" si="30"/>
        <v>3500</v>
      </c>
      <c r="O57" s="265">
        <f t="shared" si="30"/>
        <v>2554.13</v>
      </c>
      <c r="P57" s="386">
        <f>IF(O57/9*12&lt;N57,N57,O57/9*12)</f>
        <v>3500</v>
      </c>
      <c r="Q57" s="266">
        <f t="shared" ref="Q57:R57" si="31">SUMIF($B$23:$B$42,$B57,Q$23:Q$42)+SUMIF($B$2:$B$18,$B57,Q$2:Q$18)+SUMIF($B$46:$B$47,$B57,Q$46:Q$47)</f>
        <v>7000</v>
      </c>
      <c r="R57" s="315">
        <f t="shared" si="31"/>
        <v>5000</v>
      </c>
      <c r="S57" s="7">
        <f t="shared" si="21"/>
        <v>-2000</v>
      </c>
    </row>
    <row r="58" spans="1:23" ht="15.75" hidden="1" customHeight="1" x14ac:dyDescent="0.25">
      <c r="A58" s="6" t="s">
        <v>1235</v>
      </c>
      <c r="B58" s="6" t="s">
        <v>80</v>
      </c>
      <c r="C58" s="383"/>
      <c r="D58" s="266">
        <f t="shared" si="15"/>
        <v>0</v>
      </c>
      <c r="E58" s="142" t="e">
        <f>D58*#REF!</f>
        <v>#REF!</v>
      </c>
      <c r="F58" s="142" t="e">
        <f>D58*#REF!</f>
        <v>#REF!</v>
      </c>
      <c r="G58" s="142" t="e">
        <f>(D58*#REF!)*#REF!</f>
        <v>#REF!</v>
      </c>
      <c r="H58" s="33">
        <f t="shared" si="16"/>
        <v>0</v>
      </c>
      <c r="I58" s="16" t="e">
        <f t="shared" si="17"/>
        <v>#REF!</v>
      </c>
      <c r="J58" s="16">
        <v>-1000</v>
      </c>
      <c r="K58" s="383"/>
      <c r="L58" s="265">
        <f t="shared" ref="L58:O58" si="32">SUMIF($B$23:$B$42,$B58,L$23:L$42)+SUMIF($B$2:$B$18,$B58,L$2:L$18)+SUMIF($B$46:$B$47,$B58,L$46:L$47)</f>
        <v>5613</v>
      </c>
      <c r="M58" s="265">
        <f t="shared" si="32"/>
        <v>9195.85</v>
      </c>
      <c r="N58" s="265">
        <f t="shared" si="32"/>
        <v>10200</v>
      </c>
      <c r="O58" s="265">
        <f t="shared" si="32"/>
        <v>6802.34</v>
      </c>
      <c r="P58" s="266">
        <f t="shared" ref="P58:P60" si="33">O58/9*12</f>
        <v>9069.7866666666669</v>
      </c>
      <c r="Q58" s="266">
        <f t="shared" ref="Q58:R58" si="34">SUMIF($B$23:$B$42,$B58,Q$23:Q$42)+SUMIF($B$2:$B$18,$B58,Q$2:Q$18)+SUMIF($B$46:$B$47,$B58,Q$46:Q$47)</f>
        <v>11000</v>
      </c>
      <c r="R58" s="315">
        <f t="shared" si="34"/>
        <v>10000</v>
      </c>
      <c r="S58" s="7">
        <f t="shared" si="21"/>
        <v>-1000</v>
      </c>
    </row>
    <row r="59" spans="1:23" ht="15.75" hidden="1" customHeight="1" x14ac:dyDescent="0.25">
      <c r="A59" s="6" t="s">
        <v>1235</v>
      </c>
      <c r="B59" s="6" t="s">
        <v>82</v>
      </c>
      <c r="C59" s="383"/>
      <c r="D59" s="266">
        <f t="shared" si="15"/>
        <v>0</v>
      </c>
      <c r="E59" s="142" t="e">
        <f>D59*#REF!</f>
        <v>#REF!</v>
      </c>
      <c r="F59" s="142" t="e">
        <f>D59*#REF!</f>
        <v>#REF!</v>
      </c>
      <c r="G59" s="142" t="e">
        <f>(D59*#REF!)*#REF!</f>
        <v>#REF!</v>
      </c>
      <c r="H59" s="33">
        <f t="shared" si="16"/>
        <v>0</v>
      </c>
      <c r="I59" s="16" t="e">
        <f t="shared" si="17"/>
        <v>#REF!</v>
      </c>
      <c r="J59" s="16">
        <v>-500</v>
      </c>
      <c r="K59" s="383"/>
      <c r="L59" s="265">
        <f t="shared" ref="L59:O59" si="35">SUMIF($B$23:$B$42,$B59,L$23:L$42)+SUMIF($B$2:$B$18,$B59,L$2:L$18)+SUMIF($B$46:$B$47,$B59,L$46:L$47)</f>
        <v>9382</v>
      </c>
      <c r="M59" s="265">
        <f t="shared" si="35"/>
        <v>7600.31</v>
      </c>
      <c r="N59" s="265">
        <f t="shared" si="35"/>
        <v>10500</v>
      </c>
      <c r="O59" s="265">
        <f t="shared" si="35"/>
        <v>3249.91</v>
      </c>
      <c r="P59" s="266">
        <f t="shared" si="33"/>
        <v>4333.2133333333331</v>
      </c>
      <c r="Q59" s="266">
        <f t="shared" ref="Q59:R59" si="36">SUMIF($B$23:$B$42,$B59,Q$23:Q$42)+SUMIF($B$2:$B$18,$B59,Q$2:Q$18)+SUMIF($B$46:$B$47,$B59,Q$46:Q$47)</f>
        <v>10500</v>
      </c>
      <c r="R59" s="315">
        <f t="shared" si="36"/>
        <v>10000</v>
      </c>
      <c r="S59" s="7">
        <f t="shared" si="21"/>
        <v>-500</v>
      </c>
    </row>
    <row r="60" spans="1:23" ht="15.75" hidden="1" customHeight="1" x14ac:dyDescent="0.25">
      <c r="A60" s="6" t="s">
        <v>1235</v>
      </c>
      <c r="B60" s="6" t="s">
        <v>115</v>
      </c>
      <c r="C60" s="383"/>
      <c r="D60" s="266">
        <f t="shared" si="15"/>
        <v>0</v>
      </c>
      <c r="E60" s="142" t="e">
        <f>D60*#REF!</f>
        <v>#REF!</v>
      </c>
      <c r="F60" s="142" t="e">
        <f>D60*#REF!</f>
        <v>#REF!</v>
      </c>
      <c r="G60" s="142" t="e">
        <f>(D60*#REF!)*#REF!</f>
        <v>#REF!</v>
      </c>
      <c r="H60" s="33">
        <f t="shared" si="16"/>
        <v>0</v>
      </c>
      <c r="I60" s="16" t="e">
        <f t="shared" si="17"/>
        <v>#REF!</v>
      </c>
      <c r="J60" s="16">
        <v>-2000</v>
      </c>
      <c r="K60" s="383"/>
      <c r="L60" s="265">
        <f t="shared" ref="L60:O60" si="37">SUMIF($B$23:$B$42,$B60,L$23:L$42)+SUMIF($B$2:$B$18,$B60,L$2:L$18)+SUMIF($B$46:$B$47,$B60,L$46:L$47)</f>
        <v>7100</v>
      </c>
      <c r="M60" s="265">
        <f t="shared" si="37"/>
        <v>4346.7299999999996</v>
      </c>
      <c r="N60" s="265">
        <f t="shared" si="37"/>
        <v>7000</v>
      </c>
      <c r="O60" s="265">
        <f t="shared" si="37"/>
        <v>792.9</v>
      </c>
      <c r="P60" s="266">
        <f t="shared" si="33"/>
        <v>1057.1999999999998</v>
      </c>
      <c r="Q60" s="266">
        <f t="shared" ref="Q60:R60" si="38">SUMIF($B$23:$B$42,$B60,Q$23:Q$42)+SUMIF($B$2:$B$18,$B60,Q$2:Q$18)+SUMIF($B$46:$B$47,$B60,Q$46:Q$47)</f>
        <v>7000</v>
      </c>
      <c r="R60" s="315">
        <f t="shared" si="38"/>
        <v>5000</v>
      </c>
      <c r="S60" s="7">
        <f t="shared" si="21"/>
        <v>-2000</v>
      </c>
    </row>
    <row r="61" spans="1:23" ht="15.75" hidden="1" customHeight="1" x14ac:dyDescent="0.25">
      <c r="A61" s="6" t="s">
        <v>1235</v>
      </c>
      <c r="B61" s="6" t="s">
        <v>555</v>
      </c>
      <c r="C61" s="383"/>
      <c r="D61" s="266">
        <f t="shared" si="15"/>
        <v>0</v>
      </c>
      <c r="E61" s="142" t="e">
        <f>D61*#REF!</f>
        <v>#REF!</v>
      </c>
      <c r="F61" s="142" t="e">
        <f>D61*#REF!</f>
        <v>#REF!</v>
      </c>
      <c r="G61" s="142" t="e">
        <f>(D61*#REF!)*#REF!</f>
        <v>#REF!</v>
      </c>
      <c r="H61" s="33">
        <f t="shared" si="16"/>
        <v>0</v>
      </c>
      <c r="I61" s="16" t="e">
        <f t="shared" si="17"/>
        <v>#REF!</v>
      </c>
      <c r="J61" s="16">
        <v>-10000</v>
      </c>
      <c r="K61" s="383"/>
      <c r="L61" s="265">
        <f t="shared" ref="L61:O61" si="39">SUMIF($B$23:$B$42,$B61,L$23:L$42)+SUMIF($B$2:$B$18,$B61,L$2:L$18)+SUMIF($B$46:$B$47,$B61,L$46:L$47)</f>
        <v>94794</v>
      </c>
      <c r="M61" s="265">
        <f t="shared" si="39"/>
        <v>104562.55</v>
      </c>
      <c r="N61" s="265">
        <f t="shared" si="39"/>
        <v>110100</v>
      </c>
      <c r="O61" s="265">
        <f t="shared" si="39"/>
        <v>56261.62</v>
      </c>
      <c r="P61" s="386">
        <f>IF(O61/9*12&lt;N61,N61,O61/9*12)</f>
        <v>110100</v>
      </c>
      <c r="Q61" s="266">
        <f t="shared" ref="Q61:R61" si="40">SUMIF($B$23:$B$42,$B61,Q$23:Q$42)+SUMIF($B$2:$B$18,$B61,Q$2:Q$18)+SUMIF($B$46:$B$47,$B61,Q$46:Q$47)</f>
        <v>110100</v>
      </c>
      <c r="R61" s="315">
        <f t="shared" si="40"/>
        <v>100100</v>
      </c>
      <c r="S61" s="7">
        <f t="shared" si="21"/>
        <v>-10000</v>
      </c>
    </row>
    <row r="62" spans="1:23" ht="15.75" hidden="1" customHeight="1" x14ac:dyDescent="0.25">
      <c r="A62" s="6" t="s">
        <v>1235</v>
      </c>
      <c r="B62" s="6" t="s">
        <v>277</v>
      </c>
      <c r="C62" s="383"/>
      <c r="D62" s="266">
        <f t="shared" si="15"/>
        <v>0</v>
      </c>
      <c r="E62" s="142" t="e">
        <f>D62*#REF!</f>
        <v>#REF!</v>
      </c>
      <c r="F62" s="142" t="e">
        <f>D62*#REF!</f>
        <v>#REF!</v>
      </c>
      <c r="G62" s="142" t="e">
        <f>(D62*#REF!)*#REF!</f>
        <v>#REF!</v>
      </c>
      <c r="H62" s="33">
        <f t="shared" si="16"/>
        <v>0</v>
      </c>
      <c r="I62" s="16" t="e">
        <f t="shared" si="17"/>
        <v>#REF!</v>
      </c>
      <c r="J62" s="16">
        <v>-38800</v>
      </c>
      <c r="K62" s="383"/>
      <c r="L62" s="265">
        <f t="shared" ref="L62:O62" si="41">SUMIF($B$23:$B$42,$B62,L$23:L$42)+SUMIF($B$2:$B$18,$B62,L$2:L$18)+SUMIF($B$46:$B$47,$B62,L$46:L$47)</f>
        <v>93830</v>
      </c>
      <c r="M62" s="265">
        <f t="shared" si="41"/>
        <v>67264.539999999994</v>
      </c>
      <c r="N62" s="265">
        <f t="shared" si="41"/>
        <v>138800</v>
      </c>
      <c r="O62" s="265">
        <f t="shared" si="41"/>
        <v>51643.539999999994</v>
      </c>
      <c r="P62" s="266">
        <f>O62/8*12</f>
        <v>77465.31</v>
      </c>
      <c r="Q62" s="266">
        <f t="shared" ref="Q62:R62" si="42">SUMIF($B$23:$B$42,$B62,Q$23:Q$42)+SUMIF($B$2:$B$18,$B62,Q$2:Q$18)+SUMIF($B$46:$B$47,$B62,Q$46:Q$47)</f>
        <v>138800</v>
      </c>
      <c r="R62" s="315">
        <f t="shared" si="42"/>
        <v>100000</v>
      </c>
      <c r="S62" s="7">
        <f t="shared" si="21"/>
        <v>-38800</v>
      </c>
    </row>
    <row r="63" spans="1:23" ht="15.75" hidden="1" customHeight="1" x14ac:dyDescent="0.25">
      <c r="A63" s="6" t="s">
        <v>1235</v>
      </c>
      <c r="B63" s="6" t="s">
        <v>84</v>
      </c>
      <c r="C63" s="383"/>
      <c r="D63" s="266">
        <f t="shared" si="15"/>
        <v>0</v>
      </c>
      <c r="E63" s="142" t="e">
        <f>D63*#REF!</f>
        <v>#REF!</v>
      </c>
      <c r="F63" s="142" t="e">
        <f>D63*#REF!</f>
        <v>#REF!</v>
      </c>
      <c r="G63" s="142" t="e">
        <f>(D63*#REF!)*#REF!</f>
        <v>#REF!</v>
      </c>
      <c r="H63" s="33">
        <f t="shared" si="16"/>
        <v>0</v>
      </c>
      <c r="I63" s="16" t="e">
        <f t="shared" si="17"/>
        <v>#REF!</v>
      </c>
      <c r="J63" s="16"/>
      <c r="K63" s="383"/>
      <c r="L63" s="265">
        <f t="shared" ref="L63:O63" si="43">SUMIF($B$23:$B$42,$B63,L$23:L$42)+SUMIF($B$2:$B$18,$B63,L$2:L$18)+SUMIF($B$46:$B$47,$B63,L$46:L$47)</f>
        <v>3931</v>
      </c>
      <c r="M63" s="265">
        <f t="shared" si="43"/>
        <v>2622.08</v>
      </c>
      <c r="N63" s="265">
        <f t="shared" si="43"/>
        <v>5000</v>
      </c>
      <c r="O63" s="265">
        <f t="shared" si="43"/>
        <v>1844.71</v>
      </c>
      <c r="P63" s="266">
        <f t="shared" ref="P63:P66" si="44">O63/9*12</f>
        <v>2459.6133333333332</v>
      </c>
      <c r="Q63" s="266">
        <f t="shared" ref="Q63:R63" si="45">SUMIF($B$23:$B$42,$B63,Q$23:Q$42)+SUMIF($B$2:$B$18,$B63,Q$2:Q$18)+SUMIF($B$46:$B$47,$B63,Q$46:Q$47)</f>
        <v>4400</v>
      </c>
      <c r="R63" s="315">
        <f t="shared" si="45"/>
        <v>4400</v>
      </c>
      <c r="S63" s="7">
        <f t="shared" si="21"/>
        <v>0</v>
      </c>
    </row>
    <row r="64" spans="1:23" ht="15.75" hidden="1" customHeight="1" x14ac:dyDescent="0.25">
      <c r="A64" s="6" t="s">
        <v>1235</v>
      </c>
      <c r="B64" s="6" t="s">
        <v>86</v>
      </c>
      <c r="C64" s="383"/>
      <c r="D64" s="266">
        <f t="shared" si="15"/>
        <v>0</v>
      </c>
      <c r="E64" s="142" t="e">
        <f>D64*#REF!</f>
        <v>#REF!</v>
      </c>
      <c r="F64" s="142" t="e">
        <f>D64*#REF!</f>
        <v>#REF!</v>
      </c>
      <c r="G64" s="142" t="e">
        <f>(D64*#REF!)*#REF!</f>
        <v>#REF!</v>
      </c>
      <c r="H64" s="33">
        <f t="shared" si="16"/>
        <v>0</v>
      </c>
      <c r="I64" s="16" t="e">
        <f t="shared" si="17"/>
        <v>#REF!</v>
      </c>
      <c r="J64" s="16">
        <v>-5000</v>
      </c>
      <c r="K64" s="383"/>
      <c r="L64" s="265">
        <f t="shared" ref="L64:O64" si="46">SUMIF($B$23:$B$42,$B64,L$23:L$42)+SUMIF($B$2:$B$18,$B64,L$2:L$18)+SUMIF($B$46:$B$47,$B64,L$46:L$47)</f>
        <v>0</v>
      </c>
      <c r="M64" s="265">
        <f t="shared" si="46"/>
        <v>231.75</v>
      </c>
      <c r="N64" s="265">
        <f t="shared" si="46"/>
        <v>5000</v>
      </c>
      <c r="O64" s="265">
        <f t="shared" si="46"/>
        <v>0</v>
      </c>
      <c r="P64" s="266">
        <f t="shared" si="44"/>
        <v>0</v>
      </c>
      <c r="Q64" s="266">
        <f t="shared" ref="Q64:R64" si="47">SUMIF($B$23:$B$42,$B64,Q$23:Q$42)+SUMIF($B$2:$B$18,$B64,Q$2:Q$18)+SUMIF($B$46:$B$47,$B64,Q$46:Q$47)</f>
        <v>10000</v>
      </c>
      <c r="R64" s="315">
        <f t="shared" si="47"/>
        <v>5000</v>
      </c>
      <c r="S64" s="7">
        <f t="shared" si="21"/>
        <v>-5000</v>
      </c>
    </row>
    <row r="65" spans="1:19" ht="15.75" hidden="1" customHeight="1" x14ac:dyDescent="0.25">
      <c r="A65" s="6" t="s">
        <v>1235</v>
      </c>
      <c r="B65" s="6" t="s">
        <v>1160</v>
      </c>
      <c r="C65" s="383"/>
      <c r="D65" s="266">
        <f t="shared" si="15"/>
        <v>0</v>
      </c>
      <c r="E65" s="142" t="e">
        <f>D65*#REF!</f>
        <v>#REF!</v>
      </c>
      <c r="F65" s="142" t="e">
        <f>D65*#REF!</f>
        <v>#REF!</v>
      </c>
      <c r="G65" s="142" t="e">
        <f>(D65*#REF!)*#REF!</f>
        <v>#REF!</v>
      </c>
      <c r="H65" s="33">
        <f t="shared" si="16"/>
        <v>0</v>
      </c>
      <c r="I65" s="16" t="e">
        <f t="shared" si="17"/>
        <v>#REF!</v>
      </c>
      <c r="J65" s="16"/>
      <c r="K65" s="383"/>
      <c r="L65" s="265">
        <f t="shared" ref="L65:O65" si="48">SUMIF($B$23:$B$42,$B65,L$23:L$42)+SUMIF($B$2:$B$18,$B65,L$2:L$18)+SUMIF($B$46:$B$47,$B65,L$46:L$47)</f>
        <v>700</v>
      </c>
      <c r="M65" s="265">
        <f t="shared" si="48"/>
        <v>308.08</v>
      </c>
      <c r="N65" s="265">
        <f t="shared" si="48"/>
        <v>1575</v>
      </c>
      <c r="O65" s="265">
        <f t="shared" si="48"/>
        <v>154.51</v>
      </c>
      <c r="P65" s="266">
        <f t="shared" si="44"/>
        <v>206.01333333333332</v>
      </c>
      <c r="Q65" s="266">
        <f t="shared" ref="Q65:R65" si="49">SUMIF($B$23:$B$42,$B65,Q$23:Q$42)+SUMIF($B$2:$B$18,$B65,Q$2:Q$18)+SUMIF($B$46:$B$47,$B65,Q$46:Q$47)</f>
        <v>2100</v>
      </c>
      <c r="R65" s="315">
        <f t="shared" si="49"/>
        <v>2100</v>
      </c>
      <c r="S65" s="7">
        <f t="shared" si="21"/>
        <v>0</v>
      </c>
    </row>
    <row r="66" spans="1:19" ht="15.75" hidden="1" customHeight="1" x14ac:dyDescent="0.25">
      <c r="A66" s="6" t="s">
        <v>1235</v>
      </c>
      <c r="B66" s="6" t="s">
        <v>90</v>
      </c>
      <c r="C66" s="383"/>
      <c r="D66" s="266">
        <f t="shared" si="15"/>
        <v>0</v>
      </c>
      <c r="E66" s="142" t="e">
        <f>D66*#REF!</f>
        <v>#REF!</v>
      </c>
      <c r="F66" s="142" t="e">
        <f>D66*#REF!</f>
        <v>#REF!</v>
      </c>
      <c r="G66" s="142" t="e">
        <f>(D66*#REF!)*#REF!</f>
        <v>#REF!</v>
      </c>
      <c r="H66" s="33">
        <f t="shared" si="16"/>
        <v>0</v>
      </c>
      <c r="I66" s="16" t="e">
        <f t="shared" si="17"/>
        <v>#REF!</v>
      </c>
      <c r="J66" s="16">
        <v>-3000</v>
      </c>
      <c r="K66" s="383"/>
      <c r="L66" s="265">
        <f t="shared" ref="L66:O66" si="50">SUMIF($B$23:$B$42,$B66,L$23:L$42)+SUMIF($B$2:$B$18,$B66,L$2:L$18)+SUMIF($B$46:$B$47,$B66,L$46:L$47)</f>
        <v>0</v>
      </c>
      <c r="M66" s="265">
        <f t="shared" si="50"/>
        <v>0</v>
      </c>
      <c r="N66" s="265">
        <f t="shared" si="50"/>
        <v>3500</v>
      </c>
      <c r="O66" s="265">
        <f t="shared" si="50"/>
        <v>1771.5700000000002</v>
      </c>
      <c r="P66" s="266">
        <f t="shared" si="44"/>
        <v>2362.0933333333337</v>
      </c>
      <c r="Q66" s="266">
        <f t="shared" ref="Q66:R66" si="51">SUMIF($B$23:$B$42,$B66,Q$23:Q$42)+SUMIF($B$2:$B$18,$B66,Q$2:Q$18)+SUMIF($B$46:$B$47,$B66,Q$46:Q$47)</f>
        <v>8000</v>
      </c>
      <c r="R66" s="315">
        <f t="shared" si="51"/>
        <v>5000</v>
      </c>
      <c r="S66" s="7">
        <f t="shared" si="21"/>
        <v>-3000</v>
      </c>
    </row>
    <row r="67" spans="1:19" ht="15.75" hidden="1" customHeight="1" x14ac:dyDescent="0.25">
      <c r="A67" s="6" t="s">
        <v>1235</v>
      </c>
      <c r="B67" s="6" t="s">
        <v>1209</v>
      </c>
      <c r="C67" s="383"/>
      <c r="D67" s="266">
        <f t="shared" si="15"/>
        <v>0</v>
      </c>
      <c r="E67" s="142" t="e">
        <f>D67*#REF!</f>
        <v>#REF!</v>
      </c>
      <c r="F67" s="142" t="e">
        <f>D67*#REF!</f>
        <v>#REF!</v>
      </c>
      <c r="G67" s="142" t="e">
        <f>(D67*#REF!)*#REF!</f>
        <v>#REF!</v>
      </c>
      <c r="H67" s="33">
        <f t="shared" si="16"/>
        <v>0</v>
      </c>
      <c r="I67" s="16" t="e">
        <f t="shared" si="17"/>
        <v>#REF!</v>
      </c>
      <c r="J67" s="16">
        <v>-1000</v>
      </c>
      <c r="K67" s="383"/>
      <c r="L67" s="265">
        <f t="shared" ref="L67:O67" si="52">SUMIF($B$23:$B$42,$B67,L$23:L$42)+SUMIF($B$2:$B$18,$B67,L$2:L$18)+SUMIF($B$46:$B$47,$B67,L$46:L$47)</f>
        <v>0</v>
      </c>
      <c r="M67" s="265">
        <f t="shared" si="52"/>
        <v>2374.91</v>
      </c>
      <c r="N67" s="265">
        <f t="shared" si="52"/>
        <v>6000</v>
      </c>
      <c r="O67" s="265">
        <f t="shared" si="52"/>
        <v>3384.8199999999997</v>
      </c>
      <c r="P67" s="386">
        <f>IF(O67/9*12&lt;N67,N67,O67/9*12)</f>
        <v>6000</v>
      </c>
      <c r="Q67" s="266">
        <f t="shared" ref="Q67:R67" si="53">SUMIF($B$23:$B$42,$B67,Q$23:Q$42)+SUMIF($B$2:$B$18,$B67,Q$2:Q$18)+SUMIF($B$46:$B$47,$B67,Q$46:Q$47)</f>
        <v>6000</v>
      </c>
      <c r="R67" s="315">
        <f t="shared" si="53"/>
        <v>5000</v>
      </c>
      <c r="S67" s="7">
        <f t="shared" si="21"/>
        <v>-1000</v>
      </c>
    </row>
    <row r="68" spans="1:19" ht="15.75" hidden="1" customHeight="1" x14ac:dyDescent="0.25">
      <c r="A68" s="6" t="s">
        <v>1235</v>
      </c>
      <c r="B68" s="6" t="s">
        <v>92</v>
      </c>
      <c r="C68" s="383"/>
      <c r="D68" s="266">
        <f t="shared" si="15"/>
        <v>0</v>
      </c>
      <c r="E68" s="142" t="e">
        <f>D68*#REF!</f>
        <v>#REF!</v>
      </c>
      <c r="F68" s="142" t="e">
        <f>D68*#REF!</f>
        <v>#REF!</v>
      </c>
      <c r="G68" s="142" t="e">
        <f>(D68*#REF!)*#REF!</f>
        <v>#REF!</v>
      </c>
      <c r="H68" s="33">
        <f t="shared" si="16"/>
        <v>0</v>
      </c>
      <c r="I68" s="16" t="e">
        <f t="shared" si="17"/>
        <v>#REF!</v>
      </c>
      <c r="J68" s="16"/>
      <c r="K68" s="383"/>
      <c r="L68" s="265">
        <f t="shared" ref="L68:O68" si="54">SUMIF($B$23:$B$42,$B68,L$23:L$42)+SUMIF($B$2:$B$18,$B68,L$2:L$18)+SUMIF($B$46:$B$47,$B68,L$46:L$47)</f>
        <v>3366</v>
      </c>
      <c r="M68" s="265">
        <f t="shared" si="54"/>
        <v>4463.66</v>
      </c>
      <c r="N68" s="265">
        <f t="shared" si="54"/>
        <v>4000</v>
      </c>
      <c r="O68" s="265">
        <f t="shared" si="54"/>
        <v>4466.62</v>
      </c>
      <c r="P68" s="386">
        <f>O68</f>
        <v>4466.62</v>
      </c>
      <c r="Q68" s="266">
        <f t="shared" ref="Q68:R68" si="55">SUMIF($B$23:$B$42,$B68,Q$23:Q$42)+SUMIF($B$2:$B$18,$B68,Q$2:Q$18)+SUMIF($B$46:$B$47,$B68,Q$46:Q$47)</f>
        <v>4000</v>
      </c>
      <c r="R68" s="315">
        <f t="shared" si="55"/>
        <v>4000</v>
      </c>
      <c r="S68" s="7">
        <f t="shared" si="21"/>
        <v>0</v>
      </c>
    </row>
    <row r="69" spans="1:19" ht="15.75" hidden="1" customHeight="1" x14ac:dyDescent="0.25">
      <c r="A69" s="6" t="s">
        <v>1235</v>
      </c>
      <c r="B69" s="103" t="s">
        <v>94</v>
      </c>
      <c r="C69" s="383"/>
      <c r="D69" s="266">
        <f t="shared" si="15"/>
        <v>0</v>
      </c>
      <c r="E69" s="142" t="e">
        <f>D69*#REF!</f>
        <v>#REF!</v>
      </c>
      <c r="F69" s="142" t="e">
        <f>D69*#REF!</f>
        <v>#REF!</v>
      </c>
      <c r="G69" s="142" t="e">
        <f>(D69*#REF!)*#REF!</f>
        <v>#REF!</v>
      </c>
      <c r="H69" s="33">
        <f t="shared" si="16"/>
        <v>0</v>
      </c>
      <c r="I69" s="16" t="e">
        <f t="shared" si="17"/>
        <v>#REF!</v>
      </c>
      <c r="J69" s="16"/>
      <c r="K69" s="383"/>
      <c r="L69" s="265">
        <f t="shared" ref="L69:O69" si="56">SUMIF($B$23:$B$42,$B69,L$23:L$42)+SUMIF($B$2:$B$18,$B69,L$2:L$18)+SUMIF($B$46:$B$47,$B69,L$46:L$47)</f>
        <v>0</v>
      </c>
      <c r="M69" s="265">
        <f t="shared" si="56"/>
        <v>0</v>
      </c>
      <c r="N69" s="265">
        <f t="shared" si="56"/>
        <v>0</v>
      </c>
      <c r="O69" s="265">
        <f t="shared" si="56"/>
        <v>0</v>
      </c>
      <c r="P69" s="266">
        <f>IF(O69/9*12&lt;N69,N69,O69/9*12)</f>
        <v>0</v>
      </c>
      <c r="Q69" s="266">
        <f t="shared" ref="Q69:R69" si="57">SUMIF($B$23:$B$42,$B69,Q$23:Q$42)+SUMIF($B$2:$B$18,$B69,Q$2:Q$18)+SUMIF($B$46:$B$47,$B69,Q$46:Q$47)</f>
        <v>0</v>
      </c>
      <c r="R69" s="315">
        <f t="shared" si="57"/>
        <v>0</v>
      </c>
      <c r="S69" s="7">
        <f t="shared" si="21"/>
        <v>0</v>
      </c>
    </row>
    <row r="70" spans="1:19" ht="15.75" hidden="1" customHeight="1" x14ac:dyDescent="0.25">
      <c r="A70" s="47" t="s">
        <v>1211</v>
      </c>
      <c r="B70" s="48"/>
      <c r="C70" s="282"/>
      <c r="D70" s="50">
        <f t="shared" ref="D70:G70" si="58">SUM(D52:D69)</f>
        <v>0</v>
      </c>
      <c r="E70" s="50" t="e">
        <f t="shared" si="58"/>
        <v>#REF!</v>
      </c>
      <c r="F70" s="50" t="e">
        <f t="shared" si="58"/>
        <v>#REF!</v>
      </c>
      <c r="G70" s="50" t="e">
        <f t="shared" si="58"/>
        <v>#REF!</v>
      </c>
      <c r="H70" s="42">
        <f t="shared" si="16"/>
        <v>0</v>
      </c>
      <c r="I70" s="50" t="e">
        <f t="shared" si="17"/>
        <v>#REF!</v>
      </c>
      <c r="J70" s="50">
        <f>SUM(J52:J69)</f>
        <v>-67300</v>
      </c>
      <c r="K70" s="282"/>
      <c r="L70" s="12">
        <f t="shared" ref="L70:S70" si="59">SUM(L52:L69)</f>
        <v>578931</v>
      </c>
      <c r="M70" s="12">
        <f t="shared" si="59"/>
        <v>583007.99</v>
      </c>
      <c r="N70" s="12">
        <f t="shared" si="59"/>
        <v>669623</v>
      </c>
      <c r="O70" s="12">
        <f t="shared" si="59"/>
        <v>373444.48000000004</v>
      </c>
      <c r="P70" s="50">
        <f t="shared" si="59"/>
        <v>533746.07033333334</v>
      </c>
      <c r="Q70" s="50">
        <f t="shared" si="59"/>
        <v>699100</v>
      </c>
      <c r="R70" s="12">
        <f t="shared" si="59"/>
        <v>631800</v>
      </c>
      <c r="S70" s="12">
        <f t="shared" si="59"/>
        <v>-67300</v>
      </c>
    </row>
    <row r="71" spans="1:19" ht="15.75" hidden="1" customHeight="1" x14ac:dyDescent="0.25">
      <c r="A71" s="6"/>
      <c r="B71" s="103"/>
      <c r="C71" s="383"/>
      <c r="D71" s="265"/>
      <c r="E71" s="265"/>
      <c r="F71" s="265"/>
      <c r="G71" s="265"/>
      <c r="H71" s="211"/>
      <c r="I71" s="5"/>
      <c r="J71" s="5"/>
      <c r="K71" s="383"/>
      <c r="L71" s="265"/>
      <c r="M71" s="265"/>
      <c r="N71" s="265"/>
      <c r="O71" s="265"/>
      <c r="P71" s="265"/>
      <c r="Q71" s="265"/>
      <c r="R71" s="5"/>
      <c r="S71" s="5"/>
    </row>
    <row r="72" spans="1:19" ht="15.75" hidden="1" customHeight="1" x14ac:dyDescent="0.25">
      <c r="A72" s="6" t="s">
        <v>1235</v>
      </c>
      <c r="B72" s="103" t="s">
        <v>532</v>
      </c>
      <c r="C72" s="383"/>
      <c r="D72" s="266">
        <f t="shared" ref="D72:D73" si="60">SUMIF($B$23:$B$42,$B72,D$23:D$42)+SUMIF($B$2:$B$18,$B72,D$2:D$18)+SUMIF($B$46:$B$47,$B72,D$46:D$47)</f>
        <v>0</v>
      </c>
      <c r="E72" s="142" t="e">
        <f>D72*#REF!</f>
        <v>#REF!</v>
      </c>
      <c r="F72" s="142" t="e">
        <f>D72*#REF!</f>
        <v>#REF!</v>
      </c>
      <c r="G72" s="142" t="e">
        <f>(D72*#REF!)*#REF!</f>
        <v>#REF!</v>
      </c>
      <c r="H72" s="33">
        <f t="shared" ref="H72:H74" si="61">IFERROR(((Q72-G72)/G72),0)</f>
        <v>0</v>
      </c>
      <c r="I72" s="16" t="e">
        <f t="shared" ref="I72:I74" si="62">Q72-G72</f>
        <v>#REF!</v>
      </c>
      <c r="J72" s="18"/>
      <c r="K72" s="383"/>
      <c r="L72" s="265">
        <f t="shared" ref="L72:O72" si="63">SUMIF($B$23:$B$42,$B72,L$23:L$42)+SUMIF($B$2:$B$18,$B72,L$2:L$18)+SUMIF($B$46:$B$47,$B72,L$46:L$47)</f>
        <v>0</v>
      </c>
      <c r="M72" s="265">
        <f t="shared" si="63"/>
        <v>21395</v>
      </c>
      <c r="N72" s="265">
        <f t="shared" si="63"/>
        <v>50000</v>
      </c>
      <c r="O72" s="265">
        <f t="shared" si="63"/>
        <v>0</v>
      </c>
      <c r="P72" s="386">
        <f t="shared" ref="P72:P73" si="64">N72</f>
        <v>50000</v>
      </c>
      <c r="Q72" s="266">
        <f t="shared" ref="Q72:R72" si="65">SUMIF($B$23:$B$42,$B72,Q$23:Q$42)+SUMIF($B$2:$B$18,$B72,Q$2:Q$18)+SUMIF($B$46:$B$47,$B72,Q$46:Q$47)</f>
        <v>0</v>
      </c>
      <c r="R72" s="315">
        <f t="shared" si="65"/>
        <v>0</v>
      </c>
      <c r="S72" s="7">
        <f t="shared" ref="S72:S73" si="66">R72-Q72</f>
        <v>0</v>
      </c>
    </row>
    <row r="73" spans="1:19" ht="15.75" hidden="1" customHeight="1" x14ac:dyDescent="0.25">
      <c r="A73" s="6" t="s">
        <v>1235</v>
      </c>
      <c r="B73" s="103" t="s">
        <v>99</v>
      </c>
      <c r="C73" s="383"/>
      <c r="D73" s="266">
        <f t="shared" si="60"/>
        <v>0</v>
      </c>
      <c r="E73" s="142" t="e">
        <f>D73*#REF!</f>
        <v>#REF!</v>
      </c>
      <c r="F73" s="142" t="e">
        <f>D73*#REF!</f>
        <v>#REF!</v>
      </c>
      <c r="G73" s="142" t="e">
        <f>(D73*#REF!)*#REF!</f>
        <v>#REF!</v>
      </c>
      <c r="H73" s="33">
        <f t="shared" si="61"/>
        <v>0</v>
      </c>
      <c r="I73" s="16" t="e">
        <f t="shared" si="62"/>
        <v>#REF!</v>
      </c>
      <c r="J73" s="16">
        <v>-95000</v>
      </c>
      <c r="K73" s="383"/>
      <c r="L73" s="265">
        <f t="shared" ref="L73:O73" si="67">SUMIF($B$23:$B$42,$B73,L$23:L$42)+SUMIF($B$2:$B$18,$B73,L$2:L$18)+SUMIF($B$46:$B$47,$B73,L$46:L$47)</f>
        <v>93217</v>
      </c>
      <c r="M73" s="265">
        <f t="shared" si="67"/>
        <v>109235.5</v>
      </c>
      <c r="N73" s="265">
        <f t="shared" si="67"/>
        <v>3750</v>
      </c>
      <c r="O73" s="265">
        <f t="shared" si="67"/>
        <v>0</v>
      </c>
      <c r="P73" s="386">
        <f t="shared" si="64"/>
        <v>3750</v>
      </c>
      <c r="Q73" s="266">
        <f>SUMIF($B$23:$B$42,$B73,Q$23:Q$42)+SUMIF($B$2:$B$18,$B73,Q$2:Q$18)+SUMIF($B$46:$B$47,$B73,Q$46:Q$47)+71250</f>
        <v>95000</v>
      </c>
      <c r="R73" s="315">
        <f>SUMIF($B$23:$B$42,$B73,R$23:R$42)+SUMIF($B$2:$B$18,$B73,R$2:R$18)+SUMIF($B$46:$B$47,$B73,R$46:R$47)</f>
        <v>0</v>
      </c>
      <c r="S73" s="7">
        <f t="shared" si="66"/>
        <v>-95000</v>
      </c>
    </row>
    <row r="74" spans="1:19" ht="15.75" hidden="1" customHeight="1" x14ac:dyDescent="0.25">
      <c r="A74" s="47" t="s">
        <v>1236</v>
      </c>
      <c r="B74" s="48"/>
      <c r="C74" s="282"/>
      <c r="D74" s="50">
        <f t="shared" ref="D74:G74" si="68">SUM(D72:D73)</f>
        <v>0</v>
      </c>
      <c r="E74" s="50" t="e">
        <f t="shared" si="68"/>
        <v>#REF!</v>
      </c>
      <c r="F74" s="50" t="e">
        <f t="shared" si="68"/>
        <v>#REF!</v>
      </c>
      <c r="G74" s="50" t="e">
        <f t="shared" si="68"/>
        <v>#REF!</v>
      </c>
      <c r="H74" s="42">
        <f t="shared" si="61"/>
        <v>0</v>
      </c>
      <c r="I74" s="50" t="e">
        <f t="shared" si="62"/>
        <v>#REF!</v>
      </c>
      <c r="J74" s="50">
        <f>SUM(J72:J73)</f>
        <v>-95000</v>
      </c>
      <c r="K74" s="282"/>
      <c r="L74" s="12">
        <f t="shared" ref="L74:S74" si="69">SUM(L72:L73)</f>
        <v>93217</v>
      </c>
      <c r="M74" s="12">
        <f t="shared" si="69"/>
        <v>130630.5</v>
      </c>
      <c r="N74" s="12">
        <f t="shared" si="69"/>
        <v>53750</v>
      </c>
      <c r="O74" s="12">
        <f t="shared" si="69"/>
        <v>0</v>
      </c>
      <c r="P74" s="50">
        <f t="shared" si="69"/>
        <v>53750</v>
      </c>
      <c r="Q74" s="50">
        <f t="shared" si="69"/>
        <v>95000</v>
      </c>
      <c r="R74" s="12">
        <f t="shared" si="69"/>
        <v>0</v>
      </c>
      <c r="S74" s="12">
        <f t="shared" si="69"/>
        <v>-95000</v>
      </c>
    </row>
    <row r="75" spans="1:19" ht="15.75" hidden="1" customHeight="1" x14ac:dyDescent="0.2">
      <c r="A75" s="5"/>
      <c r="B75" s="5"/>
      <c r="C75" s="388"/>
      <c r="D75" s="389">
        <f t="shared" ref="D75:G75" si="70">(D74+D70)-D43-D19-D48</f>
        <v>0</v>
      </c>
      <c r="E75" s="389" t="e">
        <f t="shared" si="70"/>
        <v>#REF!</v>
      </c>
      <c r="F75" s="389" t="e">
        <f t="shared" si="70"/>
        <v>#REF!</v>
      </c>
      <c r="G75" s="389" t="e">
        <f t="shared" si="70"/>
        <v>#REF!</v>
      </c>
      <c r="H75" s="5"/>
      <c r="I75" s="5"/>
      <c r="J75" s="5"/>
      <c r="K75" s="388"/>
      <c r="L75" s="390"/>
      <c r="M75" s="390"/>
      <c r="N75" s="390"/>
      <c r="O75" s="390"/>
      <c r="P75" s="390"/>
      <c r="Q75" s="390"/>
      <c r="R75" s="5"/>
      <c r="S75" s="5"/>
    </row>
    <row r="76" spans="1:19" ht="15.75" hidden="1" customHeight="1" x14ac:dyDescent="0.25">
      <c r="A76" s="47"/>
      <c r="B76" s="48"/>
      <c r="C76" s="325"/>
      <c r="D76" s="48"/>
      <c r="E76" s="48"/>
      <c r="F76" s="48"/>
      <c r="G76" s="391"/>
      <c r="H76" s="212"/>
      <c r="I76" s="12"/>
      <c r="J76" s="11"/>
      <c r="K76" s="325"/>
      <c r="L76" s="48"/>
      <c r="M76" s="48"/>
      <c r="N76" s="48"/>
      <c r="O76" s="48"/>
      <c r="P76" s="391"/>
      <c r="Q76" s="391"/>
      <c r="R76" s="48"/>
      <c r="S76" s="5"/>
    </row>
    <row r="77" spans="1:19" ht="15.75" hidden="1" customHeight="1" x14ac:dyDescent="0.25">
      <c r="A77" s="47" t="s">
        <v>1237</v>
      </c>
      <c r="B77" s="48"/>
      <c r="C77" s="282"/>
      <c r="D77" s="50">
        <f t="shared" ref="D77:G77" si="71">D70+D74</f>
        <v>0</v>
      </c>
      <c r="E77" s="50" t="e">
        <f t="shared" si="71"/>
        <v>#REF!</v>
      </c>
      <c r="F77" s="50" t="e">
        <f t="shared" si="71"/>
        <v>#REF!</v>
      </c>
      <c r="G77" s="50" t="e">
        <f t="shared" si="71"/>
        <v>#REF!</v>
      </c>
      <c r="H77" s="42">
        <f>IFERROR(((Q77-G77)/G77),0)</f>
        <v>0</v>
      </c>
      <c r="I77" s="50" t="e">
        <f t="shared" ref="I77:J77" si="72">I70+I74</f>
        <v>#REF!</v>
      </c>
      <c r="J77" s="50">
        <f t="shared" si="72"/>
        <v>-162300</v>
      </c>
      <c r="K77" s="282"/>
      <c r="L77" s="12">
        <f t="shared" ref="L77:S77" si="73">L70+L74</f>
        <v>672148</v>
      </c>
      <c r="M77" s="12">
        <f t="shared" si="73"/>
        <v>713638.49</v>
      </c>
      <c r="N77" s="12">
        <f t="shared" si="73"/>
        <v>723373</v>
      </c>
      <c r="O77" s="12">
        <f t="shared" si="73"/>
        <v>373444.48000000004</v>
      </c>
      <c r="P77" s="50">
        <f t="shared" si="73"/>
        <v>587496.07033333334</v>
      </c>
      <c r="Q77" s="50">
        <f t="shared" si="73"/>
        <v>794100</v>
      </c>
      <c r="R77" s="12">
        <f t="shared" si="73"/>
        <v>631800</v>
      </c>
      <c r="S77" s="12">
        <f t="shared" si="73"/>
        <v>-162300</v>
      </c>
    </row>
    <row r="78" spans="1:19" ht="15.75" hidden="1" customHeight="1" x14ac:dyDescent="0.2">
      <c r="A78" s="5"/>
      <c r="B78" s="5"/>
      <c r="C78" s="284"/>
      <c r="D78" s="5"/>
      <c r="E78" s="5"/>
      <c r="F78" s="5"/>
      <c r="G78" s="5"/>
      <c r="H78" s="5"/>
      <c r="I78" s="5"/>
      <c r="J78" s="5"/>
      <c r="K78" s="284"/>
      <c r="L78" s="5"/>
      <c r="M78" s="5"/>
      <c r="N78" s="5"/>
      <c r="O78" s="5"/>
      <c r="P78" s="5"/>
      <c r="Q78" s="5"/>
      <c r="R78" s="5"/>
      <c r="S78" s="5"/>
    </row>
    <row r="79" spans="1:19" ht="15.75" hidden="1" customHeight="1" x14ac:dyDescent="0.2">
      <c r="A79" s="11" t="s">
        <v>184</v>
      </c>
      <c r="B79" s="5"/>
      <c r="C79" s="284"/>
      <c r="D79" s="5"/>
      <c r="E79" s="5"/>
      <c r="F79" s="5"/>
      <c r="G79" s="5"/>
      <c r="H79" s="5"/>
      <c r="I79" s="5"/>
      <c r="J79" s="5"/>
      <c r="K79" s="284"/>
      <c r="L79" s="5"/>
      <c r="M79" s="5"/>
      <c r="N79" s="5"/>
      <c r="O79" s="5"/>
      <c r="P79" s="5"/>
      <c r="Q79" s="5"/>
      <c r="R79" s="5"/>
      <c r="S79" s="5"/>
    </row>
    <row r="80" spans="1:19" ht="15.75" hidden="1" customHeight="1" x14ac:dyDescent="0.25">
      <c r="A80" s="5"/>
      <c r="B80" s="5"/>
      <c r="C80" s="284"/>
      <c r="D80" s="18"/>
      <c r="E80" s="142" t="e">
        <f>D80*#REF!</f>
        <v>#REF!</v>
      </c>
      <c r="F80" s="142" t="e">
        <f>D80*#REF!</f>
        <v>#REF!</v>
      </c>
      <c r="G80" s="142" t="e">
        <f>(D80*#REF!)*#REF!</f>
        <v>#REF!</v>
      </c>
      <c r="H80" s="33">
        <f t="shared" ref="H80:H81" si="74">IFERROR(((Q80-G80)/G80),0)</f>
        <v>0</v>
      </c>
      <c r="I80" s="16" t="e">
        <f t="shared" ref="I80:I81" si="75">Q80-G80</f>
        <v>#REF!</v>
      </c>
      <c r="J80" s="18">
        <v>0</v>
      </c>
      <c r="K80" s="284"/>
      <c r="L80" s="6">
        <v>0</v>
      </c>
      <c r="M80" s="6">
        <v>0</v>
      </c>
      <c r="N80" s="6">
        <v>0</v>
      </c>
      <c r="O80" s="6">
        <v>0</v>
      </c>
      <c r="P80" s="18">
        <v>0</v>
      </c>
      <c r="Q80" s="18">
        <v>0</v>
      </c>
      <c r="R80" s="6">
        <v>0</v>
      </c>
      <c r="S80" s="6">
        <v>0</v>
      </c>
    </row>
    <row r="81" spans="1:27" ht="15.75" hidden="1" customHeight="1" x14ac:dyDescent="0.2">
      <c r="A81" s="11" t="s">
        <v>189</v>
      </c>
      <c r="B81" s="48"/>
      <c r="C81" s="282"/>
      <c r="D81" s="50">
        <f t="shared" ref="D81:G81" si="76">SUM(D80)</f>
        <v>0</v>
      </c>
      <c r="E81" s="50" t="e">
        <f t="shared" si="76"/>
        <v>#REF!</v>
      </c>
      <c r="F81" s="50" t="e">
        <f t="shared" si="76"/>
        <v>#REF!</v>
      </c>
      <c r="G81" s="50" t="e">
        <f t="shared" si="76"/>
        <v>#REF!</v>
      </c>
      <c r="H81" s="42">
        <f t="shared" si="74"/>
        <v>0</v>
      </c>
      <c r="I81" s="50" t="e">
        <f t="shared" si="75"/>
        <v>#REF!</v>
      </c>
      <c r="J81" s="50">
        <f>J80</f>
        <v>0</v>
      </c>
      <c r="K81" s="282"/>
      <c r="L81" s="12">
        <f t="shared" ref="L81:S81" si="77">SUM(L80)</f>
        <v>0</v>
      </c>
      <c r="M81" s="12">
        <f t="shared" si="77"/>
        <v>0</v>
      </c>
      <c r="N81" s="12">
        <f t="shared" si="77"/>
        <v>0</v>
      </c>
      <c r="O81" s="12">
        <f t="shared" si="77"/>
        <v>0</v>
      </c>
      <c r="P81" s="50">
        <f t="shared" si="77"/>
        <v>0</v>
      </c>
      <c r="Q81" s="50">
        <f t="shared" si="77"/>
        <v>0</v>
      </c>
      <c r="R81" s="12">
        <f t="shared" si="77"/>
        <v>0</v>
      </c>
      <c r="S81" s="12">
        <f t="shared" si="77"/>
        <v>0</v>
      </c>
    </row>
    <row r="82" spans="1:27" ht="15.75" hidden="1" customHeight="1" x14ac:dyDescent="0.2">
      <c r="A82" s="5"/>
      <c r="B82" s="5"/>
      <c r="C82" s="284"/>
      <c r="D82" s="5"/>
      <c r="E82" s="5"/>
      <c r="F82" s="5"/>
      <c r="G82" s="5"/>
      <c r="H82" s="5"/>
      <c r="I82" s="5"/>
      <c r="J82" s="5"/>
      <c r="K82" s="284"/>
      <c r="L82" s="5"/>
      <c r="M82" s="5"/>
      <c r="N82" s="5"/>
      <c r="O82" s="5"/>
      <c r="P82" s="5"/>
      <c r="Q82" s="5"/>
      <c r="R82" s="5"/>
      <c r="S82" s="5"/>
    </row>
    <row r="83" spans="1:27" ht="15.75" hidden="1" customHeight="1" x14ac:dyDescent="0.2">
      <c r="A83" s="11" t="s">
        <v>190</v>
      </c>
      <c r="B83" s="6"/>
      <c r="C83" s="286"/>
      <c r="D83" s="178">
        <f t="shared" ref="D83:G83" si="78">D77+D81</f>
        <v>0</v>
      </c>
      <c r="E83" s="178" t="e">
        <f t="shared" si="78"/>
        <v>#REF!</v>
      </c>
      <c r="F83" s="178" t="e">
        <f t="shared" si="78"/>
        <v>#REF!</v>
      </c>
      <c r="G83" s="178" t="e">
        <f t="shared" si="78"/>
        <v>#REF!</v>
      </c>
      <c r="H83" s="273">
        <f>IFERROR(((Q83-G83)/G83),0)</f>
        <v>0</v>
      </c>
      <c r="I83" s="178" t="e">
        <f>Q83-G83</f>
        <v>#REF!</v>
      </c>
      <c r="J83" s="178">
        <f>J77</f>
        <v>-162300</v>
      </c>
      <c r="K83" s="286"/>
      <c r="L83" s="227">
        <f t="shared" ref="L83:S83" si="79">L77+L81</f>
        <v>672148</v>
      </c>
      <c r="M83" s="227">
        <f t="shared" si="79"/>
        <v>713638.49</v>
      </c>
      <c r="N83" s="227">
        <f t="shared" si="79"/>
        <v>723373</v>
      </c>
      <c r="O83" s="227">
        <f t="shared" si="79"/>
        <v>373444.48000000004</v>
      </c>
      <c r="P83" s="178">
        <f t="shared" si="79"/>
        <v>587496.07033333334</v>
      </c>
      <c r="Q83" s="178">
        <f t="shared" si="79"/>
        <v>794100</v>
      </c>
      <c r="R83" s="227">
        <f t="shared" si="79"/>
        <v>631800</v>
      </c>
      <c r="S83" s="227">
        <f t="shared" si="79"/>
        <v>-162300</v>
      </c>
      <c r="V83" s="56"/>
      <c r="W83" s="56"/>
      <c r="X83" s="56"/>
      <c r="Y83" s="56"/>
      <c r="Z83" s="56"/>
      <c r="AA83" s="56"/>
    </row>
    <row r="84" spans="1:27" ht="15.75" hidden="1" customHeight="1" x14ac:dyDescent="0.2">
      <c r="A84" s="5"/>
      <c r="B84" s="5"/>
      <c r="C84" s="284"/>
      <c r="D84" s="5"/>
      <c r="E84" s="5"/>
      <c r="F84" s="5"/>
      <c r="G84" s="5"/>
      <c r="H84" s="5"/>
      <c r="I84" s="5"/>
      <c r="J84" s="5"/>
      <c r="K84" s="284"/>
      <c r="L84" s="5"/>
      <c r="M84" s="5"/>
      <c r="N84" s="5"/>
      <c r="O84" s="5"/>
      <c r="P84" s="5"/>
      <c r="Q84" s="5"/>
      <c r="R84" s="5"/>
      <c r="S84" s="5"/>
    </row>
    <row r="85" spans="1:27" ht="15.75" hidden="1" customHeight="1" x14ac:dyDescent="0.2">
      <c r="A85" s="5"/>
      <c r="B85" s="5"/>
      <c r="C85" s="284"/>
      <c r="D85" s="5"/>
      <c r="E85" s="5"/>
      <c r="F85" s="5"/>
      <c r="G85" s="5"/>
      <c r="H85" s="5"/>
      <c r="I85" s="5"/>
      <c r="J85" s="5"/>
      <c r="K85" s="284"/>
      <c r="L85" s="5"/>
      <c r="M85" s="5"/>
      <c r="N85" s="5"/>
      <c r="O85" s="5"/>
      <c r="P85" s="5"/>
      <c r="Q85" s="5"/>
      <c r="R85" s="5"/>
      <c r="S85" s="5"/>
    </row>
    <row r="86" spans="1:27" ht="15.75" hidden="1" customHeight="1" x14ac:dyDescent="0.2">
      <c r="A86" s="5"/>
      <c r="B86" s="5"/>
      <c r="C86" s="412"/>
      <c r="D86" s="5"/>
      <c r="E86" s="5"/>
      <c r="F86" s="5"/>
      <c r="G86" s="5"/>
      <c r="H86" s="5"/>
      <c r="I86" s="5"/>
      <c r="J86" s="5"/>
      <c r="K86" s="412"/>
      <c r="L86" s="173">
        <f t="shared" ref="L86:R86" si="80">L1</f>
        <v>0</v>
      </c>
      <c r="M86" s="173">
        <f t="shared" si="80"/>
        <v>0</v>
      </c>
      <c r="N86" s="173">
        <f t="shared" si="80"/>
        <v>0</v>
      </c>
      <c r="O86" s="173">
        <f t="shared" si="80"/>
        <v>0</v>
      </c>
      <c r="P86" s="173">
        <f t="shared" si="80"/>
        <v>0</v>
      </c>
      <c r="Q86" s="173">
        <f t="shared" si="80"/>
        <v>0</v>
      </c>
      <c r="R86" s="173">
        <f t="shared" si="80"/>
        <v>0</v>
      </c>
      <c r="S86" s="5"/>
    </row>
    <row r="87" spans="1:27" ht="15.75" hidden="1" customHeight="1" x14ac:dyDescent="0.2">
      <c r="A87" s="5"/>
      <c r="B87" s="5"/>
      <c r="C87" s="284"/>
      <c r="D87" s="5"/>
      <c r="E87" s="5"/>
      <c r="F87" s="5"/>
      <c r="G87" s="5"/>
      <c r="H87" s="5"/>
      <c r="I87" s="5"/>
      <c r="J87" s="5"/>
      <c r="K87" s="284"/>
      <c r="L87" s="393">
        <f t="shared" ref="L87:R87" si="81">L83</f>
        <v>672148</v>
      </c>
      <c r="M87" s="393">
        <f t="shared" si="81"/>
        <v>713638.49</v>
      </c>
      <c r="N87" s="393">
        <f t="shared" si="81"/>
        <v>723373</v>
      </c>
      <c r="O87" s="393">
        <f t="shared" si="81"/>
        <v>373444.48000000004</v>
      </c>
      <c r="P87" s="393">
        <f t="shared" si="81"/>
        <v>587496.07033333334</v>
      </c>
      <c r="Q87" s="393">
        <f t="shared" si="81"/>
        <v>794100</v>
      </c>
      <c r="R87" s="393">
        <f t="shared" si="81"/>
        <v>631800</v>
      </c>
      <c r="S87" s="5"/>
    </row>
    <row r="88" spans="1:27" ht="15.75" hidden="1" customHeight="1" x14ac:dyDescent="0.2">
      <c r="A88" s="5"/>
      <c r="B88" s="5"/>
      <c r="C88" s="284"/>
      <c r="D88" s="5"/>
      <c r="E88" s="5"/>
      <c r="F88" s="5"/>
      <c r="G88" s="5"/>
      <c r="H88" s="5"/>
      <c r="I88" s="5"/>
      <c r="J88" s="5"/>
      <c r="K88" s="284"/>
      <c r="L88" s="5"/>
      <c r="M88" s="5"/>
      <c r="N88" s="5"/>
      <c r="O88" s="5"/>
      <c r="P88" s="5"/>
      <c r="Q88" s="5"/>
      <c r="R88" s="5"/>
      <c r="S88" s="5"/>
    </row>
    <row r="89" spans="1:27" ht="15.75" hidden="1" customHeight="1" x14ac:dyDescent="0.2">
      <c r="A89" s="5"/>
      <c r="B89" s="5"/>
      <c r="C89" s="284"/>
      <c r="D89" s="5"/>
      <c r="E89" s="5"/>
      <c r="F89" s="5"/>
      <c r="G89" s="5"/>
      <c r="H89" s="5"/>
      <c r="I89" s="5"/>
      <c r="J89" s="5"/>
      <c r="K89" s="284"/>
      <c r="L89" s="5"/>
      <c r="M89" s="5"/>
      <c r="N89" s="5"/>
      <c r="O89" s="5"/>
      <c r="P89" s="5"/>
      <c r="Q89" s="5"/>
      <c r="R89" s="5"/>
      <c r="S89" s="5"/>
    </row>
    <row r="90" spans="1:27" ht="15.75" hidden="1" customHeight="1" x14ac:dyDescent="0.2">
      <c r="A90" s="5"/>
      <c r="B90" s="5"/>
      <c r="C90" s="284"/>
      <c r="D90" s="5"/>
      <c r="E90" s="5"/>
      <c r="F90" s="5"/>
      <c r="G90" s="5"/>
      <c r="H90" s="5"/>
      <c r="I90" s="5"/>
      <c r="J90" s="5"/>
      <c r="K90" s="284"/>
      <c r="L90" s="5"/>
      <c r="M90" s="5"/>
      <c r="N90" s="5"/>
      <c r="O90" s="5"/>
      <c r="P90" s="5"/>
      <c r="Q90" s="5"/>
      <c r="R90" s="5"/>
      <c r="S90" s="5"/>
    </row>
    <row r="91" spans="1:27" ht="15.75" hidden="1" customHeight="1" x14ac:dyDescent="0.2">
      <c r="A91" s="5"/>
      <c r="B91" s="5"/>
      <c r="C91" s="284"/>
      <c r="D91" s="5"/>
      <c r="E91" s="5"/>
      <c r="F91" s="5"/>
      <c r="G91" s="5"/>
      <c r="H91" s="5"/>
      <c r="I91" s="5"/>
      <c r="J91" s="5"/>
      <c r="K91" s="284"/>
      <c r="L91" s="5"/>
      <c r="M91" s="5"/>
      <c r="N91" s="5"/>
      <c r="O91" s="5"/>
      <c r="P91" s="5"/>
      <c r="Q91" s="5"/>
      <c r="R91" s="5"/>
      <c r="S91" s="5"/>
    </row>
    <row r="92" spans="1:27" ht="15.75" hidden="1" customHeight="1" x14ac:dyDescent="0.2">
      <c r="A92" s="5"/>
      <c r="B92" s="5"/>
      <c r="C92" s="284"/>
      <c r="D92" s="5"/>
      <c r="E92" s="5"/>
      <c r="F92" s="5"/>
      <c r="G92" s="5"/>
      <c r="H92" s="5"/>
      <c r="I92" s="5"/>
      <c r="J92" s="5"/>
      <c r="K92" s="284"/>
      <c r="L92" s="5"/>
      <c r="M92" s="5"/>
      <c r="N92" s="5"/>
      <c r="O92" s="5"/>
      <c r="P92" s="5"/>
      <c r="Q92" s="5"/>
      <c r="R92" s="5"/>
      <c r="S92" s="5"/>
    </row>
    <row r="93" spans="1:27" ht="15.75" hidden="1" customHeight="1" x14ac:dyDescent="0.2">
      <c r="A93" s="5"/>
      <c r="B93" s="5"/>
      <c r="C93" s="284"/>
      <c r="D93" s="5"/>
      <c r="E93" s="5"/>
      <c r="F93" s="5"/>
      <c r="G93" s="5"/>
      <c r="H93" s="5"/>
      <c r="I93" s="5"/>
      <c r="J93" s="5"/>
      <c r="K93" s="284"/>
      <c r="L93" s="5"/>
      <c r="M93" s="5"/>
      <c r="N93" s="5"/>
      <c r="O93" s="5"/>
      <c r="P93" s="5"/>
      <c r="Q93" s="5"/>
      <c r="R93" s="5"/>
      <c r="S93" s="5"/>
    </row>
    <row r="94" spans="1:27" ht="15.75" hidden="1" customHeight="1" x14ac:dyDescent="0.2">
      <c r="A94" s="5"/>
      <c r="B94" s="5"/>
      <c r="C94" s="284"/>
      <c r="D94" s="5"/>
      <c r="E94" s="5"/>
      <c r="F94" s="5"/>
      <c r="G94" s="5"/>
      <c r="H94" s="5"/>
      <c r="I94" s="5"/>
      <c r="J94" s="5"/>
      <c r="K94" s="284"/>
      <c r="L94" s="5"/>
      <c r="M94" s="5"/>
      <c r="N94" s="5"/>
      <c r="O94" s="5"/>
      <c r="P94" s="5"/>
      <c r="Q94" s="5"/>
      <c r="R94" s="5"/>
      <c r="S94" s="5"/>
    </row>
    <row r="95" spans="1:27" ht="15.75" hidden="1" customHeight="1" x14ac:dyDescent="0.2">
      <c r="A95" s="5"/>
      <c r="B95" s="5"/>
      <c r="C95" s="284"/>
      <c r="D95" s="5"/>
      <c r="E95" s="5"/>
      <c r="F95" s="5"/>
      <c r="G95" s="5"/>
      <c r="H95" s="5"/>
      <c r="I95" s="5"/>
      <c r="J95" s="5"/>
      <c r="K95" s="284"/>
      <c r="L95" s="5"/>
      <c r="M95" s="5"/>
      <c r="N95" s="5"/>
      <c r="O95" s="5"/>
      <c r="P95" s="5"/>
      <c r="Q95" s="5"/>
      <c r="R95" s="5"/>
      <c r="S95" s="5"/>
    </row>
    <row r="96" spans="1:27" ht="15.75" hidden="1" customHeight="1" x14ac:dyDescent="0.2">
      <c r="A96" s="5"/>
      <c r="B96" s="5"/>
      <c r="C96" s="284"/>
      <c r="D96" s="5"/>
      <c r="E96" s="5"/>
      <c r="F96" s="5"/>
      <c r="G96" s="5"/>
      <c r="H96" s="5"/>
      <c r="I96" s="5"/>
      <c r="J96" s="5"/>
      <c r="K96" s="284"/>
      <c r="L96" s="5"/>
      <c r="M96" s="5"/>
      <c r="N96" s="5"/>
      <c r="O96" s="5"/>
      <c r="P96" s="5"/>
      <c r="Q96" s="5"/>
      <c r="R96" s="5"/>
      <c r="S96" s="5"/>
    </row>
    <row r="97" spans="1:19" ht="15.75" hidden="1" customHeight="1" x14ac:dyDescent="0.2">
      <c r="A97" s="5"/>
      <c r="B97" s="5"/>
      <c r="C97" s="284"/>
      <c r="D97" s="5"/>
      <c r="E97" s="5"/>
      <c r="F97" s="5"/>
      <c r="G97" s="5"/>
      <c r="H97" s="5"/>
      <c r="I97" s="5"/>
      <c r="J97" s="5"/>
      <c r="K97" s="284"/>
      <c r="L97" s="5"/>
      <c r="M97" s="5"/>
      <c r="N97" s="5"/>
      <c r="O97" s="5"/>
      <c r="P97" s="5"/>
      <c r="Q97" s="5"/>
      <c r="R97" s="5"/>
      <c r="S97" s="5"/>
    </row>
    <row r="98" spans="1:19" ht="15.75" hidden="1" customHeight="1" x14ac:dyDescent="0.2">
      <c r="A98" s="5"/>
      <c r="B98" s="5"/>
      <c r="C98" s="284"/>
      <c r="D98" s="5"/>
      <c r="E98" s="5"/>
      <c r="F98" s="5"/>
      <c r="G98" s="5"/>
      <c r="H98" s="5"/>
      <c r="I98" s="5"/>
      <c r="J98" s="5"/>
      <c r="K98" s="284"/>
      <c r="L98" s="5"/>
      <c r="M98" s="5"/>
      <c r="N98" s="5"/>
      <c r="O98" s="5"/>
      <c r="P98" s="5"/>
      <c r="Q98" s="5"/>
      <c r="R98" s="5"/>
      <c r="S98" s="5"/>
    </row>
    <row r="99" spans="1:19" ht="15.75" hidden="1" customHeight="1" x14ac:dyDescent="0.2">
      <c r="A99" s="5"/>
      <c r="B99" s="5"/>
      <c r="C99" s="284"/>
      <c r="D99" s="5"/>
      <c r="E99" s="5"/>
      <c r="F99" s="5"/>
      <c r="G99" s="5"/>
      <c r="H99" s="5"/>
      <c r="I99" s="5"/>
      <c r="J99" s="5"/>
      <c r="K99" s="284"/>
      <c r="L99" s="5"/>
      <c r="M99" s="5"/>
      <c r="N99" s="5"/>
      <c r="O99" s="5"/>
      <c r="P99" s="5"/>
      <c r="Q99" s="5"/>
      <c r="R99" s="5"/>
      <c r="S99" s="5"/>
    </row>
    <row r="100" spans="1:19" ht="15.75" hidden="1" customHeight="1" x14ac:dyDescent="0.2">
      <c r="A100" s="5"/>
      <c r="B100" s="5"/>
      <c r="C100" s="284"/>
      <c r="D100" s="5"/>
      <c r="E100" s="5"/>
      <c r="F100" s="5"/>
      <c r="G100" s="5"/>
      <c r="H100" s="5"/>
      <c r="I100" s="5"/>
      <c r="J100" s="5"/>
      <c r="K100" s="284"/>
      <c r="L100" s="5"/>
      <c r="M100" s="5"/>
      <c r="N100" s="5"/>
      <c r="O100" s="5"/>
      <c r="P100" s="5"/>
      <c r="Q100" s="5"/>
      <c r="R100" s="5"/>
      <c r="S100" s="5"/>
    </row>
    <row r="101" spans="1:19" ht="15.75" hidden="1" customHeight="1" x14ac:dyDescent="0.2">
      <c r="A101" s="5"/>
      <c r="B101" s="5"/>
      <c r="C101" s="284"/>
      <c r="D101" s="5"/>
      <c r="E101" s="5"/>
      <c r="F101" s="5"/>
      <c r="G101" s="5"/>
      <c r="H101" s="5"/>
      <c r="I101" s="5"/>
      <c r="J101" s="5"/>
      <c r="K101" s="284"/>
      <c r="L101" s="5"/>
      <c r="M101" s="5"/>
      <c r="N101" s="5"/>
      <c r="O101" s="5"/>
      <c r="P101" s="5"/>
      <c r="Q101" s="5"/>
      <c r="R101" s="5"/>
      <c r="S101" s="5"/>
    </row>
    <row r="102" spans="1:19" ht="15.75" hidden="1" customHeight="1" x14ac:dyDescent="0.2">
      <c r="A102" s="5"/>
      <c r="B102" s="5"/>
      <c r="C102" s="284"/>
      <c r="D102" s="5"/>
      <c r="E102" s="5"/>
      <c r="F102" s="5"/>
      <c r="G102" s="5"/>
      <c r="H102" s="5"/>
      <c r="I102" s="5"/>
      <c r="J102" s="5"/>
      <c r="K102" s="284"/>
      <c r="L102" s="5"/>
      <c r="M102" s="5"/>
      <c r="N102" s="5"/>
      <c r="O102" s="5"/>
      <c r="P102" s="5"/>
      <c r="Q102" s="5"/>
      <c r="R102" s="5"/>
      <c r="S102" s="5"/>
    </row>
    <row r="103" spans="1:19" ht="15.75" hidden="1" customHeight="1" x14ac:dyDescent="0.2">
      <c r="A103" s="5"/>
      <c r="B103" s="5"/>
      <c r="C103" s="284"/>
      <c r="D103" s="5"/>
      <c r="E103" s="5"/>
      <c r="F103" s="5"/>
      <c r="G103" s="5"/>
      <c r="H103" s="5"/>
      <c r="I103" s="5"/>
      <c r="J103" s="5"/>
      <c r="K103" s="284"/>
      <c r="L103" s="5"/>
      <c r="M103" s="5"/>
      <c r="N103" s="5"/>
      <c r="O103" s="5"/>
      <c r="P103" s="5"/>
      <c r="Q103" s="5"/>
      <c r="R103" s="5"/>
      <c r="S103" s="5"/>
    </row>
    <row r="104" spans="1:19" ht="15.75" hidden="1" customHeight="1" x14ac:dyDescent="0.2">
      <c r="A104" s="5"/>
      <c r="B104" s="5"/>
      <c r="C104" s="284"/>
      <c r="D104" s="5"/>
      <c r="E104" s="5"/>
      <c r="F104" s="5"/>
      <c r="G104" s="5"/>
      <c r="H104" s="5"/>
      <c r="I104" s="5"/>
      <c r="J104" s="5"/>
      <c r="K104" s="284"/>
      <c r="L104" s="5"/>
      <c r="M104" s="5"/>
      <c r="N104" s="5"/>
      <c r="O104" s="5"/>
      <c r="P104" s="5"/>
      <c r="Q104" s="5"/>
      <c r="R104" s="5"/>
      <c r="S104" s="5"/>
    </row>
    <row r="105" spans="1:19" ht="15.75" hidden="1" customHeight="1" x14ac:dyDescent="0.2">
      <c r="A105" s="5"/>
      <c r="B105" s="5"/>
      <c r="C105" s="284"/>
      <c r="D105" s="5"/>
      <c r="E105" s="5"/>
      <c r="F105" s="5"/>
      <c r="G105" s="5"/>
      <c r="H105" s="5"/>
      <c r="I105" s="5"/>
      <c r="J105" s="5"/>
      <c r="K105" s="284"/>
      <c r="L105" s="5"/>
      <c r="M105" s="5"/>
      <c r="N105" s="5"/>
      <c r="O105" s="5"/>
      <c r="P105" s="5"/>
      <c r="Q105" s="5"/>
      <c r="R105" s="5"/>
      <c r="S105" s="5"/>
    </row>
    <row r="106" spans="1:19" ht="15.75" hidden="1" customHeight="1" x14ac:dyDescent="0.2">
      <c r="A106" s="5"/>
      <c r="B106" s="5"/>
      <c r="C106" s="284"/>
      <c r="D106" s="5"/>
      <c r="E106" s="5"/>
      <c r="F106" s="5"/>
      <c r="G106" s="5"/>
      <c r="H106" s="5"/>
      <c r="I106" s="5"/>
      <c r="J106" s="5"/>
      <c r="K106" s="284"/>
      <c r="L106" s="5"/>
      <c r="M106" s="5"/>
      <c r="N106" s="5"/>
      <c r="O106" s="5"/>
      <c r="P106" s="5"/>
      <c r="Q106" s="5"/>
      <c r="R106" s="5"/>
      <c r="S106" s="5"/>
    </row>
    <row r="107" spans="1:19" ht="15.75" hidden="1" customHeight="1" x14ac:dyDescent="0.2">
      <c r="A107" s="5"/>
      <c r="B107" s="5"/>
      <c r="C107" s="284"/>
      <c r="D107" s="5"/>
      <c r="E107" s="5"/>
      <c r="F107" s="5"/>
      <c r="G107" s="5"/>
      <c r="H107" s="5"/>
      <c r="I107" s="5"/>
      <c r="J107" s="5"/>
      <c r="K107" s="284"/>
      <c r="L107" s="5"/>
      <c r="M107" s="5"/>
      <c r="N107" s="5"/>
      <c r="O107" s="5"/>
      <c r="P107" s="5"/>
      <c r="Q107" s="5"/>
      <c r="R107" s="5"/>
      <c r="S107" s="5"/>
    </row>
    <row r="108" spans="1:19" ht="15.75" hidden="1" customHeight="1" x14ac:dyDescent="0.2">
      <c r="A108" s="5"/>
      <c r="B108" s="5"/>
      <c r="C108" s="284"/>
      <c r="D108" s="5"/>
      <c r="E108" s="5"/>
      <c r="F108" s="5"/>
      <c r="G108" s="5"/>
      <c r="H108" s="5"/>
      <c r="I108" s="5"/>
      <c r="J108" s="5"/>
      <c r="K108" s="284"/>
      <c r="L108" s="5"/>
      <c r="M108" s="5"/>
      <c r="N108" s="5"/>
      <c r="O108" s="5"/>
      <c r="P108" s="5"/>
      <c r="Q108" s="5"/>
      <c r="R108" s="5"/>
      <c r="S108" s="5"/>
    </row>
    <row r="109" spans="1:19" ht="15.75" hidden="1" customHeight="1" x14ac:dyDescent="0.2">
      <c r="A109" s="5"/>
      <c r="B109" s="5"/>
      <c r="C109" s="284"/>
      <c r="D109" s="5"/>
      <c r="E109" s="5"/>
      <c r="F109" s="5"/>
      <c r="G109" s="5"/>
      <c r="H109" s="5"/>
      <c r="I109" s="5"/>
      <c r="J109" s="5"/>
      <c r="K109" s="284"/>
      <c r="L109" s="5"/>
      <c r="M109" s="5"/>
      <c r="N109" s="5"/>
      <c r="O109" s="5"/>
      <c r="P109" s="5"/>
      <c r="Q109" s="5"/>
      <c r="R109" s="5"/>
      <c r="S109" s="5"/>
    </row>
    <row r="110" spans="1:19" ht="15.75" hidden="1" customHeight="1" x14ac:dyDescent="0.2">
      <c r="A110" s="5"/>
      <c r="B110" s="5"/>
      <c r="C110" s="284"/>
      <c r="D110" s="5"/>
      <c r="E110" s="5"/>
      <c r="F110" s="5"/>
      <c r="G110" s="5"/>
      <c r="H110" s="5"/>
      <c r="I110" s="5"/>
      <c r="J110" s="5"/>
      <c r="K110" s="284"/>
      <c r="L110" s="5"/>
      <c r="M110" s="5"/>
      <c r="N110" s="5"/>
      <c r="O110" s="5"/>
      <c r="P110" s="5"/>
      <c r="Q110" s="5"/>
      <c r="R110" s="5"/>
      <c r="S110" s="5"/>
    </row>
    <row r="111" spans="1:19" ht="15.75" hidden="1" customHeight="1" x14ac:dyDescent="0.2">
      <c r="A111" s="5"/>
      <c r="B111" s="5"/>
      <c r="C111" s="284"/>
      <c r="D111" s="5"/>
      <c r="E111" s="5"/>
      <c r="F111" s="5"/>
      <c r="G111" s="5"/>
      <c r="H111" s="5"/>
      <c r="I111" s="5"/>
      <c r="J111" s="5"/>
      <c r="K111" s="284"/>
      <c r="L111" s="5"/>
      <c r="M111" s="5"/>
      <c r="N111" s="5"/>
      <c r="O111" s="5"/>
      <c r="P111" s="5"/>
      <c r="Q111" s="5"/>
      <c r="R111" s="5"/>
      <c r="S111" s="5"/>
    </row>
    <row r="112" spans="1:19" ht="15.75" hidden="1" customHeight="1" x14ac:dyDescent="0.2">
      <c r="A112" s="5"/>
      <c r="B112" s="5"/>
      <c r="C112" s="284"/>
      <c r="D112" s="5"/>
      <c r="E112" s="5"/>
      <c r="F112" s="5"/>
      <c r="G112" s="5"/>
      <c r="H112" s="5"/>
      <c r="I112" s="5"/>
      <c r="J112" s="5"/>
      <c r="K112" s="284"/>
      <c r="L112" s="5"/>
      <c r="M112" s="5"/>
      <c r="N112" s="5"/>
      <c r="O112" s="5"/>
      <c r="P112" s="5"/>
      <c r="Q112" s="5"/>
      <c r="R112" s="5"/>
      <c r="S112" s="5"/>
    </row>
    <row r="113" spans="1:19" ht="15.75" hidden="1" customHeight="1" x14ac:dyDescent="0.2">
      <c r="A113" s="5"/>
      <c r="B113" s="5"/>
      <c r="C113" s="284"/>
      <c r="D113" s="5"/>
      <c r="E113" s="5"/>
      <c r="F113" s="5"/>
      <c r="G113" s="5"/>
      <c r="H113" s="5"/>
      <c r="I113" s="5"/>
      <c r="J113" s="5"/>
      <c r="K113" s="284"/>
      <c r="L113" s="5"/>
      <c r="M113" s="5"/>
      <c r="N113" s="5"/>
      <c r="O113" s="5"/>
      <c r="P113" s="5"/>
      <c r="Q113" s="5"/>
      <c r="R113" s="5"/>
      <c r="S113" s="5"/>
    </row>
    <row r="114" spans="1:19" ht="15.75" hidden="1" customHeight="1" x14ac:dyDescent="0.2">
      <c r="A114" s="5"/>
      <c r="B114" s="5"/>
      <c r="C114" s="284"/>
      <c r="D114" s="5"/>
      <c r="E114" s="5"/>
      <c r="F114" s="5"/>
      <c r="G114" s="5"/>
      <c r="H114" s="5"/>
      <c r="I114" s="5"/>
      <c r="J114" s="5"/>
      <c r="K114" s="284"/>
      <c r="L114" s="5"/>
      <c r="M114" s="5"/>
      <c r="N114" s="5"/>
      <c r="O114" s="5"/>
      <c r="P114" s="5"/>
      <c r="Q114" s="5"/>
      <c r="R114" s="5"/>
      <c r="S114" s="5"/>
    </row>
    <row r="115" spans="1:19" ht="15.75" hidden="1" customHeight="1" x14ac:dyDescent="0.2">
      <c r="A115" s="5"/>
      <c r="B115" s="5"/>
      <c r="C115" s="284"/>
      <c r="D115" s="5"/>
      <c r="E115" s="5"/>
      <c r="F115" s="5"/>
      <c r="G115" s="5"/>
      <c r="H115" s="5"/>
      <c r="I115" s="5"/>
      <c r="J115" s="5"/>
      <c r="K115" s="284"/>
      <c r="L115" s="5"/>
      <c r="M115" s="5"/>
      <c r="N115" s="5"/>
      <c r="O115" s="5"/>
      <c r="P115" s="5"/>
      <c r="Q115" s="5"/>
      <c r="R115" s="5"/>
      <c r="S115" s="5"/>
    </row>
    <row r="116" spans="1:19" ht="15.75" hidden="1" customHeight="1" x14ac:dyDescent="0.2">
      <c r="A116" s="5"/>
      <c r="B116" s="5"/>
      <c r="C116" s="284"/>
      <c r="D116" s="5"/>
      <c r="E116" s="5"/>
      <c r="F116" s="5"/>
      <c r="G116" s="5"/>
      <c r="H116" s="5"/>
      <c r="I116" s="5"/>
      <c r="J116" s="5"/>
      <c r="K116" s="284"/>
      <c r="L116" s="5"/>
      <c r="M116" s="5"/>
      <c r="N116" s="5"/>
      <c r="O116" s="5"/>
      <c r="P116" s="5"/>
      <c r="Q116" s="5"/>
      <c r="R116" s="5"/>
      <c r="S116" s="5"/>
    </row>
    <row r="117" spans="1:19" ht="15.75" hidden="1" customHeight="1" x14ac:dyDescent="0.2">
      <c r="A117" s="5"/>
      <c r="B117" s="5"/>
      <c r="C117" s="284"/>
      <c r="D117" s="5"/>
      <c r="E117" s="5"/>
      <c r="F117" s="5"/>
      <c r="G117" s="5"/>
      <c r="H117" s="5"/>
      <c r="I117" s="5"/>
      <c r="J117" s="5"/>
      <c r="K117" s="284"/>
      <c r="L117" s="5"/>
      <c r="M117" s="5"/>
      <c r="N117" s="5"/>
      <c r="O117" s="5"/>
      <c r="P117" s="5"/>
      <c r="Q117" s="5"/>
      <c r="R117" s="5"/>
      <c r="S117" s="5"/>
    </row>
    <row r="118" spans="1:19" ht="15.75" hidden="1" customHeight="1" x14ac:dyDescent="0.2">
      <c r="A118" s="5"/>
      <c r="B118" s="5"/>
      <c r="C118" s="284"/>
      <c r="D118" s="5"/>
      <c r="E118" s="5"/>
      <c r="F118" s="5"/>
      <c r="G118" s="5"/>
      <c r="H118" s="5"/>
      <c r="I118" s="5"/>
      <c r="J118" s="5"/>
      <c r="K118" s="284"/>
      <c r="L118" s="5"/>
      <c r="M118" s="5"/>
      <c r="N118" s="5"/>
      <c r="O118" s="5"/>
      <c r="P118" s="5"/>
      <c r="Q118" s="5"/>
      <c r="R118" s="5"/>
      <c r="S118" s="5"/>
    </row>
    <row r="119" spans="1:19" ht="15.75" hidden="1" customHeight="1" x14ac:dyDescent="0.2">
      <c r="A119" s="5"/>
      <c r="B119" s="5"/>
      <c r="C119" s="284"/>
      <c r="D119" s="5"/>
      <c r="E119" s="5"/>
      <c r="F119" s="5"/>
      <c r="G119" s="5"/>
      <c r="H119" s="5"/>
      <c r="I119" s="5"/>
      <c r="J119" s="5"/>
      <c r="K119" s="284"/>
      <c r="L119" s="5"/>
      <c r="M119" s="5"/>
      <c r="N119" s="5"/>
      <c r="O119" s="5"/>
      <c r="P119" s="5"/>
      <c r="Q119" s="5"/>
      <c r="R119" s="5"/>
      <c r="S119" s="5"/>
    </row>
    <row r="120" spans="1:19" ht="15.75" hidden="1" customHeight="1" x14ac:dyDescent="0.2">
      <c r="A120" s="5"/>
      <c r="B120" s="5"/>
      <c r="C120" s="284"/>
      <c r="D120" s="5"/>
      <c r="E120" s="5"/>
      <c r="F120" s="5"/>
      <c r="G120" s="5"/>
      <c r="H120" s="5"/>
      <c r="I120" s="5"/>
      <c r="J120" s="5"/>
      <c r="K120" s="284"/>
      <c r="L120" s="5"/>
      <c r="M120" s="5"/>
      <c r="N120" s="5"/>
      <c r="O120" s="5"/>
      <c r="P120" s="5"/>
      <c r="Q120" s="5"/>
      <c r="R120" s="5"/>
      <c r="S120" s="5"/>
    </row>
    <row r="121" spans="1:19" ht="15.75" hidden="1" customHeight="1" x14ac:dyDescent="0.2">
      <c r="A121" s="5"/>
      <c r="B121" s="5"/>
      <c r="C121" s="284"/>
      <c r="D121" s="5"/>
      <c r="E121" s="5"/>
      <c r="F121" s="5"/>
      <c r="G121" s="5"/>
      <c r="H121" s="5"/>
      <c r="I121" s="5"/>
      <c r="J121" s="5"/>
      <c r="K121" s="284"/>
      <c r="L121" s="5"/>
      <c r="M121" s="5"/>
      <c r="N121" s="5"/>
      <c r="O121" s="5"/>
      <c r="P121" s="5"/>
      <c r="Q121" s="5"/>
      <c r="R121" s="5"/>
      <c r="S121" s="5"/>
    </row>
    <row r="122" spans="1:19" ht="15.75" hidden="1" customHeight="1" x14ac:dyDescent="0.2">
      <c r="A122" s="5"/>
      <c r="B122" s="5"/>
      <c r="C122" s="284"/>
      <c r="D122" s="5"/>
      <c r="E122" s="5"/>
      <c r="F122" s="5"/>
      <c r="G122" s="5"/>
      <c r="H122" s="5"/>
      <c r="I122" s="5"/>
      <c r="J122" s="5"/>
      <c r="K122" s="284"/>
      <c r="L122" s="5"/>
      <c r="M122" s="5"/>
      <c r="N122" s="5"/>
      <c r="O122" s="5"/>
      <c r="P122" s="5"/>
      <c r="Q122" s="5"/>
      <c r="R122" s="5"/>
      <c r="S122" s="5"/>
    </row>
    <row r="123" spans="1:19" ht="15.75" hidden="1" customHeight="1" x14ac:dyDescent="0.2">
      <c r="A123" s="5"/>
      <c r="B123" s="5"/>
      <c r="C123" s="284"/>
      <c r="D123" s="5"/>
      <c r="E123" s="5"/>
      <c r="F123" s="5"/>
      <c r="G123" s="5"/>
      <c r="H123" s="5"/>
      <c r="I123" s="5"/>
      <c r="J123" s="5"/>
      <c r="K123" s="284"/>
      <c r="L123" s="5"/>
      <c r="M123" s="5"/>
      <c r="N123" s="5"/>
      <c r="O123" s="5"/>
      <c r="P123" s="5"/>
      <c r="Q123" s="5"/>
      <c r="R123" s="5"/>
      <c r="S123" s="5"/>
    </row>
    <row r="124" spans="1:19" ht="15.75" hidden="1" customHeight="1" x14ac:dyDescent="0.2">
      <c r="A124" s="5"/>
      <c r="B124" s="5"/>
      <c r="C124" s="284"/>
      <c r="D124" s="5"/>
      <c r="E124" s="5"/>
      <c r="F124" s="5"/>
      <c r="G124" s="5"/>
      <c r="H124" s="5"/>
      <c r="I124" s="5"/>
      <c r="J124" s="5"/>
      <c r="K124" s="284"/>
      <c r="L124" s="5"/>
      <c r="M124" s="5"/>
      <c r="N124" s="5"/>
      <c r="O124" s="5"/>
      <c r="P124" s="5"/>
      <c r="Q124" s="5"/>
      <c r="R124" s="5"/>
      <c r="S124" s="5"/>
    </row>
    <row r="125" spans="1:19" ht="15.75" hidden="1" customHeight="1" x14ac:dyDescent="0.2">
      <c r="A125" s="5"/>
      <c r="B125" s="5"/>
      <c r="C125" s="284"/>
      <c r="D125" s="5"/>
      <c r="E125" s="5"/>
      <c r="F125" s="5"/>
      <c r="G125" s="5"/>
      <c r="H125" s="5"/>
      <c r="I125" s="5"/>
      <c r="J125" s="5"/>
      <c r="K125" s="284"/>
      <c r="L125" s="5"/>
      <c r="M125" s="5"/>
      <c r="N125" s="5"/>
      <c r="O125" s="5"/>
      <c r="P125" s="5"/>
      <c r="Q125" s="5"/>
      <c r="R125" s="5"/>
      <c r="S125" s="5"/>
    </row>
    <row r="126" spans="1:19" ht="15.75" hidden="1" customHeight="1" x14ac:dyDescent="0.2">
      <c r="A126" s="5"/>
      <c r="B126" s="5"/>
      <c r="C126" s="284"/>
      <c r="D126" s="5"/>
      <c r="E126" s="5"/>
      <c r="F126" s="5"/>
      <c r="G126" s="5"/>
      <c r="H126" s="5"/>
      <c r="I126" s="5"/>
      <c r="J126" s="5"/>
      <c r="K126" s="284"/>
      <c r="L126" s="5"/>
      <c r="M126" s="5"/>
      <c r="N126" s="5"/>
      <c r="O126" s="5"/>
      <c r="P126" s="5"/>
      <c r="Q126" s="5"/>
      <c r="R126" s="5"/>
      <c r="S126" s="5"/>
    </row>
    <row r="127" spans="1:19" ht="15.75" hidden="1" customHeight="1" x14ac:dyDescent="0.2">
      <c r="A127" s="5"/>
      <c r="B127" s="5"/>
      <c r="C127" s="284"/>
      <c r="D127" s="5"/>
      <c r="E127" s="5"/>
      <c r="F127" s="5"/>
      <c r="G127" s="5"/>
      <c r="H127" s="5"/>
      <c r="I127" s="5"/>
      <c r="J127" s="5"/>
      <c r="K127" s="284"/>
      <c r="L127" s="5"/>
      <c r="M127" s="5"/>
      <c r="N127" s="5"/>
      <c r="O127" s="5"/>
      <c r="P127" s="5"/>
      <c r="Q127" s="5"/>
      <c r="R127" s="5"/>
      <c r="S127" s="5"/>
    </row>
    <row r="128" spans="1:19" ht="15.75" hidden="1" customHeight="1" x14ac:dyDescent="0.2">
      <c r="A128" s="5"/>
      <c r="B128" s="5"/>
      <c r="C128" s="284"/>
      <c r="D128" s="5"/>
      <c r="E128" s="5"/>
      <c r="F128" s="5"/>
      <c r="G128" s="5"/>
      <c r="H128" s="5"/>
      <c r="I128" s="5"/>
      <c r="J128" s="5"/>
      <c r="K128" s="284"/>
      <c r="L128" s="5"/>
      <c r="M128" s="5"/>
      <c r="N128" s="5"/>
      <c r="O128" s="5"/>
      <c r="P128" s="5"/>
      <c r="Q128" s="5"/>
      <c r="R128" s="5"/>
      <c r="S128" s="5"/>
    </row>
    <row r="129" spans="1:31" ht="15.75" hidden="1" customHeight="1" x14ac:dyDescent="0.2">
      <c r="A129" s="5"/>
      <c r="B129" s="5"/>
      <c r="C129" s="284"/>
      <c r="D129" s="5"/>
      <c r="E129" s="5"/>
      <c r="F129" s="5"/>
      <c r="G129" s="5"/>
      <c r="H129" s="5"/>
      <c r="I129" s="5"/>
      <c r="J129" s="5"/>
      <c r="K129" s="284"/>
      <c r="L129" s="5"/>
      <c r="M129" s="5"/>
      <c r="N129" s="5"/>
      <c r="O129" s="5"/>
      <c r="P129" s="5"/>
      <c r="Q129" s="5"/>
      <c r="R129" s="5"/>
      <c r="S129" s="5"/>
    </row>
    <row r="130" spans="1:31" ht="15.75" hidden="1" customHeight="1" x14ac:dyDescent="0.2">
      <c r="A130" s="5"/>
      <c r="B130" s="5"/>
      <c r="C130" s="284"/>
      <c r="D130" s="5"/>
      <c r="E130" s="5"/>
      <c r="F130" s="5"/>
      <c r="G130" s="5"/>
      <c r="H130" s="5"/>
      <c r="I130" s="5"/>
      <c r="J130" s="5"/>
      <c r="K130" s="284"/>
      <c r="L130" s="5"/>
      <c r="M130" s="5"/>
      <c r="N130" s="5"/>
      <c r="O130" s="5"/>
      <c r="P130" s="5"/>
      <c r="Q130" s="5"/>
      <c r="R130" s="5"/>
      <c r="S130" s="5"/>
    </row>
    <row r="131" spans="1:31" ht="15.75" hidden="1" customHeight="1" x14ac:dyDescent="0.2">
      <c r="A131" s="5"/>
      <c r="B131" s="5"/>
      <c r="C131" s="284"/>
      <c r="D131" s="5"/>
      <c r="E131" s="5"/>
      <c r="F131" s="5"/>
      <c r="G131" s="5"/>
      <c r="H131" s="5"/>
      <c r="I131" s="5"/>
      <c r="J131" s="5"/>
      <c r="K131" s="284"/>
      <c r="L131" s="5"/>
      <c r="M131" s="5"/>
      <c r="N131" s="5"/>
      <c r="O131" s="5"/>
      <c r="P131" s="5"/>
      <c r="Q131" s="5"/>
      <c r="R131" s="5"/>
      <c r="S131" s="5"/>
    </row>
    <row r="132" spans="1:31" ht="15.75" hidden="1" customHeight="1" x14ac:dyDescent="0.2">
      <c r="A132" s="5"/>
      <c r="B132" s="5"/>
      <c r="C132" s="284"/>
      <c r="D132" s="5"/>
      <c r="E132" s="5"/>
      <c r="F132" s="5"/>
      <c r="G132" s="5"/>
      <c r="H132" s="5"/>
      <c r="I132" s="5"/>
      <c r="J132" s="5"/>
      <c r="K132" s="284"/>
      <c r="L132" s="5"/>
      <c r="M132" s="5"/>
      <c r="N132" s="5"/>
      <c r="O132" s="5"/>
      <c r="P132" s="5"/>
      <c r="Q132" s="5"/>
      <c r="R132" s="5"/>
      <c r="S132" s="5"/>
    </row>
    <row r="133" spans="1:31" ht="15.75" hidden="1" customHeight="1" x14ac:dyDescent="0.2">
      <c r="A133" s="5"/>
      <c r="B133" s="5"/>
      <c r="C133" s="284"/>
      <c r="D133" s="5"/>
      <c r="E133" s="5"/>
      <c r="F133" s="5"/>
      <c r="G133" s="5"/>
      <c r="H133" s="5"/>
      <c r="I133" s="5"/>
      <c r="J133" s="5"/>
      <c r="K133" s="284"/>
      <c r="L133" s="5"/>
      <c r="M133" s="5"/>
      <c r="N133" s="5"/>
      <c r="O133" s="5"/>
      <c r="P133" s="5"/>
      <c r="Q133" s="5"/>
      <c r="R133" s="5"/>
      <c r="S133" s="5"/>
    </row>
    <row r="134" spans="1:31" ht="15.75" hidden="1" customHeight="1" x14ac:dyDescent="0.2">
      <c r="A134" s="5"/>
      <c r="B134" s="5"/>
      <c r="C134" s="284"/>
      <c r="D134" s="5"/>
      <c r="E134" s="5"/>
      <c r="F134" s="5"/>
      <c r="G134" s="5"/>
      <c r="H134" s="5"/>
      <c r="I134" s="5"/>
      <c r="J134" s="5"/>
      <c r="K134" s="284"/>
      <c r="L134" s="5"/>
      <c r="M134" s="5"/>
      <c r="N134" s="5"/>
      <c r="O134" s="5"/>
      <c r="P134" s="5"/>
      <c r="Q134" s="5"/>
      <c r="R134" s="5"/>
      <c r="S134" s="5"/>
    </row>
    <row r="135" spans="1:31" ht="15.75" hidden="1" customHeight="1" x14ac:dyDescent="0.2">
      <c r="A135" s="5"/>
      <c r="B135" s="5"/>
      <c r="C135" s="284"/>
      <c r="D135" s="5"/>
      <c r="E135" s="5"/>
      <c r="F135" s="5"/>
      <c r="G135" s="5"/>
      <c r="H135" s="5"/>
      <c r="I135" s="5"/>
      <c r="J135" s="5"/>
      <c r="K135" s="284"/>
      <c r="L135" s="5"/>
      <c r="M135" s="5"/>
      <c r="N135" s="5"/>
      <c r="O135" s="5"/>
      <c r="P135" s="5"/>
      <c r="Q135" s="5"/>
      <c r="R135" s="5"/>
      <c r="S135" s="5"/>
    </row>
    <row r="136" spans="1:31" ht="15.75" hidden="1" customHeight="1" x14ac:dyDescent="0.2">
      <c r="A136" s="11" t="s">
        <v>1316</v>
      </c>
      <c r="B136" s="5"/>
      <c r="C136" s="284"/>
      <c r="D136" s="5"/>
      <c r="E136" s="5"/>
      <c r="F136" s="5"/>
      <c r="G136" s="5"/>
      <c r="H136" s="5"/>
      <c r="I136" s="5"/>
      <c r="J136" s="5"/>
      <c r="K136" s="284"/>
      <c r="L136" s="5"/>
      <c r="M136" s="5"/>
      <c r="N136" s="5"/>
      <c r="O136" s="5"/>
      <c r="P136" s="5"/>
      <c r="Q136" s="5"/>
      <c r="R136" s="5"/>
      <c r="S136" s="5"/>
    </row>
    <row r="137" spans="1:31" ht="28.5" hidden="1" customHeight="1" x14ac:dyDescent="0.25">
      <c r="A137" s="205" t="s">
        <v>1190</v>
      </c>
      <c r="B137" s="5"/>
      <c r="C137" s="15"/>
      <c r="D137" s="16"/>
      <c r="E137" s="16"/>
      <c r="F137" s="16"/>
      <c r="G137" s="16"/>
      <c r="H137" s="18"/>
      <c r="I137" s="16"/>
      <c r="J137" s="16"/>
      <c r="K137" s="15"/>
      <c r="L137" s="7"/>
      <c r="M137" s="7"/>
      <c r="N137" s="7"/>
      <c r="O137" s="7"/>
      <c r="P137" s="7"/>
      <c r="Q137" s="7"/>
      <c r="R137" s="7"/>
      <c r="S137" s="7"/>
      <c r="T137" s="206"/>
      <c r="W137" s="19"/>
      <c r="X137" s="20"/>
    </row>
    <row r="138" spans="1:31" ht="50.25" hidden="1" customHeight="1" x14ac:dyDescent="0.2">
      <c r="A138" s="3" t="s">
        <v>50</v>
      </c>
      <c r="B138" s="3" t="s">
        <v>51</v>
      </c>
      <c r="C138" s="21"/>
      <c r="D138" s="22" t="s">
        <v>52</v>
      </c>
      <c r="E138" s="23" t="s">
        <v>53</v>
      </c>
      <c r="F138" s="23" t="s">
        <v>54</v>
      </c>
      <c r="G138" s="23" t="s">
        <v>55</v>
      </c>
      <c r="H138" s="100" t="s">
        <v>56</v>
      </c>
      <c r="I138" s="23" t="s">
        <v>57</v>
      </c>
      <c r="J138" s="129" t="s">
        <v>58</v>
      </c>
      <c r="K138" s="130"/>
      <c r="L138" s="27" t="s">
        <v>59</v>
      </c>
      <c r="M138" s="27" t="s">
        <v>60</v>
      </c>
      <c r="N138" s="27" t="s">
        <v>61</v>
      </c>
      <c r="O138" s="27" t="s">
        <v>62</v>
      </c>
      <c r="P138" s="27" t="s">
        <v>63</v>
      </c>
      <c r="Q138" s="27" t="s">
        <v>64</v>
      </c>
      <c r="R138" s="27" t="s">
        <v>65</v>
      </c>
      <c r="S138" s="27" t="s">
        <v>66</v>
      </c>
      <c r="T138" s="207"/>
      <c r="U138" s="28"/>
      <c r="V138" s="19"/>
      <c r="X138" s="28"/>
      <c r="Y138" s="28"/>
      <c r="Z138" s="28"/>
      <c r="AA138" s="28"/>
      <c r="AB138" s="28"/>
      <c r="AC138" s="28"/>
      <c r="AD138" s="28"/>
      <c r="AE138" s="28"/>
    </row>
    <row r="139" spans="1:31" ht="15.75" hidden="1" customHeight="1" x14ac:dyDescent="0.2">
      <c r="A139" s="5"/>
      <c r="B139" s="5"/>
      <c r="C139" s="284"/>
      <c r="D139" s="5"/>
      <c r="E139" s="5"/>
      <c r="F139" s="5"/>
      <c r="G139" s="5"/>
      <c r="H139" s="5"/>
      <c r="I139" s="5"/>
      <c r="J139" s="5"/>
      <c r="K139" s="284"/>
      <c r="L139" s="5"/>
      <c r="M139" s="5"/>
      <c r="N139" s="5"/>
      <c r="O139" s="5"/>
      <c r="P139" s="5"/>
      <c r="Q139" s="5"/>
      <c r="R139" s="5"/>
      <c r="S139" s="5"/>
    </row>
    <row r="140" spans="1:31" ht="15.75" hidden="1" customHeight="1" outlineLevel="1" x14ac:dyDescent="0.2">
      <c r="A140" s="3" t="s">
        <v>50</v>
      </c>
      <c r="B140" s="3" t="s">
        <v>51</v>
      </c>
      <c r="C140" s="292"/>
      <c r="D140" s="3" t="s">
        <v>52</v>
      </c>
      <c r="E140" s="380" t="s">
        <v>53</v>
      </c>
      <c r="F140" s="380" t="s">
        <v>1212</v>
      </c>
      <c r="G140" s="380" t="s">
        <v>55</v>
      </c>
      <c r="H140" s="230" t="s">
        <v>56</v>
      </c>
      <c r="I140" s="230" t="s">
        <v>57</v>
      </c>
      <c r="J140" s="5"/>
      <c r="K140" s="292"/>
      <c r="L140" s="3" t="s">
        <v>59</v>
      </c>
      <c r="M140" s="3" t="s">
        <v>60</v>
      </c>
      <c r="N140" s="3" t="s">
        <v>436</v>
      </c>
      <c r="O140" s="3" t="s">
        <v>437</v>
      </c>
      <c r="P140" s="3" t="s">
        <v>541</v>
      </c>
      <c r="Q140" s="293" t="s">
        <v>438</v>
      </c>
      <c r="R140" s="399" t="s">
        <v>1315</v>
      </c>
      <c r="S140" s="5"/>
    </row>
    <row r="141" spans="1:31" ht="15.75" hidden="1" customHeight="1" outlineLevel="1" x14ac:dyDescent="0.25">
      <c r="A141" s="11" t="s">
        <v>1316</v>
      </c>
      <c r="B141" s="6"/>
      <c r="C141" s="280"/>
      <c r="D141" s="216"/>
      <c r="E141" s="216"/>
      <c r="F141" s="216"/>
      <c r="G141" s="216"/>
      <c r="H141" s="211"/>
      <c r="I141" s="5"/>
      <c r="J141" s="5"/>
      <c r="K141" s="280"/>
      <c r="L141" s="216"/>
      <c r="M141" s="314"/>
      <c r="N141" s="36"/>
      <c r="O141" s="268"/>
      <c r="P141" s="36"/>
      <c r="Q141" s="36"/>
      <c r="R141" s="5"/>
      <c r="S141" s="5"/>
    </row>
    <row r="142" spans="1:31" ht="15.75" hidden="1" customHeight="1" outlineLevel="1" x14ac:dyDescent="0.25">
      <c r="A142" s="6" t="s">
        <v>1317</v>
      </c>
      <c r="B142" s="6" t="s">
        <v>68</v>
      </c>
      <c r="C142" s="280"/>
      <c r="D142" s="216">
        <v>0</v>
      </c>
      <c r="E142" s="216" t="e">
        <f>D142*#REF!</f>
        <v>#REF!</v>
      </c>
      <c r="F142" s="216" t="e">
        <f>D142*#REF!</f>
        <v>#REF!</v>
      </c>
      <c r="G142" s="216" t="e">
        <f>(D142*#REF!)*#REF!</f>
        <v>#REF!</v>
      </c>
      <c r="H142" s="211">
        <f t="shared" ref="H142:H175" si="82">IFERROR(((Q142-D142)/D142),0)</f>
        <v>0</v>
      </c>
      <c r="I142" s="7" t="e">
        <f t="shared" ref="I142:I175" si="83">Q142-G142</f>
        <v>#REF!</v>
      </c>
      <c r="J142" s="5"/>
      <c r="K142" s="280"/>
      <c r="L142" s="216">
        <v>0</v>
      </c>
      <c r="M142" s="314">
        <v>1303631.52</v>
      </c>
      <c r="N142" s="36">
        <v>1357613</v>
      </c>
      <c r="O142" s="268">
        <f>VLOOKUP(A142,TB!A:F,3)</f>
        <v>1050956.6000000001</v>
      </c>
      <c r="P142" s="36"/>
      <c r="Q142" s="36">
        <v>1555800</v>
      </c>
      <c r="R142" s="281">
        <f>VLOOKUP(A142,TB!A:F,6)</f>
        <v>1555800</v>
      </c>
      <c r="S142" s="5"/>
    </row>
    <row r="143" spans="1:31" ht="15.75" hidden="1" customHeight="1" outlineLevel="1" x14ac:dyDescent="0.25">
      <c r="A143" s="6" t="s">
        <v>1318</v>
      </c>
      <c r="B143" s="6" t="s">
        <v>70</v>
      </c>
      <c r="C143" s="280"/>
      <c r="D143" s="216">
        <v>0</v>
      </c>
      <c r="E143" s="216" t="e">
        <f>D143*#REF!</f>
        <v>#REF!</v>
      </c>
      <c r="F143" s="216" t="e">
        <f>D143*#REF!</f>
        <v>#REF!</v>
      </c>
      <c r="G143" s="216" t="e">
        <f>(D143*#REF!)*#REF!</f>
        <v>#REF!</v>
      </c>
      <c r="H143" s="211">
        <f t="shared" si="82"/>
        <v>0</v>
      </c>
      <c r="I143" s="7" t="e">
        <f t="shared" si="83"/>
        <v>#REF!</v>
      </c>
      <c r="J143" s="5"/>
      <c r="K143" s="280"/>
      <c r="L143" s="216">
        <v>0</v>
      </c>
      <c r="M143" s="318">
        <v>32089.37</v>
      </c>
      <c r="N143" s="36">
        <v>60000</v>
      </c>
      <c r="O143" s="268">
        <f>VLOOKUP(A143,TB!A:F,3)</f>
        <v>29658.04</v>
      </c>
      <c r="P143" s="36"/>
      <c r="Q143" s="36">
        <v>60000</v>
      </c>
      <c r="R143" s="281">
        <f>VLOOKUP(A143,TB!A:F,6)</f>
        <v>51000</v>
      </c>
      <c r="S143" s="5"/>
    </row>
    <row r="144" spans="1:31" ht="15.75" hidden="1" customHeight="1" outlineLevel="1" x14ac:dyDescent="0.25">
      <c r="A144" s="6" t="s">
        <v>1319</v>
      </c>
      <c r="B144" s="6" t="s">
        <v>108</v>
      </c>
      <c r="C144" s="280"/>
      <c r="D144" s="216">
        <v>0</v>
      </c>
      <c r="E144" s="216" t="e">
        <f>D144*#REF!</f>
        <v>#REF!</v>
      </c>
      <c r="F144" s="216" t="e">
        <f>D144*#REF!</f>
        <v>#REF!</v>
      </c>
      <c r="G144" s="216" t="e">
        <f>(D144*#REF!)*#REF!</f>
        <v>#REF!</v>
      </c>
      <c r="H144" s="211">
        <f t="shared" si="82"/>
        <v>0</v>
      </c>
      <c r="I144" s="7" t="e">
        <f t="shared" si="83"/>
        <v>#REF!</v>
      </c>
      <c r="J144" s="5"/>
      <c r="K144" s="280"/>
      <c r="L144" s="216">
        <v>0</v>
      </c>
      <c r="M144" s="318">
        <v>131517.19</v>
      </c>
      <c r="N144" s="36">
        <v>155000</v>
      </c>
      <c r="O144" s="268">
        <f>VLOOKUP(A144,TB!A:F,3)</f>
        <v>145641.20000000001</v>
      </c>
      <c r="P144" s="36"/>
      <c r="Q144" s="36">
        <v>162000</v>
      </c>
      <c r="R144" s="281">
        <f>VLOOKUP(A144,TB!A:F,6)</f>
        <v>162000</v>
      </c>
      <c r="S144" s="5"/>
    </row>
    <row r="145" spans="1:19" ht="15.75" hidden="1" customHeight="1" outlineLevel="1" x14ac:dyDescent="0.25">
      <c r="A145" s="6" t="s">
        <v>1320</v>
      </c>
      <c r="B145" s="6" t="s">
        <v>72</v>
      </c>
      <c r="C145" s="280"/>
      <c r="D145" s="216">
        <v>0</v>
      </c>
      <c r="E145" s="216" t="e">
        <f>D145*#REF!</f>
        <v>#REF!</v>
      </c>
      <c r="F145" s="216" t="e">
        <f>D145*#REF!</f>
        <v>#REF!</v>
      </c>
      <c r="G145" s="216" t="e">
        <f>(D145*#REF!)*#REF!</f>
        <v>#REF!</v>
      </c>
      <c r="H145" s="211">
        <f t="shared" si="82"/>
        <v>0</v>
      </c>
      <c r="I145" s="7" t="e">
        <f t="shared" si="83"/>
        <v>#REF!</v>
      </c>
      <c r="J145" s="5"/>
      <c r="K145" s="280"/>
      <c r="L145" s="216">
        <v>0</v>
      </c>
      <c r="M145" s="318">
        <v>664047.79</v>
      </c>
      <c r="N145" s="36">
        <v>796852</v>
      </c>
      <c r="O145" s="268">
        <f>VLOOKUP(A145,TB!A:F,3)</f>
        <v>517654.03</v>
      </c>
      <c r="P145" s="36"/>
      <c r="Q145" s="36">
        <v>761700</v>
      </c>
      <c r="R145" s="281">
        <f>VLOOKUP(A145,TB!A:F,6)</f>
        <v>761700</v>
      </c>
      <c r="S145" s="5"/>
    </row>
    <row r="146" spans="1:19" ht="15.75" hidden="1" customHeight="1" outlineLevel="1" x14ac:dyDescent="0.25">
      <c r="A146" s="6" t="s">
        <v>1321</v>
      </c>
      <c r="B146" s="6" t="s">
        <v>892</v>
      </c>
      <c r="C146" s="280"/>
      <c r="D146" s="216">
        <v>0</v>
      </c>
      <c r="E146" s="216" t="e">
        <f>D146*#REF!</f>
        <v>#REF!</v>
      </c>
      <c r="F146" s="216" t="e">
        <f>D146*#REF!</f>
        <v>#REF!</v>
      </c>
      <c r="G146" s="216" t="e">
        <f>(D146*#REF!)*#REF!</f>
        <v>#REF!</v>
      </c>
      <c r="H146" s="211">
        <f t="shared" si="82"/>
        <v>0</v>
      </c>
      <c r="I146" s="7" t="e">
        <f t="shared" si="83"/>
        <v>#REF!</v>
      </c>
      <c r="J146" s="5"/>
      <c r="K146" s="280"/>
      <c r="L146" s="216">
        <v>0</v>
      </c>
      <c r="M146" s="318">
        <v>8610</v>
      </c>
      <c r="N146" s="36">
        <v>13000</v>
      </c>
      <c r="O146" s="268">
        <f>VLOOKUP(A146,TB!A:F,3)</f>
        <v>6870</v>
      </c>
      <c r="P146" s="36"/>
      <c r="Q146" s="36">
        <v>20000</v>
      </c>
      <c r="R146" s="281">
        <f>VLOOKUP(A146,TB!A:F,6)</f>
        <v>18000</v>
      </c>
      <c r="S146" s="5"/>
    </row>
    <row r="147" spans="1:19" ht="15.75" hidden="1" customHeight="1" outlineLevel="1" x14ac:dyDescent="0.25">
      <c r="A147" s="6" t="s">
        <v>1322</v>
      </c>
      <c r="B147" s="6" t="s">
        <v>451</v>
      </c>
      <c r="C147" s="280"/>
      <c r="D147" s="216">
        <v>0</v>
      </c>
      <c r="E147" s="216" t="e">
        <f>D147*#REF!</f>
        <v>#REF!</v>
      </c>
      <c r="F147" s="216" t="e">
        <f>D147*#REF!</f>
        <v>#REF!</v>
      </c>
      <c r="G147" s="216" t="e">
        <f>(D147*#REF!)*#REF!</f>
        <v>#REF!</v>
      </c>
      <c r="H147" s="211">
        <f t="shared" si="82"/>
        <v>0</v>
      </c>
      <c r="I147" s="7" t="e">
        <f t="shared" si="83"/>
        <v>#REF!</v>
      </c>
      <c r="J147" s="5"/>
      <c r="K147" s="280"/>
      <c r="L147" s="216">
        <v>0</v>
      </c>
      <c r="M147" s="318">
        <v>0</v>
      </c>
      <c r="N147" s="36">
        <v>32700</v>
      </c>
      <c r="O147" s="268">
        <f>VLOOKUP(A147,TB!A:F,3)</f>
        <v>2341.5</v>
      </c>
      <c r="P147" s="36"/>
      <c r="Q147" s="36">
        <v>0</v>
      </c>
      <c r="R147" s="281">
        <f>VLOOKUP(A147,TB!A:F,6)</f>
        <v>10000</v>
      </c>
      <c r="S147" s="5"/>
    </row>
    <row r="148" spans="1:19" ht="15.75" hidden="1" customHeight="1" outlineLevel="1" x14ac:dyDescent="0.25">
      <c r="A148" s="6" t="s">
        <v>1323</v>
      </c>
      <c r="B148" s="6" t="s">
        <v>74</v>
      </c>
      <c r="C148" s="280"/>
      <c r="D148" s="216">
        <v>0</v>
      </c>
      <c r="E148" s="216" t="e">
        <f>D148*#REF!</f>
        <v>#REF!</v>
      </c>
      <c r="F148" s="216" t="e">
        <f>D148*#REF!</f>
        <v>#REF!</v>
      </c>
      <c r="G148" s="216" t="e">
        <f>(D148*#REF!)*#REF!</f>
        <v>#REF!</v>
      </c>
      <c r="H148" s="211">
        <f t="shared" si="82"/>
        <v>0</v>
      </c>
      <c r="I148" s="7" t="e">
        <f t="shared" si="83"/>
        <v>#REF!</v>
      </c>
      <c r="J148" s="5"/>
      <c r="K148" s="280"/>
      <c r="L148" s="216">
        <v>0</v>
      </c>
      <c r="M148" s="318">
        <v>369.26</v>
      </c>
      <c r="N148" s="36">
        <v>7000</v>
      </c>
      <c r="O148" s="268">
        <f>VLOOKUP(A148,TB!A:F,3)</f>
        <v>1231.23</v>
      </c>
      <c r="P148" s="36"/>
      <c r="Q148" s="36">
        <v>16000</v>
      </c>
      <c r="R148" s="281">
        <f>VLOOKUP(A148,TB!A:F,6)</f>
        <v>11000</v>
      </c>
      <c r="S148" s="5"/>
    </row>
    <row r="149" spans="1:19" ht="15.75" hidden="1" customHeight="1" outlineLevel="1" x14ac:dyDescent="0.25">
      <c r="A149" s="6" t="s">
        <v>1324</v>
      </c>
      <c r="B149" s="6" t="s">
        <v>76</v>
      </c>
      <c r="C149" s="280"/>
      <c r="D149" s="216">
        <v>0</v>
      </c>
      <c r="E149" s="216" t="e">
        <f>D149*#REF!</f>
        <v>#REF!</v>
      </c>
      <c r="F149" s="216" t="e">
        <f>D149*#REF!</f>
        <v>#REF!</v>
      </c>
      <c r="G149" s="216" t="e">
        <f>(D149*#REF!)*#REF!</f>
        <v>#REF!</v>
      </c>
      <c r="H149" s="211">
        <f t="shared" si="82"/>
        <v>0</v>
      </c>
      <c r="I149" s="7" t="e">
        <f t="shared" si="83"/>
        <v>#REF!</v>
      </c>
      <c r="J149" s="5"/>
      <c r="K149" s="280"/>
      <c r="L149" s="216">
        <v>0</v>
      </c>
      <c r="M149" s="318">
        <v>10547.08</v>
      </c>
      <c r="N149" s="36">
        <v>10000</v>
      </c>
      <c r="O149" s="268">
        <f>VLOOKUP(A149,TB!A:F,3)</f>
        <v>6398.47</v>
      </c>
      <c r="P149" s="36"/>
      <c r="Q149" s="36">
        <v>12000</v>
      </c>
      <c r="R149" s="281">
        <f>VLOOKUP(A149,TB!A:F,6)</f>
        <v>8000</v>
      </c>
      <c r="S149" s="5"/>
    </row>
    <row r="150" spans="1:19" ht="15.75" hidden="1" customHeight="1" outlineLevel="1" x14ac:dyDescent="0.25">
      <c r="A150" s="6" t="s">
        <v>1325</v>
      </c>
      <c r="B150" s="6" t="s">
        <v>80</v>
      </c>
      <c r="C150" s="280"/>
      <c r="D150" s="216">
        <v>0</v>
      </c>
      <c r="E150" s="216" t="e">
        <f>D150*#REF!</f>
        <v>#REF!</v>
      </c>
      <c r="F150" s="216" t="e">
        <f>D150*#REF!</f>
        <v>#REF!</v>
      </c>
      <c r="G150" s="216" t="e">
        <f>(D150*#REF!)*#REF!</f>
        <v>#REF!</v>
      </c>
      <c r="H150" s="211">
        <f t="shared" si="82"/>
        <v>0</v>
      </c>
      <c r="I150" s="7" t="e">
        <f t="shared" si="83"/>
        <v>#REF!</v>
      </c>
      <c r="J150" s="5"/>
      <c r="K150" s="280"/>
      <c r="L150" s="216">
        <v>0</v>
      </c>
      <c r="M150" s="318">
        <v>10322.370000000001</v>
      </c>
      <c r="N150" s="36">
        <v>12000</v>
      </c>
      <c r="O150" s="268">
        <f>VLOOKUP(A150,TB!A:F,3)</f>
        <v>10668.39</v>
      </c>
      <c r="P150" s="36"/>
      <c r="Q150" s="36">
        <v>14000</v>
      </c>
      <c r="R150" s="281">
        <f>VLOOKUP(A150,TB!A:F,6)</f>
        <v>12000</v>
      </c>
      <c r="S150" s="5"/>
    </row>
    <row r="151" spans="1:19" ht="15.75" hidden="1" customHeight="1" outlineLevel="1" x14ac:dyDescent="0.25">
      <c r="A151" s="6" t="s">
        <v>1326</v>
      </c>
      <c r="B151" s="6" t="s">
        <v>82</v>
      </c>
      <c r="C151" s="280"/>
      <c r="D151" s="216">
        <v>0</v>
      </c>
      <c r="E151" s="216" t="e">
        <f>D151*#REF!</f>
        <v>#REF!</v>
      </c>
      <c r="F151" s="216" t="e">
        <f>D151*#REF!</f>
        <v>#REF!</v>
      </c>
      <c r="G151" s="216" t="e">
        <f>(D151*#REF!)*#REF!</f>
        <v>#REF!</v>
      </c>
      <c r="H151" s="211">
        <f t="shared" si="82"/>
        <v>0</v>
      </c>
      <c r="I151" s="7" t="e">
        <f t="shared" si="83"/>
        <v>#REF!</v>
      </c>
      <c r="J151" s="5"/>
      <c r="K151" s="280"/>
      <c r="L151" s="216">
        <v>0</v>
      </c>
      <c r="M151" s="318">
        <v>357040.84</v>
      </c>
      <c r="N151" s="36">
        <v>345000</v>
      </c>
      <c r="O151" s="268">
        <f>VLOOKUP(A151,TB!A:F,3)</f>
        <v>252852.31</v>
      </c>
      <c r="P151" s="36"/>
      <c r="Q151" s="36">
        <v>420000</v>
      </c>
      <c r="R151" s="281">
        <f>VLOOKUP(A151,TB!A:F,6)</f>
        <v>400000</v>
      </c>
      <c r="S151" s="5"/>
    </row>
    <row r="152" spans="1:19" ht="15.75" hidden="1" customHeight="1" outlineLevel="1" x14ac:dyDescent="0.25">
      <c r="A152" s="6" t="s">
        <v>1327</v>
      </c>
      <c r="B152" s="6" t="s">
        <v>115</v>
      </c>
      <c r="C152" s="280"/>
      <c r="D152" s="216">
        <v>0</v>
      </c>
      <c r="E152" s="216" t="e">
        <f>D152*#REF!</f>
        <v>#REF!</v>
      </c>
      <c r="F152" s="216" t="e">
        <f>D152*#REF!</f>
        <v>#REF!</v>
      </c>
      <c r="G152" s="216" t="e">
        <f>(D152*#REF!)*#REF!</f>
        <v>#REF!</v>
      </c>
      <c r="H152" s="211">
        <f t="shared" si="82"/>
        <v>0</v>
      </c>
      <c r="I152" s="7" t="e">
        <f t="shared" si="83"/>
        <v>#REF!</v>
      </c>
      <c r="J152" s="5"/>
      <c r="K152" s="280"/>
      <c r="L152" s="216">
        <v>0</v>
      </c>
      <c r="M152" s="318">
        <v>46020.42</v>
      </c>
      <c r="N152" s="36">
        <v>80500</v>
      </c>
      <c r="O152" s="268">
        <f>VLOOKUP(A152,TB!A:F,3)</f>
        <v>46859.57</v>
      </c>
      <c r="P152" s="36"/>
      <c r="Q152" s="36">
        <v>90000</v>
      </c>
      <c r="R152" s="281">
        <f>VLOOKUP(A152,TB!A:F,6)</f>
        <v>70000</v>
      </c>
      <c r="S152" s="5"/>
    </row>
    <row r="153" spans="1:19" ht="15.75" hidden="1" customHeight="1" outlineLevel="1" x14ac:dyDescent="0.25">
      <c r="A153" s="6" t="s">
        <v>1328</v>
      </c>
      <c r="B153" s="6" t="s">
        <v>210</v>
      </c>
      <c r="C153" s="280"/>
      <c r="D153" s="216">
        <v>0</v>
      </c>
      <c r="E153" s="216" t="e">
        <f>D153*#REF!</f>
        <v>#REF!</v>
      </c>
      <c r="F153" s="216" t="e">
        <f>D153*#REF!</f>
        <v>#REF!</v>
      </c>
      <c r="G153" s="216" t="e">
        <f>(D153*#REF!)*#REF!</f>
        <v>#REF!</v>
      </c>
      <c r="H153" s="211">
        <f t="shared" si="82"/>
        <v>0</v>
      </c>
      <c r="I153" s="7" t="e">
        <f t="shared" si="83"/>
        <v>#REF!</v>
      </c>
      <c r="J153" s="5"/>
      <c r="K153" s="280"/>
      <c r="L153" s="216">
        <v>0</v>
      </c>
      <c r="M153" s="318">
        <v>270243.69</v>
      </c>
      <c r="N153" s="36">
        <v>0</v>
      </c>
      <c r="O153" s="268">
        <f>VLOOKUP(A153,TB!A:F,3)</f>
        <v>0</v>
      </c>
      <c r="P153" s="36"/>
      <c r="Q153" s="36">
        <v>0</v>
      </c>
      <c r="R153" s="281">
        <f>VLOOKUP(A153,TB!A:F,6)</f>
        <v>0</v>
      </c>
      <c r="S153" s="5"/>
    </row>
    <row r="154" spans="1:19" ht="15.75" hidden="1" customHeight="1" outlineLevel="1" x14ac:dyDescent="0.25">
      <c r="A154" s="6" t="s">
        <v>1329</v>
      </c>
      <c r="B154" s="6" t="s">
        <v>277</v>
      </c>
      <c r="C154" s="280"/>
      <c r="D154" s="216">
        <v>0</v>
      </c>
      <c r="E154" s="216" t="e">
        <f>D154*#REF!</f>
        <v>#REF!</v>
      </c>
      <c r="F154" s="216" t="e">
        <f>D154*#REF!</f>
        <v>#REF!</v>
      </c>
      <c r="G154" s="216" t="e">
        <f>(D154*#REF!)*#REF!</f>
        <v>#REF!</v>
      </c>
      <c r="H154" s="211">
        <f t="shared" si="82"/>
        <v>0</v>
      </c>
      <c r="I154" s="7" t="e">
        <f t="shared" si="83"/>
        <v>#REF!</v>
      </c>
      <c r="J154" s="5"/>
      <c r="K154" s="280"/>
      <c r="L154" s="216">
        <v>0</v>
      </c>
      <c r="M154" s="318">
        <v>0</v>
      </c>
      <c r="N154" s="36">
        <v>0</v>
      </c>
      <c r="O154" s="268">
        <f>VLOOKUP(A154,TB!A:F,3)</f>
        <v>0</v>
      </c>
      <c r="P154" s="36"/>
      <c r="Q154" s="36">
        <v>0</v>
      </c>
      <c r="R154" s="281">
        <f>VLOOKUP(A154,TB!A:F,6)</f>
        <v>0</v>
      </c>
      <c r="S154" s="5"/>
    </row>
    <row r="155" spans="1:19" ht="15.75" hidden="1" customHeight="1" outlineLevel="1" x14ac:dyDescent="0.25">
      <c r="A155" s="6" t="s">
        <v>1330</v>
      </c>
      <c r="B155" s="6" t="s">
        <v>84</v>
      </c>
      <c r="C155" s="280"/>
      <c r="D155" s="216">
        <v>0</v>
      </c>
      <c r="E155" s="216" t="e">
        <f>D155*#REF!</f>
        <v>#REF!</v>
      </c>
      <c r="F155" s="216" t="e">
        <f>D155*#REF!</f>
        <v>#REF!</v>
      </c>
      <c r="G155" s="216" t="e">
        <f>(D155*#REF!)*#REF!</f>
        <v>#REF!</v>
      </c>
      <c r="H155" s="211">
        <f t="shared" si="82"/>
        <v>0</v>
      </c>
      <c r="I155" s="7" t="e">
        <f t="shared" si="83"/>
        <v>#REF!</v>
      </c>
      <c r="J155" s="5"/>
      <c r="K155" s="280"/>
      <c r="L155" s="216">
        <v>0</v>
      </c>
      <c r="M155" s="318">
        <v>28376.560000000001</v>
      </c>
      <c r="N155" s="36">
        <v>31900</v>
      </c>
      <c r="O155" s="268">
        <f>VLOOKUP(A155,TB!A:F,3)</f>
        <v>25189.119999999999</v>
      </c>
      <c r="P155" s="36"/>
      <c r="Q155" s="36">
        <v>32000</v>
      </c>
      <c r="R155" s="281">
        <f>VLOOKUP(A155,TB!A:F,6)</f>
        <v>30000</v>
      </c>
      <c r="S155" s="5"/>
    </row>
    <row r="156" spans="1:19" ht="15.75" hidden="1" customHeight="1" outlineLevel="1" x14ac:dyDescent="0.25">
      <c r="A156" s="6" t="s">
        <v>1331</v>
      </c>
      <c r="B156" s="6" t="s">
        <v>210</v>
      </c>
      <c r="C156" s="280"/>
      <c r="D156" s="216">
        <v>0</v>
      </c>
      <c r="E156" s="216" t="e">
        <f>D156*#REF!</f>
        <v>#REF!</v>
      </c>
      <c r="F156" s="216" t="e">
        <f>D156*#REF!</f>
        <v>#REF!</v>
      </c>
      <c r="G156" s="216" t="e">
        <f>(D156*#REF!)*#REF!</f>
        <v>#REF!</v>
      </c>
      <c r="H156" s="211">
        <f t="shared" si="82"/>
        <v>0</v>
      </c>
      <c r="I156" s="7" t="e">
        <f t="shared" si="83"/>
        <v>#REF!</v>
      </c>
      <c r="J156" s="5"/>
      <c r="K156" s="280"/>
      <c r="L156" s="216">
        <v>0</v>
      </c>
      <c r="M156" s="318">
        <v>39083.25</v>
      </c>
      <c r="N156" s="36">
        <v>325000</v>
      </c>
      <c r="O156" s="268">
        <f>VLOOKUP(A156,TB!A:F,3)</f>
        <v>197494.8</v>
      </c>
      <c r="P156" s="36"/>
      <c r="Q156" s="36">
        <v>325000</v>
      </c>
      <c r="R156" s="281">
        <f>VLOOKUP(A156,TB!A:F,6)</f>
        <v>325000</v>
      </c>
      <c r="S156" s="5"/>
    </row>
    <row r="157" spans="1:19" ht="15.75" hidden="1" customHeight="1" outlineLevel="1" x14ac:dyDescent="0.25">
      <c r="A157" s="6" t="s">
        <v>1332</v>
      </c>
      <c r="B157" s="6" t="s">
        <v>86</v>
      </c>
      <c r="C157" s="280"/>
      <c r="D157" s="216">
        <v>0</v>
      </c>
      <c r="E157" s="216" t="e">
        <f>D157*#REF!</f>
        <v>#REF!</v>
      </c>
      <c r="F157" s="216" t="e">
        <f>D157*#REF!</f>
        <v>#REF!</v>
      </c>
      <c r="G157" s="216" t="e">
        <f>(D157*#REF!)*#REF!</f>
        <v>#REF!</v>
      </c>
      <c r="H157" s="211">
        <f t="shared" si="82"/>
        <v>0</v>
      </c>
      <c r="I157" s="7" t="e">
        <f t="shared" si="83"/>
        <v>#REF!</v>
      </c>
      <c r="J157" s="5"/>
      <c r="K157" s="280"/>
      <c r="L157" s="216">
        <v>0</v>
      </c>
      <c r="M157" s="318">
        <v>4105</v>
      </c>
      <c r="N157" s="36">
        <v>20500</v>
      </c>
      <c r="O157" s="268">
        <f>VLOOKUP(A157,TB!A:F,3)</f>
        <v>3105</v>
      </c>
      <c r="P157" s="36"/>
      <c r="Q157" s="36">
        <v>15000</v>
      </c>
      <c r="R157" s="281">
        <f>VLOOKUP(A157,TB!A:F,6)</f>
        <v>12500</v>
      </c>
      <c r="S157" s="5"/>
    </row>
    <row r="158" spans="1:19" ht="15.75" hidden="1" customHeight="1" outlineLevel="1" x14ac:dyDescent="0.25">
      <c r="A158" s="6" t="s">
        <v>1333</v>
      </c>
      <c r="B158" s="6" t="s">
        <v>88</v>
      </c>
      <c r="C158" s="280"/>
      <c r="D158" s="216">
        <v>0</v>
      </c>
      <c r="E158" s="216" t="e">
        <f>D158*#REF!</f>
        <v>#REF!</v>
      </c>
      <c r="F158" s="216" t="e">
        <f>D158*#REF!</f>
        <v>#REF!</v>
      </c>
      <c r="G158" s="216" t="e">
        <f>(D158*#REF!)*#REF!</f>
        <v>#REF!</v>
      </c>
      <c r="H158" s="211">
        <f t="shared" si="82"/>
        <v>0</v>
      </c>
      <c r="I158" s="7" t="e">
        <f t="shared" si="83"/>
        <v>#REF!</v>
      </c>
      <c r="J158" s="5"/>
      <c r="K158" s="280"/>
      <c r="L158" s="216">
        <v>0</v>
      </c>
      <c r="M158" s="318">
        <v>1340.22</v>
      </c>
      <c r="N158" s="36">
        <v>14000</v>
      </c>
      <c r="O158" s="268">
        <f>VLOOKUP(A158,TB!A:F,3)</f>
        <v>0</v>
      </c>
      <c r="P158" s="36"/>
      <c r="Q158" s="36">
        <v>30500</v>
      </c>
      <c r="R158" s="281">
        <f>VLOOKUP(A158,TB!A:F,6)</f>
        <v>30500</v>
      </c>
      <c r="S158" s="5"/>
    </row>
    <row r="159" spans="1:19" ht="15.75" hidden="1" customHeight="1" outlineLevel="1" x14ac:dyDescent="0.25">
      <c r="A159" s="6" t="s">
        <v>1334</v>
      </c>
      <c r="B159" s="6" t="s">
        <v>90</v>
      </c>
      <c r="C159" s="280"/>
      <c r="D159" s="216">
        <v>0</v>
      </c>
      <c r="E159" s="216" t="e">
        <f>D159*#REF!</f>
        <v>#REF!</v>
      </c>
      <c r="F159" s="216" t="e">
        <f>D159*#REF!</f>
        <v>#REF!</v>
      </c>
      <c r="G159" s="216" t="e">
        <f>(D159*#REF!)*#REF!</f>
        <v>#REF!</v>
      </c>
      <c r="H159" s="211">
        <f t="shared" si="82"/>
        <v>0</v>
      </c>
      <c r="I159" s="7" t="e">
        <f t="shared" si="83"/>
        <v>#REF!</v>
      </c>
      <c r="J159" s="5"/>
      <c r="K159" s="280"/>
      <c r="L159" s="216">
        <v>0</v>
      </c>
      <c r="M159" s="318">
        <v>0</v>
      </c>
      <c r="N159" s="36">
        <v>18000</v>
      </c>
      <c r="O159" s="268">
        <f>VLOOKUP(A159,TB!A:F,3)</f>
        <v>3020</v>
      </c>
      <c r="P159" s="36"/>
      <c r="Q159" s="36">
        <v>20000</v>
      </c>
      <c r="R159" s="281">
        <f>VLOOKUP(A159,TB!A:F,6)</f>
        <v>15000</v>
      </c>
      <c r="S159" s="5"/>
    </row>
    <row r="160" spans="1:19" ht="15.75" hidden="1" customHeight="1" outlineLevel="1" x14ac:dyDescent="0.25">
      <c r="A160" s="6" t="s">
        <v>1335</v>
      </c>
      <c r="B160" s="6" t="s">
        <v>1336</v>
      </c>
      <c r="C160" s="280"/>
      <c r="D160" s="216">
        <v>0</v>
      </c>
      <c r="E160" s="216" t="e">
        <f>D160*#REF!</f>
        <v>#REF!</v>
      </c>
      <c r="F160" s="216" t="e">
        <f>D160*#REF!</f>
        <v>#REF!</v>
      </c>
      <c r="G160" s="216" t="e">
        <f>(D160*#REF!)*#REF!</f>
        <v>#REF!</v>
      </c>
      <c r="H160" s="211">
        <f t="shared" si="82"/>
        <v>0</v>
      </c>
      <c r="I160" s="7" t="e">
        <f t="shared" si="83"/>
        <v>#REF!</v>
      </c>
      <c r="J160" s="5"/>
      <c r="K160" s="280"/>
      <c r="L160" s="216">
        <v>0</v>
      </c>
      <c r="M160" s="318">
        <v>217849.61</v>
      </c>
      <c r="N160" s="36">
        <v>451000</v>
      </c>
      <c r="O160" s="268">
        <f>VLOOKUP(A160,TB!A:F,3)</f>
        <v>274221.46999999997</v>
      </c>
      <c r="P160" s="36"/>
      <c r="Q160" s="36">
        <v>631000</v>
      </c>
      <c r="R160" s="281">
        <f>VLOOKUP(A160,TB!A:F,6)</f>
        <v>531000</v>
      </c>
      <c r="S160" s="5"/>
    </row>
    <row r="161" spans="1:28" ht="15.75" hidden="1" customHeight="1" outlineLevel="1" x14ac:dyDescent="0.25">
      <c r="A161" s="6" t="s">
        <v>1337</v>
      </c>
      <c r="B161" s="6" t="s">
        <v>1338</v>
      </c>
      <c r="C161" s="280"/>
      <c r="D161" s="216">
        <v>0</v>
      </c>
      <c r="E161" s="216" t="e">
        <f>D161*#REF!</f>
        <v>#REF!</v>
      </c>
      <c r="F161" s="216" t="e">
        <f>D161*#REF!</f>
        <v>#REF!</v>
      </c>
      <c r="G161" s="216" t="e">
        <f>(D161*#REF!)*#REF!</f>
        <v>#REF!</v>
      </c>
      <c r="H161" s="211">
        <f t="shared" si="82"/>
        <v>0</v>
      </c>
      <c r="I161" s="7" t="e">
        <f t="shared" si="83"/>
        <v>#REF!</v>
      </c>
      <c r="J161" s="5"/>
      <c r="K161" s="280"/>
      <c r="L161" s="216">
        <v>0</v>
      </c>
      <c r="M161" s="318">
        <v>590200.48</v>
      </c>
      <c r="N161" s="36">
        <v>880000</v>
      </c>
      <c r="O161" s="268">
        <f>VLOOKUP(A161,TB!A:F,3)</f>
        <v>865782.95</v>
      </c>
      <c r="P161" s="36"/>
      <c r="Q161" s="36">
        <v>880000</v>
      </c>
      <c r="R161" s="281">
        <f>VLOOKUP(A161,TB!A:F,6)</f>
        <v>880000</v>
      </c>
      <c r="S161" s="5"/>
    </row>
    <row r="162" spans="1:28" ht="15.75" hidden="1" customHeight="1" outlineLevel="1" x14ac:dyDescent="0.25">
      <c r="A162" s="6" t="s">
        <v>1339</v>
      </c>
      <c r="B162" s="6" t="s">
        <v>1340</v>
      </c>
      <c r="C162" s="280"/>
      <c r="D162" s="216">
        <v>0</v>
      </c>
      <c r="E162" s="216" t="e">
        <f>D162*#REF!</f>
        <v>#REF!</v>
      </c>
      <c r="F162" s="216" t="e">
        <f>D162*#REF!</f>
        <v>#REF!</v>
      </c>
      <c r="G162" s="216" t="e">
        <f>(D162*#REF!)*#REF!</f>
        <v>#REF!</v>
      </c>
      <c r="H162" s="211">
        <f t="shared" si="82"/>
        <v>0</v>
      </c>
      <c r="I162" s="7" t="e">
        <f t="shared" si="83"/>
        <v>#REF!</v>
      </c>
      <c r="J162" s="5"/>
      <c r="K162" s="280"/>
      <c r="L162" s="216">
        <v>0</v>
      </c>
      <c r="M162" s="318">
        <v>460200.43</v>
      </c>
      <c r="N162" s="36">
        <v>500000</v>
      </c>
      <c r="O162" s="268">
        <f>VLOOKUP(A162,TB!A:F,3)</f>
        <v>563094.27</v>
      </c>
      <c r="P162" s="36"/>
      <c r="Q162" s="36">
        <v>500000</v>
      </c>
      <c r="R162" s="281">
        <f>VLOOKUP(A162,TB!A:F,6)</f>
        <v>500000</v>
      </c>
      <c r="S162" s="5"/>
    </row>
    <row r="163" spans="1:28" ht="15.75" hidden="1" customHeight="1" outlineLevel="1" x14ac:dyDescent="0.25">
      <c r="A163" s="6" t="s">
        <v>1341</v>
      </c>
      <c r="B163" s="6" t="s">
        <v>1342</v>
      </c>
      <c r="C163" s="280"/>
      <c r="D163" s="216">
        <v>0</v>
      </c>
      <c r="E163" s="216" t="e">
        <f>D163*#REF!</f>
        <v>#REF!</v>
      </c>
      <c r="F163" s="216" t="e">
        <f>D163*#REF!</f>
        <v>#REF!</v>
      </c>
      <c r="G163" s="216" t="e">
        <f>(D163*#REF!)*#REF!</f>
        <v>#REF!</v>
      </c>
      <c r="H163" s="211">
        <f t="shared" si="82"/>
        <v>0</v>
      </c>
      <c r="I163" s="7" t="e">
        <f t="shared" si="83"/>
        <v>#REF!</v>
      </c>
      <c r="J163" s="5"/>
      <c r="K163" s="280"/>
      <c r="L163" s="216">
        <v>0</v>
      </c>
      <c r="M163" s="318">
        <v>62750.04</v>
      </c>
      <c r="N163" s="36">
        <v>75000</v>
      </c>
      <c r="O163" s="268">
        <f>VLOOKUP(A163,TB!A:F,3)</f>
        <v>13646.33</v>
      </c>
      <c r="P163" s="36"/>
      <c r="Q163" s="36">
        <v>75000</v>
      </c>
      <c r="R163" s="281">
        <f>VLOOKUP(A163,TB!A:F,6)</f>
        <v>50000</v>
      </c>
      <c r="S163" s="5"/>
    </row>
    <row r="164" spans="1:28" ht="15.75" hidden="1" customHeight="1" outlineLevel="1" x14ac:dyDescent="0.25">
      <c r="A164" s="6" t="s">
        <v>1343</v>
      </c>
      <c r="B164" s="6" t="s">
        <v>1344</v>
      </c>
      <c r="C164" s="280"/>
      <c r="D164" s="216">
        <v>0</v>
      </c>
      <c r="E164" s="216" t="e">
        <f>D164*#REF!</f>
        <v>#REF!</v>
      </c>
      <c r="F164" s="216" t="e">
        <f>D164*#REF!</f>
        <v>#REF!</v>
      </c>
      <c r="G164" s="216" t="e">
        <f>(D164*#REF!)*#REF!</f>
        <v>#REF!</v>
      </c>
      <c r="H164" s="211">
        <f t="shared" si="82"/>
        <v>0</v>
      </c>
      <c r="I164" s="7" t="e">
        <f t="shared" si="83"/>
        <v>#REF!</v>
      </c>
      <c r="J164" s="5"/>
      <c r="K164" s="280"/>
      <c r="L164" s="216">
        <v>0</v>
      </c>
      <c r="M164" s="318">
        <v>190680.21</v>
      </c>
      <c r="N164" s="36">
        <v>275000</v>
      </c>
      <c r="O164" s="268">
        <f>VLOOKUP(A164,TB!A:F,3)</f>
        <v>154538.87</v>
      </c>
      <c r="P164" s="36"/>
      <c r="Q164" s="36">
        <v>250000</v>
      </c>
      <c r="R164" s="281">
        <f>VLOOKUP(A164,TB!A:F,6)</f>
        <v>250000</v>
      </c>
      <c r="S164" s="5"/>
    </row>
    <row r="165" spans="1:28" ht="15.75" hidden="1" customHeight="1" outlineLevel="1" x14ac:dyDescent="0.25">
      <c r="A165" s="6" t="s">
        <v>1345</v>
      </c>
      <c r="B165" s="6" t="s">
        <v>1346</v>
      </c>
      <c r="C165" s="280"/>
      <c r="D165" s="216">
        <v>0</v>
      </c>
      <c r="E165" s="216" t="e">
        <f>D165*#REF!</f>
        <v>#REF!</v>
      </c>
      <c r="F165" s="216" t="e">
        <f>D165*#REF!</f>
        <v>#REF!</v>
      </c>
      <c r="G165" s="216" t="e">
        <f>(D165*#REF!)*#REF!</f>
        <v>#REF!</v>
      </c>
      <c r="H165" s="211">
        <f t="shared" si="82"/>
        <v>0</v>
      </c>
      <c r="I165" s="7" t="e">
        <f t="shared" si="83"/>
        <v>#REF!</v>
      </c>
      <c r="J165" s="5"/>
      <c r="K165" s="280"/>
      <c r="L165" s="216">
        <v>0</v>
      </c>
      <c r="M165" s="318">
        <v>147663.1</v>
      </c>
      <c r="N165" s="36">
        <v>158000</v>
      </c>
      <c r="O165" s="268">
        <f>VLOOKUP(A165,TB!A:F,3)</f>
        <v>155781.79999999999</v>
      </c>
      <c r="P165" s="36"/>
      <c r="Q165" s="36">
        <v>170000</v>
      </c>
      <c r="R165" s="281">
        <f>VLOOKUP(A165,TB!A:F,6)</f>
        <v>170000</v>
      </c>
      <c r="S165" s="5"/>
    </row>
    <row r="166" spans="1:28" ht="15.75" hidden="1" customHeight="1" outlineLevel="1" x14ac:dyDescent="0.25">
      <c r="A166" s="6" t="s">
        <v>1347</v>
      </c>
      <c r="B166" s="6" t="s">
        <v>1348</v>
      </c>
      <c r="C166" s="280"/>
      <c r="D166" s="216">
        <v>0</v>
      </c>
      <c r="E166" s="216" t="e">
        <f>D166*#REF!</f>
        <v>#REF!</v>
      </c>
      <c r="F166" s="216" t="e">
        <f>D166*#REF!</f>
        <v>#REF!</v>
      </c>
      <c r="G166" s="216" t="e">
        <f>(D166*#REF!)*#REF!</f>
        <v>#REF!</v>
      </c>
      <c r="H166" s="211">
        <f t="shared" si="82"/>
        <v>0</v>
      </c>
      <c r="I166" s="7" t="e">
        <f t="shared" si="83"/>
        <v>#REF!</v>
      </c>
      <c r="J166" s="5"/>
      <c r="K166" s="280"/>
      <c r="L166" s="216">
        <v>0</v>
      </c>
      <c r="M166" s="318">
        <v>60488.14</v>
      </c>
      <c r="N166" s="36">
        <v>80000</v>
      </c>
      <c r="O166" s="268">
        <f>VLOOKUP(A166,TB!A:F,3)</f>
        <v>3241.35</v>
      </c>
      <c r="P166" s="36"/>
      <c r="Q166" s="36">
        <v>85000</v>
      </c>
      <c r="R166" s="281">
        <f>VLOOKUP(A166,TB!A:F,6)</f>
        <v>75000</v>
      </c>
      <c r="S166" s="5"/>
    </row>
    <row r="167" spans="1:28" ht="15.75" hidden="1" customHeight="1" outlineLevel="1" x14ac:dyDescent="0.25">
      <c r="A167" s="6" t="s">
        <v>1349</v>
      </c>
      <c r="B167" s="6" t="s">
        <v>1350</v>
      </c>
      <c r="C167" s="280"/>
      <c r="D167" s="216">
        <v>0</v>
      </c>
      <c r="E167" s="216" t="e">
        <f>D167*#REF!</f>
        <v>#REF!</v>
      </c>
      <c r="F167" s="216" t="e">
        <f>D167*#REF!</f>
        <v>#REF!</v>
      </c>
      <c r="G167" s="216" t="e">
        <f>(D167*#REF!)*#REF!</f>
        <v>#REF!</v>
      </c>
      <c r="H167" s="211">
        <f t="shared" si="82"/>
        <v>0</v>
      </c>
      <c r="I167" s="7" t="e">
        <f t="shared" si="83"/>
        <v>#REF!</v>
      </c>
      <c r="J167" s="5"/>
      <c r="K167" s="280"/>
      <c r="L167" s="216">
        <v>0</v>
      </c>
      <c r="M167" s="318">
        <v>13442.79</v>
      </c>
      <c r="N167" s="36">
        <v>58000</v>
      </c>
      <c r="O167" s="268">
        <f>VLOOKUP(A167,TB!A:F,3)</f>
        <v>27006.34</v>
      </c>
      <c r="P167" s="36"/>
      <c r="Q167" s="36">
        <v>65000</v>
      </c>
      <c r="R167" s="281">
        <f>VLOOKUP(A167,TB!A:F,6)</f>
        <v>60000</v>
      </c>
      <c r="S167" s="5"/>
    </row>
    <row r="168" spans="1:28" ht="15.75" hidden="1" customHeight="1" outlineLevel="1" x14ac:dyDescent="0.25">
      <c r="A168" s="6" t="s">
        <v>1351</v>
      </c>
      <c r="B168" s="6" t="s">
        <v>468</v>
      </c>
      <c r="C168" s="280"/>
      <c r="D168" s="216">
        <v>0</v>
      </c>
      <c r="E168" s="216" t="e">
        <f>D168*#REF!</f>
        <v>#REF!</v>
      </c>
      <c r="F168" s="216" t="e">
        <f>D168*#REF!</f>
        <v>#REF!</v>
      </c>
      <c r="G168" s="216" t="e">
        <f>(D168*#REF!)*#REF!</f>
        <v>#REF!</v>
      </c>
      <c r="H168" s="211">
        <f t="shared" si="82"/>
        <v>0</v>
      </c>
      <c r="I168" s="7" t="e">
        <f t="shared" si="83"/>
        <v>#REF!</v>
      </c>
      <c r="J168" s="5"/>
      <c r="K168" s="280"/>
      <c r="L168" s="216">
        <v>0</v>
      </c>
      <c r="M168" s="318">
        <v>0</v>
      </c>
      <c r="N168" s="36">
        <v>20000</v>
      </c>
      <c r="O168" s="268">
        <f>VLOOKUP(A168,TB!A:F,3)</f>
        <v>8250.58</v>
      </c>
      <c r="P168" s="36"/>
      <c r="Q168" s="36">
        <v>22000</v>
      </c>
      <c r="R168" s="281">
        <f>VLOOKUP(A168,TB!A:F,6)</f>
        <v>20000</v>
      </c>
      <c r="S168" s="5"/>
    </row>
    <row r="169" spans="1:28" ht="15.75" hidden="1" customHeight="1" outlineLevel="1" x14ac:dyDescent="0.25">
      <c r="A169" s="6" t="s">
        <v>1352</v>
      </c>
      <c r="B169" s="6" t="s">
        <v>92</v>
      </c>
      <c r="C169" s="280"/>
      <c r="D169" s="216">
        <v>0</v>
      </c>
      <c r="E169" s="216" t="e">
        <f>D169*#REF!</f>
        <v>#REF!</v>
      </c>
      <c r="F169" s="216" t="e">
        <f>D169*#REF!</f>
        <v>#REF!</v>
      </c>
      <c r="G169" s="216" t="e">
        <f>(D169*#REF!)*#REF!</f>
        <v>#REF!</v>
      </c>
      <c r="H169" s="211">
        <f t="shared" si="82"/>
        <v>0</v>
      </c>
      <c r="I169" s="7" t="e">
        <f t="shared" si="83"/>
        <v>#REF!</v>
      </c>
      <c r="J169" s="5"/>
      <c r="K169" s="280"/>
      <c r="L169" s="216">
        <v>0</v>
      </c>
      <c r="M169" s="318">
        <v>91471.91</v>
      </c>
      <c r="N169" s="36">
        <v>81000</v>
      </c>
      <c r="O169" s="268">
        <f>VLOOKUP(A169,TB!A:F,3)</f>
        <v>102814.84</v>
      </c>
      <c r="P169" s="36"/>
      <c r="Q169" s="36">
        <v>100000</v>
      </c>
      <c r="R169" s="281">
        <f>VLOOKUP(A169,TB!A:F,6)</f>
        <v>100000</v>
      </c>
      <c r="S169" s="5"/>
    </row>
    <row r="170" spans="1:28" ht="15.75" hidden="1" customHeight="1" outlineLevel="1" x14ac:dyDescent="0.25">
      <c r="A170" s="6" t="s">
        <v>1353</v>
      </c>
      <c r="B170" s="6" t="s">
        <v>94</v>
      </c>
      <c r="C170" s="280"/>
      <c r="D170" s="216">
        <v>0</v>
      </c>
      <c r="E170" s="216" t="e">
        <f>D170*#REF!</f>
        <v>#REF!</v>
      </c>
      <c r="F170" s="216" t="e">
        <f>D170*#REF!</f>
        <v>#REF!</v>
      </c>
      <c r="G170" s="216" t="e">
        <f>(D170*#REF!)*#REF!</f>
        <v>#REF!</v>
      </c>
      <c r="H170" s="211">
        <f t="shared" si="82"/>
        <v>0</v>
      </c>
      <c r="I170" s="7" t="e">
        <f t="shared" si="83"/>
        <v>#REF!</v>
      </c>
      <c r="J170" s="5"/>
      <c r="K170" s="280"/>
      <c r="L170" s="216">
        <v>0</v>
      </c>
      <c r="M170" s="318">
        <v>0</v>
      </c>
      <c r="N170" s="36">
        <v>10000</v>
      </c>
      <c r="O170" s="268">
        <f>VLOOKUP(A170,TB!A:F,3)</f>
        <v>0</v>
      </c>
      <c r="P170" s="36"/>
      <c r="Q170" s="36">
        <v>10000</v>
      </c>
      <c r="R170" s="281">
        <f>VLOOKUP(A170,TB!A:F,6)</f>
        <v>5000</v>
      </c>
      <c r="S170" s="5"/>
    </row>
    <row r="171" spans="1:28" ht="15.75" hidden="1" customHeight="1" outlineLevel="1" x14ac:dyDescent="0.25">
      <c r="A171" s="6" t="s">
        <v>1354</v>
      </c>
      <c r="B171" s="6" t="s">
        <v>1355</v>
      </c>
      <c r="C171" s="280"/>
      <c r="D171" s="216">
        <v>0</v>
      </c>
      <c r="E171" s="216" t="e">
        <f>D171*#REF!</f>
        <v>#REF!</v>
      </c>
      <c r="F171" s="216" t="e">
        <f>D171*#REF!</f>
        <v>#REF!</v>
      </c>
      <c r="G171" s="216" t="e">
        <f>(D171*#REF!)*#REF!</f>
        <v>#REF!</v>
      </c>
      <c r="H171" s="211">
        <f t="shared" si="82"/>
        <v>0</v>
      </c>
      <c r="I171" s="7" t="e">
        <f t="shared" si="83"/>
        <v>#REF!</v>
      </c>
      <c r="J171" s="5"/>
      <c r="K171" s="280"/>
      <c r="L171" s="216">
        <v>0</v>
      </c>
      <c r="M171" s="318">
        <v>5000</v>
      </c>
      <c r="N171" s="36">
        <v>0</v>
      </c>
      <c r="O171" s="268">
        <f>VLOOKUP(A171,TB!A:F,3)</f>
        <v>0</v>
      </c>
      <c r="P171" s="36"/>
      <c r="Q171" s="36">
        <v>0</v>
      </c>
      <c r="R171" s="281">
        <f>VLOOKUP(A171,TB!A:F,6)</f>
        <v>0</v>
      </c>
      <c r="S171" s="5"/>
    </row>
    <row r="172" spans="1:28" ht="15.75" hidden="1" customHeight="1" outlineLevel="1" x14ac:dyDescent="0.25">
      <c r="A172" s="6" t="s">
        <v>1356</v>
      </c>
      <c r="B172" s="6" t="s">
        <v>532</v>
      </c>
      <c r="C172" s="280"/>
      <c r="D172" s="216">
        <v>0</v>
      </c>
      <c r="E172" s="216" t="e">
        <f>D172*#REF!</f>
        <v>#REF!</v>
      </c>
      <c r="F172" s="216" t="e">
        <f>D172*#REF!</f>
        <v>#REF!</v>
      </c>
      <c r="G172" s="216" t="e">
        <f>(D172*#REF!)*#REF!</f>
        <v>#REF!</v>
      </c>
      <c r="H172" s="211">
        <f t="shared" si="82"/>
        <v>0</v>
      </c>
      <c r="I172" s="7" t="e">
        <f t="shared" si="83"/>
        <v>#REF!</v>
      </c>
      <c r="J172" s="5"/>
      <c r="K172" s="280"/>
      <c r="L172" s="216">
        <v>0</v>
      </c>
      <c r="M172" s="318">
        <v>478017.22</v>
      </c>
      <c r="N172" s="36">
        <v>0</v>
      </c>
      <c r="O172" s="268">
        <f>VLOOKUP(A172,TB!A:F,3)</f>
        <v>0</v>
      </c>
      <c r="P172" s="36"/>
      <c r="Q172" s="36">
        <v>0</v>
      </c>
      <c r="R172" s="281">
        <f>VLOOKUP(A172,TB!A:F,6)</f>
        <v>0</v>
      </c>
      <c r="S172" s="5"/>
    </row>
    <row r="173" spans="1:28" ht="15.75" hidden="1" customHeight="1" outlineLevel="1" x14ac:dyDescent="0.25">
      <c r="A173" s="6" t="s">
        <v>1357</v>
      </c>
      <c r="B173" s="6" t="s">
        <v>99</v>
      </c>
      <c r="C173" s="280"/>
      <c r="D173" s="216">
        <v>0</v>
      </c>
      <c r="E173" s="216" t="e">
        <f>D173*#REF!</f>
        <v>#REF!</v>
      </c>
      <c r="F173" s="216" t="e">
        <f>D173*#REF!</f>
        <v>#REF!</v>
      </c>
      <c r="G173" s="216" t="e">
        <f>(D173*#REF!)*#REF!</f>
        <v>#REF!</v>
      </c>
      <c r="H173" s="211">
        <f t="shared" si="82"/>
        <v>0</v>
      </c>
      <c r="I173" s="7" t="e">
        <f t="shared" si="83"/>
        <v>#REF!</v>
      </c>
      <c r="J173" s="5"/>
      <c r="K173" s="280"/>
      <c r="L173" s="216">
        <v>0</v>
      </c>
      <c r="M173" s="318">
        <v>917049.74</v>
      </c>
      <c r="N173" s="36">
        <v>0</v>
      </c>
      <c r="O173" s="268">
        <f>VLOOKUP(A173,TB!A:F,3)</f>
        <v>0</v>
      </c>
      <c r="P173" s="36"/>
      <c r="Q173" s="36">
        <v>0</v>
      </c>
      <c r="R173" s="281">
        <f>VLOOKUP(A173,TB!A:F,6)</f>
        <v>0</v>
      </c>
      <c r="S173" s="5"/>
    </row>
    <row r="174" spans="1:28" ht="15.75" hidden="1" customHeight="1" outlineLevel="1" x14ac:dyDescent="0.25">
      <c r="A174" s="6" t="s">
        <v>1358</v>
      </c>
      <c r="B174" s="6" t="s">
        <v>1359</v>
      </c>
      <c r="C174" s="280"/>
      <c r="D174" s="216">
        <v>0</v>
      </c>
      <c r="E174" s="216" t="e">
        <f>D174*#REF!</f>
        <v>#REF!</v>
      </c>
      <c r="F174" s="216" t="e">
        <f>D174*#REF!</f>
        <v>#REF!</v>
      </c>
      <c r="G174" s="216" t="e">
        <f>(D174*#REF!)*#REF!</f>
        <v>#REF!</v>
      </c>
      <c r="H174" s="211">
        <f t="shared" si="82"/>
        <v>0</v>
      </c>
      <c r="I174" s="7" t="e">
        <f t="shared" si="83"/>
        <v>#REF!</v>
      </c>
      <c r="J174" s="5"/>
      <c r="K174" s="280"/>
      <c r="L174" s="216">
        <v>0</v>
      </c>
      <c r="M174" s="318">
        <v>815.91</v>
      </c>
      <c r="N174" s="36">
        <v>0</v>
      </c>
      <c r="O174" s="268">
        <f>VLOOKUP(A174,TB!A:F,3)</f>
        <v>0</v>
      </c>
      <c r="P174" s="36"/>
      <c r="Q174" s="36">
        <v>0</v>
      </c>
      <c r="R174" s="281">
        <f>VLOOKUP(A174,TB!A:F,6)</f>
        <v>0</v>
      </c>
      <c r="S174" s="5"/>
    </row>
    <row r="175" spans="1:28" ht="15.75" hidden="1" customHeight="1" outlineLevel="1" x14ac:dyDescent="0.25">
      <c r="A175" s="47" t="s">
        <v>1360</v>
      </c>
      <c r="B175" s="48"/>
      <c r="C175" s="282"/>
      <c r="D175" s="12">
        <f t="shared" ref="D175:G175" si="84">SUM(D142:D174)</f>
        <v>0</v>
      </c>
      <c r="E175" s="12" t="e">
        <f t="shared" si="84"/>
        <v>#REF!</v>
      </c>
      <c r="F175" s="12" t="e">
        <f t="shared" si="84"/>
        <v>#REF!</v>
      </c>
      <c r="G175" s="12" t="e">
        <f t="shared" si="84"/>
        <v>#REF!</v>
      </c>
      <c r="H175" s="212">
        <f t="shared" si="82"/>
        <v>0</v>
      </c>
      <c r="I175" s="12" t="e">
        <f t="shared" si="83"/>
        <v>#REF!</v>
      </c>
      <c r="J175" s="48"/>
      <c r="K175" s="282"/>
      <c r="L175" s="12">
        <f t="shared" ref="L175:O175" si="85">SUM(L142:L174)</f>
        <v>0</v>
      </c>
      <c r="M175" s="12">
        <f t="shared" si="85"/>
        <v>6142974.1399999997</v>
      </c>
      <c r="N175" s="12">
        <f t="shared" si="85"/>
        <v>5867065</v>
      </c>
      <c r="O175" s="12">
        <f t="shared" si="85"/>
        <v>4468319.0600000005</v>
      </c>
      <c r="P175" s="12"/>
      <c r="Q175" s="12">
        <f t="shared" ref="Q175:R175" si="86">SUM(Q142:Q174)</f>
        <v>6322000</v>
      </c>
      <c r="R175" s="12">
        <f t="shared" si="86"/>
        <v>6113500</v>
      </c>
      <c r="S175" s="5"/>
      <c r="V175" s="44"/>
      <c r="W175" s="44"/>
      <c r="X175" s="44"/>
      <c r="Y175" s="44"/>
      <c r="Z175" s="44"/>
      <c r="AA175" s="44"/>
      <c r="AB175" s="44"/>
    </row>
    <row r="176" spans="1:28" ht="15.75" hidden="1" customHeight="1" outlineLevel="1" x14ac:dyDescent="0.2">
      <c r="A176" s="5"/>
      <c r="B176" s="5"/>
      <c r="C176" s="284"/>
      <c r="D176" s="5"/>
      <c r="E176" s="5"/>
      <c r="F176" s="5"/>
      <c r="G176" s="5"/>
      <c r="H176" s="5"/>
      <c r="I176" s="5"/>
      <c r="J176" s="5"/>
      <c r="K176" s="284"/>
      <c r="L176" s="5"/>
      <c r="M176" s="5"/>
      <c r="N176" s="5"/>
      <c r="O176" s="5"/>
      <c r="P176" s="5"/>
      <c r="Q176" s="5"/>
      <c r="R176" s="5"/>
      <c r="S176" s="5"/>
    </row>
    <row r="177" spans="1:19" ht="15.75" hidden="1" customHeight="1" outlineLevel="1" x14ac:dyDescent="0.2">
      <c r="A177" s="5"/>
      <c r="B177" s="5"/>
      <c r="C177" s="284"/>
      <c r="D177" s="5"/>
      <c r="E177" s="5"/>
      <c r="F177" s="5"/>
      <c r="G177" s="5"/>
      <c r="H177" s="5"/>
      <c r="I177" s="5"/>
      <c r="J177" s="5"/>
      <c r="K177" s="284"/>
      <c r="L177" s="5"/>
      <c r="M177" s="5"/>
      <c r="N177" s="5"/>
      <c r="O177" s="5"/>
      <c r="P177" s="5"/>
      <c r="Q177" s="5"/>
      <c r="R177" s="5"/>
      <c r="S177" s="5"/>
    </row>
    <row r="178" spans="1:19" ht="15.75" hidden="1" customHeight="1" outlineLevel="1" x14ac:dyDescent="0.2">
      <c r="A178" s="3" t="s">
        <v>50</v>
      </c>
      <c r="B178" s="3" t="s">
        <v>51</v>
      </c>
      <c r="C178" s="292"/>
      <c r="D178" s="3" t="s">
        <v>52</v>
      </c>
      <c r="E178" s="380" t="s">
        <v>53</v>
      </c>
      <c r="F178" s="380" t="s">
        <v>1212</v>
      </c>
      <c r="G178" s="380" t="s">
        <v>55</v>
      </c>
      <c r="H178" s="230" t="s">
        <v>56</v>
      </c>
      <c r="I178" s="230" t="s">
        <v>57</v>
      </c>
      <c r="J178" s="5"/>
      <c r="K178" s="292"/>
      <c r="L178" s="3" t="s">
        <v>59</v>
      </c>
      <c r="M178" s="3" t="s">
        <v>60</v>
      </c>
      <c r="N178" s="3" t="s">
        <v>436</v>
      </c>
      <c r="O178" s="3" t="s">
        <v>437</v>
      </c>
      <c r="P178" s="293"/>
      <c r="Q178" s="293" t="s">
        <v>438</v>
      </c>
      <c r="R178" s="399" t="s">
        <v>1315</v>
      </c>
      <c r="S178" s="5"/>
    </row>
    <row r="179" spans="1:19" ht="15.75" hidden="1" customHeight="1" outlineLevel="1" x14ac:dyDescent="0.25">
      <c r="A179" s="6" t="s">
        <v>1361</v>
      </c>
      <c r="B179" s="6" t="s">
        <v>68</v>
      </c>
      <c r="C179" s="383"/>
      <c r="D179" s="265">
        <v>881578</v>
      </c>
      <c r="E179" s="216" t="e">
        <f>D179*#REF!</f>
        <v>#REF!</v>
      </c>
      <c r="F179" s="216" t="e">
        <f>D179*#REF!</f>
        <v>#REF!</v>
      </c>
      <c r="G179" s="216" t="e">
        <f>(D179*#REF!)*#REF!</f>
        <v>#REF!</v>
      </c>
      <c r="H179" s="211">
        <f t="shared" ref="H179:H210" si="87">IFERROR(((Q179-D179)/D179),0)</f>
        <v>-1</v>
      </c>
      <c r="I179" s="7" t="e">
        <f t="shared" ref="I179:I210" si="88">Q179-G179</f>
        <v>#REF!</v>
      </c>
      <c r="J179" s="5"/>
      <c r="K179" s="383"/>
      <c r="L179" s="265">
        <v>1231744</v>
      </c>
      <c r="M179" s="216">
        <v>0</v>
      </c>
      <c r="N179" s="216">
        <v>0</v>
      </c>
      <c r="O179" s="268">
        <f>VLOOKUP(A179,TB!A:F,3)</f>
        <v>0</v>
      </c>
      <c r="P179" s="216"/>
      <c r="Q179" s="216">
        <v>0</v>
      </c>
      <c r="R179" s="281">
        <f>VLOOKUP(A179,TB!A:F,6)</f>
        <v>0</v>
      </c>
      <c r="S179" s="5"/>
    </row>
    <row r="180" spans="1:19" ht="15.75" hidden="1" customHeight="1" outlineLevel="1" x14ac:dyDescent="0.25">
      <c r="A180" s="6" t="s">
        <v>1362</v>
      </c>
      <c r="B180" s="6" t="s">
        <v>70</v>
      </c>
      <c r="C180" s="280"/>
      <c r="D180" s="216">
        <v>32223</v>
      </c>
      <c r="E180" s="216" t="e">
        <f>D180*#REF!</f>
        <v>#REF!</v>
      </c>
      <c r="F180" s="216" t="e">
        <f>D180*#REF!</f>
        <v>#REF!</v>
      </c>
      <c r="G180" s="216" t="e">
        <f>(D180*#REF!)*#REF!</f>
        <v>#REF!</v>
      </c>
      <c r="H180" s="211">
        <f t="shared" si="87"/>
        <v>-1</v>
      </c>
      <c r="I180" s="7" t="e">
        <f t="shared" si="88"/>
        <v>#REF!</v>
      </c>
      <c r="J180" s="5"/>
      <c r="K180" s="280"/>
      <c r="L180" s="216">
        <v>82311</v>
      </c>
      <c r="M180" s="216">
        <v>0</v>
      </c>
      <c r="N180" s="216">
        <v>0</v>
      </c>
      <c r="O180" s="268">
        <f>VLOOKUP(A180,TB!A:F,3)</f>
        <v>0</v>
      </c>
      <c r="P180" s="216"/>
      <c r="Q180" s="216">
        <v>0</v>
      </c>
      <c r="R180" s="281">
        <f>VLOOKUP(A180,TB!A:F,6)</f>
        <v>0</v>
      </c>
      <c r="S180" s="5"/>
    </row>
    <row r="181" spans="1:19" ht="15.75" hidden="1" customHeight="1" outlineLevel="1" x14ac:dyDescent="0.25">
      <c r="A181" s="6" t="s">
        <v>1363</v>
      </c>
      <c r="B181" s="6" t="s">
        <v>132</v>
      </c>
      <c r="C181" s="280"/>
      <c r="D181" s="216">
        <v>9828</v>
      </c>
      <c r="E181" s="216" t="e">
        <f>D181*#REF!</f>
        <v>#REF!</v>
      </c>
      <c r="F181" s="216" t="e">
        <f>D181*#REF!</f>
        <v>#REF!</v>
      </c>
      <c r="G181" s="216" t="e">
        <f>(D181*#REF!)*#REF!</f>
        <v>#REF!</v>
      </c>
      <c r="H181" s="211">
        <f t="shared" si="87"/>
        <v>-1</v>
      </c>
      <c r="I181" s="7" t="e">
        <f t="shared" si="88"/>
        <v>#REF!</v>
      </c>
      <c r="J181" s="5"/>
      <c r="K181" s="280"/>
      <c r="L181" s="216">
        <v>14839</v>
      </c>
      <c r="M181" s="216">
        <v>0</v>
      </c>
      <c r="N181" s="216">
        <v>0</v>
      </c>
      <c r="O181" s="268">
        <f>VLOOKUP(A181,TB!A:F,3)</f>
        <v>0</v>
      </c>
      <c r="P181" s="216"/>
      <c r="Q181" s="216">
        <v>0</v>
      </c>
      <c r="R181" s="281">
        <f>VLOOKUP(A181,TB!A:F,6)</f>
        <v>0</v>
      </c>
      <c r="S181" s="5"/>
    </row>
    <row r="182" spans="1:19" ht="15.75" hidden="1" customHeight="1" outlineLevel="1" x14ac:dyDescent="0.25">
      <c r="A182" s="6" t="s">
        <v>1364</v>
      </c>
      <c r="B182" s="6" t="s">
        <v>108</v>
      </c>
      <c r="C182" s="280"/>
      <c r="D182" s="216">
        <v>125138</v>
      </c>
      <c r="E182" s="216" t="e">
        <f>D182*#REF!</f>
        <v>#REF!</v>
      </c>
      <c r="F182" s="216" t="e">
        <f>D182*#REF!</f>
        <v>#REF!</v>
      </c>
      <c r="G182" s="216" t="e">
        <f>(D182*#REF!)*#REF!</f>
        <v>#REF!</v>
      </c>
      <c r="H182" s="211">
        <f t="shared" si="87"/>
        <v>-1</v>
      </c>
      <c r="I182" s="7" t="e">
        <f t="shared" si="88"/>
        <v>#REF!</v>
      </c>
      <c r="J182" s="5"/>
      <c r="K182" s="280"/>
      <c r="L182" s="216">
        <v>119533</v>
      </c>
      <c r="M182" s="216">
        <v>0</v>
      </c>
      <c r="N182" s="216">
        <v>0</v>
      </c>
      <c r="O182" s="268">
        <f>VLOOKUP(A182,TB!A:F,3)</f>
        <v>0</v>
      </c>
      <c r="P182" s="216"/>
      <c r="Q182" s="216">
        <v>0</v>
      </c>
      <c r="R182" s="281">
        <f>VLOOKUP(A182,TB!A:F,6)</f>
        <v>0</v>
      </c>
      <c r="S182" s="5"/>
    </row>
    <row r="183" spans="1:19" ht="15.75" hidden="1" customHeight="1" outlineLevel="1" x14ac:dyDescent="0.25">
      <c r="A183" s="6" t="s">
        <v>1365</v>
      </c>
      <c r="B183" s="6" t="s">
        <v>72</v>
      </c>
      <c r="C183" s="280"/>
      <c r="D183" s="216">
        <v>474200</v>
      </c>
      <c r="E183" s="216" t="e">
        <f>D183*#REF!</f>
        <v>#REF!</v>
      </c>
      <c r="F183" s="216" t="e">
        <f>D183*#REF!</f>
        <v>#REF!</v>
      </c>
      <c r="G183" s="216" t="e">
        <f>(D183*#REF!)*#REF!</f>
        <v>#REF!</v>
      </c>
      <c r="H183" s="211">
        <f t="shared" si="87"/>
        <v>-1</v>
      </c>
      <c r="I183" s="7" t="e">
        <f t="shared" si="88"/>
        <v>#REF!</v>
      </c>
      <c r="J183" s="5"/>
      <c r="K183" s="280"/>
      <c r="L183" s="216">
        <v>600973</v>
      </c>
      <c r="M183" s="216">
        <v>0</v>
      </c>
      <c r="N183" s="216">
        <v>0</v>
      </c>
      <c r="O183" s="268">
        <f>VLOOKUP(A183,TB!A:F,3)</f>
        <v>0</v>
      </c>
      <c r="P183" s="216"/>
      <c r="Q183" s="216">
        <v>0</v>
      </c>
      <c r="R183" s="281">
        <f>VLOOKUP(A183,TB!A:F,6)</f>
        <v>0</v>
      </c>
      <c r="S183" s="5"/>
    </row>
    <row r="184" spans="1:19" ht="15.75" hidden="1" customHeight="1" outlineLevel="1" x14ac:dyDescent="0.25">
      <c r="A184" s="6" t="s">
        <v>1366</v>
      </c>
      <c r="B184" s="6" t="s">
        <v>892</v>
      </c>
      <c r="C184" s="280"/>
      <c r="D184" s="216">
        <v>8454</v>
      </c>
      <c r="E184" s="216" t="e">
        <f>D184*#REF!</f>
        <v>#REF!</v>
      </c>
      <c r="F184" s="216" t="e">
        <f>D184*#REF!</f>
        <v>#REF!</v>
      </c>
      <c r="G184" s="216" t="e">
        <f>(D184*#REF!)*#REF!</f>
        <v>#REF!</v>
      </c>
      <c r="H184" s="211">
        <f t="shared" si="87"/>
        <v>-1</v>
      </c>
      <c r="I184" s="7" t="e">
        <f t="shared" si="88"/>
        <v>#REF!</v>
      </c>
      <c r="J184" s="5"/>
      <c r="K184" s="280"/>
      <c r="L184" s="216">
        <v>8742</v>
      </c>
      <c r="M184" s="216">
        <v>0</v>
      </c>
      <c r="N184" s="216">
        <v>0</v>
      </c>
      <c r="O184" s="268">
        <f>VLOOKUP(A184,TB!A:F,3)</f>
        <v>0</v>
      </c>
      <c r="P184" s="216"/>
      <c r="Q184" s="216">
        <v>0</v>
      </c>
      <c r="R184" s="281">
        <f>VLOOKUP(A184,TB!A:F,6)</f>
        <v>0</v>
      </c>
      <c r="S184" s="5"/>
    </row>
    <row r="185" spans="1:19" ht="15.75" hidden="1" customHeight="1" outlineLevel="1" x14ac:dyDescent="0.25">
      <c r="A185" s="6" t="s">
        <v>1367</v>
      </c>
      <c r="B185" s="6" t="s">
        <v>74</v>
      </c>
      <c r="C185" s="280"/>
      <c r="D185" s="216">
        <v>225</v>
      </c>
      <c r="E185" s="216" t="e">
        <f>D185*#REF!</f>
        <v>#REF!</v>
      </c>
      <c r="F185" s="216" t="e">
        <f>D185*#REF!</f>
        <v>#REF!</v>
      </c>
      <c r="G185" s="216" t="e">
        <f>(D185*#REF!)*#REF!</f>
        <v>#REF!</v>
      </c>
      <c r="H185" s="211">
        <f t="shared" si="87"/>
        <v>-1</v>
      </c>
      <c r="I185" s="7" t="e">
        <f t="shared" si="88"/>
        <v>#REF!</v>
      </c>
      <c r="J185" s="5"/>
      <c r="K185" s="280"/>
      <c r="L185" s="216">
        <v>40</v>
      </c>
      <c r="M185" s="216">
        <v>0</v>
      </c>
      <c r="N185" s="216">
        <v>0</v>
      </c>
      <c r="O185" s="268">
        <f>VLOOKUP(A185,TB!A:F,3)</f>
        <v>0</v>
      </c>
      <c r="P185" s="216"/>
      <c r="Q185" s="216">
        <v>0</v>
      </c>
      <c r="R185" s="281">
        <f>VLOOKUP(A185,TB!A:F,6)</f>
        <v>0</v>
      </c>
      <c r="S185" s="5"/>
    </row>
    <row r="186" spans="1:19" ht="15.75" hidden="1" customHeight="1" outlineLevel="1" x14ac:dyDescent="0.25">
      <c r="A186" s="6" t="s">
        <v>1368</v>
      </c>
      <c r="B186" s="6" t="s">
        <v>76</v>
      </c>
      <c r="C186" s="280"/>
      <c r="D186" s="216">
        <v>5587</v>
      </c>
      <c r="E186" s="216" t="e">
        <f>D186*#REF!</f>
        <v>#REF!</v>
      </c>
      <c r="F186" s="216" t="e">
        <f>D186*#REF!</f>
        <v>#REF!</v>
      </c>
      <c r="G186" s="216" t="e">
        <f>(D186*#REF!)*#REF!</f>
        <v>#REF!</v>
      </c>
      <c r="H186" s="211">
        <f t="shared" si="87"/>
        <v>-1</v>
      </c>
      <c r="I186" s="7" t="e">
        <f t="shared" si="88"/>
        <v>#REF!</v>
      </c>
      <c r="J186" s="5"/>
      <c r="K186" s="280"/>
      <c r="L186" s="216">
        <v>19668</v>
      </c>
      <c r="M186" s="216">
        <v>0</v>
      </c>
      <c r="N186" s="216">
        <v>0</v>
      </c>
      <c r="O186" s="268">
        <f>VLOOKUP(A186,TB!A:F,3)</f>
        <v>0</v>
      </c>
      <c r="P186" s="216"/>
      <c r="Q186" s="216">
        <v>0</v>
      </c>
      <c r="R186" s="281">
        <f>VLOOKUP(A186,TB!A:F,6)</f>
        <v>0</v>
      </c>
      <c r="S186" s="5"/>
    </row>
    <row r="187" spans="1:19" ht="15.75" hidden="1" customHeight="1" outlineLevel="1" x14ac:dyDescent="0.25">
      <c r="A187" s="6" t="s">
        <v>1369</v>
      </c>
      <c r="B187" s="6" t="s">
        <v>80</v>
      </c>
      <c r="C187" s="280"/>
      <c r="D187" s="216">
        <v>10971</v>
      </c>
      <c r="E187" s="216" t="e">
        <f>D187*#REF!</f>
        <v>#REF!</v>
      </c>
      <c r="F187" s="216" t="e">
        <f>D187*#REF!</f>
        <v>#REF!</v>
      </c>
      <c r="G187" s="216" t="e">
        <f>(D187*#REF!)*#REF!</f>
        <v>#REF!</v>
      </c>
      <c r="H187" s="211">
        <f t="shared" si="87"/>
        <v>-1</v>
      </c>
      <c r="I187" s="7" t="e">
        <f t="shared" si="88"/>
        <v>#REF!</v>
      </c>
      <c r="J187" s="5"/>
      <c r="K187" s="280"/>
      <c r="L187" s="216">
        <v>12800</v>
      </c>
      <c r="M187" s="216">
        <v>0</v>
      </c>
      <c r="N187" s="216">
        <v>0</v>
      </c>
      <c r="O187" s="268">
        <f>VLOOKUP(A187,TB!A:F,3)</f>
        <v>0</v>
      </c>
      <c r="P187" s="216"/>
      <c r="Q187" s="216">
        <v>0</v>
      </c>
      <c r="R187" s="281">
        <f>VLOOKUP(A187,TB!A:F,6)</f>
        <v>0</v>
      </c>
      <c r="S187" s="5"/>
    </row>
    <row r="188" spans="1:19" ht="15.75" hidden="1" customHeight="1" outlineLevel="1" x14ac:dyDescent="0.25">
      <c r="A188" s="6" t="s">
        <v>1370</v>
      </c>
      <c r="B188" s="6" t="s">
        <v>82</v>
      </c>
      <c r="C188" s="280"/>
      <c r="D188" s="216">
        <v>276083</v>
      </c>
      <c r="E188" s="216" t="e">
        <f>D188*#REF!</f>
        <v>#REF!</v>
      </c>
      <c r="F188" s="216" t="e">
        <f>D188*#REF!</f>
        <v>#REF!</v>
      </c>
      <c r="G188" s="216" t="e">
        <f>(D188*#REF!)*#REF!</f>
        <v>#REF!</v>
      </c>
      <c r="H188" s="211">
        <f t="shared" si="87"/>
        <v>-1</v>
      </c>
      <c r="I188" s="7" t="e">
        <f t="shared" si="88"/>
        <v>#REF!</v>
      </c>
      <c r="J188" s="5"/>
      <c r="K188" s="280"/>
      <c r="L188" s="216">
        <v>336246</v>
      </c>
      <c r="M188" s="216">
        <v>0</v>
      </c>
      <c r="N188" s="216">
        <v>0</v>
      </c>
      <c r="O188" s="268">
        <f>VLOOKUP(A188,TB!A:F,3)</f>
        <v>0</v>
      </c>
      <c r="P188" s="216"/>
      <c r="Q188" s="216">
        <v>0</v>
      </c>
      <c r="R188" s="281">
        <f>VLOOKUP(A188,TB!A:F,6)</f>
        <v>0</v>
      </c>
      <c r="S188" s="5"/>
    </row>
    <row r="189" spans="1:19" ht="15.75" hidden="1" customHeight="1" outlineLevel="1" x14ac:dyDescent="0.25">
      <c r="A189" s="6" t="s">
        <v>1371</v>
      </c>
      <c r="B189" s="6" t="s">
        <v>115</v>
      </c>
      <c r="C189" s="280"/>
      <c r="D189" s="216">
        <v>37904</v>
      </c>
      <c r="E189" s="216" t="e">
        <f>D189*#REF!</f>
        <v>#REF!</v>
      </c>
      <c r="F189" s="216" t="e">
        <f>D189*#REF!</f>
        <v>#REF!</v>
      </c>
      <c r="G189" s="216" t="e">
        <f>(D189*#REF!)*#REF!</f>
        <v>#REF!</v>
      </c>
      <c r="H189" s="211">
        <f t="shared" si="87"/>
        <v>-1</v>
      </c>
      <c r="I189" s="7" t="e">
        <f t="shared" si="88"/>
        <v>#REF!</v>
      </c>
      <c r="J189" s="5"/>
      <c r="K189" s="280"/>
      <c r="L189" s="216">
        <v>51334</v>
      </c>
      <c r="M189" s="216">
        <v>0</v>
      </c>
      <c r="N189" s="216">
        <v>0</v>
      </c>
      <c r="O189" s="268">
        <f>VLOOKUP(A189,TB!A:F,3)</f>
        <v>0</v>
      </c>
      <c r="P189" s="216"/>
      <c r="Q189" s="216">
        <v>0</v>
      </c>
      <c r="R189" s="281">
        <f>VLOOKUP(A189,TB!A:F,6)</f>
        <v>0</v>
      </c>
      <c r="S189" s="5"/>
    </row>
    <row r="190" spans="1:19" ht="15.75" hidden="1" customHeight="1" outlineLevel="1" x14ac:dyDescent="0.25">
      <c r="A190" s="6" t="s">
        <v>1372</v>
      </c>
      <c r="B190" s="6" t="s">
        <v>210</v>
      </c>
      <c r="C190" s="280"/>
      <c r="D190" s="216">
        <v>212909</v>
      </c>
      <c r="E190" s="216" t="e">
        <f>D190*#REF!</f>
        <v>#REF!</v>
      </c>
      <c r="F190" s="216" t="e">
        <f>D190*#REF!</f>
        <v>#REF!</v>
      </c>
      <c r="G190" s="216" t="e">
        <f>(D190*#REF!)*#REF!</f>
        <v>#REF!</v>
      </c>
      <c r="H190" s="211">
        <f t="shared" si="87"/>
        <v>-1</v>
      </c>
      <c r="I190" s="7" t="e">
        <f t="shared" si="88"/>
        <v>#REF!</v>
      </c>
      <c r="J190" s="5"/>
      <c r="K190" s="280"/>
      <c r="L190" s="216">
        <v>349256</v>
      </c>
      <c r="M190" s="216">
        <v>0</v>
      </c>
      <c r="N190" s="216">
        <v>0</v>
      </c>
      <c r="O190" s="268">
        <f>VLOOKUP(A190,TB!A:F,3)</f>
        <v>0</v>
      </c>
      <c r="P190" s="216"/>
      <c r="Q190" s="216">
        <v>0</v>
      </c>
      <c r="R190" s="281">
        <f>VLOOKUP(A190,TB!A:F,6)</f>
        <v>0</v>
      </c>
      <c r="S190" s="5"/>
    </row>
    <row r="191" spans="1:19" ht="15.75" hidden="1" customHeight="1" outlineLevel="1" x14ac:dyDescent="0.25">
      <c r="A191" s="6" t="s">
        <v>1373</v>
      </c>
      <c r="B191" s="6" t="s">
        <v>277</v>
      </c>
      <c r="C191" s="280"/>
      <c r="D191" s="216">
        <v>24071</v>
      </c>
      <c r="E191" s="216" t="e">
        <f>D191*#REF!</f>
        <v>#REF!</v>
      </c>
      <c r="F191" s="216" t="e">
        <f>D191*#REF!</f>
        <v>#REF!</v>
      </c>
      <c r="G191" s="216" t="e">
        <f>(D191*#REF!)*#REF!</f>
        <v>#REF!</v>
      </c>
      <c r="H191" s="211">
        <f t="shared" si="87"/>
        <v>-1</v>
      </c>
      <c r="I191" s="7" t="e">
        <f t="shared" si="88"/>
        <v>#REF!</v>
      </c>
      <c r="J191" s="5"/>
      <c r="K191" s="280"/>
      <c r="L191" s="216">
        <v>0</v>
      </c>
      <c r="M191" s="216">
        <v>0</v>
      </c>
      <c r="N191" s="216">
        <v>0</v>
      </c>
      <c r="O191" s="268">
        <f>VLOOKUP(A191,TB!A:F,3)</f>
        <v>0</v>
      </c>
      <c r="P191" s="216"/>
      <c r="Q191" s="216">
        <v>0</v>
      </c>
      <c r="R191" s="281">
        <f>VLOOKUP(A191,TB!A:F,6)</f>
        <v>0</v>
      </c>
      <c r="S191" s="5"/>
    </row>
    <row r="192" spans="1:19" ht="15.75" hidden="1" customHeight="1" outlineLevel="1" x14ac:dyDescent="0.25">
      <c r="A192" s="6" t="s">
        <v>1374</v>
      </c>
      <c r="B192" s="6" t="s">
        <v>84</v>
      </c>
      <c r="C192" s="280"/>
      <c r="D192" s="216">
        <v>13185</v>
      </c>
      <c r="E192" s="216" t="e">
        <f>D192*#REF!</f>
        <v>#REF!</v>
      </c>
      <c r="F192" s="216" t="e">
        <f>D192*#REF!</f>
        <v>#REF!</v>
      </c>
      <c r="G192" s="216" t="e">
        <f>(D192*#REF!)*#REF!</f>
        <v>#REF!</v>
      </c>
      <c r="H192" s="211">
        <f t="shared" si="87"/>
        <v>-1</v>
      </c>
      <c r="I192" s="7" t="e">
        <f t="shared" si="88"/>
        <v>#REF!</v>
      </c>
      <c r="J192" s="5"/>
      <c r="K192" s="280"/>
      <c r="L192" s="216">
        <v>21851</v>
      </c>
      <c r="M192" s="216">
        <v>0</v>
      </c>
      <c r="N192" s="216">
        <v>0</v>
      </c>
      <c r="O192" s="268">
        <f>VLOOKUP(A192,TB!A:F,3)</f>
        <v>0</v>
      </c>
      <c r="P192" s="216"/>
      <c r="Q192" s="216">
        <v>0</v>
      </c>
      <c r="R192" s="281">
        <f>VLOOKUP(A192,TB!A:F,6)</f>
        <v>0</v>
      </c>
      <c r="S192" s="5"/>
    </row>
    <row r="193" spans="1:19" ht="15.75" hidden="1" customHeight="1" outlineLevel="1" x14ac:dyDescent="0.25">
      <c r="A193" s="6" t="s">
        <v>1375</v>
      </c>
      <c r="B193" s="6" t="s">
        <v>1350</v>
      </c>
      <c r="C193" s="280"/>
      <c r="D193" s="216">
        <v>43030</v>
      </c>
      <c r="E193" s="216" t="e">
        <f>D193*#REF!</f>
        <v>#REF!</v>
      </c>
      <c r="F193" s="216" t="e">
        <f>D193*#REF!</f>
        <v>#REF!</v>
      </c>
      <c r="G193" s="216" t="e">
        <f>(D193*#REF!)*#REF!</f>
        <v>#REF!</v>
      </c>
      <c r="H193" s="211">
        <f t="shared" si="87"/>
        <v>-1</v>
      </c>
      <c r="I193" s="7" t="e">
        <f t="shared" si="88"/>
        <v>#REF!</v>
      </c>
      <c r="J193" s="5"/>
      <c r="K193" s="280"/>
      <c r="L193" s="216">
        <v>36536</v>
      </c>
      <c r="M193" s="216">
        <v>0</v>
      </c>
      <c r="N193" s="216">
        <v>0</v>
      </c>
      <c r="O193" s="268">
        <f>VLOOKUP(A193,TB!A:F,3)</f>
        <v>0</v>
      </c>
      <c r="P193" s="216"/>
      <c r="Q193" s="216">
        <v>0</v>
      </c>
      <c r="R193" s="281">
        <f>VLOOKUP(A193,TB!A:F,6)</f>
        <v>0</v>
      </c>
      <c r="S193" s="5"/>
    </row>
    <row r="194" spans="1:19" ht="15.75" hidden="1" customHeight="1" outlineLevel="1" x14ac:dyDescent="0.25">
      <c r="A194" s="6" t="s">
        <v>1376</v>
      </c>
      <c r="B194" s="6" t="s">
        <v>86</v>
      </c>
      <c r="C194" s="280"/>
      <c r="D194" s="216">
        <v>0</v>
      </c>
      <c r="E194" s="216" t="e">
        <f>D194*#REF!</f>
        <v>#REF!</v>
      </c>
      <c r="F194" s="216" t="e">
        <f>D194*#REF!</f>
        <v>#REF!</v>
      </c>
      <c r="G194" s="216" t="e">
        <f>(D194*#REF!)*#REF!</f>
        <v>#REF!</v>
      </c>
      <c r="H194" s="211">
        <f t="shared" si="87"/>
        <v>0</v>
      </c>
      <c r="I194" s="7" t="e">
        <f t="shared" si="88"/>
        <v>#REF!</v>
      </c>
      <c r="J194" s="5"/>
      <c r="K194" s="280"/>
      <c r="L194" s="216">
        <v>7585</v>
      </c>
      <c r="M194" s="216">
        <v>0</v>
      </c>
      <c r="N194" s="216">
        <v>0</v>
      </c>
      <c r="O194" s="268">
        <f>VLOOKUP(A194,TB!A:F,3)</f>
        <v>0</v>
      </c>
      <c r="P194" s="216"/>
      <c r="Q194" s="216">
        <v>0</v>
      </c>
      <c r="R194" s="281">
        <f>VLOOKUP(A194,TB!A:F,6)</f>
        <v>0</v>
      </c>
      <c r="S194" s="5"/>
    </row>
    <row r="195" spans="1:19" ht="15.75" hidden="1" customHeight="1" outlineLevel="1" x14ac:dyDescent="0.25">
      <c r="A195" s="6" t="s">
        <v>1377</v>
      </c>
      <c r="B195" s="6" t="s">
        <v>88</v>
      </c>
      <c r="C195" s="280"/>
      <c r="D195" s="216">
        <v>4767</v>
      </c>
      <c r="E195" s="216" t="e">
        <f>D195*#REF!</f>
        <v>#REF!</v>
      </c>
      <c r="F195" s="216" t="e">
        <f>D195*#REF!</f>
        <v>#REF!</v>
      </c>
      <c r="G195" s="216" t="e">
        <f>(D195*#REF!)*#REF!</f>
        <v>#REF!</v>
      </c>
      <c r="H195" s="211">
        <f t="shared" si="87"/>
        <v>-1</v>
      </c>
      <c r="I195" s="7" t="e">
        <f t="shared" si="88"/>
        <v>#REF!</v>
      </c>
      <c r="J195" s="5"/>
      <c r="K195" s="280"/>
      <c r="L195" s="216">
        <v>338</v>
      </c>
      <c r="M195" s="216">
        <v>0</v>
      </c>
      <c r="N195" s="216">
        <v>0</v>
      </c>
      <c r="O195" s="268">
        <f>VLOOKUP(A195,TB!A:F,3)</f>
        <v>0</v>
      </c>
      <c r="P195" s="216"/>
      <c r="Q195" s="216">
        <v>0</v>
      </c>
      <c r="R195" s="281">
        <f>VLOOKUP(A195,TB!A:F,6)</f>
        <v>0</v>
      </c>
      <c r="S195" s="5"/>
    </row>
    <row r="196" spans="1:19" ht="15.75" hidden="1" customHeight="1" outlineLevel="1" x14ac:dyDescent="0.25">
      <c r="A196" s="6" t="s">
        <v>1378</v>
      </c>
      <c r="B196" s="6" t="s">
        <v>1336</v>
      </c>
      <c r="C196" s="280"/>
      <c r="D196" s="216">
        <v>77539</v>
      </c>
      <c r="E196" s="216" t="e">
        <f>D196*#REF!</f>
        <v>#REF!</v>
      </c>
      <c r="F196" s="216" t="e">
        <f>D196*#REF!</f>
        <v>#REF!</v>
      </c>
      <c r="G196" s="216" t="e">
        <f>(D196*#REF!)*#REF!</f>
        <v>#REF!</v>
      </c>
      <c r="H196" s="211">
        <f t="shared" si="87"/>
        <v>-1</v>
      </c>
      <c r="I196" s="7" t="e">
        <f t="shared" si="88"/>
        <v>#REF!</v>
      </c>
      <c r="J196" s="5"/>
      <c r="K196" s="280"/>
      <c r="L196" s="216">
        <v>129423</v>
      </c>
      <c r="M196" s="216">
        <v>0</v>
      </c>
      <c r="N196" s="216">
        <v>0</v>
      </c>
      <c r="O196" s="268">
        <f>VLOOKUP(A196,TB!A:F,3)</f>
        <v>0</v>
      </c>
      <c r="P196" s="216"/>
      <c r="Q196" s="216">
        <v>0</v>
      </c>
      <c r="R196" s="281">
        <f>VLOOKUP(A196,TB!A:F,6)</f>
        <v>0</v>
      </c>
      <c r="S196" s="5"/>
    </row>
    <row r="197" spans="1:19" ht="15.75" hidden="1" customHeight="1" outlineLevel="1" x14ac:dyDescent="0.25">
      <c r="A197" s="6" t="s">
        <v>1379</v>
      </c>
      <c r="B197" s="6" t="s">
        <v>1338</v>
      </c>
      <c r="C197" s="280"/>
      <c r="D197" s="216">
        <v>540828</v>
      </c>
      <c r="E197" s="216" t="e">
        <f>D197*#REF!</f>
        <v>#REF!</v>
      </c>
      <c r="F197" s="216" t="e">
        <f>D197*#REF!</f>
        <v>#REF!</v>
      </c>
      <c r="G197" s="216" t="e">
        <f>(D197*#REF!)*#REF!</f>
        <v>#REF!</v>
      </c>
      <c r="H197" s="211">
        <f t="shared" si="87"/>
        <v>-1</v>
      </c>
      <c r="I197" s="7" t="e">
        <f t="shared" si="88"/>
        <v>#REF!</v>
      </c>
      <c r="J197" s="5"/>
      <c r="K197" s="280"/>
      <c r="L197" s="216">
        <v>698745</v>
      </c>
      <c r="M197" s="216">
        <v>0</v>
      </c>
      <c r="N197" s="216">
        <v>0</v>
      </c>
      <c r="O197" s="268">
        <f>VLOOKUP(A197,TB!A:F,3)</f>
        <v>0</v>
      </c>
      <c r="P197" s="216"/>
      <c r="Q197" s="216">
        <v>0</v>
      </c>
      <c r="R197" s="281">
        <f>VLOOKUP(A197,TB!A:F,6)</f>
        <v>0</v>
      </c>
      <c r="S197" s="5"/>
    </row>
    <row r="198" spans="1:19" ht="15.75" hidden="1" customHeight="1" outlineLevel="1" x14ac:dyDescent="0.25">
      <c r="A198" s="6" t="s">
        <v>1380</v>
      </c>
      <c r="B198" s="6" t="s">
        <v>1340</v>
      </c>
      <c r="C198" s="280"/>
      <c r="D198" s="216">
        <v>372414</v>
      </c>
      <c r="E198" s="216" t="e">
        <f>D198*#REF!</f>
        <v>#REF!</v>
      </c>
      <c r="F198" s="216" t="e">
        <f>D198*#REF!</f>
        <v>#REF!</v>
      </c>
      <c r="G198" s="216" t="e">
        <f>(D198*#REF!)*#REF!</f>
        <v>#REF!</v>
      </c>
      <c r="H198" s="211">
        <f t="shared" si="87"/>
        <v>-1</v>
      </c>
      <c r="I198" s="7" t="e">
        <f t="shared" si="88"/>
        <v>#REF!</v>
      </c>
      <c r="J198" s="5"/>
      <c r="K198" s="280"/>
      <c r="L198" s="216">
        <v>440042</v>
      </c>
      <c r="M198" s="216">
        <v>0</v>
      </c>
      <c r="N198" s="216">
        <v>0</v>
      </c>
      <c r="O198" s="268">
        <f>VLOOKUP(A198,TB!A:F,3)</f>
        <v>0</v>
      </c>
      <c r="P198" s="216"/>
      <c r="Q198" s="216">
        <v>0</v>
      </c>
      <c r="R198" s="281">
        <f>VLOOKUP(A198,TB!A:F,6)</f>
        <v>0</v>
      </c>
      <c r="S198" s="5"/>
    </row>
    <row r="199" spans="1:19" ht="15.75" hidden="1" customHeight="1" outlineLevel="1" x14ac:dyDescent="0.25">
      <c r="A199" s="6" t="s">
        <v>1381</v>
      </c>
      <c r="B199" s="6" t="s">
        <v>1342</v>
      </c>
      <c r="C199" s="280"/>
      <c r="D199" s="216">
        <v>80172</v>
      </c>
      <c r="E199" s="216" t="e">
        <f>D199*#REF!</f>
        <v>#REF!</v>
      </c>
      <c r="F199" s="216" t="e">
        <f>D199*#REF!</f>
        <v>#REF!</v>
      </c>
      <c r="G199" s="216" t="e">
        <f>(D199*#REF!)*#REF!</f>
        <v>#REF!</v>
      </c>
      <c r="H199" s="211">
        <f t="shared" si="87"/>
        <v>-1</v>
      </c>
      <c r="I199" s="7" t="e">
        <f t="shared" si="88"/>
        <v>#REF!</v>
      </c>
      <c r="J199" s="5"/>
      <c r="K199" s="280"/>
      <c r="L199" s="216">
        <v>123075</v>
      </c>
      <c r="M199" s="216">
        <v>0</v>
      </c>
      <c r="N199" s="216">
        <v>0</v>
      </c>
      <c r="O199" s="268">
        <f>VLOOKUP(A199,TB!A:F,3)</f>
        <v>0</v>
      </c>
      <c r="P199" s="216"/>
      <c r="Q199" s="216">
        <v>0</v>
      </c>
      <c r="R199" s="281">
        <f>VLOOKUP(A199,TB!A:F,6)</f>
        <v>0</v>
      </c>
      <c r="S199" s="5"/>
    </row>
    <row r="200" spans="1:19" ht="15.75" hidden="1" customHeight="1" outlineLevel="1" x14ac:dyDescent="0.25">
      <c r="A200" s="6" t="s">
        <v>1382</v>
      </c>
      <c r="B200" s="6" t="s">
        <v>1344</v>
      </c>
      <c r="C200" s="280"/>
      <c r="D200" s="216">
        <v>301068</v>
      </c>
      <c r="E200" s="216" t="e">
        <f>D200*#REF!</f>
        <v>#REF!</v>
      </c>
      <c r="F200" s="216" t="e">
        <f>D200*#REF!</f>
        <v>#REF!</v>
      </c>
      <c r="G200" s="216" t="e">
        <f>(D200*#REF!)*#REF!</f>
        <v>#REF!</v>
      </c>
      <c r="H200" s="211">
        <f t="shared" si="87"/>
        <v>-1</v>
      </c>
      <c r="I200" s="7" t="e">
        <f t="shared" si="88"/>
        <v>#REF!</v>
      </c>
      <c r="J200" s="5"/>
      <c r="K200" s="280"/>
      <c r="L200" s="216">
        <v>44329</v>
      </c>
      <c r="M200" s="216">
        <v>0</v>
      </c>
      <c r="N200" s="216">
        <v>0</v>
      </c>
      <c r="O200" s="268">
        <f>VLOOKUP(A200,TB!A:F,3)</f>
        <v>0</v>
      </c>
      <c r="P200" s="216"/>
      <c r="Q200" s="216">
        <v>0</v>
      </c>
      <c r="R200" s="281">
        <f>VLOOKUP(A200,TB!A:F,6)</f>
        <v>0</v>
      </c>
      <c r="S200" s="5"/>
    </row>
    <row r="201" spans="1:19" ht="15.75" hidden="1" customHeight="1" outlineLevel="1" x14ac:dyDescent="0.25">
      <c r="A201" s="6" t="s">
        <v>1383</v>
      </c>
      <c r="B201" s="6" t="s">
        <v>1346</v>
      </c>
      <c r="C201" s="280"/>
      <c r="D201" s="216">
        <v>61246</v>
      </c>
      <c r="E201" s="216" t="e">
        <f>D201*#REF!</f>
        <v>#REF!</v>
      </c>
      <c r="F201" s="216" t="e">
        <f>D201*#REF!</f>
        <v>#REF!</v>
      </c>
      <c r="G201" s="216" t="e">
        <f>(D201*#REF!)*#REF!</f>
        <v>#REF!</v>
      </c>
      <c r="H201" s="211">
        <f t="shared" si="87"/>
        <v>-1</v>
      </c>
      <c r="I201" s="7" t="e">
        <f t="shared" si="88"/>
        <v>#REF!</v>
      </c>
      <c r="J201" s="5"/>
      <c r="K201" s="280"/>
      <c r="L201" s="216">
        <v>89521</v>
      </c>
      <c r="M201" s="216">
        <v>0</v>
      </c>
      <c r="N201" s="216">
        <v>0</v>
      </c>
      <c r="O201" s="268">
        <f>VLOOKUP(A201,TB!A:F,3)</f>
        <v>0</v>
      </c>
      <c r="P201" s="216"/>
      <c r="Q201" s="216">
        <v>0</v>
      </c>
      <c r="R201" s="281">
        <f>VLOOKUP(A201,TB!A:F,6)</f>
        <v>0</v>
      </c>
      <c r="S201" s="5"/>
    </row>
    <row r="202" spans="1:19" ht="15.75" hidden="1" customHeight="1" outlineLevel="1" x14ac:dyDescent="0.25">
      <c r="A202" s="6" t="s">
        <v>1384</v>
      </c>
      <c r="B202" s="6" t="s">
        <v>1348</v>
      </c>
      <c r="C202" s="280"/>
      <c r="D202" s="216">
        <v>33472</v>
      </c>
      <c r="E202" s="216" t="e">
        <f>D202*#REF!</f>
        <v>#REF!</v>
      </c>
      <c r="F202" s="216" t="e">
        <f>D202*#REF!</f>
        <v>#REF!</v>
      </c>
      <c r="G202" s="216" t="e">
        <f>(D202*#REF!)*#REF!</f>
        <v>#REF!</v>
      </c>
      <c r="H202" s="211">
        <f t="shared" si="87"/>
        <v>-1</v>
      </c>
      <c r="I202" s="7" t="e">
        <f t="shared" si="88"/>
        <v>#REF!</v>
      </c>
      <c r="J202" s="5"/>
      <c r="K202" s="280"/>
      <c r="L202" s="216">
        <v>99454</v>
      </c>
      <c r="M202" s="216">
        <v>0</v>
      </c>
      <c r="N202" s="216">
        <v>0</v>
      </c>
      <c r="O202" s="268">
        <f>VLOOKUP(A202,TB!A:F,3)</f>
        <v>0</v>
      </c>
      <c r="P202" s="216"/>
      <c r="Q202" s="216">
        <v>0</v>
      </c>
      <c r="R202" s="281">
        <f>VLOOKUP(A202,TB!A:F,6)</f>
        <v>0</v>
      </c>
      <c r="S202" s="5"/>
    </row>
    <row r="203" spans="1:19" ht="15.75" hidden="1" customHeight="1" outlineLevel="1" x14ac:dyDescent="0.25">
      <c r="A203" s="6" t="s">
        <v>1385</v>
      </c>
      <c r="B203" s="6" t="s">
        <v>1209</v>
      </c>
      <c r="C203" s="280"/>
      <c r="D203" s="216">
        <v>10109</v>
      </c>
      <c r="E203" s="216" t="e">
        <f>D203*#REF!</f>
        <v>#REF!</v>
      </c>
      <c r="F203" s="216" t="e">
        <f>D203*#REF!</f>
        <v>#REF!</v>
      </c>
      <c r="G203" s="216" t="e">
        <f>(D203*#REF!)*#REF!</f>
        <v>#REF!</v>
      </c>
      <c r="H203" s="211">
        <f t="shared" si="87"/>
        <v>-1</v>
      </c>
      <c r="I203" s="7" t="e">
        <f t="shared" si="88"/>
        <v>#REF!</v>
      </c>
      <c r="J203" s="5"/>
      <c r="K203" s="280"/>
      <c r="L203" s="216">
        <v>10482</v>
      </c>
      <c r="M203" s="216">
        <v>0</v>
      </c>
      <c r="N203" s="216">
        <v>0</v>
      </c>
      <c r="O203" s="268">
        <f>VLOOKUP(A203,TB!A:F,3)</f>
        <v>0</v>
      </c>
      <c r="P203" s="216"/>
      <c r="Q203" s="216">
        <v>0</v>
      </c>
      <c r="R203" s="281">
        <f>VLOOKUP(A203,TB!A:F,6)</f>
        <v>0</v>
      </c>
      <c r="S203" s="5"/>
    </row>
    <row r="204" spans="1:19" ht="15.75" hidden="1" customHeight="1" outlineLevel="1" x14ac:dyDescent="0.25">
      <c r="A204" s="6" t="s">
        <v>1386</v>
      </c>
      <c r="B204" s="6" t="s">
        <v>92</v>
      </c>
      <c r="C204" s="280"/>
      <c r="D204" s="216">
        <v>50788</v>
      </c>
      <c r="E204" s="216" t="e">
        <f>D204*#REF!</f>
        <v>#REF!</v>
      </c>
      <c r="F204" s="216" t="e">
        <f>D204*#REF!</f>
        <v>#REF!</v>
      </c>
      <c r="G204" s="216" t="e">
        <f>(D204*#REF!)*#REF!</f>
        <v>#REF!</v>
      </c>
      <c r="H204" s="211">
        <f t="shared" si="87"/>
        <v>-1</v>
      </c>
      <c r="I204" s="7" t="e">
        <f t="shared" si="88"/>
        <v>#REF!</v>
      </c>
      <c r="J204" s="5"/>
      <c r="K204" s="280"/>
      <c r="L204" s="216">
        <v>62238</v>
      </c>
      <c r="M204" s="216">
        <v>0</v>
      </c>
      <c r="N204" s="216">
        <v>0</v>
      </c>
      <c r="O204" s="268">
        <f>VLOOKUP(A204,TB!A:F,3)</f>
        <v>0</v>
      </c>
      <c r="P204" s="216"/>
      <c r="Q204" s="216">
        <v>0</v>
      </c>
      <c r="R204" s="281">
        <f>VLOOKUP(A204,TB!A:F,6)</f>
        <v>0</v>
      </c>
      <c r="S204" s="5"/>
    </row>
    <row r="205" spans="1:19" ht="15.75" hidden="1" customHeight="1" outlineLevel="1" x14ac:dyDescent="0.25">
      <c r="A205" s="6" t="s">
        <v>1387</v>
      </c>
      <c r="B205" s="6" t="s">
        <v>94</v>
      </c>
      <c r="C205" s="280"/>
      <c r="D205" s="216">
        <v>0</v>
      </c>
      <c r="E205" s="216" t="e">
        <f>D205*#REF!</f>
        <v>#REF!</v>
      </c>
      <c r="F205" s="216" t="e">
        <f>D205*#REF!</f>
        <v>#REF!</v>
      </c>
      <c r="G205" s="216" t="e">
        <f>(D205*#REF!)*#REF!</f>
        <v>#REF!</v>
      </c>
      <c r="H205" s="211">
        <f t="shared" si="87"/>
        <v>0</v>
      </c>
      <c r="I205" s="7" t="e">
        <f t="shared" si="88"/>
        <v>#REF!</v>
      </c>
      <c r="J205" s="5"/>
      <c r="K205" s="280"/>
      <c r="L205" s="216">
        <v>1074</v>
      </c>
      <c r="M205" s="216">
        <v>0</v>
      </c>
      <c r="N205" s="216">
        <v>0</v>
      </c>
      <c r="O205" s="268">
        <f>VLOOKUP(A205,TB!A:F,3)</f>
        <v>0</v>
      </c>
      <c r="P205" s="216"/>
      <c r="Q205" s="216">
        <v>0</v>
      </c>
      <c r="R205" s="281">
        <f>VLOOKUP(A205,TB!A:F,6)</f>
        <v>0</v>
      </c>
      <c r="S205" s="5"/>
    </row>
    <row r="206" spans="1:19" ht="15.75" hidden="1" customHeight="1" outlineLevel="1" x14ac:dyDescent="0.25">
      <c r="A206" s="6" t="s">
        <v>1388</v>
      </c>
      <c r="B206" s="6" t="s">
        <v>532</v>
      </c>
      <c r="C206" s="280"/>
      <c r="D206" s="216">
        <v>0</v>
      </c>
      <c r="E206" s="216" t="e">
        <f>D206*#REF!</f>
        <v>#REF!</v>
      </c>
      <c r="F206" s="216" t="e">
        <f>D206*#REF!</f>
        <v>#REF!</v>
      </c>
      <c r="G206" s="216" t="e">
        <f>(D206*#REF!)*#REF!</f>
        <v>#REF!</v>
      </c>
      <c r="H206" s="211">
        <f t="shared" si="87"/>
        <v>0</v>
      </c>
      <c r="I206" s="7" t="e">
        <f t="shared" si="88"/>
        <v>#REF!</v>
      </c>
      <c r="J206" s="5"/>
      <c r="K206" s="280"/>
      <c r="L206" s="216">
        <v>26082</v>
      </c>
      <c r="M206" s="216">
        <v>0</v>
      </c>
      <c r="N206" s="216">
        <v>0</v>
      </c>
      <c r="O206" s="268">
        <f>VLOOKUP(A206,TB!A:F,3)</f>
        <v>0</v>
      </c>
      <c r="P206" s="216"/>
      <c r="Q206" s="216">
        <v>0</v>
      </c>
      <c r="R206" s="281">
        <f>VLOOKUP(A206,TB!A:F,6)</f>
        <v>0</v>
      </c>
      <c r="S206" s="5"/>
    </row>
    <row r="207" spans="1:19" ht="15.75" hidden="1" customHeight="1" outlineLevel="1" x14ac:dyDescent="0.25">
      <c r="A207" s="6" t="s">
        <v>1389</v>
      </c>
      <c r="B207" s="6" t="s">
        <v>99</v>
      </c>
      <c r="C207" s="280"/>
      <c r="D207" s="216">
        <v>1543449</v>
      </c>
      <c r="E207" s="216" t="e">
        <f>D207*#REF!</f>
        <v>#REF!</v>
      </c>
      <c r="F207" s="216" t="e">
        <f>D207*#REF!</f>
        <v>#REF!</v>
      </c>
      <c r="G207" s="216" t="e">
        <f>(D207*#REF!)*#REF!</f>
        <v>#REF!</v>
      </c>
      <c r="H207" s="211">
        <f t="shared" si="87"/>
        <v>-1</v>
      </c>
      <c r="I207" s="7" t="e">
        <f t="shared" si="88"/>
        <v>#REF!</v>
      </c>
      <c r="J207" s="5"/>
      <c r="K207" s="280"/>
      <c r="L207" s="216">
        <v>1272657</v>
      </c>
      <c r="M207" s="216">
        <v>0</v>
      </c>
      <c r="N207" s="216">
        <v>0</v>
      </c>
      <c r="O207" s="268">
        <f>VLOOKUP(A207,TB!A:F,3)</f>
        <v>0</v>
      </c>
      <c r="P207" s="216"/>
      <c r="Q207" s="216">
        <v>0</v>
      </c>
      <c r="R207" s="281">
        <f>VLOOKUP(A207,TB!A:F,6)</f>
        <v>0</v>
      </c>
      <c r="S207" s="5"/>
    </row>
    <row r="208" spans="1:19" ht="15.75" hidden="1" customHeight="1" outlineLevel="1" x14ac:dyDescent="0.25">
      <c r="A208" s="6" t="s">
        <v>1390</v>
      </c>
      <c r="B208" s="6" t="s">
        <v>1359</v>
      </c>
      <c r="C208" s="280"/>
      <c r="D208" s="216">
        <v>0</v>
      </c>
      <c r="E208" s="216" t="e">
        <f>D208*#REF!</f>
        <v>#REF!</v>
      </c>
      <c r="F208" s="216" t="e">
        <f>D208*#REF!</f>
        <v>#REF!</v>
      </c>
      <c r="G208" s="216" t="e">
        <f>(D208*#REF!)*#REF!</f>
        <v>#REF!</v>
      </c>
      <c r="H208" s="211">
        <f t="shared" si="87"/>
        <v>0</v>
      </c>
      <c r="I208" s="7" t="e">
        <f t="shared" si="88"/>
        <v>#REF!</v>
      </c>
      <c r="J208" s="5"/>
      <c r="K208" s="280"/>
      <c r="L208" s="216">
        <v>188045</v>
      </c>
      <c r="M208" s="216">
        <v>0</v>
      </c>
      <c r="N208" s="216">
        <v>0</v>
      </c>
      <c r="O208" s="268">
        <f>VLOOKUP(A208,TB!A:F,3)</f>
        <v>0</v>
      </c>
      <c r="P208" s="216"/>
      <c r="Q208" s="216">
        <v>0</v>
      </c>
      <c r="R208" s="281">
        <f>VLOOKUP(A208,TB!A:F,6)</f>
        <v>0</v>
      </c>
      <c r="S208" s="5"/>
    </row>
    <row r="209" spans="1:19" ht="15.75" hidden="1" customHeight="1" outlineLevel="1" x14ac:dyDescent="0.25">
      <c r="A209" s="6" t="s">
        <v>1391</v>
      </c>
      <c r="B209" s="6" t="s">
        <v>1392</v>
      </c>
      <c r="C209" s="280"/>
      <c r="D209" s="216">
        <v>109284</v>
      </c>
      <c r="E209" s="216" t="e">
        <f>D209*#REF!</f>
        <v>#REF!</v>
      </c>
      <c r="F209" s="216" t="e">
        <f>D209*#REF!</f>
        <v>#REF!</v>
      </c>
      <c r="G209" s="216" t="e">
        <f>(D209*#REF!)*#REF!</f>
        <v>#REF!</v>
      </c>
      <c r="H209" s="211">
        <f t="shared" si="87"/>
        <v>-1</v>
      </c>
      <c r="I209" s="7" t="e">
        <f t="shared" si="88"/>
        <v>#REF!</v>
      </c>
      <c r="J209" s="5"/>
      <c r="K209" s="280"/>
      <c r="L209" s="216">
        <v>0</v>
      </c>
      <c r="M209" s="216">
        <v>0</v>
      </c>
      <c r="N209" s="216">
        <v>0</v>
      </c>
      <c r="O209" s="268">
        <f>VLOOKUP(A209,TB!A:F,3)</f>
        <v>0</v>
      </c>
      <c r="P209" s="216"/>
      <c r="Q209" s="216">
        <v>0</v>
      </c>
      <c r="R209" s="281">
        <f>VLOOKUP(A209,TB!A:F,6)</f>
        <v>0</v>
      </c>
      <c r="S209" s="5"/>
    </row>
    <row r="210" spans="1:19" ht="15.75" hidden="1" customHeight="1" outlineLevel="1" x14ac:dyDescent="0.25">
      <c r="A210" s="47" t="s">
        <v>1360</v>
      </c>
      <c r="B210" s="48"/>
      <c r="C210" s="282"/>
      <c r="D210" s="12">
        <f t="shared" ref="D210:G210" si="89">SUM(D179:D209)</f>
        <v>5340522</v>
      </c>
      <c r="E210" s="12" t="e">
        <f t="shared" si="89"/>
        <v>#REF!</v>
      </c>
      <c r="F210" s="12" t="e">
        <f t="shared" si="89"/>
        <v>#REF!</v>
      </c>
      <c r="G210" s="12" t="e">
        <f t="shared" si="89"/>
        <v>#REF!</v>
      </c>
      <c r="H210" s="212">
        <f t="shared" si="87"/>
        <v>-1</v>
      </c>
      <c r="I210" s="12" t="e">
        <f t="shared" si="88"/>
        <v>#REF!</v>
      </c>
      <c r="J210" s="5"/>
      <c r="K210" s="282"/>
      <c r="L210" s="12">
        <f t="shared" ref="L210:O210" si="90">SUM(L179:L209)</f>
        <v>6078963</v>
      </c>
      <c r="M210" s="12">
        <f t="shared" si="90"/>
        <v>0</v>
      </c>
      <c r="N210" s="12">
        <f t="shared" si="90"/>
        <v>0</v>
      </c>
      <c r="O210" s="12">
        <f t="shared" si="90"/>
        <v>0</v>
      </c>
      <c r="P210" s="12"/>
      <c r="Q210" s="12">
        <f t="shared" ref="Q210:R210" si="91">SUM(Q179:Q209)</f>
        <v>0</v>
      </c>
      <c r="R210" s="12">
        <f t="shared" si="91"/>
        <v>0</v>
      </c>
      <c r="S210" s="5"/>
    </row>
    <row r="211" spans="1:19" ht="15.75" hidden="1" customHeight="1" outlineLevel="1" x14ac:dyDescent="0.2">
      <c r="A211" s="5"/>
      <c r="B211" s="5"/>
      <c r="C211" s="284"/>
      <c r="D211" s="5"/>
      <c r="E211" s="5"/>
      <c r="F211" s="5"/>
      <c r="G211" s="5"/>
      <c r="H211" s="5"/>
      <c r="I211" s="5"/>
      <c r="J211" s="5"/>
      <c r="K211" s="284"/>
      <c r="L211" s="5"/>
      <c r="M211" s="5"/>
      <c r="N211" s="5"/>
      <c r="O211" s="5"/>
      <c r="P211" s="5"/>
      <c r="Q211" s="5"/>
      <c r="R211" s="5"/>
      <c r="S211" s="5"/>
    </row>
    <row r="212" spans="1:19" ht="15.75" hidden="1" customHeight="1" outlineLevel="1" x14ac:dyDescent="0.2">
      <c r="A212" s="3" t="s">
        <v>50</v>
      </c>
      <c r="B212" s="3" t="s">
        <v>51</v>
      </c>
      <c r="C212" s="292"/>
      <c r="D212" s="3" t="s">
        <v>52</v>
      </c>
      <c r="E212" s="380" t="s">
        <v>53</v>
      </c>
      <c r="F212" s="380" t="s">
        <v>1212</v>
      </c>
      <c r="G212" s="380" t="s">
        <v>55</v>
      </c>
      <c r="H212" s="230" t="s">
        <v>56</v>
      </c>
      <c r="I212" s="230" t="s">
        <v>57</v>
      </c>
      <c r="J212" s="5"/>
      <c r="K212" s="292"/>
      <c r="L212" s="3" t="s">
        <v>59</v>
      </c>
      <c r="M212" s="3" t="s">
        <v>60</v>
      </c>
      <c r="N212" s="3" t="s">
        <v>436</v>
      </c>
      <c r="O212" s="3" t="s">
        <v>437</v>
      </c>
      <c r="P212" s="293"/>
      <c r="Q212" s="293" t="s">
        <v>438</v>
      </c>
      <c r="R212" s="399" t="s">
        <v>1315</v>
      </c>
      <c r="S212" s="5"/>
    </row>
    <row r="213" spans="1:19" ht="15.75" hidden="1" customHeight="1" outlineLevel="1" x14ac:dyDescent="0.25">
      <c r="A213" s="6" t="s">
        <v>1393</v>
      </c>
      <c r="B213" s="6" t="s">
        <v>1394</v>
      </c>
      <c r="C213" s="285"/>
      <c r="D213" s="7">
        <v>521571</v>
      </c>
      <c r="E213" s="216" t="e">
        <f>D213*#REF!</f>
        <v>#REF!</v>
      </c>
      <c r="F213" s="216" t="e">
        <f>D213*#REF!</f>
        <v>#REF!</v>
      </c>
      <c r="G213" s="216" t="e">
        <f>(D213*#REF!)*#REF!</f>
        <v>#REF!</v>
      </c>
      <c r="H213" s="211">
        <f t="shared" ref="H213:H218" si="92">IFERROR(((Q213-D213)/D213),0)</f>
        <v>-0.9041357744199735</v>
      </c>
      <c r="I213" s="7" t="e">
        <f t="shared" ref="I213:I218" si="93">Q213-G213</f>
        <v>#REF!</v>
      </c>
      <c r="J213" s="5"/>
      <c r="K213" s="285"/>
      <c r="L213" s="6">
        <v>0</v>
      </c>
      <c r="M213" s="6">
        <v>0</v>
      </c>
      <c r="N213" s="7">
        <v>50000</v>
      </c>
      <c r="O213" s="268">
        <f>VLOOKUP(A213,TB!A:F,3)</f>
        <v>0</v>
      </c>
      <c r="P213" s="7"/>
      <c r="Q213" s="7">
        <v>50000</v>
      </c>
      <c r="R213" s="281">
        <f>VLOOKUP(A213,TB!A:F,6)</f>
        <v>25000</v>
      </c>
      <c r="S213" s="5"/>
    </row>
    <row r="214" spans="1:19" ht="15.75" hidden="1" customHeight="1" outlineLevel="1" x14ac:dyDescent="0.25">
      <c r="A214" s="6" t="s">
        <v>1395</v>
      </c>
      <c r="B214" s="6" t="s">
        <v>180</v>
      </c>
      <c r="C214" s="285"/>
      <c r="D214" s="7">
        <v>1680252</v>
      </c>
      <c r="E214" s="216" t="e">
        <f>D214*#REF!</f>
        <v>#REF!</v>
      </c>
      <c r="F214" s="216" t="e">
        <f>D214*#REF!</f>
        <v>#REF!</v>
      </c>
      <c r="G214" s="216" t="e">
        <f>(D214*#REF!)*#REF!</f>
        <v>#REF!</v>
      </c>
      <c r="H214" s="211">
        <f t="shared" si="92"/>
        <v>-1</v>
      </c>
      <c r="I214" s="7" t="e">
        <f t="shared" si="93"/>
        <v>#REF!</v>
      </c>
      <c r="J214" s="5"/>
      <c r="K214" s="285"/>
      <c r="L214" s="6">
        <v>0</v>
      </c>
      <c r="M214" s="6">
        <v>0</v>
      </c>
      <c r="N214" s="6">
        <v>0</v>
      </c>
      <c r="O214" s="268">
        <f>VLOOKUP(A214,TB!A:F,3)</f>
        <v>0</v>
      </c>
      <c r="P214" s="6"/>
      <c r="Q214" s="6">
        <v>0</v>
      </c>
      <c r="R214" s="281">
        <v>0</v>
      </c>
      <c r="S214" s="5"/>
    </row>
    <row r="215" spans="1:19" ht="15.75" hidden="1" customHeight="1" outlineLevel="1" x14ac:dyDescent="0.25">
      <c r="A215" s="6" t="s">
        <v>1396</v>
      </c>
      <c r="B215" s="6" t="s">
        <v>99</v>
      </c>
      <c r="C215" s="284"/>
      <c r="D215" s="6">
        <v>0</v>
      </c>
      <c r="E215" s="216" t="e">
        <f>D215*#REF!</f>
        <v>#REF!</v>
      </c>
      <c r="F215" s="216" t="e">
        <f>D215*#REF!</f>
        <v>#REF!</v>
      </c>
      <c r="G215" s="216" t="e">
        <f>(D215*#REF!)*#REF!</f>
        <v>#REF!</v>
      </c>
      <c r="H215" s="211">
        <f t="shared" si="92"/>
        <v>0</v>
      </c>
      <c r="I215" s="7" t="e">
        <f t="shared" si="93"/>
        <v>#REF!</v>
      </c>
      <c r="J215" s="5"/>
      <c r="K215" s="284"/>
      <c r="L215" s="6">
        <v>0</v>
      </c>
      <c r="M215" s="6">
        <v>0</v>
      </c>
      <c r="N215" s="7">
        <v>968655</v>
      </c>
      <c r="O215" s="268">
        <f>VLOOKUP(A215,TB!A:F,3)</f>
        <v>560029.54</v>
      </c>
      <c r="P215" s="7"/>
      <c r="Q215" s="7">
        <v>1273000</v>
      </c>
      <c r="R215" s="281">
        <f>VLOOKUP(A215,TB!A:F,6)</f>
        <v>1033000</v>
      </c>
      <c r="S215" s="5"/>
    </row>
    <row r="216" spans="1:19" ht="15.75" hidden="1" customHeight="1" outlineLevel="1" x14ac:dyDescent="0.25">
      <c r="A216" s="6" t="s">
        <v>1397</v>
      </c>
      <c r="B216" s="6" t="s">
        <v>1398</v>
      </c>
      <c r="C216" s="284"/>
      <c r="D216" s="6">
        <v>0</v>
      </c>
      <c r="E216" s="216" t="e">
        <f>D216*#REF!</f>
        <v>#REF!</v>
      </c>
      <c r="F216" s="216" t="e">
        <f>D216*#REF!</f>
        <v>#REF!</v>
      </c>
      <c r="G216" s="216" t="e">
        <f>(D216*#REF!)*#REF!</f>
        <v>#REF!</v>
      </c>
      <c r="H216" s="211">
        <f t="shared" si="92"/>
        <v>0</v>
      </c>
      <c r="I216" s="7" t="e">
        <f t="shared" si="93"/>
        <v>#REF!</v>
      </c>
      <c r="J216" s="5"/>
      <c r="K216" s="284"/>
      <c r="L216" s="7">
        <v>233660</v>
      </c>
      <c r="M216" s="45">
        <v>1458545.29</v>
      </c>
      <c r="N216" s="7">
        <v>5390500</v>
      </c>
      <c r="O216" s="268">
        <f>VLOOKUP(A216,TB!A:F,3)</f>
        <v>2078113.07</v>
      </c>
      <c r="P216" s="7"/>
      <c r="Q216" s="7">
        <v>3219700</v>
      </c>
      <c r="R216" s="281">
        <f>VLOOKUP(A216,TB!A:F,6)</f>
        <v>3219700</v>
      </c>
      <c r="S216" s="5"/>
    </row>
    <row r="217" spans="1:19" ht="15.75" hidden="1" customHeight="1" outlineLevel="1" x14ac:dyDescent="0.25">
      <c r="A217" s="6" t="s">
        <v>1399</v>
      </c>
      <c r="B217" s="6" t="s">
        <v>1400</v>
      </c>
      <c r="C217" s="284"/>
      <c r="D217" s="6">
        <v>0</v>
      </c>
      <c r="E217" s="216" t="e">
        <f>D217*#REF!</f>
        <v>#REF!</v>
      </c>
      <c r="F217" s="216" t="e">
        <f>D217*#REF!</f>
        <v>#REF!</v>
      </c>
      <c r="G217" s="216" t="e">
        <f>(D217*#REF!)*#REF!</f>
        <v>#REF!</v>
      </c>
      <c r="H217" s="211">
        <f t="shared" si="92"/>
        <v>0</v>
      </c>
      <c r="I217" s="7" t="e">
        <f t="shared" si="93"/>
        <v>#REF!</v>
      </c>
      <c r="J217" s="5"/>
      <c r="K217" s="284"/>
      <c r="L217" s="6">
        <v>0</v>
      </c>
      <c r="M217" s="6">
        <v>0</v>
      </c>
      <c r="N217" s="7">
        <v>697500</v>
      </c>
      <c r="O217" s="268">
        <f>VLOOKUP(A217,TB!A:F,3)</f>
        <v>39.75</v>
      </c>
      <c r="P217" s="7"/>
      <c r="Q217" s="7">
        <v>500000</v>
      </c>
      <c r="R217" s="281">
        <f>VLOOKUP(A217,TB!A:F,6)</f>
        <v>500000</v>
      </c>
      <c r="S217" s="5"/>
    </row>
    <row r="218" spans="1:19" ht="15.75" hidden="1" customHeight="1" outlineLevel="1" x14ac:dyDescent="0.25">
      <c r="A218" s="47" t="s">
        <v>1360</v>
      </c>
      <c r="B218" s="48"/>
      <c r="C218" s="282"/>
      <c r="D218" s="12">
        <f t="shared" ref="D218:G218" si="94">SUM(D213:D217)</f>
        <v>2201823</v>
      </c>
      <c r="E218" s="12" t="e">
        <f t="shared" si="94"/>
        <v>#REF!</v>
      </c>
      <c r="F218" s="12" t="e">
        <f t="shared" si="94"/>
        <v>#REF!</v>
      </c>
      <c r="G218" s="12" t="e">
        <f t="shared" si="94"/>
        <v>#REF!</v>
      </c>
      <c r="H218" s="212">
        <f t="shared" si="92"/>
        <v>1.2902385886603964</v>
      </c>
      <c r="I218" s="12" t="e">
        <f t="shared" si="93"/>
        <v>#REF!</v>
      </c>
      <c r="J218" s="5"/>
      <c r="K218" s="282"/>
      <c r="L218" s="12">
        <f t="shared" ref="L218:O218" si="95">SUM(L213:L217)</f>
        <v>233660</v>
      </c>
      <c r="M218" s="12">
        <f t="shared" si="95"/>
        <v>1458545.29</v>
      </c>
      <c r="N218" s="12">
        <f t="shared" si="95"/>
        <v>7106655</v>
      </c>
      <c r="O218" s="12">
        <f t="shared" si="95"/>
        <v>2638182.3600000003</v>
      </c>
      <c r="P218" s="12"/>
      <c r="Q218" s="12">
        <f t="shared" ref="Q218:R218" si="96">SUM(Q213:Q217)</f>
        <v>5042700</v>
      </c>
      <c r="R218" s="12">
        <f t="shared" si="96"/>
        <v>4777700</v>
      </c>
      <c r="S218" s="5"/>
    </row>
    <row r="219" spans="1:19" ht="15.75" hidden="1" customHeight="1" outlineLevel="1" x14ac:dyDescent="0.2">
      <c r="A219" s="5"/>
      <c r="B219" s="5"/>
      <c r="C219" s="284"/>
      <c r="D219" s="5"/>
      <c r="E219" s="5"/>
      <c r="F219" s="5"/>
      <c r="G219" s="5"/>
      <c r="H219" s="5"/>
      <c r="I219" s="5"/>
      <c r="J219" s="5"/>
      <c r="K219" s="284"/>
      <c r="L219" s="5"/>
      <c r="M219" s="5"/>
      <c r="N219" s="5"/>
      <c r="O219" s="5"/>
      <c r="P219" s="5"/>
      <c r="Q219" s="5"/>
      <c r="R219" s="5"/>
      <c r="S219" s="5"/>
    </row>
    <row r="220" spans="1:19" ht="15.75" hidden="1" customHeight="1" collapsed="1" x14ac:dyDescent="0.2">
      <c r="A220" s="3" t="s">
        <v>50</v>
      </c>
      <c r="B220" s="3" t="s">
        <v>51</v>
      </c>
      <c r="C220" s="21"/>
      <c r="D220" s="22" t="s">
        <v>52</v>
      </c>
      <c r="E220" s="23" t="s">
        <v>53</v>
      </c>
      <c r="F220" s="23" t="s">
        <v>54</v>
      </c>
      <c r="G220" s="23" t="s">
        <v>55</v>
      </c>
      <c r="H220" s="24" t="s">
        <v>56</v>
      </c>
      <c r="I220" s="25" t="s">
        <v>57</v>
      </c>
      <c r="J220" s="26" t="s">
        <v>58</v>
      </c>
      <c r="K220" s="21"/>
      <c r="L220" s="4" t="s">
        <v>59</v>
      </c>
      <c r="M220" s="27" t="s">
        <v>60</v>
      </c>
      <c r="N220" s="27" t="s">
        <v>61</v>
      </c>
      <c r="O220" s="27" t="s">
        <v>62</v>
      </c>
      <c r="P220" s="70" t="s">
        <v>63</v>
      </c>
      <c r="Q220" s="70" t="s">
        <v>64</v>
      </c>
      <c r="R220" s="118" t="s">
        <v>65</v>
      </c>
      <c r="S220" s="118" t="s">
        <v>586</v>
      </c>
    </row>
    <row r="221" spans="1:19" ht="15.75" hidden="1" customHeight="1" x14ac:dyDescent="0.25">
      <c r="A221" s="11" t="s">
        <v>1505</v>
      </c>
      <c r="B221" s="6"/>
      <c r="C221" s="383"/>
      <c r="D221" s="266"/>
      <c r="E221" s="142"/>
      <c r="F221" s="142"/>
      <c r="G221" s="142"/>
      <c r="H221" s="33"/>
      <c r="I221" s="18"/>
      <c r="J221" s="109"/>
      <c r="K221" s="383"/>
      <c r="L221" s="265"/>
      <c r="M221" s="265"/>
      <c r="N221" s="265"/>
      <c r="O221" s="265"/>
      <c r="P221" s="266"/>
      <c r="Q221" s="266"/>
      <c r="R221" s="265"/>
      <c r="S221" s="5"/>
    </row>
    <row r="222" spans="1:19" ht="15.75" hidden="1" customHeight="1" x14ac:dyDescent="0.25">
      <c r="A222" s="6" t="s">
        <v>1235</v>
      </c>
      <c r="B222" s="6" t="s">
        <v>68</v>
      </c>
      <c r="C222" s="383"/>
      <c r="D222" s="266">
        <f t="shared" ref="D222:D251" si="97">SUMIF($B$142:$B$174,$B222,D$142:D$179)+SUMIF($B$175:$B$209,$B222,D$175:D$209)+SUMIF($B$213:$B$217,$B222,D$213:D$217)</f>
        <v>881578</v>
      </c>
      <c r="E222" s="142" t="e">
        <f>D222*#REF!</f>
        <v>#REF!</v>
      </c>
      <c r="F222" s="142" t="e">
        <f>D222*#REF!</f>
        <v>#REF!</v>
      </c>
      <c r="G222" s="142" t="e">
        <f>(D222*#REF!)*#REF!</f>
        <v>#REF!</v>
      </c>
      <c r="H222" s="33">
        <f t="shared" ref="H222:H252" si="98">IFERROR(((Q222-G222)/G222),0)</f>
        <v>0</v>
      </c>
      <c r="I222" s="16" t="e">
        <f t="shared" ref="I222:I252" si="99">Q222-G222</f>
        <v>#REF!</v>
      </c>
      <c r="J222" s="109"/>
      <c r="K222" s="383"/>
      <c r="L222" s="265">
        <f t="shared" ref="L222:O222" si="100">SUMIF($B$142:$B$174,$B222,L$142:L$179)+SUMIF($B$175:$B$209,$B222,L$175:L$209)+SUMIF($B$213:$B$217,$B222,L$213:L$217)</f>
        <v>1231744</v>
      </c>
      <c r="M222" s="265">
        <f t="shared" si="100"/>
        <v>1303631.52</v>
      </c>
      <c r="N222" s="265">
        <f t="shared" si="100"/>
        <v>1357613</v>
      </c>
      <c r="O222" s="265">
        <f t="shared" si="100"/>
        <v>1050956.6000000001</v>
      </c>
      <c r="P222" s="266">
        <f t="shared" ref="P222:P228" si="101">O222/20*26</f>
        <v>1366243.58</v>
      </c>
      <c r="Q222" s="266">
        <f t="shared" ref="Q222:R222" si="102">SUMIF($B$142:$B$174,$B222,Q$142:Q$179)+SUMIF($B$175:$B$209,$B222,Q$175:Q$209)+SUMIF($B$213:$B$217,$B222,Q$213:Q$217)</f>
        <v>1555800</v>
      </c>
      <c r="R222" s="265">
        <f t="shared" si="102"/>
        <v>1555800</v>
      </c>
      <c r="S222" s="7">
        <f t="shared" ref="S222:S251" si="103">R222-Q222</f>
        <v>0</v>
      </c>
    </row>
    <row r="223" spans="1:19" ht="15.75" hidden="1" customHeight="1" x14ac:dyDescent="0.25">
      <c r="A223" s="6" t="s">
        <v>1235</v>
      </c>
      <c r="B223" s="6" t="s">
        <v>70</v>
      </c>
      <c r="C223" s="383"/>
      <c r="D223" s="266">
        <f t="shared" si="97"/>
        <v>32223</v>
      </c>
      <c r="E223" s="142" t="e">
        <f>D223*#REF!</f>
        <v>#REF!</v>
      </c>
      <c r="F223" s="142" t="e">
        <f>D223*#REF!</f>
        <v>#REF!</v>
      </c>
      <c r="G223" s="142" t="e">
        <f>(D223*#REF!)*#REF!</f>
        <v>#REF!</v>
      </c>
      <c r="H223" s="33">
        <f t="shared" si="98"/>
        <v>0</v>
      </c>
      <c r="I223" s="16" t="e">
        <f t="shared" si="99"/>
        <v>#REF!</v>
      </c>
      <c r="J223" s="16">
        <v>-9000</v>
      </c>
      <c r="K223" s="383"/>
      <c r="L223" s="265">
        <f t="shared" ref="L223:O223" si="104">SUMIF($B$142:$B$174,$B223,L$142:L$179)+SUMIF($B$175:$B$209,$B223,L$175:L$209)+SUMIF($B$213:$B$217,$B223,L$213:L$217)</f>
        <v>82311</v>
      </c>
      <c r="M223" s="265">
        <f t="shared" si="104"/>
        <v>32089.37</v>
      </c>
      <c r="N223" s="265">
        <f t="shared" si="104"/>
        <v>60000</v>
      </c>
      <c r="O223" s="265">
        <f t="shared" si="104"/>
        <v>29658.04</v>
      </c>
      <c r="P223" s="266">
        <f t="shared" si="101"/>
        <v>38555.452000000005</v>
      </c>
      <c r="Q223" s="266">
        <f t="shared" ref="Q223:R223" si="105">SUMIF($B$142:$B$174,$B223,Q$142:Q$179)+SUMIF($B$175:$B$209,$B223,Q$175:Q$209)+SUMIF($B$213:$B$217,$B223,Q$213:Q$217)</f>
        <v>60000</v>
      </c>
      <c r="R223" s="265">
        <f t="shared" si="105"/>
        <v>51000</v>
      </c>
      <c r="S223" s="7">
        <f t="shared" si="103"/>
        <v>-9000</v>
      </c>
    </row>
    <row r="224" spans="1:19" ht="15.75" hidden="1" customHeight="1" x14ac:dyDescent="0.25">
      <c r="A224" s="6" t="s">
        <v>1235</v>
      </c>
      <c r="B224" s="6" t="s">
        <v>132</v>
      </c>
      <c r="C224" s="383"/>
      <c r="D224" s="266">
        <f t="shared" si="97"/>
        <v>9828</v>
      </c>
      <c r="E224" s="142" t="e">
        <f>D224*#REF!</f>
        <v>#REF!</v>
      </c>
      <c r="F224" s="142" t="e">
        <f>D224*#REF!</f>
        <v>#REF!</v>
      </c>
      <c r="G224" s="142" t="e">
        <f>(D224*#REF!)*#REF!</f>
        <v>#REF!</v>
      </c>
      <c r="H224" s="33">
        <f t="shared" si="98"/>
        <v>0</v>
      </c>
      <c r="I224" s="16" t="e">
        <f t="shared" si="99"/>
        <v>#REF!</v>
      </c>
      <c r="J224" s="16"/>
      <c r="K224" s="383"/>
      <c r="L224" s="265">
        <f t="shared" ref="L224:O224" si="106">SUMIF($B$142:$B$174,$B224,L$142:L$179)+SUMIF($B$175:$B$209,$B224,L$175:L$209)+SUMIF($B$213:$B$217,$B224,L$213:L$217)</f>
        <v>14839</v>
      </c>
      <c r="M224" s="265">
        <f t="shared" si="106"/>
        <v>0</v>
      </c>
      <c r="N224" s="265">
        <f t="shared" si="106"/>
        <v>0</v>
      </c>
      <c r="O224" s="265">
        <f t="shared" si="106"/>
        <v>0</v>
      </c>
      <c r="P224" s="266">
        <f t="shared" si="101"/>
        <v>0</v>
      </c>
      <c r="Q224" s="266">
        <f t="shared" ref="Q224:R224" si="107">SUMIF($B$142:$B$174,$B224,Q$142:Q$179)+SUMIF($B$175:$B$209,$B224,Q$175:Q$209)+SUMIF($B$213:$B$217,$B224,Q$213:Q$217)</f>
        <v>0</v>
      </c>
      <c r="R224" s="265">
        <f t="shared" si="107"/>
        <v>0</v>
      </c>
      <c r="S224" s="7">
        <f t="shared" si="103"/>
        <v>0</v>
      </c>
    </row>
    <row r="225" spans="1:19" ht="15.75" hidden="1" customHeight="1" x14ac:dyDescent="0.25">
      <c r="A225" s="6" t="s">
        <v>1235</v>
      </c>
      <c r="B225" s="6" t="s">
        <v>108</v>
      </c>
      <c r="C225" s="383"/>
      <c r="D225" s="266">
        <f t="shared" si="97"/>
        <v>125138</v>
      </c>
      <c r="E225" s="142" t="e">
        <f>D225*#REF!</f>
        <v>#REF!</v>
      </c>
      <c r="F225" s="142" t="e">
        <f>D225*#REF!</f>
        <v>#REF!</v>
      </c>
      <c r="G225" s="142" t="e">
        <f>(D225*#REF!)*#REF!</f>
        <v>#REF!</v>
      </c>
      <c r="H225" s="33">
        <f t="shared" si="98"/>
        <v>0</v>
      </c>
      <c r="I225" s="16" t="e">
        <f t="shared" si="99"/>
        <v>#REF!</v>
      </c>
      <c r="J225" s="16"/>
      <c r="K225" s="383"/>
      <c r="L225" s="265">
        <f t="shared" ref="L225:O225" si="108">SUMIF($B$142:$B$174,$B225,L$142:L$179)+SUMIF($B$175:$B$209,$B225,L$175:L$209)+SUMIF($B$213:$B$217,$B225,L$213:L$217)</f>
        <v>119533</v>
      </c>
      <c r="M225" s="265">
        <f t="shared" si="108"/>
        <v>131517.19</v>
      </c>
      <c r="N225" s="265">
        <f t="shared" si="108"/>
        <v>155000</v>
      </c>
      <c r="O225" s="265">
        <f t="shared" si="108"/>
        <v>145641.20000000001</v>
      </c>
      <c r="P225" s="266">
        <f t="shared" si="101"/>
        <v>189333.56</v>
      </c>
      <c r="Q225" s="266">
        <f t="shared" ref="Q225:R225" si="109">SUMIF($B$142:$B$174,$B225,Q$142:Q$179)+SUMIF($B$175:$B$209,$B225,Q$175:Q$209)+SUMIF($B$213:$B$217,$B225,Q$213:Q$217)</f>
        <v>162000</v>
      </c>
      <c r="R225" s="265">
        <f t="shared" si="109"/>
        <v>162000</v>
      </c>
      <c r="S225" s="7">
        <f t="shared" si="103"/>
        <v>0</v>
      </c>
    </row>
    <row r="226" spans="1:19" ht="15.75" hidden="1" customHeight="1" x14ac:dyDescent="0.25">
      <c r="A226" s="6" t="s">
        <v>1235</v>
      </c>
      <c r="B226" s="6" t="s">
        <v>72</v>
      </c>
      <c r="C226" s="383"/>
      <c r="D226" s="266">
        <f t="shared" si="97"/>
        <v>474200</v>
      </c>
      <c r="E226" s="142" t="e">
        <f>D226*#REF!</f>
        <v>#REF!</v>
      </c>
      <c r="F226" s="142" t="e">
        <f>D226*#REF!</f>
        <v>#REF!</v>
      </c>
      <c r="G226" s="142" t="e">
        <f>(D226*#REF!)*#REF!</f>
        <v>#REF!</v>
      </c>
      <c r="H226" s="33">
        <f t="shared" si="98"/>
        <v>0</v>
      </c>
      <c r="I226" s="16" t="e">
        <f t="shared" si="99"/>
        <v>#REF!</v>
      </c>
      <c r="J226" s="16"/>
      <c r="K226" s="383"/>
      <c r="L226" s="265">
        <f t="shared" ref="L226:O226" si="110">SUMIF($B$142:$B$174,$B226,L$142:L$179)+SUMIF($B$175:$B$209,$B226,L$175:L$209)+SUMIF($B$213:$B$217,$B226,L$213:L$217)</f>
        <v>600973</v>
      </c>
      <c r="M226" s="265">
        <f t="shared" si="110"/>
        <v>664047.79</v>
      </c>
      <c r="N226" s="265">
        <f t="shared" si="110"/>
        <v>796852</v>
      </c>
      <c r="O226" s="265">
        <f t="shared" si="110"/>
        <v>517654.03</v>
      </c>
      <c r="P226" s="266">
        <f t="shared" si="101"/>
        <v>672950.23900000006</v>
      </c>
      <c r="Q226" s="266">
        <f t="shared" ref="Q226:R226" si="111">SUMIF($B$142:$B$174,$B226,Q$142:Q$179)+SUMIF($B$175:$B$209,$B226,Q$175:Q$209)+SUMIF($B$213:$B$217,$B226,Q$213:Q$217)</f>
        <v>761700</v>
      </c>
      <c r="R226" s="265">
        <f t="shared" si="111"/>
        <v>761700</v>
      </c>
      <c r="S226" s="7">
        <f t="shared" si="103"/>
        <v>0</v>
      </c>
    </row>
    <row r="227" spans="1:19" ht="15.75" hidden="1" customHeight="1" x14ac:dyDescent="0.25">
      <c r="A227" s="6" t="s">
        <v>1235</v>
      </c>
      <c r="B227" s="6" t="s">
        <v>892</v>
      </c>
      <c r="C227" s="383"/>
      <c r="D227" s="266">
        <f t="shared" si="97"/>
        <v>8454</v>
      </c>
      <c r="E227" s="142" t="e">
        <f>D227*#REF!</f>
        <v>#REF!</v>
      </c>
      <c r="F227" s="142" t="e">
        <f>D227*#REF!</f>
        <v>#REF!</v>
      </c>
      <c r="G227" s="142" t="e">
        <f>(D227*#REF!)*#REF!</f>
        <v>#REF!</v>
      </c>
      <c r="H227" s="33">
        <f t="shared" si="98"/>
        <v>0</v>
      </c>
      <c r="I227" s="16" t="e">
        <f t="shared" si="99"/>
        <v>#REF!</v>
      </c>
      <c r="J227" s="16">
        <v>-2000</v>
      </c>
      <c r="K227" s="383"/>
      <c r="L227" s="265">
        <f t="shared" ref="L227:O227" si="112">SUMIF($B$142:$B$174,$B227,L$142:L$179)+SUMIF($B$175:$B$209,$B227,L$175:L$209)+SUMIF($B$213:$B$217,$B227,L$213:L$217)</f>
        <v>8742</v>
      </c>
      <c r="M227" s="265">
        <f t="shared" si="112"/>
        <v>8610</v>
      </c>
      <c r="N227" s="265">
        <f t="shared" si="112"/>
        <v>13000</v>
      </c>
      <c r="O227" s="265">
        <f t="shared" si="112"/>
        <v>6870</v>
      </c>
      <c r="P227" s="266">
        <f t="shared" si="101"/>
        <v>8931</v>
      </c>
      <c r="Q227" s="266">
        <f t="shared" ref="Q227:R227" si="113">SUMIF($B$142:$B$174,$B227,Q$142:Q$179)+SUMIF($B$175:$B$209,$B227,Q$175:Q$209)+SUMIF($B$213:$B$217,$B227,Q$213:Q$217)</f>
        <v>20000</v>
      </c>
      <c r="R227" s="265">
        <f t="shared" si="113"/>
        <v>18000</v>
      </c>
      <c r="S227" s="7">
        <f t="shared" si="103"/>
        <v>-2000</v>
      </c>
    </row>
    <row r="228" spans="1:19" ht="15.75" hidden="1" customHeight="1" x14ac:dyDescent="0.25">
      <c r="A228" s="6" t="s">
        <v>1235</v>
      </c>
      <c r="B228" s="6" t="s">
        <v>451</v>
      </c>
      <c r="C228" s="383"/>
      <c r="D228" s="266">
        <f t="shared" si="97"/>
        <v>0</v>
      </c>
      <c r="E228" s="142" t="e">
        <f>D228*#REF!</f>
        <v>#REF!</v>
      </c>
      <c r="F228" s="142" t="e">
        <f>D228*#REF!</f>
        <v>#REF!</v>
      </c>
      <c r="G228" s="142" t="e">
        <f>(D228*#REF!)*#REF!</f>
        <v>#REF!</v>
      </c>
      <c r="H228" s="33">
        <f t="shared" si="98"/>
        <v>0</v>
      </c>
      <c r="I228" s="16" t="e">
        <f t="shared" si="99"/>
        <v>#REF!</v>
      </c>
      <c r="J228" s="16">
        <v>10000</v>
      </c>
      <c r="K228" s="383"/>
      <c r="L228" s="265">
        <f t="shared" ref="L228:O228" si="114">SUMIF($B$142:$B$174,$B228,L$142:L$179)+SUMIF($B$175:$B$209,$B228,L$175:L$209)+SUMIF($B$213:$B$217,$B228,L$213:L$217)</f>
        <v>0</v>
      </c>
      <c r="M228" s="265">
        <f t="shared" si="114"/>
        <v>0</v>
      </c>
      <c r="N228" s="265">
        <f t="shared" si="114"/>
        <v>32700</v>
      </c>
      <c r="O228" s="265">
        <f t="shared" si="114"/>
        <v>2341.5</v>
      </c>
      <c r="P228" s="266">
        <f t="shared" si="101"/>
        <v>3043.9500000000003</v>
      </c>
      <c r="Q228" s="266">
        <f t="shared" ref="Q228:R228" si="115">SUMIF($B$142:$B$174,$B228,Q$142:Q$179)+SUMIF($B$175:$B$209,$B228,Q$175:Q$209)+SUMIF($B$213:$B$217,$B228,Q$213:Q$217)</f>
        <v>0</v>
      </c>
      <c r="R228" s="265">
        <f t="shared" si="115"/>
        <v>10000</v>
      </c>
      <c r="S228" s="7">
        <f t="shared" si="103"/>
        <v>10000</v>
      </c>
    </row>
    <row r="229" spans="1:19" ht="15.75" hidden="1" customHeight="1" x14ac:dyDescent="0.25">
      <c r="A229" s="6" t="s">
        <v>1235</v>
      </c>
      <c r="B229" s="6" t="s">
        <v>74</v>
      </c>
      <c r="C229" s="383"/>
      <c r="D229" s="266">
        <f t="shared" si="97"/>
        <v>225</v>
      </c>
      <c r="E229" s="142" t="e">
        <f>D229*#REF!</f>
        <v>#REF!</v>
      </c>
      <c r="F229" s="142" t="e">
        <f>D229*#REF!</f>
        <v>#REF!</v>
      </c>
      <c r="G229" s="142" t="e">
        <f>(D229*#REF!)*#REF!</f>
        <v>#REF!</v>
      </c>
      <c r="H229" s="33">
        <f t="shared" si="98"/>
        <v>0</v>
      </c>
      <c r="I229" s="16" t="e">
        <f t="shared" si="99"/>
        <v>#REF!</v>
      </c>
      <c r="J229" s="16">
        <v>-5000</v>
      </c>
      <c r="K229" s="383"/>
      <c r="L229" s="265">
        <f t="shared" ref="L229:O229" si="116">SUMIF($B$142:$B$174,$B229,L$142:L$179)+SUMIF($B$175:$B$209,$B229,L$175:L$209)+SUMIF($B$213:$B$217,$B229,L$213:L$217)</f>
        <v>40</v>
      </c>
      <c r="M229" s="265">
        <f t="shared" si="116"/>
        <v>369.26</v>
      </c>
      <c r="N229" s="265">
        <f t="shared" si="116"/>
        <v>7000</v>
      </c>
      <c r="O229" s="265">
        <f t="shared" si="116"/>
        <v>1231.23</v>
      </c>
      <c r="P229" s="266">
        <f t="shared" ref="P229:P231" si="117">IF(O229/9*12&lt;N229,N229,O229/9*12)</f>
        <v>7000</v>
      </c>
      <c r="Q229" s="266">
        <f t="shared" ref="Q229:R229" si="118">SUMIF($B$142:$B$174,$B229,Q$142:Q$179)+SUMIF($B$175:$B$209,$B229,Q$175:Q$209)+SUMIF($B$213:$B$217,$B229,Q$213:Q$217)</f>
        <v>16000</v>
      </c>
      <c r="R229" s="265">
        <f t="shared" si="118"/>
        <v>11000</v>
      </c>
      <c r="S229" s="7">
        <f t="shared" si="103"/>
        <v>-5000</v>
      </c>
    </row>
    <row r="230" spans="1:19" ht="15.75" hidden="1" customHeight="1" x14ac:dyDescent="0.25">
      <c r="A230" s="6" t="s">
        <v>1235</v>
      </c>
      <c r="B230" s="6" t="s">
        <v>76</v>
      </c>
      <c r="C230" s="383"/>
      <c r="D230" s="266">
        <f t="shared" si="97"/>
        <v>5587</v>
      </c>
      <c r="E230" s="142" t="e">
        <f>D230*#REF!</f>
        <v>#REF!</v>
      </c>
      <c r="F230" s="142" t="e">
        <f>D230*#REF!</f>
        <v>#REF!</v>
      </c>
      <c r="G230" s="142" t="e">
        <f>(D230*#REF!)*#REF!</f>
        <v>#REF!</v>
      </c>
      <c r="H230" s="33">
        <f t="shared" si="98"/>
        <v>0</v>
      </c>
      <c r="I230" s="16" t="e">
        <f t="shared" si="99"/>
        <v>#REF!</v>
      </c>
      <c r="J230" s="16">
        <v>-4000</v>
      </c>
      <c r="K230" s="383"/>
      <c r="L230" s="265">
        <f t="shared" ref="L230:O230" si="119">SUMIF($B$142:$B$174,$B230,L$142:L$179)+SUMIF($B$175:$B$209,$B230,L$175:L$209)+SUMIF($B$213:$B$217,$B230,L$213:L$217)</f>
        <v>19668</v>
      </c>
      <c r="M230" s="265">
        <f t="shared" si="119"/>
        <v>10547.08</v>
      </c>
      <c r="N230" s="265">
        <f t="shared" si="119"/>
        <v>10000</v>
      </c>
      <c r="O230" s="265">
        <f t="shared" si="119"/>
        <v>6398.47</v>
      </c>
      <c r="P230" s="386">
        <f t="shared" si="117"/>
        <v>10000</v>
      </c>
      <c r="Q230" s="266">
        <f t="shared" ref="Q230:R230" si="120">SUMIF($B$142:$B$174,$B230,Q$142:Q$179)+SUMIF($B$175:$B$209,$B230,Q$175:Q$209)+SUMIF($B$213:$B$217,$B230,Q$213:Q$217)</f>
        <v>12000</v>
      </c>
      <c r="R230" s="265">
        <f t="shared" si="120"/>
        <v>8000</v>
      </c>
      <c r="S230" s="7">
        <f t="shared" si="103"/>
        <v>-4000</v>
      </c>
    </row>
    <row r="231" spans="1:19" ht="15.75" hidden="1" customHeight="1" x14ac:dyDescent="0.25">
      <c r="A231" s="6" t="s">
        <v>1235</v>
      </c>
      <c r="B231" s="6" t="s">
        <v>80</v>
      </c>
      <c r="C231" s="383"/>
      <c r="D231" s="266">
        <f t="shared" si="97"/>
        <v>10971</v>
      </c>
      <c r="E231" s="142" t="e">
        <f>D231*#REF!</f>
        <v>#REF!</v>
      </c>
      <c r="F231" s="142" t="e">
        <f>D231*#REF!</f>
        <v>#REF!</v>
      </c>
      <c r="G231" s="142" t="e">
        <f>(D231*#REF!)*#REF!</f>
        <v>#REF!</v>
      </c>
      <c r="H231" s="33">
        <f t="shared" si="98"/>
        <v>0</v>
      </c>
      <c r="I231" s="16" t="e">
        <f t="shared" si="99"/>
        <v>#REF!</v>
      </c>
      <c r="J231" s="16">
        <v>-2000</v>
      </c>
      <c r="K231" s="383"/>
      <c r="L231" s="265">
        <f t="shared" ref="L231:O231" si="121">SUMIF($B$142:$B$174,$B231,L$142:L$179)+SUMIF($B$175:$B$209,$B231,L$175:L$209)+SUMIF($B$213:$B$217,$B231,L$213:L$217)</f>
        <v>12800</v>
      </c>
      <c r="M231" s="265">
        <f t="shared" si="121"/>
        <v>10322.370000000001</v>
      </c>
      <c r="N231" s="265">
        <f t="shared" si="121"/>
        <v>12000</v>
      </c>
      <c r="O231" s="265">
        <f t="shared" si="121"/>
        <v>10668.39</v>
      </c>
      <c r="P231" s="266">
        <f t="shared" si="117"/>
        <v>14224.519999999999</v>
      </c>
      <c r="Q231" s="266">
        <f t="shared" ref="Q231:R231" si="122">SUMIF($B$142:$B$174,$B231,Q$142:Q$179)+SUMIF($B$175:$B$209,$B231,Q$175:Q$209)+SUMIF($B$213:$B$217,$B231,Q$213:Q$217)</f>
        <v>14000</v>
      </c>
      <c r="R231" s="265">
        <f t="shared" si="122"/>
        <v>12000</v>
      </c>
      <c r="S231" s="7">
        <f t="shared" si="103"/>
        <v>-2000</v>
      </c>
    </row>
    <row r="232" spans="1:19" ht="15.75" hidden="1" customHeight="1" x14ac:dyDescent="0.25">
      <c r="A232" s="6" t="s">
        <v>1235</v>
      </c>
      <c r="B232" s="6" t="s">
        <v>82</v>
      </c>
      <c r="C232" s="383"/>
      <c r="D232" s="266">
        <f t="shared" si="97"/>
        <v>276083</v>
      </c>
      <c r="E232" s="142" t="e">
        <f>D232*#REF!</f>
        <v>#REF!</v>
      </c>
      <c r="F232" s="142" t="e">
        <f>D232*#REF!</f>
        <v>#REF!</v>
      </c>
      <c r="G232" s="142" t="e">
        <f>(D232*#REF!)*#REF!</f>
        <v>#REF!</v>
      </c>
      <c r="H232" s="33">
        <f t="shared" si="98"/>
        <v>0</v>
      </c>
      <c r="I232" s="16" t="e">
        <f t="shared" si="99"/>
        <v>#REF!</v>
      </c>
      <c r="J232" s="16">
        <v>-20000</v>
      </c>
      <c r="K232" s="383"/>
      <c r="L232" s="265">
        <f t="shared" ref="L232:O232" si="123">SUMIF($B$142:$B$174,$B232,L$142:L$179)+SUMIF($B$175:$B$209,$B232,L$175:L$209)+SUMIF($B$213:$B$217,$B232,L$213:L$217)</f>
        <v>336246</v>
      </c>
      <c r="M232" s="265">
        <f t="shared" si="123"/>
        <v>357040.84</v>
      </c>
      <c r="N232" s="265">
        <f t="shared" si="123"/>
        <v>345000</v>
      </c>
      <c r="O232" s="265">
        <f t="shared" si="123"/>
        <v>252852.31</v>
      </c>
      <c r="P232" s="386">
        <f>N232</f>
        <v>345000</v>
      </c>
      <c r="Q232" s="266">
        <f t="shared" ref="Q232:R232" si="124">SUMIF($B$142:$B$174,$B232,Q$142:Q$179)+SUMIF($B$175:$B$209,$B232,Q$175:Q$209)+SUMIF($B$213:$B$217,$B232,Q$213:Q$217)</f>
        <v>420000</v>
      </c>
      <c r="R232" s="265">
        <f t="shared" si="124"/>
        <v>400000</v>
      </c>
      <c r="S232" s="7">
        <f t="shared" si="103"/>
        <v>-20000</v>
      </c>
    </row>
    <row r="233" spans="1:19" ht="15.75" hidden="1" customHeight="1" x14ac:dyDescent="0.25">
      <c r="A233" s="6" t="s">
        <v>1235</v>
      </c>
      <c r="B233" s="6" t="s">
        <v>115</v>
      </c>
      <c r="C233" s="383"/>
      <c r="D233" s="266">
        <f t="shared" si="97"/>
        <v>37904</v>
      </c>
      <c r="E233" s="142" t="e">
        <f>D233*#REF!</f>
        <v>#REF!</v>
      </c>
      <c r="F233" s="142" t="e">
        <f>D233*#REF!</f>
        <v>#REF!</v>
      </c>
      <c r="G233" s="142" t="e">
        <f>(D233*#REF!)*#REF!</f>
        <v>#REF!</v>
      </c>
      <c r="H233" s="33">
        <f t="shared" si="98"/>
        <v>0</v>
      </c>
      <c r="I233" s="16" t="e">
        <f t="shared" si="99"/>
        <v>#REF!</v>
      </c>
      <c r="J233" s="16">
        <v>-20000</v>
      </c>
      <c r="K233" s="383"/>
      <c r="L233" s="265">
        <f t="shared" ref="L233:O233" si="125">SUMIF($B$142:$B$174,$B233,L$142:L$179)+SUMIF($B$175:$B$209,$B233,L$175:L$209)+SUMIF($B$213:$B$217,$B233,L$213:L$217)</f>
        <v>51334</v>
      </c>
      <c r="M233" s="265">
        <f t="shared" si="125"/>
        <v>46020.42</v>
      </c>
      <c r="N233" s="265">
        <f t="shared" si="125"/>
        <v>80500</v>
      </c>
      <c r="O233" s="265">
        <f t="shared" si="125"/>
        <v>46859.57</v>
      </c>
      <c r="P233" s="266">
        <f t="shared" ref="P233:P234" si="126">O233/9*12</f>
        <v>62479.426666666666</v>
      </c>
      <c r="Q233" s="266">
        <f t="shared" ref="Q233:R233" si="127">SUMIF($B$142:$B$174,$B233,Q$142:Q$179)+SUMIF($B$175:$B$209,$B233,Q$175:Q$209)+SUMIF($B$213:$B$217,$B233,Q$213:Q$217)</f>
        <v>90000</v>
      </c>
      <c r="R233" s="265">
        <f t="shared" si="127"/>
        <v>70000</v>
      </c>
      <c r="S233" s="7">
        <f t="shared" si="103"/>
        <v>-20000</v>
      </c>
    </row>
    <row r="234" spans="1:19" ht="15.75" hidden="1" customHeight="1" x14ac:dyDescent="0.25">
      <c r="A234" s="6" t="s">
        <v>1235</v>
      </c>
      <c r="B234" s="6" t="s">
        <v>210</v>
      </c>
      <c r="C234" s="383"/>
      <c r="D234" s="266">
        <f t="shared" si="97"/>
        <v>212909</v>
      </c>
      <c r="E234" s="142" t="e">
        <f>D234*#REF!</f>
        <v>#REF!</v>
      </c>
      <c r="F234" s="142" t="e">
        <f>D234*#REF!</f>
        <v>#REF!</v>
      </c>
      <c r="G234" s="142" t="e">
        <f>(D234*#REF!)*#REF!</f>
        <v>#REF!</v>
      </c>
      <c r="H234" s="33">
        <f t="shared" si="98"/>
        <v>0</v>
      </c>
      <c r="I234" s="16" t="e">
        <f t="shared" si="99"/>
        <v>#REF!</v>
      </c>
      <c r="J234" s="16"/>
      <c r="K234" s="383"/>
      <c r="L234" s="265">
        <f t="shared" ref="L234:O234" si="128">SUMIF($B$142:$B$174,$B234,L$142:L$179)+SUMIF($B$175:$B$209,$B234,L$175:L$209)+SUMIF($B$213:$B$217,$B234,L$213:L$217)</f>
        <v>349256</v>
      </c>
      <c r="M234" s="265">
        <f t="shared" si="128"/>
        <v>309326.94</v>
      </c>
      <c r="N234" s="265">
        <f t="shared" si="128"/>
        <v>325000</v>
      </c>
      <c r="O234" s="265">
        <f t="shared" si="128"/>
        <v>197494.8</v>
      </c>
      <c r="P234" s="266">
        <f t="shared" si="126"/>
        <v>263326.39999999997</v>
      </c>
      <c r="Q234" s="266">
        <f t="shared" ref="Q234:R234" si="129">SUMIF($B$142:$B$174,$B234,Q$142:Q$179)+SUMIF($B$175:$B$209,$B234,Q$175:Q$209)+SUMIF($B$213:$B$217,$B234,Q$213:Q$217)</f>
        <v>325000</v>
      </c>
      <c r="R234" s="265">
        <f t="shared" si="129"/>
        <v>325000</v>
      </c>
      <c r="S234" s="7">
        <f t="shared" si="103"/>
        <v>0</v>
      </c>
    </row>
    <row r="235" spans="1:19" ht="15.75" hidden="1" customHeight="1" x14ac:dyDescent="0.25">
      <c r="A235" s="6" t="s">
        <v>1235</v>
      </c>
      <c r="B235" s="6" t="s">
        <v>277</v>
      </c>
      <c r="C235" s="383"/>
      <c r="D235" s="266">
        <f t="shared" si="97"/>
        <v>24071</v>
      </c>
      <c r="E235" s="142" t="e">
        <f>D235*#REF!</f>
        <v>#REF!</v>
      </c>
      <c r="F235" s="142" t="e">
        <f>D235*#REF!</f>
        <v>#REF!</v>
      </c>
      <c r="G235" s="142" t="e">
        <f>(D235*#REF!)*#REF!</f>
        <v>#REF!</v>
      </c>
      <c r="H235" s="33">
        <f t="shared" si="98"/>
        <v>0</v>
      </c>
      <c r="I235" s="16" t="e">
        <f t="shared" si="99"/>
        <v>#REF!</v>
      </c>
      <c r="J235" s="16"/>
      <c r="K235" s="383"/>
      <c r="L235" s="265">
        <f t="shared" ref="L235:O235" si="130">SUMIF($B$142:$B$174,$B235,L$142:L$179)+SUMIF($B$175:$B$209,$B235,L$175:L$209)+SUMIF($B$213:$B$217,$B235,L$213:L$217)</f>
        <v>0</v>
      </c>
      <c r="M235" s="265">
        <f t="shared" si="130"/>
        <v>0</v>
      </c>
      <c r="N235" s="265">
        <f t="shared" si="130"/>
        <v>0</v>
      </c>
      <c r="O235" s="265">
        <f t="shared" si="130"/>
        <v>0</v>
      </c>
      <c r="P235" s="266">
        <f t="shared" ref="P235:P237" si="131">IF(O235/9*12&lt;N235,N235,O235/9*12)</f>
        <v>0</v>
      </c>
      <c r="Q235" s="266">
        <f t="shared" ref="Q235:R235" si="132">SUMIF($B$142:$B$174,$B235,Q$142:Q$179)+SUMIF($B$175:$B$209,$B235,Q$175:Q$209)+SUMIF($B$213:$B$217,$B235,Q$213:Q$217)</f>
        <v>0</v>
      </c>
      <c r="R235" s="265">
        <f t="shared" si="132"/>
        <v>0</v>
      </c>
      <c r="S235" s="7">
        <f t="shared" si="103"/>
        <v>0</v>
      </c>
    </row>
    <row r="236" spans="1:19" ht="15.75" hidden="1" customHeight="1" x14ac:dyDescent="0.25">
      <c r="A236" s="6" t="s">
        <v>1235</v>
      </c>
      <c r="B236" s="6" t="s">
        <v>84</v>
      </c>
      <c r="C236" s="383"/>
      <c r="D236" s="266">
        <f t="shared" si="97"/>
        <v>13185</v>
      </c>
      <c r="E236" s="142" t="e">
        <f>D236*#REF!</f>
        <v>#REF!</v>
      </c>
      <c r="F236" s="142" t="e">
        <f>D236*#REF!</f>
        <v>#REF!</v>
      </c>
      <c r="G236" s="142" t="e">
        <f>(D236*#REF!)*#REF!</f>
        <v>#REF!</v>
      </c>
      <c r="H236" s="33">
        <f t="shared" si="98"/>
        <v>0</v>
      </c>
      <c r="I236" s="16" t="e">
        <f t="shared" si="99"/>
        <v>#REF!</v>
      </c>
      <c r="J236" s="16">
        <v>-2000</v>
      </c>
      <c r="K236" s="383"/>
      <c r="L236" s="265">
        <f t="shared" ref="L236:O236" si="133">SUMIF($B$142:$B$174,$B236,L$142:L$179)+SUMIF($B$175:$B$209,$B236,L$175:L$209)+SUMIF($B$213:$B$217,$B236,L$213:L$217)</f>
        <v>21851</v>
      </c>
      <c r="M236" s="265">
        <f t="shared" si="133"/>
        <v>28376.560000000001</v>
      </c>
      <c r="N236" s="265">
        <f t="shared" si="133"/>
        <v>31900</v>
      </c>
      <c r="O236" s="265">
        <f t="shared" si="133"/>
        <v>25189.119999999999</v>
      </c>
      <c r="P236" s="266">
        <f t="shared" si="131"/>
        <v>33585.493333333332</v>
      </c>
      <c r="Q236" s="266">
        <f t="shared" ref="Q236:R236" si="134">SUMIF($B$142:$B$174,$B236,Q$142:Q$179)+SUMIF($B$175:$B$209,$B236,Q$175:Q$209)+SUMIF($B$213:$B$217,$B236,Q$213:Q$217)</f>
        <v>32000</v>
      </c>
      <c r="R236" s="265">
        <f t="shared" si="134"/>
        <v>30000</v>
      </c>
      <c r="S236" s="7">
        <f t="shared" si="103"/>
        <v>-2000</v>
      </c>
    </row>
    <row r="237" spans="1:19" ht="15.75" hidden="1" customHeight="1" x14ac:dyDescent="0.25">
      <c r="A237" s="6" t="s">
        <v>1235</v>
      </c>
      <c r="B237" s="6" t="s">
        <v>86</v>
      </c>
      <c r="C237" s="383"/>
      <c r="D237" s="266">
        <f t="shared" si="97"/>
        <v>0</v>
      </c>
      <c r="E237" s="142" t="e">
        <f>D237*#REF!</f>
        <v>#REF!</v>
      </c>
      <c r="F237" s="142" t="e">
        <f>D237*#REF!</f>
        <v>#REF!</v>
      </c>
      <c r="G237" s="142" t="e">
        <f>(D237*#REF!)*#REF!</f>
        <v>#REF!</v>
      </c>
      <c r="H237" s="33">
        <f t="shared" si="98"/>
        <v>0</v>
      </c>
      <c r="I237" s="16" t="e">
        <f t="shared" si="99"/>
        <v>#REF!</v>
      </c>
      <c r="J237" s="16">
        <v>-2500</v>
      </c>
      <c r="K237" s="383"/>
      <c r="L237" s="265">
        <f t="shared" ref="L237:O237" si="135">SUMIF($B$142:$B$174,$B237,L$142:L$179)+SUMIF($B$175:$B$209,$B237,L$175:L$209)+SUMIF($B$213:$B$217,$B237,L$213:L$217)</f>
        <v>7585</v>
      </c>
      <c r="M237" s="265">
        <f t="shared" si="135"/>
        <v>4105</v>
      </c>
      <c r="N237" s="265">
        <f t="shared" si="135"/>
        <v>20500</v>
      </c>
      <c r="O237" s="265">
        <f t="shared" si="135"/>
        <v>3105</v>
      </c>
      <c r="P237" s="386">
        <f t="shared" si="131"/>
        <v>20500</v>
      </c>
      <c r="Q237" s="266">
        <f t="shared" ref="Q237:R237" si="136">SUMIF($B$142:$B$174,$B237,Q$142:Q$179)+SUMIF($B$175:$B$209,$B237,Q$175:Q$209)+SUMIF($B$213:$B$217,$B237,Q$213:Q$217)</f>
        <v>15000</v>
      </c>
      <c r="R237" s="265">
        <f t="shared" si="136"/>
        <v>12500</v>
      </c>
      <c r="S237" s="7">
        <f t="shared" si="103"/>
        <v>-2500</v>
      </c>
    </row>
    <row r="238" spans="1:19" ht="15.75" hidden="1" customHeight="1" x14ac:dyDescent="0.25">
      <c r="A238" s="6" t="s">
        <v>1235</v>
      </c>
      <c r="B238" s="6" t="s">
        <v>88</v>
      </c>
      <c r="C238" s="383"/>
      <c r="D238" s="266">
        <f t="shared" si="97"/>
        <v>4767</v>
      </c>
      <c r="E238" s="142" t="e">
        <f>D238*#REF!</f>
        <v>#REF!</v>
      </c>
      <c r="F238" s="142" t="e">
        <f>D238*#REF!</f>
        <v>#REF!</v>
      </c>
      <c r="G238" s="142" t="e">
        <f>(D238*#REF!)*#REF!</f>
        <v>#REF!</v>
      </c>
      <c r="H238" s="33">
        <f t="shared" si="98"/>
        <v>0</v>
      </c>
      <c r="I238" s="16" t="e">
        <f t="shared" si="99"/>
        <v>#REF!</v>
      </c>
      <c r="J238" s="16"/>
      <c r="K238" s="383"/>
      <c r="L238" s="265">
        <f t="shared" ref="L238:O238" si="137">SUMIF($B$142:$B$174,$B238,L$142:L$179)+SUMIF($B$175:$B$209,$B238,L$175:L$209)+SUMIF($B$213:$B$217,$B238,L$213:L$217)</f>
        <v>338</v>
      </c>
      <c r="M238" s="265">
        <f t="shared" si="137"/>
        <v>1340.22</v>
      </c>
      <c r="N238" s="265">
        <f t="shared" si="137"/>
        <v>14000</v>
      </c>
      <c r="O238" s="265">
        <f t="shared" si="137"/>
        <v>0</v>
      </c>
      <c r="P238" s="266">
        <f t="shared" ref="P238:P240" si="138">O238/9*12</f>
        <v>0</v>
      </c>
      <c r="Q238" s="266">
        <f t="shared" ref="Q238:R238" si="139">SUMIF($B$142:$B$174,$B238,Q$142:Q$179)+SUMIF($B$175:$B$209,$B238,Q$175:Q$209)+SUMIF($B$213:$B$217,$B238,Q$213:Q$217)</f>
        <v>30500</v>
      </c>
      <c r="R238" s="265">
        <f t="shared" si="139"/>
        <v>30500</v>
      </c>
      <c r="S238" s="7">
        <f t="shared" si="103"/>
        <v>0</v>
      </c>
    </row>
    <row r="239" spans="1:19" ht="15.75" hidden="1" customHeight="1" x14ac:dyDescent="0.25">
      <c r="A239" s="6" t="s">
        <v>1235</v>
      </c>
      <c r="B239" s="6" t="s">
        <v>90</v>
      </c>
      <c r="C239" s="383"/>
      <c r="D239" s="266">
        <f t="shared" si="97"/>
        <v>0</v>
      </c>
      <c r="E239" s="142" t="e">
        <f>D239*#REF!</f>
        <v>#REF!</v>
      </c>
      <c r="F239" s="142" t="e">
        <f>D239*#REF!</f>
        <v>#REF!</v>
      </c>
      <c r="G239" s="142" t="e">
        <f>(D239*#REF!)*#REF!</f>
        <v>#REF!</v>
      </c>
      <c r="H239" s="33">
        <f t="shared" si="98"/>
        <v>0</v>
      </c>
      <c r="I239" s="16" t="e">
        <f t="shared" si="99"/>
        <v>#REF!</v>
      </c>
      <c r="J239" s="16">
        <v>-5000</v>
      </c>
      <c r="K239" s="383"/>
      <c r="L239" s="265">
        <f t="shared" ref="L239:O239" si="140">SUMIF($B$142:$B$174,$B239,L$142:L$179)+SUMIF($B$175:$B$209,$B239,L$175:L$209)+SUMIF($B$213:$B$217,$B239,L$213:L$217)</f>
        <v>0</v>
      </c>
      <c r="M239" s="265">
        <f t="shared" si="140"/>
        <v>0</v>
      </c>
      <c r="N239" s="265">
        <f t="shared" si="140"/>
        <v>18000</v>
      </c>
      <c r="O239" s="265">
        <f t="shared" si="140"/>
        <v>3020</v>
      </c>
      <c r="P239" s="266">
        <f t="shared" si="138"/>
        <v>4026.6666666666665</v>
      </c>
      <c r="Q239" s="266">
        <f t="shared" ref="Q239:R239" si="141">SUMIF($B$142:$B$174,$B239,Q$142:Q$179)+SUMIF($B$175:$B$209,$B239,Q$175:Q$209)+SUMIF($B$213:$B$217,$B239,Q$213:Q$217)</f>
        <v>20000</v>
      </c>
      <c r="R239" s="265">
        <f t="shared" si="141"/>
        <v>15000</v>
      </c>
      <c r="S239" s="7">
        <f t="shared" si="103"/>
        <v>-5000</v>
      </c>
    </row>
    <row r="240" spans="1:19" ht="15.75" hidden="1" customHeight="1" x14ac:dyDescent="0.25">
      <c r="A240" s="6" t="s">
        <v>1235</v>
      </c>
      <c r="B240" s="6" t="s">
        <v>1336</v>
      </c>
      <c r="C240" s="383"/>
      <c r="D240" s="266">
        <f t="shared" si="97"/>
        <v>77539</v>
      </c>
      <c r="E240" s="142" t="e">
        <f>D240*#REF!</f>
        <v>#REF!</v>
      </c>
      <c r="F240" s="142" t="e">
        <f>D240*#REF!</f>
        <v>#REF!</v>
      </c>
      <c r="G240" s="142" t="e">
        <f>(D240*#REF!)*#REF!</f>
        <v>#REF!</v>
      </c>
      <c r="H240" s="33">
        <f t="shared" si="98"/>
        <v>0</v>
      </c>
      <c r="I240" s="16" t="e">
        <f t="shared" si="99"/>
        <v>#REF!</v>
      </c>
      <c r="J240" s="16">
        <v>-100000</v>
      </c>
      <c r="K240" s="383"/>
      <c r="L240" s="265">
        <f t="shared" ref="L240:O240" si="142">SUMIF($B$142:$B$174,$B240,L$142:L$179)+SUMIF($B$175:$B$209,$B240,L$175:L$209)+SUMIF($B$213:$B$217,$B240,L$213:L$217)</f>
        <v>129423</v>
      </c>
      <c r="M240" s="265">
        <f t="shared" si="142"/>
        <v>217849.61</v>
      </c>
      <c r="N240" s="265">
        <f t="shared" si="142"/>
        <v>451000</v>
      </c>
      <c r="O240" s="265">
        <f t="shared" si="142"/>
        <v>274221.46999999997</v>
      </c>
      <c r="P240" s="266">
        <f t="shared" si="138"/>
        <v>365628.62666666665</v>
      </c>
      <c r="Q240" s="266">
        <f t="shared" ref="Q240:R240" si="143">SUMIF($B$142:$B$174,$B240,Q$142:Q$179)+SUMIF($B$175:$B$209,$B240,Q$175:Q$209)+SUMIF($B$213:$B$217,$B240,Q$213:Q$217)</f>
        <v>631000</v>
      </c>
      <c r="R240" s="265">
        <f t="shared" si="143"/>
        <v>531000</v>
      </c>
      <c r="S240" s="7">
        <f t="shared" si="103"/>
        <v>-100000</v>
      </c>
    </row>
    <row r="241" spans="1:19" ht="15.75" hidden="1" customHeight="1" x14ac:dyDescent="0.25">
      <c r="A241" s="6" t="s">
        <v>1235</v>
      </c>
      <c r="B241" s="6" t="s">
        <v>1338</v>
      </c>
      <c r="C241" s="383"/>
      <c r="D241" s="266">
        <f t="shared" si="97"/>
        <v>540828</v>
      </c>
      <c r="E241" s="142" t="e">
        <f>D241*#REF!</f>
        <v>#REF!</v>
      </c>
      <c r="F241" s="142" t="e">
        <f>D241*#REF!</f>
        <v>#REF!</v>
      </c>
      <c r="G241" s="142" t="e">
        <f>(D241*#REF!)*#REF!</f>
        <v>#REF!</v>
      </c>
      <c r="H241" s="33">
        <f t="shared" si="98"/>
        <v>0</v>
      </c>
      <c r="I241" s="16" t="e">
        <f t="shared" si="99"/>
        <v>#REF!</v>
      </c>
      <c r="J241" s="16"/>
      <c r="K241" s="383"/>
      <c r="L241" s="265">
        <f t="shared" ref="L241:O241" si="144">SUMIF($B$142:$B$174,$B241,L$142:L$179)+SUMIF($B$175:$B$209,$B241,L$175:L$209)+SUMIF($B$213:$B$217,$B241,L$213:L$217)</f>
        <v>698745</v>
      </c>
      <c r="M241" s="265">
        <f t="shared" si="144"/>
        <v>590200.48</v>
      </c>
      <c r="N241" s="265">
        <f t="shared" si="144"/>
        <v>880000</v>
      </c>
      <c r="O241" s="265">
        <f t="shared" si="144"/>
        <v>865782.95</v>
      </c>
      <c r="P241" s="386">
        <f>N241</f>
        <v>880000</v>
      </c>
      <c r="Q241" s="266">
        <f t="shared" ref="Q241:R241" si="145">SUMIF($B$142:$B$174,$B241,Q$142:Q$179)+SUMIF($B$175:$B$209,$B241,Q$175:Q$209)+SUMIF($B$213:$B$217,$B241,Q$213:Q$217)</f>
        <v>880000</v>
      </c>
      <c r="R241" s="265">
        <f t="shared" si="145"/>
        <v>880000</v>
      </c>
      <c r="S241" s="7">
        <f t="shared" si="103"/>
        <v>0</v>
      </c>
    </row>
    <row r="242" spans="1:19" ht="15.75" hidden="1" customHeight="1" x14ac:dyDescent="0.25">
      <c r="A242" s="6" t="s">
        <v>1235</v>
      </c>
      <c r="B242" s="6" t="s">
        <v>1340</v>
      </c>
      <c r="C242" s="383"/>
      <c r="D242" s="266">
        <f t="shared" si="97"/>
        <v>372414</v>
      </c>
      <c r="E242" s="142" t="e">
        <f>D242*#REF!</f>
        <v>#REF!</v>
      </c>
      <c r="F242" s="142" t="e">
        <f>D242*#REF!</f>
        <v>#REF!</v>
      </c>
      <c r="G242" s="142" t="e">
        <f>(D242*#REF!)*#REF!</f>
        <v>#REF!</v>
      </c>
      <c r="H242" s="33">
        <f t="shared" si="98"/>
        <v>0</v>
      </c>
      <c r="I242" s="16" t="e">
        <f t="shared" si="99"/>
        <v>#REF!</v>
      </c>
      <c r="J242" s="16"/>
      <c r="K242" s="383"/>
      <c r="L242" s="265">
        <f t="shared" ref="L242:O242" si="146">SUMIF($B$142:$B$174,$B242,L$142:L$179)+SUMIF($B$175:$B$209,$B242,L$175:L$209)+SUMIF($B$213:$B$217,$B242,L$213:L$217)</f>
        <v>440042</v>
      </c>
      <c r="M242" s="265">
        <f t="shared" si="146"/>
        <v>460200.43</v>
      </c>
      <c r="N242" s="265">
        <f t="shared" si="146"/>
        <v>500000</v>
      </c>
      <c r="O242" s="265">
        <f t="shared" si="146"/>
        <v>563094.27</v>
      </c>
      <c r="P242" s="386">
        <f>O242</f>
        <v>563094.27</v>
      </c>
      <c r="Q242" s="266">
        <f t="shared" ref="Q242:R242" si="147">SUMIF($B$142:$B$174,$B242,Q$142:Q$179)+SUMIF($B$175:$B$209,$B242,Q$175:Q$209)+SUMIF($B$213:$B$217,$B242,Q$213:Q$217)</f>
        <v>500000</v>
      </c>
      <c r="R242" s="265">
        <f t="shared" si="147"/>
        <v>500000</v>
      </c>
      <c r="S242" s="7">
        <f t="shared" si="103"/>
        <v>0</v>
      </c>
    </row>
    <row r="243" spans="1:19" ht="15.75" hidden="1" customHeight="1" x14ac:dyDescent="0.25">
      <c r="A243" s="6" t="s">
        <v>1235</v>
      </c>
      <c r="B243" s="6" t="s">
        <v>1342</v>
      </c>
      <c r="C243" s="383"/>
      <c r="D243" s="266">
        <f t="shared" si="97"/>
        <v>80172</v>
      </c>
      <c r="E243" s="142" t="e">
        <f>D243*#REF!</f>
        <v>#REF!</v>
      </c>
      <c r="F243" s="142" t="e">
        <f>D243*#REF!</f>
        <v>#REF!</v>
      </c>
      <c r="G243" s="142" t="e">
        <f>(D243*#REF!)*#REF!</f>
        <v>#REF!</v>
      </c>
      <c r="H243" s="33">
        <f t="shared" si="98"/>
        <v>0</v>
      </c>
      <c r="I243" s="16" t="e">
        <f t="shared" si="99"/>
        <v>#REF!</v>
      </c>
      <c r="J243" s="16">
        <v>-25000</v>
      </c>
      <c r="K243" s="383"/>
      <c r="L243" s="265">
        <f t="shared" ref="L243:O243" si="148">SUMIF($B$142:$B$174,$B243,L$142:L$179)+SUMIF($B$175:$B$209,$B243,L$175:L$209)+SUMIF($B$213:$B$217,$B243,L$213:L$217)</f>
        <v>123075</v>
      </c>
      <c r="M243" s="265">
        <f t="shared" si="148"/>
        <v>62750.04</v>
      </c>
      <c r="N243" s="265">
        <f t="shared" si="148"/>
        <v>75000</v>
      </c>
      <c r="O243" s="265">
        <f t="shared" si="148"/>
        <v>13646.33</v>
      </c>
      <c r="P243" s="266">
        <f>O243/9*12</f>
        <v>18195.106666666667</v>
      </c>
      <c r="Q243" s="266">
        <f t="shared" ref="Q243:R243" si="149">SUMIF($B$142:$B$174,$B243,Q$142:Q$179)+SUMIF($B$175:$B$209,$B243,Q$175:Q$209)+SUMIF($B$213:$B$217,$B243,Q$213:Q$217)</f>
        <v>75000</v>
      </c>
      <c r="R243" s="265">
        <f t="shared" si="149"/>
        <v>50000</v>
      </c>
      <c r="S243" s="7">
        <f t="shared" si="103"/>
        <v>-25000</v>
      </c>
    </row>
    <row r="244" spans="1:19" ht="15.75" hidden="1" customHeight="1" x14ac:dyDescent="0.25">
      <c r="A244" s="6" t="s">
        <v>1235</v>
      </c>
      <c r="B244" s="6" t="s">
        <v>1344</v>
      </c>
      <c r="C244" s="383"/>
      <c r="D244" s="266">
        <f t="shared" si="97"/>
        <v>301068</v>
      </c>
      <c r="E244" s="142" t="e">
        <f>D244*#REF!</f>
        <v>#REF!</v>
      </c>
      <c r="F244" s="142" t="e">
        <f>D244*#REF!</f>
        <v>#REF!</v>
      </c>
      <c r="G244" s="142" t="e">
        <f>(D244*#REF!)*#REF!</f>
        <v>#REF!</v>
      </c>
      <c r="H244" s="33">
        <f t="shared" si="98"/>
        <v>0</v>
      </c>
      <c r="I244" s="16" t="e">
        <f t="shared" si="99"/>
        <v>#REF!</v>
      </c>
      <c r="J244" s="16"/>
      <c r="K244" s="383"/>
      <c r="L244" s="265">
        <f t="shared" ref="L244:O244" si="150">SUMIF($B$142:$B$174,$B244,L$142:L$179)+SUMIF($B$175:$B$209,$B244,L$175:L$209)+SUMIF($B$213:$B$217,$B244,L$213:L$217)</f>
        <v>44329</v>
      </c>
      <c r="M244" s="265">
        <f t="shared" si="150"/>
        <v>190680.21</v>
      </c>
      <c r="N244" s="265">
        <f t="shared" si="150"/>
        <v>275000</v>
      </c>
      <c r="O244" s="265">
        <f t="shared" si="150"/>
        <v>154538.87</v>
      </c>
      <c r="P244" s="386">
        <f>IF(O244/9*12&lt;N244,N244,O244/9*12)</f>
        <v>275000</v>
      </c>
      <c r="Q244" s="266">
        <f t="shared" ref="Q244:R244" si="151">SUMIF($B$142:$B$174,$B244,Q$142:Q$179)+SUMIF($B$175:$B$209,$B244,Q$175:Q$209)+SUMIF($B$213:$B$217,$B244,Q$213:Q$217)</f>
        <v>250000</v>
      </c>
      <c r="R244" s="265">
        <f t="shared" si="151"/>
        <v>250000</v>
      </c>
      <c r="S244" s="7">
        <f t="shared" si="103"/>
        <v>0</v>
      </c>
    </row>
    <row r="245" spans="1:19" ht="15.75" hidden="1" customHeight="1" x14ac:dyDescent="0.25">
      <c r="A245" s="6" t="s">
        <v>1235</v>
      </c>
      <c r="B245" s="6" t="s">
        <v>1346</v>
      </c>
      <c r="C245" s="383"/>
      <c r="D245" s="266">
        <f t="shared" si="97"/>
        <v>61246</v>
      </c>
      <c r="E245" s="142" t="e">
        <f>D245*#REF!</f>
        <v>#REF!</v>
      </c>
      <c r="F245" s="142" t="e">
        <f>D245*#REF!</f>
        <v>#REF!</v>
      </c>
      <c r="G245" s="142" t="e">
        <f>(D245*#REF!)*#REF!</f>
        <v>#REF!</v>
      </c>
      <c r="H245" s="33">
        <f t="shared" si="98"/>
        <v>0</v>
      </c>
      <c r="I245" s="16" t="e">
        <f t="shared" si="99"/>
        <v>#REF!</v>
      </c>
      <c r="J245" s="16"/>
      <c r="K245" s="383"/>
      <c r="L245" s="265">
        <f t="shared" ref="L245:N245" si="152">SUMIF($B$142:$B$174,$B245,L$142:L$179)+SUMIF($B$175:$B$209,$B245,L$175:L$209)+SUMIF($B$213:$B$217,$B245,L$213:L$217)</f>
        <v>89521</v>
      </c>
      <c r="M245" s="265">
        <f t="shared" si="152"/>
        <v>147663.1</v>
      </c>
      <c r="N245" s="265">
        <f t="shared" si="152"/>
        <v>158000</v>
      </c>
      <c r="O245" s="265">
        <v>155323.53</v>
      </c>
      <c r="P245" s="386">
        <f>N245</f>
        <v>158000</v>
      </c>
      <c r="Q245" s="266">
        <f t="shared" ref="Q245:R245" si="153">SUMIF($B$142:$B$174,$B245,Q$142:Q$179)+SUMIF($B$175:$B$209,$B245,Q$175:Q$209)+SUMIF($B$213:$B$217,$B245,Q$213:Q$217)</f>
        <v>170000</v>
      </c>
      <c r="R245" s="265">
        <f t="shared" si="153"/>
        <v>170000</v>
      </c>
      <c r="S245" s="7">
        <f t="shared" si="103"/>
        <v>0</v>
      </c>
    </row>
    <row r="246" spans="1:19" ht="15.75" hidden="1" customHeight="1" x14ac:dyDescent="0.25">
      <c r="A246" s="6" t="s">
        <v>1235</v>
      </c>
      <c r="B246" s="6" t="s">
        <v>1348</v>
      </c>
      <c r="C246" s="383"/>
      <c r="D246" s="266">
        <f t="shared" si="97"/>
        <v>33472</v>
      </c>
      <c r="E246" s="142" t="e">
        <f>D246*#REF!</f>
        <v>#REF!</v>
      </c>
      <c r="F246" s="142" t="e">
        <f>D246*#REF!</f>
        <v>#REF!</v>
      </c>
      <c r="G246" s="142" t="e">
        <f>(D246*#REF!)*#REF!</f>
        <v>#REF!</v>
      </c>
      <c r="H246" s="33">
        <f t="shared" si="98"/>
        <v>0</v>
      </c>
      <c r="I246" s="16" t="e">
        <f t="shared" si="99"/>
        <v>#REF!</v>
      </c>
      <c r="J246" s="16">
        <v>-10000</v>
      </c>
      <c r="K246" s="383"/>
      <c r="L246" s="265">
        <f t="shared" ref="L246:N246" si="154">SUMIF($B$142:$B$174,$B246,L$142:L$179)+SUMIF($B$175:$B$209,$B246,L$175:L$209)+SUMIF($B$213:$B$217,$B246,L$213:L$217)</f>
        <v>99454</v>
      </c>
      <c r="M246" s="265">
        <f t="shared" si="154"/>
        <v>60488.14</v>
      </c>
      <c r="N246" s="265">
        <f t="shared" si="154"/>
        <v>80000</v>
      </c>
      <c r="O246" s="265">
        <v>33714</v>
      </c>
      <c r="P246" s="266">
        <f>O246/7*12</f>
        <v>57795.42857142858</v>
      </c>
      <c r="Q246" s="266">
        <f t="shared" ref="Q246:R246" si="155">SUMIF($B$142:$B$174,$B246,Q$142:Q$179)+SUMIF($B$175:$B$209,$B246,Q$175:Q$209)+SUMIF($B$213:$B$217,$B246,Q$213:Q$217)</f>
        <v>85000</v>
      </c>
      <c r="R246" s="265">
        <f t="shared" si="155"/>
        <v>75000</v>
      </c>
      <c r="S246" s="7">
        <f t="shared" si="103"/>
        <v>-10000</v>
      </c>
    </row>
    <row r="247" spans="1:19" ht="15.75" hidden="1" customHeight="1" x14ac:dyDescent="0.25">
      <c r="A247" s="6" t="s">
        <v>1235</v>
      </c>
      <c r="B247" s="6" t="s">
        <v>1209</v>
      </c>
      <c r="C247" s="383"/>
      <c r="D247" s="266">
        <f t="shared" si="97"/>
        <v>10109</v>
      </c>
      <c r="E247" s="142" t="e">
        <f>D247*#REF!</f>
        <v>#REF!</v>
      </c>
      <c r="F247" s="142" t="e">
        <f>D247*#REF!</f>
        <v>#REF!</v>
      </c>
      <c r="G247" s="142" t="e">
        <f>(D247*#REF!)*#REF!</f>
        <v>#REF!</v>
      </c>
      <c r="H247" s="33">
        <f t="shared" si="98"/>
        <v>0</v>
      </c>
      <c r="I247" s="16" t="e">
        <f t="shared" si="99"/>
        <v>#REF!</v>
      </c>
      <c r="J247" s="16"/>
      <c r="K247" s="383"/>
      <c r="L247" s="265">
        <f t="shared" ref="L247:O247" si="156">SUMIF($B$142:$B$174,$B247,L$142:L$179)+SUMIF($B$175:$B$209,$B247,L$175:L$209)+SUMIF($B$213:$B$217,$B247,L$213:L$217)</f>
        <v>10482</v>
      </c>
      <c r="M247" s="265">
        <f t="shared" si="156"/>
        <v>0</v>
      </c>
      <c r="N247" s="265">
        <f t="shared" si="156"/>
        <v>0</v>
      </c>
      <c r="O247" s="265">
        <f t="shared" si="156"/>
        <v>0</v>
      </c>
      <c r="P247" s="266">
        <f>IF(O247/9*12&lt;N247,N247,O247/9*12)</f>
        <v>0</v>
      </c>
      <c r="Q247" s="266">
        <f t="shared" ref="Q247:R247" si="157">SUMIF($B$142:$B$174,$B247,Q$142:Q$179)+SUMIF($B$175:$B$209,$B247,Q$175:Q$209)+SUMIF($B$213:$B$217,$B247,Q$213:Q$217)</f>
        <v>0</v>
      </c>
      <c r="R247" s="265">
        <f t="shared" si="157"/>
        <v>0</v>
      </c>
      <c r="S247" s="7">
        <f t="shared" si="103"/>
        <v>0</v>
      </c>
    </row>
    <row r="248" spans="1:19" ht="15.75" hidden="1" customHeight="1" x14ac:dyDescent="0.25">
      <c r="A248" s="6" t="s">
        <v>1235</v>
      </c>
      <c r="B248" s="6" t="s">
        <v>1350</v>
      </c>
      <c r="C248" s="383"/>
      <c r="D248" s="266">
        <f t="shared" si="97"/>
        <v>43030</v>
      </c>
      <c r="E248" s="142" t="e">
        <f>D248*#REF!</f>
        <v>#REF!</v>
      </c>
      <c r="F248" s="142" t="e">
        <f>D248*#REF!</f>
        <v>#REF!</v>
      </c>
      <c r="G248" s="142" t="e">
        <f>(D248*#REF!)*#REF!</f>
        <v>#REF!</v>
      </c>
      <c r="H248" s="33">
        <f t="shared" si="98"/>
        <v>0</v>
      </c>
      <c r="I248" s="16" t="e">
        <f t="shared" si="99"/>
        <v>#REF!</v>
      </c>
      <c r="J248" s="16">
        <v>-5000</v>
      </c>
      <c r="K248" s="383"/>
      <c r="L248" s="265">
        <f t="shared" ref="L248:O248" si="158">SUMIF($B$142:$B$174,$B248,L$142:L$179)+SUMIF($B$175:$B$209,$B248,L$175:L$209)+SUMIF($B$213:$B$217,$B248,L$213:L$217)</f>
        <v>36536</v>
      </c>
      <c r="M248" s="265">
        <f t="shared" si="158"/>
        <v>13442.79</v>
      </c>
      <c r="N248" s="265">
        <f t="shared" si="158"/>
        <v>58000</v>
      </c>
      <c r="O248" s="265">
        <f t="shared" si="158"/>
        <v>27006.34</v>
      </c>
      <c r="P248" s="266">
        <f t="shared" ref="P248:P249" si="159">O248/9*12</f>
        <v>36008.453333333338</v>
      </c>
      <c r="Q248" s="266">
        <f t="shared" ref="Q248:R248" si="160">SUMIF($B$142:$B$174,$B248,Q$142:Q$179)+SUMIF($B$175:$B$209,$B248,Q$175:Q$209)+SUMIF($B$213:$B$217,$B248,Q$213:Q$217)</f>
        <v>65000</v>
      </c>
      <c r="R248" s="265">
        <f t="shared" si="160"/>
        <v>60000</v>
      </c>
      <c r="S248" s="7">
        <f t="shared" si="103"/>
        <v>-5000</v>
      </c>
    </row>
    <row r="249" spans="1:19" ht="15.75" hidden="1" customHeight="1" x14ac:dyDescent="0.25">
      <c r="A249" s="6" t="s">
        <v>1235</v>
      </c>
      <c r="B249" s="6" t="s">
        <v>468</v>
      </c>
      <c r="C249" s="383"/>
      <c r="D249" s="266">
        <f t="shared" si="97"/>
        <v>0</v>
      </c>
      <c r="E249" s="142" t="e">
        <f>D249*#REF!</f>
        <v>#REF!</v>
      </c>
      <c r="F249" s="142" t="e">
        <f>D249*#REF!</f>
        <v>#REF!</v>
      </c>
      <c r="G249" s="142" t="e">
        <f>(D249*#REF!)*#REF!</f>
        <v>#REF!</v>
      </c>
      <c r="H249" s="33">
        <f t="shared" si="98"/>
        <v>0</v>
      </c>
      <c r="I249" s="16" t="e">
        <f t="shared" si="99"/>
        <v>#REF!</v>
      </c>
      <c r="J249" s="16">
        <v>-2000</v>
      </c>
      <c r="K249" s="383"/>
      <c r="L249" s="265">
        <f t="shared" ref="L249:O249" si="161">SUMIF($B$142:$B$174,$B249,L$142:L$179)+SUMIF($B$175:$B$209,$B249,L$175:L$209)+SUMIF($B$213:$B$217,$B249,L$213:L$217)</f>
        <v>0</v>
      </c>
      <c r="M249" s="265">
        <f t="shared" si="161"/>
        <v>0</v>
      </c>
      <c r="N249" s="265">
        <f t="shared" si="161"/>
        <v>20000</v>
      </c>
      <c r="O249" s="265">
        <f t="shared" si="161"/>
        <v>8250.58</v>
      </c>
      <c r="P249" s="266">
        <f t="shared" si="159"/>
        <v>11000.773333333333</v>
      </c>
      <c r="Q249" s="266">
        <f t="shared" ref="Q249:R249" si="162">SUMIF($B$142:$B$174,$B249,Q$142:Q$179)+SUMIF($B$175:$B$209,$B249,Q$175:Q$209)+SUMIF($B$213:$B$217,$B249,Q$213:Q$217)</f>
        <v>22000</v>
      </c>
      <c r="R249" s="265">
        <f t="shared" si="162"/>
        <v>20000</v>
      </c>
      <c r="S249" s="7">
        <f t="shared" si="103"/>
        <v>-2000</v>
      </c>
    </row>
    <row r="250" spans="1:19" ht="15.75" hidden="1" customHeight="1" x14ac:dyDescent="0.25">
      <c r="A250" s="6" t="s">
        <v>1235</v>
      </c>
      <c r="B250" s="6" t="s">
        <v>92</v>
      </c>
      <c r="C250" s="383"/>
      <c r="D250" s="266">
        <f t="shared" si="97"/>
        <v>50788</v>
      </c>
      <c r="E250" s="142" t="e">
        <f>D250*#REF!</f>
        <v>#REF!</v>
      </c>
      <c r="F250" s="142" t="e">
        <f>D250*#REF!</f>
        <v>#REF!</v>
      </c>
      <c r="G250" s="142" t="e">
        <f>(D250*#REF!)*#REF!</f>
        <v>#REF!</v>
      </c>
      <c r="H250" s="33">
        <f t="shared" si="98"/>
        <v>0</v>
      </c>
      <c r="I250" s="16" t="e">
        <f t="shared" si="99"/>
        <v>#REF!</v>
      </c>
      <c r="J250" s="18"/>
      <c r="K250" s="383"/>
      <c r="L250" s="265">
        <f t="shared" ref="L250:O250" si="163">SUMIF($B$142:$B$174,$B250,L$142:L$179)+SUMIF($B$175:$B$209,$B250,L$175:L$209)+SUMIF($B$213:$B$217,$B250,L$213:L$217)</f>
        <v>62238</v>
      </c>
      <c r="M250" s="265">
        <f t="shared" si="163"/>
        <v>91471.91</v>
      </c>
      <c r="N250" s="265">
        <f t="shared" si="163"/>
        <v>81000</v>
      </c>
      <c r="O250" s="265">
        <f t="shared" si="163"/>
        <v>102814.84</v>
      </c>
      <c r="P250" s="386">
        <f>O250</f>
        <v>102814.84</v>
      </c>
      <c r="Q250" s="266">
        <f t="shared" ref="Q250:R250" si="164">SUMIF($B$142:$B$174,$B250,Q$142:Q$179)+SUMIF($B$175:$B$209,$B250,Q$175:Q$209)+SUMIF($B$213:$B$217,$B250,Q$213:Q$217)</f>
        <v>100000</v>
      </c>
      <c r="R250" s="265">
        <f t="shared" si="164"/>
        <v>100000</v>
      </c>
      <c r="S250" s="7">
        <f t="shared" si="103"/>
        <v>0</v>
      </c>
    </row>
    <row r="251" spans="1:19" ht="15.75" hidden="1" customHeight="1" x14ac:dyDescent="0.25">
      <c r="A251" s="6" t="s">
        <v>1235</v>
      </c>
      <c r="B251" s="6" t="s">
        <v>94</v>
      </c>
      <c r="C251" s="383"/>
      <c r="D251" s="266">
        <f t="shared" si="97"/>
        <v>0</v>
      </c>
      <c r="E251" s="142" t="e">
        <f>D251*#REF!</f>
        <v>#REF!</v>
      </c>
      <c r="F251" s="142" t="e">
        <f>D251*#REF!</f>
        <v>#REF!</v>
      </c>
      <c r="G251" s="142" t="e">
        <f>(D251*#REF!)*#REF!</f>
        <v>#REF!</v>
      </c>
      <c r="H251" s="33">
        <f t="shared" si="98"/>
        <v>0</v>
      </c>
      <c r="I251" s="16" t="e">
        <f t="shared" si="99"/>
        <v>#REF!</v>
      </c>
      <c r="J251" s="16">
        <v>-5000</v>
      </c>
      <c r="K251" s="383"/>
      <c r="L251" s="265">
        <f t="shared" ref="L251:O251" si="165">SUMIF($B$142:$B$174,$B251,L$142:L$179)+SUMIF($B$175:$B$209,$B251,L$175:L$209)+SUMIF($B$213:$B$217,$B251,L$213:L$217)</f>
        <v>1074</v>
      </c>
      <c r="M251" s="265">
        <f t="shared" si="165"/>
        <v>0</v>
      </c>
      <c r="N251" s="265">
        <f t="shared" si="165"/>
        <v>10000</v>
      </c>
      <c r="O251" s="265">
        <f t="shared" si="165"/>
        <v>0</v>
      </c>
      <c r="P251" s="266">
        <f>O251/9*12</f>
        <v>0</v>
      </c>
      <c r="Q251" s="266">
        <f t="shared" ref="Q251:R251" si="166">SUMIF($B$142:$B$174,$B251,Q$142:Q$179)+SUMIF($B$175:$B$209,$B251,Q$175:Q$209)+SUMIF($B$213:$B$217,$B251,Q$213:Q$217)</f>
        <v>10000</v>
      </c>
      <c r="R251" s="265">
        <f t="shared" si="166"/>
        <v>5000</v>
      </c>
      <c r="S251" s="7">
        <f t="shared" si="103"/>
        <v>-5000</v>
      </c>
    </row>
    <row r="252" spans="1:19" ht="15.75" hidden="1" customHeight="1" x14ac:dyDescent="0.25">
      <c r="A252" s="47" t="s">
        <v>1360</v>
      </c>
      <c r="B252" s="48"/>
      <c r="C252" s="282"/>
      <c r="D252" s="50">
        <f t="shared" ref="D252:G252" si="167">SUM(D222:D251)</f>
        <v>3687789</v>
      </c>
      <c r="E252" s="50" t="e">
        <f t="shared" si="167"/>
        <v>#REF!</v>
      </c>
      <c r="F252" s="50" t="e">
        <f t="shared" si="167"/>
        <v>#REF!</v>
      </c>
      <c r="G252" s="50" t="e">
        <f t="shared" si="167"/>
        <v>#REF!</v>
      </c>
      <c r="H252" s="42">
        <f t="shared" si="98"/>
        <v>0</v>
      </c>
      <c r="I252" s="50" t="e">
        <f t="shared" si="99"/>
        <v>#REF!</v>
      </c>
      <c r="J252" s="50">
        <f>SUM(J222:J251)</f>
        <v>-208500</v>
      </c>
      <c r="K252" s="282"/>
      <c r="L252" s="12">
        <f t="shared" ref="L252:S252" si="168">SUM(L222:L251)</f>
        <v>4592179</v>
      </c>
      <c r="M252" s="12">
        <f t="shared" si="168"/>
        <v>4742091.2699999996</v>
      </c>
      <c r="N252" s="12">
        <f t="shared" si="168"/>
        <v>5867065</v>
      </c>
      <c r="O252" s="12">
        <f t="shared" si="168"/>
        <v>4498333.4400000004</v>
      </c>
      <c r="P252" s="50">
        <f t="shared" si="168"/>
        <v>5506737.7862380948</v>
      </c>
      <c r="Q252" s="50">
        <f t="shared" si="168"/>
        <v>6322000</v>
      </c>
      <c r="R252" s="12">
        <f t="shared" si="168"/>
        <v>6113500</v>
      </c>
      <c r="S252" s="12">
        <f t="shared" si="168"/>
        <v>-208500</v>
      </c>
    </row>
    <row r="253" spans="1:19" ht="15.75" hidden="1" customHeight="1" x14ac:dyDescent="0.25">
      <c r="A253" s="6"/>
      <c r="B253" s="6"/>
      <c r="C253" s="383"/>
      <c r="D253" s="265"/>
      <c r="E253" s="265"/>
      <c r="F253" s="265"/>
      <c r="G253" s="265"/>
      <c r="H253" s="211"/>
      <c r="I253" s="5"/>
      <c r="J253" s="5"/>
      <c r="K253" s="383"/>
      <c r="L253" s="265"/>
      <c r="M253" s="265"/>
      <c r="N253" s="265"/>
      <c r="O253" s="265"/>
      <c r="P253" s="265"/>
      <c r="Q253" s="265"/>
      <c r="R253" s="5"/>
      <c r="S253" s="5"/>
    </row>
    <row r="254" spans="1:19" ht="15.75" hidden="1" customHeight="1" x14ac:dyDescent="0.25">
      <c r="A254" s="6" t="s">
        <v>1235</v>
      </c>
      <c r="B254" s="6" t="s">
        <v>1394</v>
      </c>
      <c r="C254" s="383"/>
      <c r="D254" s="266">
        <f t="shared" ref="D254:D261" si="169">SUMIF($B$142:$B$174,$B254,D$142:D$179)+SUMIF($B$175:$B$209,$B254,D$175:D$209)+SUMIF($B$213:$B$217,$B254,D$213:D$217)</f>
        <v>521571</v>
      </c>
      <c r="E254" s="142" t="e">
        <f>D254*#REF!</f>
        <v>#REF!</v>
      </c>
      <c r="F254" s="142" t="e">
        <f>D254*#REF!</f>
        <v>#REF!</v>
      </c>
      <c r="G254" s="142" t="e">
        <f>(D254*#REF!)*#REF!</f>
        <v>#REF!</v>
      </c>
      <c r="H254" s="33">
        <f t="shared" ref="H254:H262" si="170">IFERROR(((Q254-G254)/G254),0)</f>
        <v>0</v>
      </c>
      <c r="I254" s="16" t="e">
        <f t="shared" ref="I254:I262" si="171">Q254-G254</f>
        <v>#REF!</v>
      </c>
      <c r="J254" s="16">
        <v>-25000</v>
      </c>
      <c r="K254" s="383"/>
      <c r="L254" s="265">
        <f t="shared" ref="L254:O254" si="172">SUMIF($B$142:$B$174,$B254,L$142:L$179)+SUMIF($B$175:$B$209,$B254,L$175:L$209)+SUMIF($B$213:$B$217,$B254,L$213:L$217)</f>
        <v>0</v>
      </c>
      <c r="M254" s="265">
        <f t="shared" si="172"/>
        <v>0</v>
      </c>
      <c r="N254" s="265">
        <f t="shared" si="172"/>
        <v>50000</v>
      </c>
      <c r="O254" s="265">
        <f t="shared" si="172"/>
        <v>0</v>
      </c>
      <c r="P254" s="386">
        <f t="shared" ref="P254:P261" si="173">IF(O254/9*12&lt;N254,N254,O254/9*12)</f>
        <v>50000</v>
      </c>
      <c r="Q254" s="266">
        <f t="shared" ref="Q254:R254" si="174">SUMIF($B$142:$B$174,$B254,Q$142:Q$179)+SUMIF($B$175:$B$209,$B254,Q$175:Q$209)+SUMIF($B$213:$B$217,$B254,Q$213:Q$217)</f>
        <v>50000</v>
      </c>
      <c r="R254" s="265">
        <f t="shared" si="174"/>
        <v>25000</v>
      </c>
      <c r="S254" s="7">
        <f t="shared" ref="S254:S261" si="175">R254-Q254</f>
        <v>-25000</v>
      </c>
    </row>
    <row r="255" spans="1:19" ht="15.75" hidden="1" customHeight="1" x14ac:dyDescent="0.25">
      <c r="A255" s="6" t="s">
        <v>1235</v>
      </c>
      <c r="B255" s="6" t="s">
        <v>1355</v>
      </c>
      <c r="C255" s="383"/>
      <c r="D255" s="266">
        <f t="shared" si="169"/>
        <v>0</v>
      </c>
      <c r="E255" s="142" t="e">
        <f>D255*#REF!</f>
        <v>#REF!</v>
      </c>
      <c r="F255" s="142" t="e">
        <f>D255*#REF!</f>
        <v>#REF!</v>
      </c>
      <c r="G255" s="142" t="e">
        <f>(D255*#REF!)*#REF!</f>
        <v>#REF!</v>
      </c>
      <c r="H255" s="33">
        <f t="shared" si="170"/>
        <v>0</v>
      </c>
      <c r="I255" s="16" t="e">
        <f t="shared" si="171"/>
        <v>#REF!</v>
      </c>
      <c r="J255" s="16"/>
      <c r="K255" s="383"/>
      <c r="L255" s="265">
        <f t="shared" ref="L255:O255" si="176">SUMIF($B$142:$B$174,$B255,L$142:L$179)+SUMIF($B$175:$B$209,$B255,L$175:L$209)+SUMIF($B$213:$B$217,$B255,L$213:L$217)</f>
        <v>0</v>
      </c>
      <c r="M255" s="265">
        <f t="shared" si="176"/>
        <v>5000</v>
      </c>
      <c r="N255" s="265">
        <f t="shared" si="176"/>
        <v>0</v>
      </c>
      <c r="O255" s="265">
        <f t="shared" si="176"/>
        <v>0</v>
      </c>
      <c r="P255" s="266">
        <f t="shared" si="173"/>
        <v>0</v>
      </c>
      <c r="Q255" s="266">
        <f t="shared" ref="Q255:R255" si="177">SUMIF($B$142:$B$174,$B255,Q$142:Q$179)+SUMIF($B$175:$B$209,$B255,Q$175:Q$209)+SUMIF($B$213:$B$217,$B255,Q$213:Q$217)</f>
        <v>0</v>
      </c>
      <c r="R255" s="265">
        <f t="shared" si="177"/>
        <v>0</v>
      </c>
      <c r="S255" s="7">
        <f t="shared" si="175"/>
        <v>0</v>
      </c>
    </row>
    <row r="256" spans="1:19" ht="15.75" hidden="1" customHeight="1" x14ac:dyDescent="0.25">
      <c r="A256" s="6" t="s">
        <v>1235</v>
      </c>
      <c r="B256" s="6" t="s">
        <v>532</v>
      </c>
      <c r="C256" s="383"/>
      <c r="D256" s="266">
        <f t="shared" si="169"/>
        <v>0</v>
      </c>
      <c r="E256" s="142" t="e">
        <f>D256*#REF!</f>
        <v>#REF!</v>
      </c>
      <c r="F256" s="142" t="e">
        <f>D256*#REF!</f>
        <v>#REF!</v>
      </c>
      <c r="G256" s="142" t="e">
        <f>(D256*#REF!)*#REF!</f>
        <v>#REF!</v>
      </c>
      <c r="H256" s="33">
        <f t="shared" si="170"/>
        <v>0</v>
      </c>
      <c r="I256" s="16" t="e">
        <f t="shared" si="171"/>
        <v>#REF!</v>
      </c>
      <c r="J256" s="16"/>
      <c r="K256" s="383"/>
      <c r="L256" s="265">
        <f t="shared" ref="L256:O256" si="178">SUMIF($B$142:$B$174,$B256,L$142:L$179)+SUMIF($B$175:$B$209,$B256,L$175:L$209)+SUMIF($B$213:$B$217,$B256,L$213:L$217)</f>
        <v>26082</v>
      </c>
      <c r="M256" s="265">
        <f t="shared" si="178"/>
        <v>478017.22</v>
      </c>
      <c r="N256" s="265">
        <f t="shared" si="178"/>
        <v>0</v>
      </c>
      <c r="O256" s="265">
        <f t="shared" si="178"/>
        <v>0</v>
      </c>
      <c r="P256" s="266">
        <f t="shared" si="173"/>
        <v>0</v>
      </c>
      <c r="Q256" s="266">
        <f t="shared" ref="Q256:R256" si="179">SUMIF($B$142:$B$174,$B256,Q$142:Q$179)+SUMIF($B$175:$B$209,$B256,Q$175:Q$209)+SUMIF($B$213:$B$217,$B256,Q$213:Q$217)</f>
        <v>0</v>
      </c>
      <c r="R256" s="265">
        <f t="shared" si="179"/>
        <v>0</v>
      </c>
      <c r="S256" s="7">
        <f t="shared" si="175"/>
        <v>0</v>
      </c>
    </row>
    <row r="257" spans="1:28" ht="15.75" hidden="1" customHeight="1" x14ac:dyDescent="0.25">
      <c r="A257" s="6" t="s">
        <v>1235</v>
      </c>
      <c r="B257" s="6" t="s">
        <v>99</v>
      </c>
      <c r="C257" s="383"/>
      <c r="D257" s="266">
        <f t="shared" si="169"/>
        <v>1543449</v>
      </c>
      <c r="E257" s="142" t="e">
        <f>D257*#REF!</f>
        <v>#REF!</v>
      </c>
      <c r="F257" s="142" t="e">
        <f>D257*#REF!</f>
        <v>#REF!</v>
      </c>
      <c r="G257" s="142" t="e">
        <f>(D257*#REF!)*#REF!</f>
        <v>#REF!</v>
      </c>
      <c r="H257" s="33">
        <f t="shared" si="170"/>
        <v>0</v>
      </c>
      <c r="I257" s="16" t="e">
        <f t="shared" si="171"/>
        <v>#REF!</v>
      </c>
      <c r="J257" s="16">
        <v>-240000</v>
      </c>
      <c r="K257" s="383"/>
      <c r="L257" s="265">
        <f t="shared" ref="L257:O257" si="180">SUMIF($B$142:$B$174,$B257,L$142:L$179)+SUMIF($B$175:$B$209,$B257,L$175:L$209)+SUMIF($B$213:$B$217,$B257,L$213:L$217)</f>
        <v>1272657</v>
      </c>
      <c r="M257" s="265">
        <f t="shared" si="180"/>
        <v>917049.74</v>
      </c>
      <c r="N257" s="265">
        <f t="shared" si="180"/>
        <v>968655</v>
      </c>
      <c r="O257" s="265">
        <f t="shared" si="180"/>
        <v>560029.54</v>
      </c>
      <c r="P257" s="386">
        <f t="shared" si="173"/>
        <v>968655</v>
      </c>
      <c r="Q257" s="266">
        <f t="shared" ref="Q257:R257" si="181">SUMIF($B$142:$B$174,$B257,Q$142:Q$179)+SUMIF($B$175:$B$209,$B257,Q$175:Q$209)+SUMIF($B$213:$B$217,$B257,Q$213:Q$217)</f>
        <v>1273000</v>
      </c>
      <c r="R257" s="265">
        <f t="shared" si="181"/>
        <v>1033000</v>
      </c>
      <c r="S257" s="7">
        <f t="shared" si="175"/>
        <v>-240000</v>
      </c>
    </row>
    <row r="258" spans="1:28" ht="15.75" hidden="1" customHeight="1" x14ac:dyDescent="0.25">
      <c r="A258" s="6" t="s">
        <v>1235</v>
      </c>
      <c r="B258" s="6" t="s">
        <v>1359</v>
      </c>
      <c r="C258" s="383"/>
      <c r="D258" s="266">
        <f t="shared" si="169"/>
        <v>0</v>
      </c>
      <c r="E258" s="142" t="e">
        <f>D258*#REF!</f>
        <v>#REF!</v>
      </c>
      <c r="F258" s="142" t="e">
        <f>D258*#REF!</f>
        <v>#REF!</v>
      </c>
      <c r="G258" s="142" t="e">
        <f>(D258*#REF!)*#REF!</f>
        <v>#REF!</v>
      </c>
      <c r="H258" s="33">
        <f t="shared" si="170"/>
        <v>0</v>
      </c>
      <c r="I258" s="16" t="e">
        <f t="shared" si="171"/>
        <v>#REF!</v>
      </c>
      <c r="J258" s="16"/>
      <c r="K258" s="383"/>
      <c r="L258" s="265">
        <f t="shared" ref="L258:O258" si="182">SUMIF($B$142:$B$174,$B258,L$142:L$179)+SUMIF($B$175:$B$209,$B258,L$175:L$209)+SUMIF($B$213:$B$217,$B258,L$213:L$217)</f>
        <v>188045</v>
      </c>
      <c r="M258" s="265">
        <f t="shared" si="182"/>
        <v>815.91</v>
      </c>
      <c r="N258" s="265">
        <f t="shared" si="182"/>
        <v>0</v>
      </c>
      <c r="O258" s="265">
        <f t="shared" si="182"/>
        <v>0</v>
      </c>
      <c r="P258" s="266">
        <f t="shared" si="173"/>
        <v>0</v>
      </c>
      <c r="Q258" s="266">
        <f t="shared" ref="Q258:R258" si="183">SUMIF($B$142:$B$174,$B258,Q$142:Q$179)+SUMIF($B$175:$B$209,$B258,Q$175:Q$209)+SUMIF($B$213:$B$217,$B258,Q$213:Q$217)</f>
        <v>0</v>
      </c>
      <c r="R258" s="265">
        <f t="shared" si="183"/>
        <v>0</v>
      </c>
      <c r="S258" s="7">
        <f t="shared" si="175"/>
        <v>0</v>
      </c>
    </row>
    <row r="259" spans="1:28" ht="15.75" hidden="1" customHeight="1" x14ac:dyDescent="0.25">
      <c r="A259" s="6" t="s">
        <v>1235</v>
      </c>
      <c r="B259" s="6" t="s">
        <v>1392</v>
      </c>
      <c r="C259" s="383"/>
      <c r="D259" s="266">
        <f t="shared" si="169"/>
        <v>109284</v>
      </c>
      <c r="E259" s="142" t="e">
        <f>D259*#REF!</f>
        <v>#REF!</v>
      </c>
      <c r="F259" s="142" t="e">
        <f>D259*#REF!</f>
        <v>#REF!</v>
      </c>
      <c r="G259" s="142" t="e">
        <f>(D259*#REF!)*#REF!</f>
        <v>#REF!</v>
      </c>
      <c r="H259" s="33">
        <f t="shared" si="170"/>
        <v>0</v>
      </c>
      <c r="I259" s="16" t="e">
        <f t="shared" si="171"/>
        <v>#REF!</v>
      </c>
      <c r="J259" s="16"/>
      <c r="K259" s="383"/>
      <c r="L259" s="265">
        <f t="shared" ref="L259:O259" si="184">SUMIF($B$142:$B$174,$B259,L$142:L$179)+SUMIF($B$175:$B$209,$B259,L$175:L$209)+SUMIF($B$213:$B$217,$B259,L$213:L$217)</f>
        <v>0</v>
      </c>
      <c r="M259" s="265">
        <f t="shared" si="184"/>
        <v>0</v>
      </c>
      <c r="N259" s="265">
        <f t="shared" si="184"/>
        <v>0</v>
      </c>
      <c r="O259" s="265">
        <f t="shared" si="184"/>
        <v>0</v>
      </c>
      <c r="P259" s="266">
        <f t="shared" si="173"/>
        <v>0</v>
      </c>
      <c r="Q259" s="266">
        <f t="shared" ref="Q259:R259" si="185">SUMIF($B$142:$B$174,$B259,Q$142:Q$179)+SUMIF($B$175:$B$209,$B259,Q$175:Q$209)+SUMIF($B$213:$B$217,$B259,Q$213:Q$217)</f>
        <v>0</v>
      </c>
      <c r="R259" s="265">
        <f t="shared" si="185"/>
        <v>0</v>
      </c>
      <c r="S259" s="7">
        <f t="shared" si="175"/>
        <v>0</v>
      </c>
    </row>
    <row r="260" spans="1:28" ht="15.75" hidden="1" customHeight="1" x14ac:dyDescent="0.25">
      <c r="A260" s="6" t="s">
        <v>1235</v>
      </c>
      <c r="B260" s="45" t="str">
        <f>B217</f>
        <v>INFRASTRUCTURE</v>
      </c>
      <c r="C260" s="383"/>
      <c r="D260" s="266">
        <f t="shared" si="169"/>
        <v>0</v>
      </c>
      <c r="E260" s="142" t="e">
        <f>D260*#REF!</f>
        <v>#REF!</v>
      </c>
      <c r="F260" s="142" t="e">
        <f>D260*#REF!</f>
        <v>#REF!</v>
      </c>
      <c r="G260" s="142" t="e">
        <f>(D260*#REF!)*#REF!</f>
        <v>#REF!</v>
      </c>
      <c r="H260" s="33">
        <f t="shared" si="170"/>
        <v>0</v>
      </c>
      <c r="I260" s="16" t="e">
        <f t="shared" si="171"/>
        <v>#REF!</v>
      </c>
      <c r="J260" s="16"/>
      <c r="K260" s="383"/>
      <c r="L260" s="265">
        <f t="shared" ref="L260:O260" si="186">SUMIF($B$142:$B$174,$B260,L$142:L$179)+SUMIF($B$175:$B$209,$B260,L$175:L$209)+SUMIF($B$213:$B$217,$B260,L$213:L$217)</f>
        <v>0</v>
      </c>
      <c r="M260" s="265">
        <f t="shared" si="186"/>
        <v>0</v>
      </c>
      <c r="N260" s="265">
        <f t="shared" si="186"/>
        <v>697500</v>
      </c>
      <c r="O260" s="265">
        <f t="shared" si="186"/>
        <v>39.75</v>
      </c>
      <c r="P260" s="386">
        <f t="shared" si="173"/>
        <v>697500</v>
      </c>
      <c r="Q260" s="266">
        <f t="shared" ref="Q260:R260" si="187">SUMIF($B$142:$B$174,$B260,Q$142:Q$179)+SUMIF($B$175:$B$209,$B260,Q$175:Q$209)+SUMIF($B$213:$B$217,$B260,Q$213:Q$217)</f>
        <v>500000</v>
      </c>
      <c r="R260" s="265">
        <f t="shared" si="187"/>
        <v>500000</v>
      </c>
      <c r="S260" s="7">
        <f t="shared" si="175"/>
        <v>0</v>
      </c>
    </row>
    <row r="261" spans="1:28" ht="15.75" hidden="1" customHeight="1" x14ac:dyDescent="0.25">
      <c r="A261" s="6" t="s">
        <v>1235</v>
      </c>
      <c r="B261" s="45" t="str">
        <f>B214</f>
        <v>BUILDINGS</v>
      </c>
      <c r="C261" s="383"/>
      <c r="D261" s="266">
        <f t="shared" si="169"/>
        <v>1680252</v>
      </c>
      <c r="E261" s="142" t="e">
        <f>D261*#REF!</f>
        <v>#REF!</v>
      </c>
      <c r="F261" s="142" t="e">
        <f>D261*#REF!</f>
        <v>#REF!</v>
      </c>
      <c r="G261" s="142" t="e">
        <f>(D261*#REF!)*#REF!</f>
        <v>#REF!</v>
      </c>
      <c r="H261" s="33">
        <f t="shared" si="170"/>
        <v>0</v>
      </c>
      <c r="I261" s="16" t="e">
        <f t="shared" si="171"/>
        <v>#REF!</v>
      </c>
      <c r="J261" s="109"/>
      <c r="K261" s="383"/>
      <c r="L261" s="265">
        <f t="shared" ref="L261:O261" si="188">SUMIF($B$142:$B$174,$B261,L$142:L$179)+SUMIF($B$175:$B$209,$B261,L$175:L$209)+SUMIF($B$213:$B$217,$B261,L$213:L$217)</f>
        <v>0</v>
      </c>
      <c r="M261" s="265">
        <f t="shared" si="188"/>
        <v>0</v>
      </c>
      <c r="N261" s="265">
        <f t="shared" si="188"/>
        <v>0</v>
      </c>
      <c r="O261" s="265">
        <f t="shared" si="188"/>
        <v>0</v>
      </c>
      <c r="P261" s="266">
        <f t="shared" si="173"/>
        <v>0</v>
      </c>
      <c r="Q261" s="266">
        <f t="shared" ref="Q261:R261" si="189">SUMIF($B$142:$B$174,$B261,Q$142:Q$179)+SUMIF($B$175:$B$209,$B261,Q$175:Q$209)+SUMIF($B$213:$B$217,$B261,Q$213:Q$217)</f>
        <v>0</v>
      </c>
      <c r="R261" s="265">
        <f t="shared" si="189"/>
        <v>0</v>
      </c>
      <c r="S261" s="7">
        <f t="shared" si="175"/>
        <v>0</v>
      </c>
    </row>
    <row r="262" spans="1:28" ht="15.75" hidden="1" customHeight="1" x14ac:dyDescent="0.25">
      <c r="A262" s="47" t="s">
        <v>1401</v>
      </c>
      <c r="B262" s="48"/>
      <c r="C262" s="282"/>
      <c r="D262" s="50">
        <f t="shared" ref="D262:G262" si="190">SUM(D254:D261)</f>
        <v>3854556</v>
      </c>
      <c r="E262" s="50" t="e">
        <f t="shared" si="190"/>
        <v>#REF!</v>
      </c>
      <c r="F262" s="50" t="e">
        <f t="shared" si="190"/>
        <v>#REF!</v>
      </c>
      <c r="G262" s="50" t="e">
        <f t="shared" si="190"/>
        <v>#REF!</v>
      </c>
      <c r="H262" s="42">
        <f t="shared" si="170"/>
        <v>0</v>
      </c>
      <c r="I262" s="50" t="e">
        <f t="shared" si="171"/>
        <v>#REF!</v>
      </c>
      <c r="J262" s="50">
        <f>SUM(J254:J261)</f>
        <v>-265000</v>
      </c>
      <c r="K262" s="282"/>
      <c r="L262" s="12">
        <f t="shared" ref="L262:S262" si="191">SUM(L254:L261)</f>
        <v>1486784</v>
      </c>
      <c r="M262" s="12">
        <f t="shared" si="191"/>
        <v>1400882.8699999999</v>
      </c>
      <c r="N262" s="12">
        <f t="shared" si="191"/>
        <v>1716155</v>
      </c>
      <c r="O262" s="12">
        <f t="shared" si="191"/>
        <v>560069.29</v>
      </c>
      <c r="P262" s="50">
        <f t="shared" si="191"/>
        <v>1716155</v>
      </c>
      <c r="Q262" s="50">
        <f t="shared" si="191"/>
        <v>1823000</v>
      </c>
      <c r="R262" s="12">
        <f t="shared" si="191"/>
        <v>1558000</v>
      </c>
      <c r="S262" s="12">
        <f t="shared" si="191"/>
        <v>-265000</v>
      </c>
    </row>
    <row r="263" spans="1:28" ht="15.75" hidden="1" customHeight="1" x14ac:dyDescent="0.2">
      <c r="A263" s="396"/>
      <c r="B263" s="396"/>
      <c r="C263" s="397"/>
      <c r="D263" s="396"/>
      <c r="E263" s="396"/>
      <c r="F263" s="396"/>
      <c r="G263" s="396"/>
      <c r="H263" s="396"/>
      <c r="I263" s="396"/>
      <c r="J263" s="396"/>
      <c r="K263" s="397"/>
      <c r="L263" s="396"/>
      <c r="M263" s="396"/>
      <c r="N263" s="396"/>
      <c r="O263" s="396"/>
      <c r="P263" s="396"/>
      <c r="Q263" s="396"/>
      <c r="R263" s="396"/>
      <c r="S263" s="5"/>
      <c r="V263" s="92"/>
      <c r="W263" s="92"/>
      <c r="X263" s="92"/>
      <c r="Y263" s="92"/>
      <c r="Z263" s="92"/>
      <c r="AA263" s="92"/>
      <c r="AB263" s="92"/>
    </row>
    <row r="264" spans="1:28" ht="15.75" hidden="1" customHeight="1" x14ac:dyDescent="0.25">
      <c r="A264" s="47" t="s">
        <v>1402</v>
      </c>
      <c r="B264" s="48"/>
      <c r="C264" s="282"/>
      <c r="D264" s="50">
        <f t="shared" ref="D264:G264" si="192">D262+D252</f>
        <v>7542345</v>
      </c>
      <c r="E264" s="50" t="e">
        <f t="shared" si="192"/>
        <v>#REF!</v>
      </c>
      <c r="F264" s="50" t="e">
        <f t="shared" si="192"/>
        <v>#REF!</v>
      </c>
      <c r="G264" s="50" t="e">
        <f t="shared" si="192"/>
        <v>#REF!</v>
      </c>
      <c r="H264" s="42">
        <f>IFERROR(((Q264-G264)/G264),0)</f>
        <v>0</v>
      </c>
      <c r="I264" s="50" t="e">
        <f t="shared" ref="I264:J264" si="193">I262+I252</f>
        <v>#REF!</v>
      </c>
      <c r="J264" s="50">
        <f t="shared" si="193"/>
        <v>-473500</v>
      </c>
      <c r="K264" s="282"/>
      <c r="L264" s="12">
        <f t="shared" ref="L264:S264" si="194">L262+L252</f>
        <v>6078963</v>
      </c>
      <c r="M264" s="12">
        <f t="shared" si="194"/>
        <v>6142974.1399999997</v>
      </c>
      <c r="N264" s="12">
        <f t="shared" si="194"/>
        <v>7583220</v>
      </c>
      <c r="O264" s="12">
        <f t="shared" si="194"/>
        <v>5058402.7300000004</v>
      </c>
      <c r="P264" s="50">
        <f t="shared" si="194"/>
        <v>7222892.7862380948</v>
      </c>
      <c r="Q264" s="50">
        <f t="shared" si="194"/>
        <v>8145000</v>
      </c>
      <c r="R264" s="12">
        <f t="shared" si="194"/>
        <v>7671500</v>
      </c>
      <c r="S264" s="12">
        <f t="shared" si="194"/>
        <v>-473500</v>
      </c>
    </row>
    <row r="265" spans="1:28" ht="15.75" hidden="1" customHeight="1" x14ac:dyDescent="0.2">
      <c r="A265" s="5"/>
      <c r="B265" s="5"/>
      <c r="C265" s="284"/>
      <c r="D265" s="5"/>
      <c r="E265" s="5"/>
      <c r="F265" s="5"/>
      <c r="G265" s="5"/>
      <c r="H265" s="5"/>
      <c r="I265" s="5"/>
      <c r="J265" s="5"/>
      <c r="K265" s="284"/>
      <c r="L265" s="5"/>
      <c r="M265" s="5"/>
      <c r="N265" s="5"/>
      <c r="O265" s="5"/>
      <c r="P265" s="5"/>
      <c r="Q265" s="5"/>
      <c r="R265" s="5"/>
      <c r="S265" s="5"/>
    </row>
    <row r="266" spans="1:28" ht="15.75" hidden="1" customHeight="1" x14ac:dyDescent="0.2">
      <c r="A266" s="11" t="s">
        <v>184</v>
      </c>
      <c r="B266" s="5"/>
      <c r="C266" s="284"/>
      <c r="D266" s="5"/>
      <c r="E266" s="5"/>
      <c r="F266" s="5"/>
      <c r="G266" s="5"/>
      <c r="H266" s="5"/>
      <c r="I266" s="5"/>
      <c r="J266" s="5"/>
      <c r="K266" s="284"/>
      <c r="L266" s="5"/>
      <c r="M266" s="5"/>
      <c r="N266" s="5"/>
      <c r="O266" s="5"/>
      <c r="P266" s="5"/>
      <c r="Q266" s="5"/>
      <c r="R266" s="5"/>
      <c r="S266" s="5"/>
    </row>
    <row r="267" spans="1:28" ht="15.75" hidden="1" customHeight="1" x14ac:dyDescent="0.25">
      <c r="A267" s="6" t="s">
        <v>1403</v>
      </c>
      <c r="B267" s="6" t="s">
        <v>1404</v>
      </c>
      <c r="C267" s="284"/>
      <c r="D267" s="18">
        <v>0</v>
      </c>
      <c r="E267" s="142" t="e">
        <f>D267*#REF!</f>
        <v>#REF!</v>
      </c>
      <c r="F267" s="142" t="e">
        <f>D267*#REF!</f>
        <v>#REF!</v>
      </c>
      <c r="G267" s="142" t="e">
        <f>(D267*#REF!)*#REF!</f>
        <v>#REF!</v>
      </c>
      <c r="H267" s="33">
        <f t="shared" ref="H267:H276" si="195">IFERROR(((Q267-G267)/G267),0)</f>
        <v>0</v>
      </c>
      <c r="I267" s="16" t="e">
        <f t="shared" ref="I267:I276" si="196">Q267-G267</f>
        <v>#REF!</v>
      </c>
      <c r="J267" s="18"/>
      <c r="K267" s="284"/>
      <c r="L267" s="7">
        <v>0</v>
      </c>
      <c r="M267" s="7">
        <v>-2683831.92</v>
      </c>
      <c r="N267" s="7">
        <v>-3021000</v>
      </c>
      <c r="O267" s="7">
        <v>-1365103.38</v>
      </c>
      <c r="P267" s="266">
        <f t="shared" ref="P267:P277" si="197">IF(O267/9*12&lt;N267,N267,O267/9*12)</f>
        <v>-1820137.8399999999</v>
      </c>
      <c r="Q267" s="16">
        <v>-2680000</v>
      </c>
      <c r="R267" s="281">
        <v>-3117700</v>
      </c>
      <c r="S267" s="7">
        <f t="shared" ref="S267:S287" si="198">R267-Q267</f>
        <v>-437700</v>
      </c>
    </row>
    <row r="268" spans="1:28" ht="15.75" hidden="1" customHeight="1" x14ac:dyDescent="0.25">
      <c r="A268" s="6" t="s">
        <v>1405</v>
      </c>
      <c r="B268" s="6" t="s">
        <v>1406</v>
      </c>
      <c r="C268" s="285"/>
      <c r="D268" s="16">
        <v>-2939040</v>
      </c>
      <c r="E268" s="142" t="e">
        <f>D268*#REF!</f>
        <v>#REF!</v>
      </c>
      <c r="F268" s="142" t="e">
        <f>D268*#REF!</f>
        <v>#REF!</v>
      </c>
      <c r="G268" s="142" t="e">
        <f>(D268*#REF!)*#REF!</f>
        <v>#REF!</v>
      </c>
      <c r="H268" s="33">
        <f t="shared" si="195"/>
        <v>0</v>
      </c>
      <c r="I268" s="16" t="e">
        <f t="shared" si="196"/>
        <v>#REF!</v>
      </c>
      <c r="J268" s="18"/>
      <c r="K268" s="285"/>
      <c r="L268" s="7">
        <v>-2642889</v>
      </c>
      <c r="M268" s="7">
        <v>0</v>
      </c>
      <c r="N268" s="6">
        <v>0</v>
      </c>
      <c r="O268" s="6">
        <v>0</v>
      </c>
      <c r="P268" s="266">
        <f t="shared" si="197"/>
        <v>0</v>
      </c>
      <c r="Q268" s="18">
        <v>0</v>
      </c>
      <c r="R268" s="281">
        <f>VLOOKUP(A268,TB!A:F,6)</f>
        <v>0</v>
      </c>
      <c r="S268" s="7">
        <f t="shared" si="198"/>
        <v>0</v>
      </c>
    </row>
    <row r="269" spans="1:28" ht="15.75" hidden="1" customHeight="1" x14ac:dyDescent="0.25">
      <c r="A269" s="6" t="s">
        <v>1407</v>
      </c>
      <c r="B269" s="6" t="s">
        <v>1408</v>
      </c>
      <c r="C269" s="285"/>
      <c r="D269" s="16">
        <v>-74124</v>
      </c>
      <c r="E269" s="142" t="e">
        <f>D269*#REF!</f>
        <v>#REF!</v>
      </c>
      <c r="F269" s="142" t="e">
        <f>D269*#REF!</f>
        <v>#REF!</v>
      </c>
      <c r="G269" s="142" t="e">
        <f>(D269*#REF!)*#REF!</f>
        <v>#REF!</v>
      </c>
      <c r="H269" s="33">
        <f t="shared" si="195"/>
        <v>0</v>
      </c>
      <c r="I269" s="16" t="e">
        <f t="shared" si="196"/>
        <v>#REF!</v>
      </c>
      <c r="J269" s="18"/>
      <c r="K269" s="285"/>
      <c r="L269" s="6">
        <v>0</v>
      </c>
      <c r="M269" s="7">
        <v>-3874153.14</v>
      </c>
      <c r="N269" s="7">
        <v>-2450000</v>
      </c>
      <c r="O269" s="7">
        <v>-2007586.07</v>
      </c>
      <c r="P269" s="266">
        <f t="shared" si="197"/>
        <v>-2450000</v>
      </c>
      <c r="Q269" s="266">
        <v>-2800000</v>
      </c>
      <c r="R269" s="281">
        <f>VLOOKUP(A269,TB!A:F,6)</f>
        <v>-2800000</v>
      </c>
      <c r="S269" s="7">
        <f t="shared" si="198"/>
        <v>0</v>
      </c>
    </row>
    <row r="270" spans="1:28" ht="15.75" hidden="1" customHeight="1" x14ac:dyDescent="0.25">
      <c r="A270" s="6" t="s">
        <v>1409</v>
      </c>
      <c r="B270" s="6" t="s">
        <v>1408</v>
      </c>
      <c r="C270" s="285"/>
      <c r="D270" s="16">
        <v>-1824628</v>
      </c>
      <c r="E270" s="142" t="e">
        <f>D270*#REF!</f>
        <v>#REF!</v>
      </c>
      <c r="F270" s="142" t="e">
        <f>D270*#REF!</f>
        <v>#REF!</v>
      </c>
      <c r="G270" s="142" t="e">
        <f>(D270*#REF!)*#REF!</f>
        <v>#REF!</v>
      </c>
      <c r="H270" s="33">
        <f t="shared" si="195"/>
        <v>0</v>
      </c>
      <c r="I270" s="16" t="e">
        <f t="shared" si="196"/>
        <v>#REF!</v>
      </c>
      <c r="J270" s="18"/>
      <c r="K270" s="285"/>
      <c r="L270" s="7">
        <v>-2227288</v>
      </c>
      <c r="M270" s="7">
        <v>0</v>
      </c>
      <c r="N270" s="6">
        <v>0</v>
      </c>
      <c r="O270" s="6">
        <v>0</v>
      </c>
      <c r="P270" s="266">
        <f t="shared" si="197"/>
        <v>0</v>
      </c>
      <c r="Q270" s="18">
        <v>0</v>
      </c>
      <c r="R270" s="281">
        <f>VLOOKUP(A270,TB!A:F,6)</f>
        <v>0</v>
      </c>
      <c r="S270" s="7">
        <f t="shared" si="198"/>
        <v>0</v>
      </c>
    </row>
    <row r="271" spans="1:28" ht="15.75" hidden="1" customHeight="1" x14ac:dyDescent="0.25">
      <c r="A271" s="6" t="s">
        <v>1410</v>
      </c>
      <c r="B271" s="6" t="s">
        <v>1411</v>
      </c>
      <c r="C271" s="284"/>
      <c r="D271" s="18">
        <v>0</v>
      </c>
      <c r="E271" s="142" t="e">
        <f>D271*#REF!</f>
        <v>#REF!</v>
      </c>
      <c r="F271" s="142" t="e">
        <f>D271*#REF!</f>
        <v>#REF!</v>
      </c>
      <c r="G271" s="142" t="e">
        <f>(D271*#REF!)*#REF!</f>
        <v>#REF!</v>
      </c>
      <c r="H271" s="33">
        <f t="shared" si="195"/>
        <v>0</v>
      </c>
      <c r="I271" s="16" t="e">
        <f t="shared" si="196"/>
        <v>#REF!</v>
      </c>
      <c r="J271" s="16">
        <v>-170000</v>
      </c>
      <c r="K271" s="284"/>
      <c r="L271" s="6">
        <v>0</v>
      </c>
      <c r="M271" s="7">
        <v>-626381.5</v>
      </c>
      <c r="N271" s="7">
        <v>-530000</v>
      </c>
      <c r="O271" s="7">
        <v>-202226</v>
      </c>
      <c r="P271" s="266">
        <f t="shared" si="197"/>
        <v>-269634.66666666663</v>
      </c>
      <c r="Q271" s="16">
        <v>-530000</v>
      </c>
      <c r="R271" s="281">
        <f>VLOOKUP(A271,TB!A:F,6)</f>
        <v>-700000</v>
      </c>
      <c r="S271" s="7">
        <f t="shared" si="198"/>
        <v>-170000</v>
      </c>
    </row>
    <row r="272" spans="1:28" ht="15.75" hidden="1" customHeight="1" x14ac:dyDescent="0.25">
      <c r="A272" s="6" t="s">
        <v>1412</v>
      </c>
      <c r="B272" s="6" t="s">
        <v>1411</v>
      </c>
      <c r="C272" s="285"/>
      <c r="D272" s="16">
        <v>-718806</v>
      </c>
      <c r="E272" s="142" t="e">
        <f>D272*#REF!</f>
        <v>#REF!</v>
      </c>
      <c r="F272" s="142" t="e">
        <f>D272*#REF!</f>
        <v>#REF!</v>
      </c>
      <c r="G272" s="142" t="e">
        <f>(D272*#REF!)*#REF!</f>
        <v>#REF!</v>
      </c>
      <c r="H272" s="33">
        <f t="shared" si="195"/>
        <v>0</v>
      </c>
      <c r="I272" s="16" t="e">
        <f t="shared" si="196"/>
        <v>#REF!</v>
      </c>
      <c r="J272" s="18"/>
      <c r="K272" s="285"/>
      <c r="L272" s="7">
        <v>-655399</v>
      </c>
      <c r="M272" s="7">
        <v>0</v>
      </c>
      <c r="N272" s="6">
        <v>0</v>
      </c>
      <c r="O272" s="6">
        <v>0</v>
      </c>
      <c r="P272" s="266">
        <f t="shared" si="197"/>
        <v>0</v>
      </c>
      <c r="Q272" s="18">
        <v>0</v>
      </c>
      <c r="R272" s="281">
        <f>VLOOKUP(A272,TB!A:F,6)</f>
        <v>0</v>
      </c>
      <c r="S272" s="7">
        <f t="shared" si="198"/>
        <v>0</v>
      </c>
    </row>
    <row r="273" spans="1:19" ht="15.75" hidden="1" customHeight="1" x14ac:dyDescent="0.25">
      <c r="A273" s="6" t="s">
        <v>1413</v>
      </c>
      <c r="B273" s="6" t="s">
        <v>1414</v>
      </c>
      <c r="C273" s="284"/>
      <c r="D273" s="18">
        <v>0</v>
      </c>
      <c r="E273" s="142" t="e">
        <f>D273*#REF!</f>
        <v>#REF!</v>
      </c>
      <c r="F273" s="142" t="e">
        <f>D273*#REF!</f>
        <v>#REF!</v>
      </c>
      <c r="G273" s="142" t="e">
        <f>(D273*#REF!)*#REF!</f>
        <v>#REF!</v>
      </c>
      <c r="H273" s="33">
        <f t="shared" si="195"/>
        <v>0</v>
      </c>
      <c r="I273" s="16" t="e">
        <f t="shared" si="196"/>
        <v>#REF!</v>
      </c>
      <c r="J273" s="18"/>
      <c r="K273" s="284"/>
      <c r="L273" s="6">
        <v>0</v>
      </c>
      <c r="M273" s="7">
        <v>-765</v>
      </c>
      <c r="N273" s="7">
        <v>-10000</v>
      </c>
      <c r="O273" s="6">
        <v>0</v>
      </c>
      <c r="P273" s="266">
        <f t="shared" si="197"/>
        <v>0</v>
      </c>
      <c r="Q273" s="16">
        <v>-10000</v>
      </c>
      <c r="R273" s="281">
        <f>VLOOKUP(A273,TB!A:F,6)</f>
        <v>-10000</v>
      </c>
      <c r="S273" s="7">
        <f t="shared" si="198"/>
        <v>0</v>
      </c>
    </row>
    <row r="274" spans="1:19" ht="15.75" hidden="1" customHeight="1" x14ac:dyDescent="0.25">
      <c r="A274" s="6" t="s">
        <v>1415</v>
      </c>
      <c r="B274" s="6" t="s">
        <v>1414</v>
      </c>
      <c r="C274" s="285"/>
      <c r="D274" s="16">
        <v>-3685</v>
      </c>
      <c r="E274" s="142" t="e">
        <f>D274*#REF!</f>
        <v>#REF!</v>
      </c>
      <c r="F274" s="142" t="e">
        <f>D274*#REF!</f>
        <v>#REF!</v>
      </c>
      <c r="G274" s="142" t="e">
        <f>(D274*#REF!)*#REF!</f>
        <v>#REF!</v>
      </c>
      <c r="H274" s="33">
        <f t="shared" si="195"/>
        <v>0</v>
      </c>
      <c r="I274" s="16" t="e">
        <f t="shared" si="196"/>
        <v>#REF!</v>
      </c>
      <c r="J274" s="18"/>
      <c r="K274" s="285"/>
      <c r="L274" s="6">
        <v>0</v>
      </c>
      <c r="M274" s="7">
        <v>0</v>
      </c>
      <c r="N274" s="6">
        <v>0</v>
      </c>
      <c r="O274" s="6">
        <v>0</v>
      </c>
      <c r="P274" s="266">
        <f t="shared" si="197"/>
        <v>0</v>
      </c>
      <c r="Q274" s="18">
        <v>0</v>
      </c>
      <c r="R274" s="281">
        <f>VLOOKUP(A274,TB!A:F,6)</f>
        <v>0</v>
      </c>
      <c r="S274" s="7">
        <f t="shared" si="198"/>
        <v>0</v>
      </c>
    </row>
    <row r="275" spans="1:19" ht="15.75" hidden="1" customHeight="1" x14ac:dyDescent="0.25">
      <c r="A275" s="267" t="s">
        <v>1416</v>
      </c>
      <c r="B275" s="267" t="s">
        <v>1417</v>
      </c>
      <c r="C275" s="284"/>
      <c r="D275" s="18">
        <v>0</v>
      </c>
      <c r="E275" s="142" t="e">
        <f>D275*#REF!</f>
        <v>#REF!</v>
      </c>
      <c r="F275" s="142" t="e">
        <f>D275*#REF!</f>
        <v>#REF!</v>
      </c>
      <c r="G275" s="142" t="e">
        <f>(D275*#REF!)*#REF!</f>
        <v>#REF!</v>
      </c>
      <c r="H275" s="33">
        <f t="shared" si="195"/>
        <v>0</v>
      </c>
      <c r="I275" s="16" t="e">
        <f t="shared" si="196"/>
        <v>#REF!</v>
      </c>
      <c r="J275" s="18"/>
      <c r="K275" s="284"/>
      <c r="L275" s="267">
        <v>0</v>
      </c>
      <c r="M275" s="213">
        <v>-490.2</v>
      </c>
      <c r="N275" s="213">
        <v>-2000</v>
      </c>
      <c r="O275" s="213">
        <v>-4620</v>
      </c>
      <c r="P275" s="266">
        <f t="shared" si="197"/>
        <v>-2000</v>
      </c>
      <c r="Q275" s="16">
        <v>-2000</v>
      </c>
      <c r="R275" s="281">
        <f>VLOOKUP(A275,TB!A:F,6)</f>
        <v>-2000</v>
      </c>
      <c r="S275" s="7">
        <f t="shared" si="198"/>
        <v>0</v>
      </c>
    </row>
    <row r="276" spans="1:19" ht="15.75" hidden="1" customHeight="1" x14ac:dyDescent="0.25">
      <c r="A276" s="267" t="s">
        <v>1418</v>
      </c>
      <c r="B276" s="267" t="s">
        <v>1417</v>
      </c>
      <c r="C276" s="284"/>
      <c r="D276" s="18">
        <v>0</v>
      </c>
      <c r="E276" s="142" t="e">
        <f>D276*#REF!</f>
        <v>#REF!</v>
      </c>
      <c r="F276" s="142" t="e">
        <f>D276*#REF!</f>
        <v>#REF!</v>
      </c>
      <c r="G276" s="142" t="e">
        <f>(D276*#REF!)*#REF!</f>
        <v>#REF!</v>
      </c>
      <c r="H276" s="33">
        <f t="shared" si="195"/>
        <v>0</v>
      </c>
      <c r="I276" s="16" t="e">
        <f t="shared" si="196"/>
        <v>#REF!</v>
      </c>
      <c r="J276" s="18"/>
      <c r="K276" s="284"/>
      <c r="L276" s="213">
        <v>-6418</v>
      </c>
      <c r="M276" s="213">
        <v>0</v>
      </c>
      <c r="N276" s="267">
        <v>0</v>
      </c>
      <c r="O276" s="267">
        <v>0</v>
      </c>
      <c r="P276" s="266">
        <f t="shared" si="197"/>
        <v>0</v>
      </c>
      <c r="Q276" s="18">
        <v>0</v>
      </c>
      <c r="R276" s="281">
        <f>VLOOKUP(A276,TB!A:F,6)</f>
        <v>0</v>
      </c>
      <c r="S276" s="7">
        <f t="shared" si="198"/>
        <v>0</v>
      </c>
    </row>
    <row r="277" spans="1:19" ht="15.75" hidden="1" customHeight="1" x14ac:dyDescent="0.25">
      <c r="A277" s="267" t="s">
        <v>1298</v>
      </c>
      <c r="B277" s="267" t="s">
        <v>1299</v>
      </c>
      <c r="C277" s="285"/>
      <c r="D277" s="16">
        <v>-7000</v>
      </c>
      <c r="E277" s="142" t="e">
        <f>D277*#REF!</f>
        <v>#REF!</v>
      </c>
      <c r="F277" s="142" t="e">
        <f>D277*#REF!</f>
        <v>#REF!</v>
      </c>
      <c r="G277" s="142" t="e">
        <f>(D277*#REF!)*#REF!</f>
        <v>#REF!</v>
      </c>
      <c r="H277" s="33"/>
      <c r="I277" s="18"/>
      <c r="J277" s="18"/>
      <c r="K277" s="285"/>
      <c r="L277" s="213">
        <v>-30305</v>
      </c>
      <c r="M277" s="213">
        <v>-606792</v>
      </c>
      <c r="N277" s="267">
        <v>0</v>
      </c>
      <c r="O277" s="213">
        <v>0</v>
      </c>
      <c r="P277" s="266">
        <f t="shared" si="197"/>
        <v>0</v>
      </c>
      <c r="Q277" s="18">
        <v>0</v>
      </c>
      <c r="R277" s="281">
        <v>0</v>
      </c>
      <c r="S277" s="7">
        <f t="shared" si="198"/>
        <v>0</v>
      </c>
    </row>
    <row r="278" spans="1:19" ht="15.75" hidden="1" customHeight="1" x14ac:dyDescent="0.25">
      <c r="A278" s="267" t="s">
        <v>1419</v>
      </c>
      <c r="B278" s="267" t="s">
        <v>1420</v>
      </c>
      <c r="C278" s="284"/>
      <c r="D278" s="18">
        <v>0</v>
      </c>
      <c r="E278" s="142" t="e">
        <f>D278*#REF!</f>
        <v>#REF!</v>
      </c>
      <c r="F278" s="142" t="e">
        <f>D278*#REF!</f>
        <v>#REF!</v>
      </c>
      <c r="G278" s="142" t="e">
        <f>(D278*#REF!)*#REF!</f>
        <v>#REF!</v>
      </c>
      <c r="H278" s="33">
        <f t="shared" ref="H278:H285" si="199">IFERROR(((Q278-G278)/G278),0)</f>
        <v>0</v>
      </c>
      <c r="I278" s="16" t="e">
        <f t="shared" ref="I278:I285" si="200">Q278-G278</f>
        <v>#REF!</v>
      </c>
      <c r="J278" s="18"/>
      <c r="K278" s="284"/>
      <c r="L278" s="267">
        <v>0</v>
      </c>
      <c r="M278" s="213">
        <v>-19200</v>
      </c>
      <c r="N278" s="267">
        <v>0</v>
      </c>
      <c r="O278" s="213">
        <v>-14000</v>
      </c>
      <c r="P278" s="266">
        <f>O278</f>
        <v>-14000</v>
      </c>
      <c r="Q278" s="18">
        <v>0</v>
      </c>
      <c r="R278" s="281">
        <f>VLOOKUP(A278,TB!A:F,6)</f>
        <v>0</v>
      </c>
      <c r="S278" s="7">
        <f t="shared" si="198"/>
        <v>0</v>
      </c>
    </row>
    <row r="279" spans="1:19" ht="15.75" hidden="1" customHeight="1" x14ac:dyDescent="0.25">
      <c r="A279" s="267" t="s">
        <v>1421</v>
      </c>
      <c r="B279" s="267" t="s">
        <v>1422</v>
      </c>
      <c r="C279" s="285"/>
      <c r="D279" s="16">
        <v>-120000</v>
      </c>
      <c r="E279" s="142" t="e">
        <f>D279*#REF!</f>
        <v>#REF!</v>
      </c>
      <c r="F279" s="142" t="e">
        <f>D279*#REF!</f>
        <v>#REF!</v>
      </c>
      <c r="G279" s="142" t="e">
        <f>(D279*#REF!)*#REF!</f>
        <v>#REF!</v>
      </c>
      <c r="H279" s="33">
        <f t="shared" si="199"/>
        <v>0</v>
      </c>
      <c r="I279" s="16" t="e">
        <f t="shared" si="200"/>
        <v>#REF!</v>
      </c>
      <c r="J279" s="18"/>
      <c r="K279" s="285"/>
      <c r="L279" s="267">
        <v>0</v>
      </c>
      <c r="M279" s="213">
        <v>0</v>
      </c>
      <c r="N279" s="267">
        <v>0</v>
      </c>
      <c r="O279" s="267">
        <v>0</v>
      </c>
      <c r="P279" s="266">
        <f t="shared" ref="P279:P280" si="201">IF(O279/9*12&lt;N279,N279,O279/9*12)</f>
        <v>0</v>
      </c>
      <c r="Q279" s="18">
        <v>0</v>
      </c>
      <c r="R279" s="281">
        <f>VLOOKUP(A279,TB!A:F,6)</f>
        <v>0</v>
      </c>
      <c r="S279" s="7">
        <f t="shared" si="198"/>
        <v>0</v>
      </c>
    </row>
    <row r="280" spans="1:19" ht="15.75" hidden="1" customHeight="1" x14ac:dyDescent="0.25">
      <c r="A280" s="6" t="s">
        <v>1423</v>
      </c>
      <c r="B280" s="6" t="s">
        <v>1424</v>
      </c>
      <c r="C280" s="284"/>
      <c r="D280" s="18">
        <v>0</v>
      </c>
      <c r="E280" s="142" t="e">
        <f>D280*#REF!</f>
        <v>#REF!</v>
      </c>
      <c r="F280" s="142" t="e">
        <f>D280*#REF!</f>
        <v>#REF!</v>
      </c>
      <c r="G280" s="142" t="e">
        <f>(D280*#REF!)*#REF!</f>
        <v>#REF!</v>
      </c>
      <c r="H280" s="33">
        <f t="shared" si="199"/>
        <v>0</v>
      </c>
      <c r="I280" s="16" t="e">
        <f t="shared" si="200"/>
        <v>#REF!</v>
      </c>
      <c r="J280" s="18"/>
      <c r="K280" s="284"/>
      <c r="L280" s="6">
        <v>0</v>
      </c>
      <c r="M280" s="7">
        <v>-3600</v>
      </c>
      <c r="N280" s="7">
        <v>-6000</v>
      </c>
      <c r="O280" s="6">
        <v>0</v>
      </c>
      <c r="P280" s="266">
        <f t="shared" si="201"/>
        <v>0</v>
      </c>
      <c r="Q280" s="16">
        <v>-6000</v>
      </c>
      <c r="R280" s="281">
        <f>VLOOKUP(A280,TB!A:F,6)</f>
        <v>-6000</v>
      </c>
      <c r="S280" s="7">
        <f t="shared" si="198"/>
        <v>0</v>
      </c>
    </row>
    <row r="281" spans="1:19" ht="15.75" hidden="1" customHeight="1" x14ac:dyDescent="0.25">
      <c r="A281" s="6" t="s">
        <v>1425</v>
      </c>
      <c r="B281" s="6" t="s">
        <v>1424</v>
      </c>
      <c r="C281" s="285"/>
      <c r="D281" s="16">
        <v>-6000</v>
      </c>
      <c r="E281" s="142" t="e">
        <f>D281*#REF!</f>
        <v>#REF!</v>
      </c>
      <c r="F281" s="142" t="e">
        <f>D281*#REF!</f>
        <v>#REF!</v>
      </c>
      <c r="G281" s="142" t="e">
        <f>(D281*#REF!)*#REF!</f>
        <v>#REF!</v>
      </c>
      <c r="H281" s="33">
        <f t="shared" si="199"/>
        <v>0</v>
      </c>
      <c r="I281" s="16" t="e">
        <f t="shared" si="200"/>
        <v>#REF!</v>
      </c>
      <c r="J281" s="18"/>
      <c r="K281" s="285"/>
      <c r="L281" s="7">
        <v>-3600</v>
      </c>
      <c r="M281" s="7">
        <v>0</v>
      </c>
      <c r="N281" s="6">
        <v>0</v>
      </c>
      <c r="O281" s="7">
        <v>-7200</v>
      </c>
      <c r="P281" s="266">
        <f>O281</f>
        <v>-7200</v>
      </c>
      <c r="Q281" s="18">
        <v>0</v>
      </c>
      <c r="R281" s="281">
        <v>0</v>
      </c>
      <c r="S281" s="7">
        <f t="shared" si="198"/>
        <v>0</v>
      </c>
    </row>
    <row r="282" spans="1:19" ht="18.75" hidden="1" customHeight="1" x14ac:dyDescent="0.25">
      <c r="A282" s="267" t="s">
        <v>1426</v>
      </c>
      <c r="B282" s="267" t="s">
        <v>1427</v>
      </c>
      <c r="C282" s="285"/>
      <c r="D282" s="16">
        <v>-149500</v>
      </c>
      <c r="E282" s="142" t="e">
        <f>D282*#REF!</f>
        <v>#REF!</v>
      </c>
      <c r="F282" s="142" t="e">
        <f>D282*#REF!</f>
        <v>#REF!</v>
      </c>
      <c r="G282" s="142" t="e">
        <f>(D282*#REF!)*#REF!</f>
        <v>#REF!</v>
      </c>
      <c r="H282" s="33">
        <f t="shared" si="199"/>
        <v>0</v>
      </c>
      <c r="I282" s="16" t="e">
        <f t="shared" si="200"/>
        <v>#REF!</v>
      </c>
      <c r="J282" s="18"/>
      <c r="K282" s="285"/>
      <c r="L282" s="213">
        <v>-121000</v>
      </c>
      <c r="M282" s="213">
        <v>0</v>
      </c>
      <c r="N282" s="213">
        <v>0</v>
      </c>
      <c r="O282" s="267"/>
      <c r="P282" s="266">
        <f>IF(O282/9*12&lt;N282,N282,O282/9*12)</f>
        <v>0</v>
      </c>
      <c r="Q282" s="16">
        <v>0</v>
      </c>
      <c r="R282" s="281">
        <f>VLOOKUP(A282,TB!A:F,6)</f>
        <v>0</v>
      </c>
      <c r="S282" s="7">
        <f t="shared" si="198"/>
        <v>0</v>
      </c>
    </row>
    <row r="283" spans="1:19" ht="18.75" hidden="1" customHeight="1" x14ac:dyDescent="0.25">
      <c r="A283" s="267" t="s">
        <v>1428</v>
      </c>
      <c r="B283" s="267" t="s">
        <v>1427</v>
      </c>
      <c r="C283" s="284"/>
      <c r="D283" s="18">
        <v>0</v>
      </c>
      <c r="E283" s="142" t="e">
        <f>D283*#REF!</f>
        <v>#REF!</v>
      </c>
      <c r="F283" s="142" t="e">
        <f>D283*#REF!</f>
        <v>#REF!</v>
      </c>
      <c r="G283" s="142" t="e">
        <f>(D283*#REF!)*#REF!</f>
        <v>#REF!</v>
      </c>
      <c r="H283" s="33">
        <f t="shared" si="199"/>
        <v>0</v>
      </c>
      <c r="I283" s="16" t="e">
        <f t="shared" si="200"/>
        <v>#REF!</v>
      </c>
      <c r="J283" s="18"/>
      <c r="K283" s="284"/>
      <c r="L283" s="267">
        <v>0</v>
      </c>
      <c r="M283" s="213">
        <v>-121000</v>
      </c>
      <c r="N283" s="213">
        <v>-121000</v>
      </c>
      <c r="O283" s="267">
        <v>0</v>
      </c>
      <c r="P283" s="266">
        <f>N283</f>
        <v>-121000</v>
      </c>
      <c r="Q283" s="16">
        <v>-121000</v>
      </c>
      <c r="R283" s="281">
        <f>VLOOKUP(A283,TB!A:F,6)</f>
        <v>-121000</v>
      </c>
      <c r="S283" s="7">
        <f t="shared" si="198"/>
        <v>0</v>
      </c>
    </row>
    <row r="284" spans="1:19" ht="18.75" hidden="1" customHeight="1" x14ac:dyDescent="0.25">
      <c r="A284" s="267" t="s">
        <v>1429</v>
      </c>
      <c r="B284" s="267" t="s">
        <v>1420</v>
      </c>
      <c r="C284" s="284"/>
      <c r="D284" s="18">
        <v>0</v>
      </c>
      <c r="E284" s="142" t="e">
        <f>D284*#REF!</f>
        <v>#REF!</v>
      </c>
      <c r="F284" s="142" t="e">
        <f>D284*#REF!</f>
        <v>#REF!</v>
      </c>
      <c r="G284" s="142" t="e">
        <f>(D284*#REF!)*#REF!</f>
        <v>#REF!</v>
      </c>
      <c r="H284" s="33">
        <f t="shared" si="199"/>
        <v>0</v>
      </c>
      <c r="I284" s="16" t="e">
        <f t="shared" si="200"/>
        <v>#REF!</v>
      </c>
      <c r="J284" s="16">
        <v>-60000</v>
      </c>
      <c r="K284" s="284"/>
      <c r="L284" s="267">
        <v>0</v>
      </c>
      <c r="M284" s="267">
        <v>0</v>
      </c>
      <c r="N284" s="213">
        <v>0</v>
      </c>
      <c r="O284" s="267">
        <v>0</v>
      </c>
      <c r="P284" s="266">
        <f>IF(O284/9*12&lt;N284,N284,O284/9*12)</f>
        <v>0</v>
      </c>
      <c r="Q284" s="16">
        <f>-230000</f>
        <v>-230000</v>
      </c>
      <c r="R284" s="281">
        <f>VLOOKUP(A284,TB!A:F,6)</f>
        <v>-290000</v>
      </c>
      <c r="S284" s="7">
        <f t="shared" si="198"/>
        <v>-60000</v>
      </c>
    </row>
    <row r="285" spans="1:19" ht="15.75" hidden="1" customHeight="1" x14ac:dyDescent="0.25">
      <c r="A285" s="6" t="s">
        <v>1430</v>
      </c>
      <c r="B285" s="267" t="s">
        <v>1431</v>
      </c>
      <c r="C285" s="284"/>
      <c r="D285" s="18">
        <v>-7979</v>
      </c>
      <c r="E285" s="142" t="e">
        <f>D285*#REF!</f>
        <v>#REF!</v>
      </c>
      <c r="F285" s="142" t="e">
        <f>D285*#REF!</f>
        <v>#REF!</v>
      </c>
      <c r="G285" s="142" t="e">
        <f>(D285*#REF!)*#REF!</f>
        <v>#REF!</v>
      </c>
      <c r="H285" s="33">
        <f t="shared" si="199"/>
        <v>0</v>
      </c>
      <c r="I285" s="16" t="e">
        <f t="shared" si="200"/>
        <v>#REF!</v>
      </c>
      <c r="J285" s="18"/>
      <c r="K285" s="284"/>
      <c r="L285" s="6">
        <v>-9836</v>
      </c>
      <c r="M285" s="6">
        <v>-9410.2999999999993</v>
      </c>
      <c r="N285" s="7">
        <v>-9000</v>
      </c>
      <c r="O285" s="6">
        <v>0</v>
      </c>
      <c r="P285" s="266">
        <f>N285</f>
        <v>-9000</v>
      </c>
      <c r="Q285" s="16">
        <v>-9000</v>
      </c>
      <c r="R285" s="281">
        <f>VLOOKUP(A285,TB!A:F,6)</f>
        <v>-9000</v>
      </c>
      <c r="S285" s="7">
        <f t="shared" si="198"/>
        <v>0</v>
      </c>
    </row>
    <row r="286" spans="1:19" ht="15.75" hidden="1" customHeight="1" x14ac:dyDescent="0.25">
      <c r="A286" s="6" t="s">
        <v>1432</v>
      </c>
      <c r="B286" s="267" t="s">
        <v>1433</v>
      </c>
      <c r="C286" s="285"/>
      <c r="D286" s="16">
        <v>-8085</v>
      </c>
      <c r="E286" s="142" t="e">
        <f>D286*#REF!</f>
        <v>#REF!</v>
      </c>
      <c r="F286" s="142" t="e">
        <f>D286*#REF!</f>
        <v>#REF!</v>
      </c>
      <c r="G286" s="142" t="e">
        <f>(D286*#REF!)*#REF!</f>
        <v>#REF!</v>
      </c>
      <c r="H286" s="33"/>
      <c r="I286" s="18"/>
      <c r="J286" s="18"/>
      <c r="K286" s="285"/>
      <c r="L286" s="6">
        <v>0</v>
      </c>
      <c r="M286" s="6">
        <v>0</v>
      </c>
      <c r="N286" s="7">
        <v>0</v>
      </c>
      <c r="O286" s="6">
        <v>0</v>
      </c>
      <c r="P286" s="266">
        <f>IF(O286/9*12&lt;N286,N286,O286/9*12)</f>
        <v>0</v>
      </c>
      <c r="Q286" s="16">
        <v>0</v>
      </c>
      <c r="R286" s="281">
        <f>VLOOKUP(A286,TB!A:F,6)</f>
        <v>0</v>
      </c>
      <c r="S286" s="7">
        <f t="shared" si="198"/>
        <v>0</v>
      </c>
    </row>
    <row r="287" spans="1:19" ht="15.75" hidden="1" customHeight="1" x14ac:dyDescent="0.25">
      <c r="A287" s="6" t="s">
        <v>1434</v>
      </c>
      <c r="B287" s="267" t="s">
        <v>1435</v>
      </c>
      <c r="C287" s="284"/>
      <c r="D287" s="18">
        <v>0</v>
      </c>
      <c r="E287" s="142" t="e">
        <f>D287*#REF!</f>
        <v>#REF!</v>
      </c>
      <c r="F287" s="142" t="e">
        <f>D287*#REF!</f>
        <v>#REF!</v>
      </c>
      <c r="G287" s="142" t="e">
        <f>(D287*#REF!)*#REF!</f>
        <v>#REF!</v>
      </c>
      <c r="H287" s="33">
        <f t="shared" ref="H287:H288" si="202">IFERROR(((Q287-G287)/G287),0)</f>
        <v>0</v>
      </c>
      <c r="I287" s="16" t="e">
        <f t="shared" ref="I287:I288" si="203">Q287-G287</f>
        <v>#REF!</v>
      </c>
      <c r="J287" s="18"/>
      <c r="K287" s="284"/>
      <c r="L287" s="6">
        <v>0</v>
      </c>
      <c r="M287" s="6">
        <v>0</v>
      </c>
      <c r="N287" s="7">
        <v>-1654018</v>
      </c>
      <c r="O287" s="6">
        <v>0</v>
      </c>
      <c r="P287" s="266">
        <f>N287</f>
        <v>-1654018</v>
      </c>
      <c r="Q287" s="16">
        <v>-1593750</v>
      </c>
      <c r="R287" s="281">
        <f>Q287</f>
        <v>-1593750</v>
      </c>
      <c r="S287" s="7">
        <f t="shared" si="198"/>
        <v>0</v>
      </c>
    </row>
    <row r="288" spans="1:19" ht="15.75" hidden="1" customHeight="1" x14ac:dyDescent="0.2">
      <c r="A288" s="11" t="s">
        <v>189</v>
      </c>
      <c r="B288" s="48"/>
      <c r="C288" s="282"/>
      <c r="D288" s="50">
        <f t="shared" ref="D288:G288" si="204">SUM(D267:D287)</f>
        <v>-5858847</v>
      </c>
      <c r="E288" s="50" t="e">
        <f t="shared" si="204"/>
        <v>#REF!</v>
      </c>
      <c r="F288" s="50" t="e">
        <f t="shared" si="204"/>
        <v>#REF!</v>
      </c>
      <c r="G288" s="50" t="e">
        <f t="shared" si="204"/>
        <v>#REF!</v>
      </c>
      <c r="H288" s="42">
        <f t="shared" si="202"/>
        <v>0</v>
      </c>
      <c r="I288" s="50" t="e">
        <f t="shared" si="203"/>
        <v>#REF!</v>
      </c>
      <c r="J288" s="50">
        <f>SUM(J267:J287)</f>
        <v>-230000</v>
      </c>
      <c r="K288" s="282"/>
      <c r="L288" s="12">
        <f t="shared" ref="L288:S288" si="205">SUM(L267:L287)</f>
        <v>-5696735</v>
      </c>
      <c r="M288" s="12">
        <f t="shared" si="205"/>
        <v>-7945624.0600000005</v>
      </c>
      <c r="N288" s="12">
        <f t="shared" si="205"/>
        <v>-7803018</v>
      </c>
      <c r="O288" s="12">
        <f t="shared" si="205"/>
        <v>-3600735.45</v>
      </c>
      <c r="P288" s="50">
        <f t="shared" si="205"/>
        <v>-6346990.5066666668</v>
      </c>
      <c r="Q288" s="50">
        <f t="shared" si="205"/>
        <v>-7981750</v>
      </c>
      <c r="R288" s="12">
        <f t="shared" si="205"/>
        <v>-8649450</v>
      </c>
      <c r="S288" s="12">
        <f t="shared" si="205"/>
        <v>-667700</v>
      </c>
    </row>
    <row r="289" spans="1:27" ht="15.75" hidden="1" customHeight="1" x14ac:dyDescent="0.2">
      <c r="A289" s="5"/>
      <c r="B289" s="5"/>
      <c r="C289" s="284"/>
      <c r="D289" s="5"/>
      <c r="E289" s="5"/>
      <c r="F289" s="5"/>
      <c r="G289" s="5"/>
      <c r="H289" s="5"/>
      <c r="I289" s="5"/>
      <c r="J289" s="5"/>
      <c r="K289" s="284"/>
      <c r="L289" s="5"/>
      <c r="M289" s="5"/>
      <c r="N289" s="5"/>
      <c r="O289" s="5"/>
      <c r="P289" s="5"/>
      <c r="Q289" s="5"/>
      <c r="R289" s="5"/>
      <c r="S289" s="5"/>
    </row>
    <row r="290" spans="1:27" ht="15.75" hidden="1" customHeight="1" x14ac:dyDescent="0.2">
      <c r="A290" s="11" t="s">
        <v>190</v>
      </c>
      <c r="B290" s="6"/>
      <c r="C290" s="286"/>
      <c r="D290" s="178">
        <f t="shared" ref="D290:G290" si="206">D264+D288</f>
        <v>1683498</v>
      </c>
      <c r="E290" s="178" t="e">
        <f t="shared" si="206"/>
        <v>#REF!</v>
      </c>
      <c r="F290" s="178" t="e">
        <f t="shared" si="206"/>
        <v>#REF!</v>
      </c>
      <c r="G290" s="178" t="e">
        <f t="shared" si="206"/>
        <v>#REF!</v>
      </c>
      <c r="H290" s="273">
        <f>IFERROR(((Q290-G290)/G290),0)</f>
        <v>0</v>
      </c>
      <c r="I290" s="178" t="e">
        <f>Q290-G290</f>
        <v>#REF!</v>
      </c>
      <c r="J290" s="178">
        <f>J288+J264</f>
        <v>-703500</v>
      </c>
      <c r="K290" s="286"/>
      <c r="L290" s="227">
        <f t="shared" ref="L290:S290" si="207">L264+L288</f>
        <v>382228</v>
      </c>
      <c r="M290" s="227">
        <f t="shared" si="207"/>
        <v>-1802649.9200000009</v>
      </c>
      <c r="N290" s="227">
        <f t="shared" si="207"/>
        <v>-219798</v>
      </c>
      <c r="O290" s="227">
        <f t="shared" si="207"/>
        <v>1457667.2800000003</v>
      </c>
      <c r="P290" s="178">
        <f t="shared" si="207"/>
        <v>875902.27957142796</v>
      </c>
      <c r="Q290" s="178">
        <f t="shared" si="207"/>
        <v>163250</v>
      </c>
      <c r="R290" s="227">
        <f t="shared" si="207"/>
        <v>-977950</v>
      </c>
      <c r="S290" s="227">
        <f t="shared" si="207"/>
        <v>-1141200</v>
      </c>
      <c r="V290" s="56"/>
      <c r="W290" s="56"/>
      <c r="X290" s="56"/>
      <c r="Y290" s="56"/>
      <c r="Z290" s="56"/>
      <c r="AA290" s="56"/>
    </row>
    <row r="291" spans="1:27" ht="15.75" hidden="1" customHeight="1" x14ac:dyDescent="0.2">
      <c r="A291" s="5"/>
      <c r="B291" s="5"/>
      <c r="C291" s="284"/>
      <c r="D291" s="5"/>
      <c r="E291" s="5"/>
      <c r="F291" s="5"/>
      <c r="G291" s="5"/>
      <c r="H291" s="5"/>
      <c r="I291" s="5"/>
      <c r="J291" s="5"/>
      <c r="K291" s="284"/>
      <c r="L291" s="5"/>
      <c r="M291" s="5"/>
      <c r="N291" s="5"/>
      <c r="O291" s="5"/>
      <c r="P291" s="5"/>
      <c r="Q291" s="5"/>
      <c r="R291" s="5"/>
      <c r="S291" s="5"/>
    </row>
    <row r="292" spans="1:27" ht="15.75" hidden="1" customHeight="1" x14ac:dyDescent="0.2">
      <c r="A292" s="5"/>
      <c r="B292" s="5"/>
      <c r="C292" s="412"/>
      <c r="D292" s="5"/>
      <c r="E292" s="5"/>
      <c r="F292" s="5"/>
      <c r="G292" s="5"/>
      <c r="H292" s="5"/>
      <c r="I292" s="5"/>
      <c r="J292" s="5"/>
      <c r="K292" s="412"/>
      <c r="L292" s="173" t="str">
        <f t="shared" ref="L292:R292" si="208">L220</f>
        <v>2023 Actual</v>
      </c>
      <c r="M292" s="173" t="str">
        <f t="shared" si="208"/>
        <v>2024 Actual</v>
      </c>
      <c r="N292" s="173" t="str">
        <f t="shared" si="208"/>
        <v>Approved
  2025
 Budget</v>
      </c>
      <c r="O292" s="173" t="str">
        <f t="shared" si="208"/>
        <v>2025 YTD Actual</v>
      </c>
      <c r="P292" s="173" t="str">
        <f t="shared" si="208"/>
        <v xml:space="preserve">Projected 2025 </v>
      </c>
      <c r="Q292" s="173" t="str">
        <f t="shared" si="208"/>
        <v>2026
 Requested
 Budget</v>
      </c>
      <c r="R292" s="173" t="str">
        <f t="shared" si="208"/>
        <v>2026 
Tentative 
Budget</v>
      </c>
      <c r="S292" s="114"/>
    </row>
    <row r="293" spans="1:27" ht="15.75" hidden="1" customHeight="1" x14ac:dyDescent="0.2">
      <c r="A293" s="5"/>
      <c r="B293" s="5"/>
      <c r="C293" s="284"/>
      <c r="D293" s="5"/>
      <c r="E293" s="5"/>
      <c r="F293" s="5"/>
      <c r="G293" s="5"/>
      <c r="H293" s="5"/>
      <c r="I293" s="5"/>
      <c r="J293" s="5"/>
      <c r="K293" s="284"/>
      <c r="L293" s="63">
        <f t="shared" ref="L293:R293" si="209">L264</f>
        <v>6078963</v>
      </c>
      <c r="M293" s="63">
        <f t="shared" si="209"/>
        <v>6142974.1399999997</v>
      </c>
      <c r="N293" s="63">
        <f t="shared" si="209"/>
        <v>7583220</v>
      </c>
      <c r="O293" s="63">
        <f t="shared" si="209"/>
        <v>5058402.7300000004</v>
      </c>
      <c r="P293" s="63">
        <f t="shared" si="209"/>
        <v>7222892.7862380948</v>
      </c>
      <c r="Q293" s="63">
        <f t="shared" si="209"/>
        <v>8145000</v>
      </c>
      <c r="R293" s="63">
        <f t="shared" si="209"/>
        <v>7671500</v>
      </c>
      <c r="S293" s="6"/>
    </row>
    <row r="294" spans="1:27" ht="15.75" hidden="1" customHeight="1" x14ac:dyDescent="0.2">
      <c r="A294" s="5"/>
      <c r="B294" s="5"/>
      <c r="C294" s="284"/>
      <c r="D294" s="5"/>
      <c r="E294" s="5"/>
      <c r="F294" s="5"/>
      <c r="G294" s="5"/>
      <c r="H294" s="5"/>
      <c r="I294" s="5"/>
      <c r="J294" s="5"/>
      <c r="K294" s="284"/>
      <c r="L294" s="5"/>
      <c r="M294" s="5"/>
      <c r="N294" s="5"/>
      <c r="O294" s="5"/>
      <c r="P294" s="5"/>
      <c r="Q294" s="5"/>
      <c r="R294" s="5"/>
      <c r="S294" s="5"/>
    </row>
    <row r="295" spans="1:27" ht="15.75" hidden="1" customHeight="1" x14ac:dyDescent="0.2">
      <c r="A295" s="5"/>
      <c r="B295" s="5"/>
      <c r="C295" s="284"/>
      <c r="D295" s="5"/>
      <c r="E295" s="5"/>
      <c r="F295" s="5"/>
      <c r="G295" s="5"/>
      <c r="H295" s="5"/>
      <c r="I295" s="5"/>
      <c r="J295" s="5"/>
      <c r="K295" s="284"/>
      <c r="L295" s="5"/>
      <c r="M295" s="5"/>
      <c r="N295" s="5"/>
      <c r="O295" s="5"/>
      <c r="P295" s="5"/>
      <c r="Q295" s="5"/>
      <c r="R295" s="5"/>
      <c r="S295" s="5"/>
    </row>
    <row r="296" spans="1:27" ht="15.75" hidden="1" customHeight="1" x14ac:dyDescent="0.2">
      <c r="A296" s="5"/>
      <c r="B296" s="5"/>
      <c r="C296" s="284"/>
      <c r="D296" s="5"/>
      <c r="E296" s="5"/>
      <c r="F296" s="5"/>
      <c r="G296" s="5"/>
      <c r="H296" s="5"/>
      <c r="I296" s="5"/>
      <c r="J296" s="5"/>
      <c r="K296" s="284"/>
      <c r="L296" s="5"/>
      <c r="M296" s="5"/>
      <c r="N296" s="5"/>
      <c r="O296" s="5"/>
      <c r="P296" s="5"/>
      <c r="Q296" s="5"/>
      <c r="R296" s="5"/>
      <c r="S296" s="5"/>
    </row>
    <row r="297" spans="1:27" ht="15.75" hidden="1" customHeight="1" x14ac:dyDescent="0.2">
      <c r="A297" s="5"/>
      <c r="B297" s="5"/>
      <c r="C297" s="284"/>
      <c r="D297" s="5"/>
      <c r="E297" s="5"/>
      <c r="F297" s="5"/>
      <c r="G297" s="5"/>
      <c r="H297" s="5"/>
      <c r="I297" s="5"/>
      <c r="J297" s="5"/>
      <c r="K297" s="284"/>
      <c r="L297" s="5"/>
      <c r="M297" s="5"/>
      <c r="N297" s="5"/>
      <c r="O297" s="5"/>
      <c r="P297" s="5"/>
      <c r="Q297" s="5"/>
      <c r="R297" s="5"/>
      <c r="S297" s="5"/>
    </row>
    <row r="298" spans="1:27" ht="15.75" hidden="1" customHeight="1" x14ac:dyDescent="0.2">
      <c r="A298" s="5"/>
      <c r="B298" s="5"/>
      <c r="C298" s="284"/>
      <c r="D298" s="5"/>
      <c r="E298" s="5"/>
      <c r="F298" s="5"/>
      <c r="G298" s="5"/>
      <c r="H298" s="5"/>
      <c r="I298" s="5"/>
      <c r="J298" s="5"/>
      <c r="K298" s="284"/>
      <c r="L298" s="5"/>
      <c r="M298" s="5"/>
      <c r="N298" s="5"/>
      <c r="O298" s="5"/>
      <c r="P298" s="5"/>
      <c r="Q298" s="5"/>
      <c r="R298" s="5"/>
      <c r="S298" s="5"/>
    </row>
    <row r="299" spans="1:27" ht="15.75" hidden="1" customHeight="1" x14ac:dyDescent="0.2">
      <c r="A299" s="5"/>
      <c r="B299" s="5"/>
      <c r="C299" s="284"/>
      <c r="D299" s="5"/>
      <c r="E299" s="5"/>
      <c r="F299" s="5"/>
      <c r="G299" s="5"/>
      <c r="H299" s="5"/>
      <c r="I299" s="5"/>
      <c r="J299" s="5"/>
      <c r="K299" s="284"/>
      <c r="L299" s="5"/>
      <c r="M299" s="5"/>
      <c r="N299" s="5"/>
      <c r="O299" s="5"/>
      <c r="P299" s="5"/>
      <c r="Q299" s="5"/>
      <c r="R299" s="5"/>
      <c r="S299" s="5"/>
    </row>
    <row r="300" spans="1:27" ht="15.75" hidden="1" customHeight="1" x14ac:dyDescent="0.2">
      <c r="A300" s="5"/>
      <c r="B300" s="5"/>
      <c r="C300" s="284"/>
      <c r="D300" s="5"/>
      <c r="E300" s="5"/>
      <c r="F300" s="5"/>
      <c r="G300" s="5"/>
      <c r="H300" s="5"/>
      <c r="I300" s="5"/>
      <c r="J300" s="5"/>
      <c r="K300" s="284"/>
      <c r="L300" s="5"/>
      <c r="M300" s="5"/>
      <c r="N300" s="5"/>
      <c r="O300" s="5"/>
      <c r="P300" s="5"/>
      <c r="Q300" s="5"/>
      <c r="R300" s="5"/>
      <c r="S300" s="5"/>
    </row>
    <row r="301" spans="1:27" ht="15.75" hidden="1" customHeight="1" x14ac:dyDescent="0.2">
      <c r="A301" s="5"/>
      <c r="B301" s="5"/>
      <c r="C301" s="284"/>
      <c r="D301" s="5"/>
      <c r="E301" s="5"/>
      <c r="F301" s="5"/>
      <c r="G301" s="5"/>
      <c r="H301" s="5"/>
      <c r="I301" s="5"/>
      <c r="J301" s="5"/>
      <c r="K301" s="284"/>
      <c r="L301" s="5"/>
      <c r="M301" s="5"/>
      <c r="N301" s="5"/>
      <c r="O301" s="5"/>
      <c r="P301" s="5"/>
      <c r="Q301" s="5"/>
      <c r="R301" s="5"/>
      <c r="S301" s="5"/>
    </row>
    <row r="302" spans="1:27" ht="15.75" hidden="1" customHeight="1" x14ac:dyDescent="0.2">
      <c r="A302" s="5"/>
      <c r="B302" s="5"/>
      <c r="C302" s="284"/>
      <c r="D302" s="5"/>
      <c r="E302" s="5"/>
      <c r="F302" s="5"/>
      <c r="G302" s="5"/>
      <c r="H302" s="5"/>
      <c r="I302" s="5"/>
      <c r="J302" s="5"/>
      <c r="K302" s="284"/>
      <c r="L302" s="5"/>
      <c r="M302" s="5"/>
      <c r="N302" s="5"/>
      <c r="O302" s="5"/>
      <c r="P302" s="5"/>
      <c r="Q302" s="5"/>
      <c r="R302" s="5"/>
      <c r="S302" s="5"/>
    </row>
    <row r="303" spans="1:27" ht="15.75" hidden="1" customHeight="1" x14ac:dyDescent="0.2">
      <c r="A303" s="5"/>
      <c r="B303" s="5"/>
      <c r="C303" s="284"/>
      <c r="D303" s="5"/>
      <c r="E303" s="5"/>
      <c r="F303" s="5"/>
      <c r="G303" s="5"/>
      <c r="H303" s="5"/>
      <c r="I303" s="5"/>
      <c r="J303" s="5"/>
      <c r="K303" s="284"/>
      <c r="L303" s="5"/>
      <c r="M303" s="5"/>
      <c r="N303" s="5"/>
      <c r="O303" s="5"/>
      <c r="P303" s="5"/>
      <c r="Q303" s="5"/>
      <c r="R303" s="5"/>
      <c r="S303" s="5"/>
    </row>
    <row r="304" spans="1:27" ht="15.75" hidden="1" customHeight="1" x14ac:dyDescent="0.2">
      <c r="A304" s="5"/>
      <c r="B304" s="5"/>
      <c r="C304" s="284"/>
      <c r="D304" s="5"/>
      <c r="E304" s="5"/>
      <c r="F304" s="5"/>
      <c r="G304" s="5"/>
      <c r="H304" s="5"/>
      <c r="I304" s="5"/>
      <c r="J304" s="5"/>
      <c r="K304" s="284"/>
      <c r="L304" s="5"/>
      <c r="M304" s="5"/>
      <c r="N304" s="5"/>
      <c r="O304" s="5"/>
      <c r="P304" s="5"/>
      <c r="Q304" s="5"/>
      <c r="R304" s="5"/>
      <c r="S304" s="5"/>
    </row>
    <row r="305" spans="1:19" ht="15.75" hidden="1" customHeight="1" x14ac:dyDescent="0.2">
      <c r="A305" s="5"/>
      <c r="B305" s="5"/>
      <c r="C305" s="284"/>
      <c r="D305" s="5"/>
      <c r="E305" s="5"/>
      <c r="F305" s="5"/>
      <c r="G305" s="5"/>
      <c r="H305" s="5"/>
      <c r="I305" s="5"/>
      <c r="J305" s="5"/>
      <c r="K305" s="284"/>
      <c r="L305" s="5"/>
      <c r="M305" s="5"/>
      <c r="N305" s="5"/>
      <c r="O305" s="5"/>
      <c r="P305" s="5"/>
      <c r="Q305" s="5"/>
      <c r="R305" s="5"/>
      <c r="S305" s="5"/>
    </row>
    <row r="306" spans="1:19" ht="15.75" hidden="1" customHeight="1" x14ac:dyDescent="0.2">
      <c r="A306" s="5"/>
      <c r="B306" s="5"/>
      <c r="C306" s="284"/>
      <c r="D306" s="5"/>
      <c r="E306" s="5"/>
      <c r="F306" s="5"/>
      <c r="G306" s="5"/>
      <c r="H306" s="5"/>
      <c r="I306" s="5"/>
      <c r="J306" s="5"/>
      <c r="K306" s="284"/>
      <c r="L306" s="5"/>
      <c r="M306" s="5"/>
      <c r="N306" s="5"/>
      <c r="O306" s="5"/>
      <c r="P306" s="5"/>
      <c r="Q306" s="5"/>
      <c r="R306" s="5"/>
      <c r="S306" s="5"/>
    </row>
    <row r="307" spans="1:19" ht="15.75" hidden="1" customHeight="1" x14ac:dyDescent="0.2">
      <c r="A307" s="5"/>
      <c r="B307" s="5"/>
      <c r="C307" s="284"/>
      <c r="D307" s="5"/>
      <c r="E307" s="5"/>
      <c r="F307" s="5"/>
      <c r="G307" s="5"/>
      <c r="H307" s="5"/>
      <c r="I307" s="5"/>
      <c r="J307" s="5"/>
      <c r="K307" s="284"/>
      <c r="L307" s="5"/>
      <c r="M307" s="5"/>
      <c r="N307" s="5"/>
      <c r="O307" s="5"/>
      <c r="P307" s="5"/>
      <c r="Q307" s="5"/>
      <c r="R307" s="5"/>
      <c r="S307" s="5"/>
    </row>
    <row r="308" spans="1:19" ht="15.75" hidden="1" customHeight="1" x14ac:dyDescent="0.2">
      <c r="A308" s="5"/>
      <c r="B308" s="5"/>
      <c r="C308" s="284"/>
      <c r="D308" s="5"/>
      <c r="E308" s="5"/>
      <c r="F308" s="5"/>
      <c r="G308" s="5"/>
      <c r="H308" s="5"/>
      <c r="I308" s="5"/>
      <c r="J308" s="5"/>
      <c r="K308" s="284"/>
      <c r="L308" s="5"/>
      <c r="M308" s="5"/>
      <c r="N308" s="5"/>
      <c r="O308" s="5"/>
      <c r="P308" s="5"/>
      <c r="Q308" s="5"/>
      <c r="R308" s="5"/>
      <c r="S308" s="5"/>
    </row>
    <row r="309" spans="1:19" ht="15.75" hidden="1" customHeight="1" x14ac:dyDescent="0.2">
      <c r="A309" s="5"/>
      <c r="B309" s="5"/>
      <c r="C309" s="284"/>
      <c r="D309" s="5"/>
      <c r="E309" s="5"/>
      <c r="F309" s="5"/>
      <c r="G309" s="5"/>
      <c r="H309" s="5"/>
      <c r="I309" s="5"/>
      <c r="J309" s="5"/>
      <c r="K309" s="284"/>
      <c r="L309" s="5"/>
      <c r="M309" s="5"/>
      <c r="N309" s="5"/>
      <c r="O309" s="5"/>
      <c r="P309" s="5"/>
      <c r="Q309" s="5"/>
      <c r="R309" s="5"/>
      <c r="S309" s="5"/>
    </row>
    <row r="310" spans="1:19" ht="15.75" hidden="1" customHeight="1" x14ac:dyDescent="0.2">
      <c r="A310" s="5"/>
      <c r="B310" s="5"/>
      <c r="C310" s="284"/>
      <c r="D310" s="5"/>
      <c r="E310" s="5"/>
      <c r="F310" s="5"/>
      <c r="G310" s="5"/>
      <c r="H310" s="5"/>
      <c r="I310" s="5"/>
      <c r="J310" s="5"/>
      <c r="K310" s="284"/>
      <c r="L310" s="5"/>
      <c r="M310" s="5"/>
      <c r="N310" s="5"/>
      <c r="O310" s="5"/>
      <c r="P310" s="5"/>
      <c r="Q310" s="5"/>
      <c r="R310" s="5"/>
      <c r="S310" s="5"/>
    </row>
    <row r="311" spans="1:19" ht="15.75" hidden="1" customHeight="1" x14ac:dyDescent="0.2">
      <c r="A311" s="5"/>
      <c r="B311" s="5"/>
      <c r="C311" s="284"/>
      <c r="D311" s="5"/>
      <c r="E311" s="5"/>
      <c r="F311" s="5"/>
      <c r="G311" s="5"/>
      <c r="H311" s="5"/>
      <c r="I311" s="5"/>
      <c r="J311" s="5"/>
      <c r="K311" s="284"/>
      <c r="L311" s="5"/>
      <c r="M311" s="5"/>
      <c r="N311" s="5"/>
      <c r="O311" s="5"/>
      <c r="P311" s="5"/>
      <c r="Q311" s="5"/>
      <c r="R311" s="5"/>
      <c r="S311" s="5"/>
    </row>
    <row r="312" spans="1:19" ht="15.75" hidden="1" customHeight="1" x14ac:dyDescent="0.2">
      <c r="A312" s="5"/>
      <c r="B312" s="5"/>
      <c r="C312" s="284"/>
      <c r="D312" s="5"/>
      <c r="E312" s="5"/>
      <c r="F312" s="5"/>
      <c r="G312" s="5"/>
      <c r="H312" s="5"/>
      <c r="I312" s="5"/>
      <c r="J312" s="5"/>
      <c r="K312" s="284"/>
      <c r="L312" s="5"/>
      <c r="M312" s="5"/>
      <c r="N312" s="5"/>
      <c r="O312" s="5"/>
      <c r="P312" s="5"/>
      <c r="Q312" s="5"/>
      <c r="R312" s="5"/>
      <c r="S312" s="5"/>
    </row>
    <row r="313" spans="1:19" ht="15.75" hidden="1" customHeight="1" x14ac:dyDescent="0.2">
      <c r="A313" s="5"/>
      <c r="B313" s="5"/>
      <c r="C313" s="284"/>
      <c r="D313" s="5"/>
      <c r="E313" s="5"/>
      <c r="F313" s="5"/>
      <c r="G313" s="5"/>
      <c r="H313" s="5"/>
      <c r="I313" s="5"/>
      <c r="J313" s="5"/>
      <c r="K313" s="284"/>
      <c r="L313" s="5"/>
      <c r="M313" s="5"/>
      <c r="N313" s="5"/>
      <c r="O313" s="5"/>
      <c r="P313" s="5"/>
      <c r="Q313" s="5"/>
      <c r="R313" s="5"/>
      <c r="S313" s="5"/>
    </row>
    <row r="314" spans="1:19" ht="15.75" hidden="1" customHeight="1" x14ac:dyDescent="0.2">
      <c r="A314" s="5"/>
      <c r="B314" s="5"/>
      <c r="C314" s="284"/>
      <c r="D314" s="5"/>
      <c r="E314" s="5"/>
      <c r="F314" s="5"/>
      <c r="G314" s="5"/>
      <c r="H314" s="5"/>
      <c r="I314" s="5"/>
      <c r="J314" s="5"/>
      <c r="K314" s="284"/>
      <c r="L314" s="5"/>
      <c r="M314" s="5"/>
      <c r="N314" s="5"/>
      <c r="O314" s="5"/>
      <c r="P314" s="5"/>
      <c r="Q314" s="5"/>
      <c r="R314" s="5"/>
      <c r="S314" s="5"/>
    </row>
    <row r="315" spans="1:19" ht="15.75" hidden="1" customHeight="1" x14ac:dyDescent="0.2">
      <c r="A315" s="5"/>
      <c r="B315" s="5"/>
      <c r="C315" s="284"/>
      <c r="D315" s="5"/>
      <c r="E315" s="5"/>
      <c r="F315" s="5"/>
      <c r="G315" s="5"/>
      <c r="H315" s="5"/>
      <c r="I315" s="5"/>
      <c r="J315" s="5"/>
      <c r="K315" s="284"/>
      <c r="L315" s="5"/>
      <c r="M315" s="5"/>
      <c r="N315" s="5"/>
      <c r="O315" s="5"/>
      <c r="P315" s="5"/>
      <c r="Q315" s="5"/>
      <c r="R315" s="5"/>
      <c r="S315" s="5"/>
    </row>
    <row r="316" spans="1:19" ht="15.75" hidden="1" customHeight="1" x14ac:dyDescent="0.2">
      <c r="A316" s="5"/>
      <c r="B316" s="5"/>
      <c r="C316" s="284"/>
      <c r="D316" s="5"/>
      <c r="E316" s="5"/>
      <c r="F316" s="5"/>
      <c r="G316" s="5"/>
      <c r="H316" s="5"/>
      <c r="I316" s="5"/>
      <c r="J316" s="5"/>
      <c r="K316" s="284"/>
      <c r="L316" s="5"/>
      <c r="M316" s="5"/>
      <c r="N316" s="5"/>
      <c r="O316" s="5"/>
      <c r="P316" s="5"/>
      <c r="Q316" s="5"/>
      <c r="R316" s="5"/>
      <c r="S316" s="5"/>
    </row>
    <row r="317" spans="1:19" ht="15.75" hidden="1" customHeight="1" x14ac:dyDescent="0.2">
      <c r="A317" s="5"/>
      <c r="B317" s="5"/>
      <c r="C317" s="284"/>
      <c r="D317" s="5"/>
      <c r="E317" s="5"/>
      <c r="F317" s="5"/>
      <c r="G317" s="5"/>
      <c r="H317" s="5"/>
      <c r="I317" s="5"/>
      <c r="J317" s="5"/>
      <c r="K317" s="284"/>
      <c r="L317" s="5"/>
      <c r="M317" s="5"/>
      <c r="N317" s="5"/>
      <c r="O317" s="5"/>
      <c r="P317" s="5"/>
      <c r="Q317" s="5"/>
      <c r="R317" s="5"/>
      <c r="S317" s="5"/>
    </row>
    <row r="318" spans="1:19" ht="15.75" hidden="1" customHeight="1" x14ac:dyDescent="0.2">
      <c r="A318" s="5"/>
      <c r="B318" s="5"/>
      <c r="C318" s="284"/>
      <c r="D318" s="5"/>
      <c r="E318" s="5"/>
      <c r="F318" s="5"/>
      <c r="G318" s="5"/>
      <c r="H318" s="5"/>
      <c r="I318" s="5"/>
      <c r="J318" s="5"/>
      <c r="K318" s="284"/>
      <c r="L318" s="5"/>
      <c r="M318" s="5"/>
      <c r="N318" s="5"/>
      <c r="O318" s="5"/>
      <c r="P318" s="5"/>
      <c r="Q318" s="5"/>
      <c r="R318" s="5"/>
      <c r="S318" s="5"/>
    </row>
    <row r="319" spans="1:19" ht="15.75" hidden="1" customHeight="1" x14ac:dyDescent="0.2">
      <c r="A319" s="5"/>
      <c r="B319" s="5"/>
      <c r="C319" s="284"/>
      <c r="D319" s="5"/>
      <c r="E319" s="5"/>
      <c r="F319" s="5"/>
      <c r="G319" s="5"/>
      <c r="H319" s="5"/>
      <c r="I319" s="5"/>
      <c r="J319" s="5"/>
      <c r="K319" s="284"/>
      <c r="L319" s="5"/>
      <c r="M319" s="5"/>
      <c r="N319" s="5"/>
      <c r="O319" s="5"/>
      <c r="P319" s="5"/>
      <c r="Q319" s="5"/>
      <c r="R319" s="5"/>
      <c r="S319" s="5"/>
    </row>
    <row r="320" spans="1:19" ht="15.75" hidden="1" customHeight="1" x14ac:dyDescent="0.2">
      <c r="A320" s="5"/>
      <c r="B320" s="5"/>
      <c r="C320" s="284"/>
      <c r="D320" s="5"/>
      <c r="E320" s="5"/>
      <c r="F320" s="5"/>
      <c r="G320" s="5"/>
      <c r="H320" s="5"/>
      <c r="I320" s="5"/>
      <c r="J320" s="5"/>
      <c r="K320" s="284"/>
      <c r="L320" s="5"/>
      <c r="M320" s="5"/>
      <c r="N320" s="5"/>
      <c r="O320" s="5"/>
      <c r="P320" s="5"/>
      <c r="Q320" s="5"/>
      <c r="R320" s="5"/>
      <c r="S320" s="5"/>
    </row>
    <row r="321" spans="1:19" ht="15.75" hidden="1" customHeight="1" x14ac:dyDescent="0.2">
      <c r="A321" s="5"/>
      <c r="B321" s="5"/>
      <c r="C321" s="284"/>
      <c r="D321" s="5"/>
      <c r="E321" s="5"/>
      <c r="F321" s="5"/>
      <c r="G321" s="5"/>
      <c r="H321" s="5"/>
      <c r="I321" s="5"/>
      <c r="J321" s="5"/>
      <c r="K321" s="284"/>
      <c r="L321" s="5"/>
      <c r="M321" s="5"/>
      <c r="N321" s="5"/>
      <c r="O321" s="5"/>
      <c r="P321" s="5"/>
      <c r="Q321" s="5"/>
      <c r="R321" s="5"/>
      <c r="S321" s="5"/>
    </row>
    <row r="322" spans="1:19" ht="15.75" hidden="1" customHeight="1" x14ac:dyDescent="0.2">
      <c r="A322" s="5"/>
      <c r="B322" s="5"/>
      <c r="C322" s="284"/>
      <c r="D322" s="5"/>
      <c r="E322" s="5"/>
      <c r="F322" s="5"/>
      <c r="G322" s="5"/>
      <c r="H322" s="5"/>
      <c r="I322" s="5"/>
      <c r="J322" s="5"/>
      <c r="K322" s="284"/>
      <c r="L322" s="5"/>
      <c r="M322" s="5"/>
      <c r="N322" s="5"/>
      <c r="O322" s="5"/>
      <c r="P322" s="5"/>
      <c r="Q322" s="5"/>
      <c r="R322" s="5"/>
      <c r="S322" s="5"/>
    </row>
    <row r="323" spans="1:19" ht="15.75" hidden="1" customHeight="1" x14ac:dyDescent="0.2">
      <c r="A323" s="5"/>
      <c r="B323" s="5"/>
      <c r="C323" s="284"/>
      <c r="D323" s="5"/>
      <c r="E323" s="5"/>
      <c r="F323" s="5"/>
      <c r="G323" s="5"/>
      <c r="H323" s="5"/>
      <c r="I323" s="5"/>
      <c r="J323" s="5"/>
      <c r="K323" s="284"/>
      <c r="L323" s="5"/>
      <c r="M323" s="5"/>
      <c r="N323" s="5"/>
      <c r="O323" s="5"/>
      <c r="P323" s="5"/>
      <c r="Q323" s="5"/>
      <c r="R323" s="5"/>
      <c r="S323" s="5"/>
    </row>
    <row r="324" spans="1:19" ht="15.75" hidden="1" customHeight="1" x14ac:dyDescent="0.2">
      <c r="A324" s="5"/>
      <c r="B324" s="5"/>
      <c r="C324" s="284"/>
      <c r="D324" s="5"/>
      <c r="E324" s="5"/>
      <c r="F324" s="5"/>
      <c r="G324" s="5"/>
      <c r="H324" s="5"/>
      <c r="I324" s="5"/>
      <c r="J324" s="5"/>
      <c r="K324" s="284"/>
      <c r="L324" s="5"/>
      <c r="M324" s="5"/>
      <c r="N324" s="5"/>
      <c r="O324" s="5"/>
      <c r="P324" s="5"/>
      <c r="Q324" s="5"/>
      <c r="R324" s="5"/>
      <c r="S324" s="5"/>
    </row>
    <row r="325" spans="1:19" ht="15.75" hidden="1" customHeight="1" x14ac:dyDescent="0.2">
      <c r="A325" s="5"/>
      <c r="B325" s="5"/>
      <c r="C325" s="284"/>
      <c r="D325" s="5"/>
      <c r="E325" s="5"/>
      <c r="F325" s="5"/>
      <c r="G325" s="5"/>
      <c r="H325" s="5"/>
      <c r="I325" s="5"/>
      <c r="J325" s="5"/>
      <c r="K325" s="284"/>
      <c r="L325" s="5"/>
      <c r="M325" s="5"/>
      <c r="N325" s="5"/>
      <c r="O325" s="5"/>
      <c r="P325" s="5"/>
      <c r="Q325" s="5"/>
      <c r="R325" s="5"/>
      <c r="S325" s="5"/>
    </row>
    <row r="326" spans="1:19" ht="15.75" hidden="1" customHeight="1" x14ac:dyDescent="0.2">
      <c r="A326" s="5"/>
      <c r="B326" s="5"/>
      <c r="C326" s="284"/>
      <c r="D326" s="5"/>
      <c r="E326" s="5"/>
      <c r="F326" s="5"/>
      <c r="G326" s="5"/>
      <c r="H326" s="5"/>
      <c r="I326" s="5"/>
      <c r="J326" s="5"/>
      <c r="K326" s="284"/>
      <c r="L326" s="5"/>
      <c r="M326" s="5"/>
      <c r="N326" s="5"/>
      <c r="O326" s="5"/>
      <c r="P326" s="5"/>
      <c r="Q326" s="5"/>
      <c r="R326" s="5"/>
      <c r="S326" s="5"/>
    </row>
    <row r="327" spans="1:19" ht="15.75" hidden="1" customHeight="1" x14ac:dyDescent="0.2">
      <c r="A327" s="5"/>
      <c r="B327" s="5"/>
      <c r="C327" s="284"/>
      <c r="D327" s="5"/>
      <c r="E327" s="5"/>
      <c r="F327" s="5"/>
      <c r="G327" s="5"/>
      <c r="H327" s="5"/>
      <c r="I327" s="5"/>
      <c r="J327" s="5"/>
      <c r="K327" s="284"/>
      <c r="L327" s="5"/>
      <c r="M327" s="5"/>
      <c r="N327" s="5"/>
      <c r="O327" s="5"/>
      <c r="P327" s="5"/>
      <c r="Q327" s="5"/>
      <c r="R327" s="5"/>
      <c r="S327" s="5"/>
    </row>
    <row r="328" spans="1:19" ht="15.75" hidden="1" customHeight="1" x14ac:dyDescent="0.2">
      <c r="A328" s="5"/>
      <c r="B328" s="5"/>
      <c r="C328" s="284"/>
      <c r="D328" s="5"/>
      <c r="E328" s="5"/>
      <c r="F328" s="5"/>
      <c r="G328" s="5"/>
      <c r="H328" s="5"/>
      <c r="I328" s="5"/>
      <c r="J328" s="5"/>
      <c r="K328" s="284"/>
      <c r="L328" s="5"/>
      <c r="M328" s="5"/>
      <c r="N328" s="5"/>
      <c r="O328" s="5"/>
      <c r="P328" s="5"/>
      <c r="Q328" s="5"/>
      <c r="R328" s="5"/>
      <c r="S328" s="5"/>
    </row>
    <row r="329" spans="1:19" ht="15.75" hidden="1" customHeight="1" x14ac:dyDescent="0.2">
      <c r="A329" s="5"/>
      <c r="B329" s="5"/>
      <c r="C329" s="284"/>
      <c r="D329" s="5"/>
      <c r="E329" s="5"/>
      <c r="F329" s="5"/>
      <c r="G329" s="5"/>
      <c r="H329" s="5"/>
      <c r="I329" s="5"/>
      <c r="J329" s="5"/>
      <c r="K329" s="284"/>
      <c r="L329" s="5"/>
      <c r="M329" s="5"/>
      <c r="N329" s="5"/>
      <c r="O329" s="5"/>
      <c r="P329" s="5"/>
      <c r="Q329" s="5"/>
      <c r="R329" s="5"/>
      <c r="S329" s="5"/>
    </row>
    <row r="330" spans="1:19" ht="15.75" hidden="1" customHeight="1" x14ac:dyDescent="0.2">
      <c r="A330" s="5"/>
      <c r="B330" s="5"/>
      <c r="C330" s="284"/>
      <c r="D330" s="5"/>
      <c r="E330" s="5"/>
      <c r="F330" s="5"/>
      <c r="G330" s="5"/>
      <c r="H330" s="5"/>
      <c r="I330" s="5"/>
      <c r="J330" s="5"/>
      <c r="K330" s="284"/>
      <c r="L330" s="5"/>
      <c r="M330" s="5"/>
      <c r="N330" s="5"/>
      <c r="O330" s="5"/>
      <c r="P330" s="5"/>
      <c r="Q330" s="5"/>
      <c r="R330" s="5"/>
      <c r="S330" s="5"/>
    </row>
    <row r="331" spans="1:19" ht="15.75" hidden="1" customHeight="1" x14ac:dyDescent="0.2">
      <c r="A331" s="5"/>
      <c r="B331" s="5"/>
      <c r="C331" s="284"/>
      <c r="D331" s="5"/>
      <c r="E331" s="5"/>
      <c r="F331" s="5"/>
      <c r="G331" s="5"/>
      <c r="H331" s="5"/>
      <c r="I331" s="5"/>
      <c r="J331" s="5"/>
      <c r="K331" s="284"/>
      <c r="L331" s="5"/>
      <c r="M331" s="5"/>
      <c r="N331" s="5"/>
      <c r="O331" s="5"/>
      <c r="P331" s="5"/>
      <c r="Q331" s="5"/>
      <c r="R331" s="5"/>
      <c r="S331" s="5"/>
    </row>
    <row r="332" spans="1:19" ht="15.75" hidden="1" customHeight="1" x14ac:dyDescent="0.2">
      <c r="A332" s="5"/>
      <c r="B332" s="5"/>
      <c r="C332" s="284"/>
      <c r="D332" s="5"/>
      <c r="E332" s="5"/>
      <c r="F332" s="5"/>
      <c r="G332" s="5"/>
      <c r="H332" s="5"/>
      <c r="I332" s="5"/>
      <c r="J332" s="5"/>
      <c r="K332" s="284"/>
      <c r="L332" s="5"/>
      <c r="M332" s="5"/>
      <c r="N332" s="5"/>
      <c r="O332" s="5"/>
      <c r="P332" s="5"/>
      <c r="Q332" s="5"/>
      <c r="R332" s="5"/>
      <c r="S332" s="5"/>
    </row>
    <row r="333" spans="1:19" ht="15.75" hidden="1" customHeight="1" x14ac:dyDescent="0.2">
      <c r="A333" s="5"/>
      <c r="B333" s="5"/>
      <c r="C333" s="284"/>
      <c r="D333" s="5"/>
      <c r="E333" s="5"/>
      <c r="F333" s="5"/>
      <c r="G333" s="5"/>
      <c r="H333" s="5"/>
      <c r="I333" s="5"/>
      <c r="J333" s="5"/>
      <c r="K333" s="284"/>
      <c r="L333" s="5"/>
      <c r="M333" s="5"/>
      <c r="N333" s="5"/>
      <c r="O333" s="5"/>
      <c r="P333" s="5"/>
      <c r="Q333" s="5"/>
      <c r="R333" s="5"/>
      <c r="S333" s="5"/>
    </row>
    <row r="334" spans="1:19" ht="15.75" hidden="1" customHeight="1" x14ac:dyDescent="0.2">
      <c r="A334" s="5"/>
      <c r="B334" s="5"/>
      <c r="C334" s="284"/>
      <c r="D334" s="5"/>
      <c r="E334" s="5"/>
      <c r="F334" s="5"/>
      <c r="G334" s="5"/>
      <c r="H334" s="5"/>
      <c r="I334" s="5"/>
      <c r="J334" s="5"/>
      <c r="K334" s="284"/>
      <c r="L334" s="5"/>
      <c r="M334" s="5"/>
      <c r="N334" s="5"/>
      <c r="O334" s="5"/>
      <c r="P334" s="5"/>
      <c r="Q334" s="5"/>
      <c r="R334" s="5"/>
      <c r="S334" s="5"/>
    </row>
    <row r="335" spans="1:19" ht="15.75" hidden="1" customHeight="1" x14ac:dyDescent="0.2">
      <c r="A335" s="5"/>
      <c r="B335" s="5"/>
      <c r="C335" s="284"/>
      <c r="D335" s="5"/>
      <c r="E335" s="5"/>
      <c r="F335" s="5"/>
      <c r="G335" s="5"/>
      <c r="H335" s="5"/>
      <c r="I335" s="5"/>
      <c r="J335" s="5"/>
      <c r="K335" s="284"/>
      <c r="L335" s="5"/>
      <c r="M335" s="5"/>
      <c r="N335" s="5"/>
      <c r="O335" s="5"/>
      <c r="P335" s="5"/>
      <c r="Q335" s="5"/>
      <c r="R335" s="5"/>
      <c r="S335" s="5"/>
    </row>
    <row r="336" spans="1:19" ht="15.75" hidden="1" customHeight="1" x14ac:dyDescent="0.2">
      <c r="A336" s="5"/>
      <c r="B336" s="5"/>
      <c r="C336" s="284"/>
      <c r="D336" s="5"/>
      <c r="E336" s="5"/>
      <c r="F336" s="5"/>
      <c r="G336" s="5"/>
      <c r="H336" s="5"/>
      <c r="I336" s="5"/>
      <c r="J336" s="5"/>
      <c r="K336" s="284"/>
      <c r="L336" s="5"/>
      <c r="M336" s="5"/>
      <c r="N336" s="5"/>
      <c r="O336" s="5"/>
      <c r="P336" s="5"/>
      <c r="Q336" s="5"/>
      <c r="R336" s="5"/>
      <c r="S336" s="5"/>
    </row>
    <row r="337" spans="1:19" ht="15.75" hidden="1" customHeight="1" x14ac:dyDescent="0.2">
      <c r="A337" s="5"/>
      <c r="B337" s="5"/>
      <c r="C337" s="284"/>
      <c r="D337" s="5"/>
      <c r="E337" s="5"/>
      <c r="F337" s="5"/>
      <c r="G337" s="5"/>
      <c r="H337" s="5"/>
      <c r="I337" s="5"/>
      <c r="J337" s="5"/>
      <c r="K337" s="284"/>
      <c r="L337" s="5"/>
      <c r="M337" s="5"/>
      <c r="N337" s="5"/>
      <c r="O337" s="5"/>
      <c r="P337" s="5"/>
      <c r="Q337" s="5"/>
      <c r="R337" s="5"/>
      <c r="S337" s="5"/>
    </row>
    <row r="338" spans="1:19" ht="15.75" hidden="1" customHeight="1" x14ac:dyDescent="0.2">
      <c r="A338" s="5"/>
      <c r="B338" s="5"/>
      <c r="C338" s="284"/>
      <c r="D338" s="5"/>
      <c r="E338" s="5"/>
      <c r="F338" s="5"/>
      <c r="G338" s="5"/>
      <c r="H338" s="5"/>
      <c r="I338" s="5"/>
      <c r="J338" s="5"/>
      <c r="K338" s="284"/>
      <c r="L338" s="5"/>
      <c r="M338" s="5"/>
      <c r="N338" s="5"/>
      <c r="O338" s="5"/>
      <c r="P338" s="5"/>
      <c r="Q338" s="5"/>
      <c r="R338" s="5"/>
      <c r="S338" s="5"/>
    </row>
    <row r="339" spans="1:19" ht="15.75" hidden="1" customHeight="1" x14ac:dyDescent="0.2">
      <c r="A339" s="5"/>
      <c r="B339" s="5"/>
      <c r="C339" s="284"/>
      <c r="D339" s="5"/>
      <c r="E339" s="5"/>
      <c r="F339" s="5"/>
      <c r="G339" s="5"/>
      <c r="H339" s="5"/>
      <c r="I339" s="5"/>
      <c r="J339" s="5"/>
      <c r="K339" s="284"/>
      <c r="L339" s="5"/>
      <c r="M339" s="5"/>
      <c r="N339" s="5"/>
      <c r="O339" s="5"/>
      <c r="P339" s="5"/>
      <c r="Q339" s="5"/>
      <c r="R339" s="5"/>
      <c r="S339" s="5"/>
    </row>
    <row r="340" spans="1:19" ht="15.75" hidden="1" customHeight="1" x14ac:dyDescent="0.2">
      <c r="A340" s="5"/>
      <c r="B340" s="5"/>
      <c r="C340" s="284"/>
      <c r="D340" s="5"/>
      <c r="E340" s="5"/>
      <c r="F340" s="5"/>
      <c r="G340" s="5"/>
      <c r="H340" s="5"/>
      <c r="I340" s="5"/>
      <c r="J340" s="5"/>
      <c r="K340" s="284"/>
      <c r="L340" s="5"/>
      <c r="M340" s="5"/>
      <c r="N340" s="5"/>
      <c r="O340" s="5"/>
      <c r="P340" s="5"/>
      <c r="Q340" s="5"/>
      <c r="R340" s="5"/>
      <c r="S340" s="5"/>
    </row>
    <row r="341" spans="1:19" ht="15.75" hidden="1" customHeight="1" x14ac:dyDescent="0.2">
      <c r="A341" s="5"/>
      <c r="B341" s="5"/>
      <c r="C341" s="284"/>
      <c r="D341" s="5"/>
      <c r="E341" s="5"/>
      <c r="F341" s="5"/>
      <c r="G341" s="5"/>
      <c r="H341" s="5"/>
      <c r="I341" s="5"/>
      <c r="J341" s="5"/>
      <c r="K341" s="284"/>
      <c r="L341" s="5"/>
      <c r="M341" s="5"/>
      <c r="N341" s="5"/>
      <c r="O341" s="5"/>
      <c r="P341" s="5"/>
      <c r="Q341" s="5"/>
      <c r="R341" s="5"/>
      <c r="S341" s="5"/>
    </row>
    <row r="342" spans="1:19" ht="15.75" hidden="1" customHeight="1" x14ac:dyDescent="0.2">
      <c r="A342" s="5"/>
      <c r="B342" s="5"/>
      <c r="C342" s="284"/>
      <c r="D342" s="5"/>
      <c r="E342" s="5"/>
      <c r="F342" s="5"/>
      <c r="G342" s="5"/>
      <c r="H342" s="5"/>
      <c r="I342" s="5"/>
      <c r="J342" s="5"/>
      <c r="K342" s="284"/>
      <c r="L342" s="5"/>
      <c r="M342" s="5"/>
      <c r="N342" s="5"/>
      <c r="O342" s="5"/>
      <c r="P342" s="5"/>
      <c r="Q342" s="5"/>
      <c r="R342" s="5"/>
      <c r="S342" s="5"/>
    </row>
    <row r="343" spans="1:19" ht="15.75" hidden="1" customHeight="1" x14ac:dyDescent="0.2">
      <c r="A343" s="5"/>
      <c r="B343" s="5"/>
      <c r="C343" s="284"/>
      <c r="D343" s="5"/>
      <c r="E343" s="5"/>
      <c r="F343" s="5"/>
      <c r="G343" s="5"/>
      <c r="H343" s="5"/>
      <c r="I343" s="5"/>
      <c r="J343" s="5"/>
      <c r="K343" s="284"/>
      <c r="L343" s="5"/>
      <c r="M343" s="5"/>
      <c r="N343" s="5"/>
      <c r="O343" s="5"/>
      <c r="P343" s="5"/>
      <c r="Q343" s="5"/>
      <c r="R343" s="5"/>
      <c r="S343" s="5"/>
    </row>
    <row r="344" spans="1:19" ht="15.75" hidden="1" customHeight="1" x14ac:dyDescent="0.2">
      <c r="A344" s="5"/>
      <c r="B344" s="5"/>
      <c r="C344" s="284"/>
      <c r="D344" s="5"/>
      <c r="E344" s="5"/>
      <c r="F344" s="5"/>
      <c r="G344" s="5"/>
      <c r="H344" s="5"/>
      <c r="I344" s="5"/>
      <c r="J344" s="5"/>
      <c r="K344" s="284"/>
      <c r="L344" s="5"/>
      <c r="M344" s="5"/>
      <c r="N344" s="5"/>
      <c r="O344" s="5"/>
      <c r="P344" s="5"/>
      <c r="Q344" s="5"/>
      <c r="R344" s="5"/>
      <c r="S344" s="5"/>
    </row>
    <row r="345" spans="1:19" ht="15.75" hidden="1" customHeight="1" x14ac:dyDescent="0.2">
      <c r="A345" s="11"/>
      <c r="B345" s="5"/>
      <c r="C345" s="284"/>
      <c r="D345" s="5"/>
      <c r="E345" s="5"/>
      <c r="F345" s="5"/>
      <c r="G345" s="5"/>
      <c r="H345" s="5"/>
      <c r="I345" s="5"/>
      <c r="J345" s="5"/>
      <c r="K345" s="284"/>
      <c r="L345" s="5"/>
      <c r="M345" s="5"/>
      <c r="N345" s="5"/>
      <c r="O345" s="5"/>
      <c r="P345" s="5"/>
      <c r="Q345" s="5"/>
      <c r="R345" s="5"/>
      <c r="S345" s="5"/>
    </row>
    <row r="346" spans="1:19" ht="15.75" hidden="1" customHeight="1" outlineLevel="1" x14ac:dyDescent="0.2">
      <c r="A346" s="5"/>
      <c r="B346" s="5"/>
      <c r="C346" s="284"/>
      <c r="D346" s="5"/>
      <c r="E346" s="5"/>
      <c r="F346" s="5"/>
      <c r="G346" s="5"/>
      <c r="H346" s="5"/>
      <c r="I346" s="5"/>
      <c r="J346" s="5"/>
      <c r="K346" s="284"/>
      <c r="L346" s="5"/>
      <c r="M346" s="5"/>
      <c r="N346" s="5"/>
      <c r="O346" s="5"/>
      <c r="P346" s="5"/>
      <c r="Q346" s="5"/>
      <c r="R346" s="5"/>
      <c r="S346" s="5"/>
    </row>
    <row r="347" spans="1:19" ht="15.75" hidden="1" customHeight="1" outlineLevel="1" x14ac:dyDescent="0.2">
      <c r="A347" s="3" t="s">
        <v>50</v>
      </c>
      <c r="B347" s="3" t="s">
        <v>51</v>
      </c>
      <c r="C347" s="292"/>
      <c r="D347" s="3" t="s">
        <v>52</v>
      </c>
      <c r="E347" s="380" t="s">
        <v>53</v>
      </c>
      <c r="F347" s="380" t="s">
        <v>1212</v>
      </c>
      <c r="G347" s="380" t="s">
        <v>55</v>
      </c>
      <c r="H347" s="230" t="s">
        <v>56</v>
      </c>
      <c r="I347" s="230" t="s">
        <v>57</v>
      </c>
      <c r="J347" s="5"/>
      <c r="K347" s="292"/>
      <c r="L347" s="3" t="s">
        <v>59</v>
      </c>
      <c r="M347" s="3" t="s">
        <v>60</v>
      </c>
      <c r="N347" s="3" t="s">
        <v>436</v>
      </c>
      <c r="O347" s="3" t="s">
        <v>437</v>
      </c>
      <c r="P347" s="70">
        <f>P1</f>
        <v>0</v>
      </c>
      <c r="Q347" s="293" t="s">
        <v>438</v>
      </c>
      <c r="R347" s="70">
        <f>R1</f>
        <v>0</v>
      </c>
      <c r="S347" s="3" t="s">
        <v>586</v>
      </c>
    </row>
    <row r="348" spans="1:19" ht="15.75" hidden="1" customHeight="1" outlineLevel="1" x14ac:dyDescent="0.25">
      <c r="A348" s="6" t="s">
        <v>1437</v>
      </c>
      <c r="B348" s="6" t="s">
        <v>68</v>
      </c>
      <c r="C348" s="383"/>
      <c r="D348" s="265">
        <v>95580</v>
      </c>
      <c r="E348" s="216" t="e">
        <f>D348*#REF!</f>
        <v>#REF!</v>
      </c>
      <c r="F348" s="216" t="e">
        <f>D348*#REF!</f>
        <v>#REF!</v>
      </c>
      <c r="G348" s="216" t="e">
        <f>(D348*#REF!)*#REF!</f>
        <v>#REF!</v>
      </c>
      <c r="H348" s="211">
        <f t="shared" ref="H348:H367" si="210">IFERROR(((Q348-D348)/D348),0)</f>
        <v>-1</v>
      </c>
      <c r="I348" s="7" t="e">
        <f t="shared" ref="I348:I367" si="211">Q348-G348</f>
        <v>#REF!</v>
      </c>
      <c r="J348" s="5"/>
      <c r="K348" s="383"/>
      <c r="L348" s="265">
        <v>194379</v>
      </c>
      <c r="M348" s="216">
        <v>0</v>
      </c>
      <c r="N348" s="216">
        <v>0</v>
      </c>
      <c r="O348" s="216">
        <f>VLOOKUP(A348,TB!A:F,3)</f>
        <v>0</v>
      </c>
      <c r="P348" s="216"/>
      <c r="Q348" s="216">
        <v>0</v>
      </c>
      <c r="R348" s="6">
        <f>VLOOKUP(A348,TB!A:F,6)</f>
        <v>0</v>
      </c>
      <c r="S348" s="5"/>
    </row>
    <row r="349" spans="1:19" ht="15.75" hidden="1" customHeight="1" outlineLevel="1" x14ac:dyDescent="0.25">
      <c r="A349" s="6" t="s">
        <v>1438</v>
      </c>
      <c r="B349" s="6" t="s">
        <v>70</v>
      </c>
      <c r="C349" s="280"/>
      <c r="D349" s="216">
        <v>1075</v>
      </c>
      <c r="E349" s="216" t="e">
        <f>D349*#REF!</f>
        <v>#REF!</v>
      </c>
      <c r="F349" s="216" t="e">
        <f>D349*#REF!</f>
        <v>#REF!</v>
      </c>
      <c r="G349" s="216" t="e">
        <f>(D349*#REF!)*#REF!</f>
        <v>#REF!</v>
      </c>
      <c r="H349" s="211">
        <f t="shared" si="210"/>
        <v>-1</v>
      </c>
      <c r="I349" s="7" t="e">
        <f t="shared" si="211"/>
        <v>#REF!</v>
      </c>
      <c r="J349" s="5"/>
      <c r="K349" s="280"/>
      <c r="L349" s="216">
        <v>7412</v>
      </c>
      <c r="M349" s="216">
        <v>0</v>
      </c>
      <c r="N349" s="216">
        <v>0</v>
      </c>
      <c r="O349" s="216">
        <f>VLOOKUP(A349,TB!A:F,3)</f>
        <v>0</v>
      </c>
      <c r="P349" s="216"/>
      <c r="Q349" s="216">
        <v>0</v>
      </c>
      <c r="R349" s="6">
        <f>VLOOKUP(A349,TB!A:F,6)</f>
        <v>0</v>
      </c>
      <c r="S349" s="5"/>
    </row>
    <row r="350" spans="1:19" ht="15.75" hidden="1" customHeight="1" outlineLevel="1" x14ac:dyDescent="0.25">
      <c r="A350" s="6" t="s">
        <v>1439</v>
      </c>
      <c r="B350" s="6" t="s">
        <v>132</v>
      </c>
      <c r="C350" s="280"/>
      <c r="D350" s="216">
        <v>0</v>
      </c>
      <c r="E350" s="216" t="e">
        <f>D350*#REF!</f>
        <v>#REF!</v>
      </c>
      <c r="F350" s="216" t="e">
        <f>D350*#REF!</f>
        <v>#REF!</v>
      </c>
      <c r="G350" s="216" t="e">
        <f>(D350*#REF!)*#REF!</f>
        <v>#REF!</v>
      </c>
      <c r="H350" s="211">
        <f t="shared" si="210"/>
        <v>0</v>
      </c>
      <c r="I350" s="7" t="e">
        <f t="shared" si="211"/>
        <v>#REF!</v>
      </c>
      <c r="J350" s="5"/>
      <c r="K350" s="280"/>
      <c r="L350" s="216">
        <v>0</v>
      </c>
      <c r="M350" s="216">
        <v>0</v>
      </c>
      <c r="N350" s="216">
        <v>0</v>
      </c>
      <c r="O350" s="216">
        <f>VLOOKUP(A350,TB!A:F,3)</f>
        <v>0</v>
      </c>
      <c r="P350" s="216"/>
      <c r="Q350" s="216">
        <v>0</v>
      </c>
      <c r="R350" s="6">
        <f>VLOOKUP(A350,TB!A:F,6)</f>
        <v>0</v>
      </c>
      <c r="S350" s="5"/>
    </row>
    <row r="351" spans="1:19" ht="15.75" hidden="1" customHeight="1" outlineLevel="1" x14ac:dyDescent="0.25">
      <c r="A351" s="6" t="s">
        <v>1440</v>
      </c>
      <c r="B351" s="6" t="s">
        <v>108</v>
      </c>
      <c r="C351" s="280"/>
      <c r="D351" s="216">
        <v>106361</v>
      </c>
      <c r="E351" s="216" t="e">
        <f>D351*#REF!</f>
        <v>#REF!</v>
      </c>
      <c r="F351" s="216" t="e">
        <f>D351*#REF!</f>
        <v>#REF!</v>
      </c>
      <c r="G351" s="216" t="e">
        <f>(D351*#REF!)*#REF!</f>
        <v>#REF!</v>
      </c>
      <c r="H351" s="211">
        <f t="shared" si="210"/>
        <v>-1</v>
      </c>
      <c r="I351" s="7" t="e">
        <f t="shared" si="211"/>
        <v>#REF!</v>
      </c>
      <c r="J351" s="5"/>
      <c r="K351" s="280"/>
      <c r="L351" s="216">
        <v>87202</v>
      </c>
      <c r="M351" s="216">
        <v>0</v>
      </c>
      <c r="N351" s="216">
        <v>0</v>
      </c>
      <c r="O351" s="216">
        <f>VLOOKUP(A351,TB!A:F,3)</f>
        <v>0</v>
      </c>
      <c r="P351" s="216"/>
      <c r="Q351" s="216">
        <v>0</v>
      </c>
      <c r="R351" s="6">
        <f>VLOOKUP(A351,TB!A:F,6)</f>
        <v>0</v>
      </c>
      <c r="S351" s="5"/>
    </row>
    <row r="352" spans="1:19" ht="15.75" hidden="1" customHeight="1" outlineLevel="1" x14ac:dyDescent="0.25">
      <c r="A352" s="6" t="s">
        <v>1441</v>
      </c>
      <c r="B352" s="6" t="s">
        <v>72</v>
      </c>
      <c r="C352" s="280"/>
      <c r="D352" s="216">
        <v>65521</v>
      </c>
      <c r="E352" s="216" t="e">
        <f>D352*#REF!</f>
        <v>#REF!</v>
      </c>
      <c r="F352" s="216" t="e">
        <f>D352*#REF!</f>
        <v>#REF!</v>
      </c>
      <c r="G352" s="216" t="e">
        <f>(D352*#REF!)*#REF!</f>
        <v>#REF!</v>
      </c>
      <c r="H352" s="211">
        <f t="shared" si="210"/>
        <v>-1</v>
      </c>
      <c r="I352" s="7" t="e">
        <f t="shared" si="211"/>
        <v>#REF!</v>
      </c>
      <c r="J352" s="5"/>
      <c r="K352" s="280"/>
      <c r="L352" s="216">
        <v>105961</v>
      </c>
      <c r="M352" s="216">
        <v>0</v>
      </c>
      <c r="N352" s="216">
        <v>0</v>
      </c>
      <c r="O352" s="216">
        <f>VLOOKUP(A352,TB!A:F,3)</f>
        <v>0</v>
      </c>
      <c r="P352" s="216"/>
      <c r="Q352" s="216">
        <v>0</v>
      </c>
      <c r="R352" s="6">
        <f>VLOOKUP(A352,TB!A:F,6)</f>
        <v>0</v>
      </c>
      <c r="S352" s="5"/>
    </row>
    <row r="353" spans="1:19" ht="15.75" hidden="1" customHeight="1" outlineLevel="1" x14ac:dyDescent="0.25">
      <c r="A353" s="6" t="s">
        <v>1442</v>
      </c>
      <c r="B353" s="6" t="s">
        <v>892</v>
      </c>
      <c r="C353" s="280"/>
      <c r="D353" s="216">
        <v>2676</v>
      </c>
      <c r="E353" s="216" t="e">
        <f>D353*#REF!</f>
        <v>#REF!</v>
      </c>
      <c r="F353" s="216" t="e">
        <f>D353*#REF!</f>
        <v>#REF!</v>
      </c>
      <c r="G353" s="216" t="e">
        <f>(D353*#REF!)*#REF!</f>
        <v>#REF!</v>
      </c>
      <c r="H353" s="211">
        <f t="shared" si="210"/>
        <v>-1</v>
      </c>
      <c r="I353" s="7" t="e">
        <f t="shared" si="211"/>
        <v>#REF!</v>
      </c>
      <c r="J353" s="5"/>
      <c r="K353" s="280"/>
      <c r="L353" s="216">
        <v>2538</v>
      </c>
      <c r="M353" s="216">
        <v>0</v>
      </c>
      <c r="N353" s="216">
        <v>0</v>
      </c>
      <c r="O353" s="216">
        <f>VLOOKUP(A353,TB!A:F,3)</f>
        <v>0</v>
      </c>
      <c r="P353" s="216"/>
      <c r="Q353" s="216">
        <v>0</v>
      </c>
      <c r="R353" s="6">
        <f>VLOOKUP(A353,TB!A:F,6)</f>
        <v>0</v>
      </c>
      <c r="S353" s="5"/>
    </row>
    <row r="354" spans="1:19" ht="15.75" hidden="1" customHeight="1" outlineLevel="1" x14ac:dyDescent="0.25">
      <c r="A354" s="6" t="s">
        <v>1443</v>
      </c>
      <c r="B354" s="6" t="s">
        <v>76</v>
      </c>
      <c r="C354" s="280"/>
      <c r="D354" s="216">
        <v>2052</v>
      </c>
      <c r="E354" s="216" t="e">
        <f>D354*#REF!</f>
        <v>#REF!</v>
      </c>
      <c r="F354" s="216" t="e">
        <f>D354*#REF!</f>
        <v>#REF!</v>
      </c>
      <c r="G354" s="216" t="e">
        <f>(D354*#REF!)*#REF!</f>
        <v>#REF!</v>
      </c>
      <c r="H354" s="211">
        <f t="shared" si="210"/>
        <v>-1</v>
      </c>
      <c r="I354" s="7" t="e">
        <f t="shared" si="211"/>
        <v>#REF!</v>
      </c>
      <c r="J354" s="5"/>
      <c r="K354" s="280"/>
      <c r="L354" s="216">
        <v>3043</v>
      </c>
      <c r="M354" s="216">
        <v>0</v>
      </c>
      <c r="N354" s="216">
        <v>0</v>
      </c>
      <c r="O354" s="216">
        <f>VLOOKUP(A354,TB!A:F,3)</f>
        <v>0</v>
      </c>
      <c r="P354" s="216"/>
      <c r="Q354" s="216">
        <v>0</v>
      </c>
      <c r="R354" s="6">
        <f>VLOOKUP(A354,TB!A:F,6)</f>
        <v>0</v>
      </c>
      <c r="S354" s="5"/>
    </row>
    <row r="355" spans="1:19" ht="15.75" hidden="1" customHeight="1" outlineLevel="1" x14ac:dyDescent="0.25">
      <c r="A355" s="6" t="s">
        <v>1444</v>
      </c>
      <c r="B355" s="6" t="s">
        <v>80</v>
      </c>
      <c r="C355" s="280"/>
      <c r="D355" s="216">
        <v>4280</v>
      </c>
      <c r="E355" s="216" t="e">
        <f>D355*#REF!</f>
        <v>#REF!</v>
      </c>
      <c r="F355" s="216" t="e">
        <f>D355*#REF!</f>
        <v>#REF!</v>
      </c>
      <c r="G355" s="216" t="e">
        <f>(D355*#REF!)*#REF!</f>
        <v>#REF!</v>
      </c>
      <c r="H355" s="211">
        <f t="shared" si="210"/>
        <v>-1</v>
      </c>
      <c r="I355" s="7" t="e">
        <f t="shared" si="211"/>
        <v>#REF!</v>
      </c>
      <c r="J355" s="5"/>
      <c r="K355" s="280"/>
      <c r="L355" s="216">
        <v>7025</v>
      </c>
      <c r="M355" s="216">
        <v>0</v>
      </c>
      <c r="N355" s="216">
        <v>0</v>
      </c>
      <c r="O355" s="216">
        <f>VLOOKUP(A355,TB!A:F,3)</f>
        <v>0</v>
      </c>
      <c r="P355" s="216"/>
      <c r="Q355" s="216">
        <v>0</v>
      </c>
      <c r="R355" s="6">
        <f>VLOOKUP(A355,TB!A:F,6)</f>
        <v>0</v>
      </c>
      <c r="S355" s="5"/>
    </row>
    <row r="356" spans="1:19" ht="15.75" hidden="1" customHeight="1" outlineLevel="1" x14ac:dyDescent="0.25">
      <c r="A356" s="6" t="s">
        <v>1445</v>
      </c>
      <c r="B356" s="6" t="s">
        <v>82</v>
      </c>
      <c r="C356" s="280"/>
      <c r="D356" s="216">
        <v>16321</v>
      </c>
      <c r="E356" s="216" t="e">
        <f>D356*#REF!</f>
        <v>#REF!</v>
      </c>
      <c r="F356" s="216" t="e">
        <f>D356*#REF!</f>
        <v>#REF!</v>
      </c>
      <c r="G356" s="216" t="e">
        <f>(D356*#REF!)*#REF!</f>
        <v>#REF!</v>
      </c>
      <c r="H356" s="211">
        <f t="shared" si="210"/>
        <v>-1</v>
      </c>
      <c r="I356" s="7" t="e">
        <f t="shared" si="211"/>
        <v>#REF!</v>
      </c>
      <c r="J356" s="5"/>
      <c r="K356" s="280"/>
      <c r="L356" s="216">
        <v>20933</v>
      </c>
      <c r="M356" s="216">
        <v>0</v>
      </c>
      <c r="N356" s="216">
        <v>0</v>
      </c>
      <c r="O356" s="216">
        <f>VLOOKUP(A356,TB!A:F,3)</f>
        <v>0</v>
      </c>
      <c r="P356" s="216"/>
      <c r="Q356" s="216">
        <v>0</v>
      </c>
      <c r="R356" s="6">
        <f>VLOOKUP(A356,TB!A:F,6)</f>
        <v>0</v>
      </c>
      <c r="S356" s="5"/>
    </row>
    <row r="357" spans="1:19" ht="15.75" hidden="1" customHeight="1" outlineLevel="1" x14ac:dyDescent="0.25">
      <c r="A357" s="6" t="s">
        <v>1446</v>
      </c>
      <c r="B357" s="6" t="s">
        <v>115</v>
      </c>
      <c r="C357" s="280"/>
      <c r="D357" s="216">
        <v>27992</v>
      </c>
      <c r="E357" s="216" t="e">
        <f>D357*#REF!</f>
        <v>#REF!</v>
      </c>
      <c r="F357" s="216" t="e">
        <f>D357*#REF!</f>
        <v>#REF!</v>
      </c>
      <c r="G357" s="216" t="e">
        <f>(D357*#REF!)*#REF!</f>
        <v>#REF!</v>
      </c>
      <c r="H357" s="211">
        <f t="shared" si="210"/>
        <v>-1</v>
      </c>
      <c r="I357" s="7" t="e">
        <f t="shared" si="211"/>
        <v>#REF!</v>
      </c>
      <c r="J357" s="5"/>
      <c r="K357" s="280"/>
      <c r="L357" s="216">
        <v>11008</v>
      </c>
      <c r="M357" s="216">
        <v>0</v>
      </c>
      <c r="N357" s="216">
        <v>0</v>
      </c>
      <c r="O357" s="216">
        <f>VLOOKUP(A357,TB!A:F,3)</f>
        <v>0</v>
      </c>
      <c r="P357" s="216"/>
      <c r="Q357" s="216">
        <v>0</v>
      </c>
      <c r="R357" s="6">
        <f>VLOOKUP(A357,TB!A:F,6)</f>
        <v>0</v>
      </c>
      <c r="S357" s="5"/>
    </row>
    <row r="358" spans="1:19" ht="15.75" hidden="1" customHeight="1" outlineLevel="1" x14ac:dyDescent="0.25">
      <c r="A358" s="6" t="s">
        <v>1447</v>
      </c>
      <c r="B358" s="6" t="s">
        <v>210</v>
      </c>
      <c r="C358" s="280"/>
      <c r="D358" s="216">
        <v>16002</v>
      </c>
      <c r="E358" s="216" t="e">
        <f>D358*#REF!</f>
        <v>#REF!</v>
      </c>
      <c r="F358" s="216" t="e">
        <f>D358*#REF!</f>
        <v>#REF!</v>
      </c>
      <c r="G358" s="216" t="e">
        <f>(D358*#REF!)*#REF!</f>
        <v>#REF!</v>
      </c>
      <c r="H358" s="211">
        <f t="shared" si="210"/>
        <v>-1</v>
      </c>
      <c r="I358" s="7" t="e">
        <f t="shared" si="211"/>
        <v>#REF!</v>
      </c>
      <c r="J358" s="5"/>
      <c r="K358" s="280"/>
      <c r="L358" s="216">
        <v>13104</v>
      </c>
      <c r="M358" s="216">
        <v>0</v>
      </c>
      <c r="N358" s="216">
        <v>0</v>
      </c>
      <c r="O358" s="216">
        <f>VLOOKUP(A358,TB!A:F,3)</f>
        <v>0</v>
      </c>
      <c r="P358" s="216"/>
      <c r="Q358" s="216">
        <v>0</v>
      </c>
      <c r="R358" s="6">
        <f>VLOOKUP(A358,TB!A:F,6)</f>
        <v>0</v>
      </c>
      <c r="S358" s="5"/>
    </row>
    <row r="359" spans="1:19" ht="15.75" hidden="1" customHeight="1" outlineLevel="1" x14ac:dyDescent="0.25">
      <c r="A359" s="6" t="s">
        <v>1448</v>
      </c>
      <c r="B359" s="6" t="s">
        <v>84</v>
      </c>
      <c r="C359" s="280"/>
      <c r="D359" s="216">
        <v>4546</v>
      </c>
      <c r="E359" s="216" t="e">
        <f>D359*#REF!</f>
        <v>#REF!</v>
      </c>
      <c r="F359" s="216" t="e">
        <f>D359*#REF!</f>
        <v>#REF!</v>
      </c>
      <c r="G359" s="216" t="e">
        <f>(D359*#REF!)*#REF!</f>
        <v>#REF!</v>
      </c>
      <c r="H359" s="211">
        <f t="shared" si="210"/>
        <v>-1</v>
      </c>
      <c r="I359" s="7" t="e">
        <f t="shared" si="211"/>
        <v>#REF!</v>
      </c>
      <c r="J359" s="5"/>
      <c r="K359" s="280"/>
      <c r="L359" s="216">
        <v>8008</v>
      </c>
      <c r="M359" s="216">
        <v>0</v>
      </c>
      <c r="N359" s="216">
        <v>0</v>
      </c>
      <c r="O359" s="216">
        <f>VLOOKUP(A359,TB!A:F,3)</f>
        <v>0</v>
      </c>
      <c r="P359" s="216"/>
      <c r="Q359" s="216">
        <v>0</v>
      </c>
      <c r="R359" s="6">
        <f>VLOOKUP(A359,TB!A:F,6)</f>
        <v>0</v>
      </c>
      <c r="S359" s="5"/>
    </row>
    <row r="360" spans="1:19" ht="15.75" hidden="1" customHeight="1" outlineLevel="1" x14ac:dyDescent="0.25">
      <c r="A360" s="6" t="s">
        <v>1449</v>
      </c>
      <c r="B360" s="6" t="s">
        <v>1450</v>
      </c>
      <c r="C360" s="280"/>
      <c r="D360" s="216">
        <v>104108</v>
      </c>
      <c r="E360" s="216" t="e">
        <f>D360*#REF!</f>
        <v>#REF!</v>
      </c>
      <c r="F360" s="216" t="e">
        <f>D360*#REF!</f>
        <v>#REF!</v>
      </c>
      <c r="G360" s="216" t="e">
        <f>(D360*#REF!)*#REF!</f>
        <v>#REF!</v>
      </c>
      <c r="H360" s="211">
        <f t="shared" si="210"/>
        <v>-1</v>
      </c>
      <c r="I360" s="7" t="e">
        <f t="shared" si="211"/>
        <v>#REF!</v>
      </c>
      <c r="J360" s="5"/>
      <c r="K360" s="280"/>
      <c r="L360" s="216">
        <v>160310</v>
      </c>
      <c r="M360" s="216">
        <v>0</v>
      </c>
      <c r="N360" s="216">
        <v>0</v>
      </c>
      <c r="O360" s="216">
        <f>VLOOKUP(A360,TB!A:F,3)</f>
        <v>0</v>
      </c>
      <c r="P360" s="216"/>
      <c r="Q360" s="216">
        <v>0</v>
      </c>
      <c r="R360" s="6">
        <f>VLOOKUP(A360,TB!A:F,6)</f>
        <v>0</v>
      </c>
      <c r="S360" s="5"/>
    </row>
    <row r="361" spans="1:19" ht="15.75" hidden="1" customHeight="1" outlineLevel="1" x14ac:dyDescent="0.25">
      <c r="A361" s="6" t="s">
        <v>1451</v>
      </c>
      <c r="B361" s="6" t="s">
        <v>1452</v>
      </c>
      <c r="C361" s="280"/>
      <c r="D361" s="216">
        <v>18884</v>
      </c>
      <c r="E361" s="216" t="e">
        <f>D361*#REF!</f>
        <v>#REF!</v>
      </c>
      <c r="F361" s="216" t="e">
        <f>D361*#REF!</f>
        <v>#REF!</v>
      </c>
      <c r="G361" s="216" t="e">
        <f>(D361*#REF!)*#REF!</f>
        <v>#REF!</v>
      </c>
      <c r="H361" s="211">
        <f t="shared" si="210"/>
        <v>-1</v>
      </c>
      <c r="I361" s="7" t="e">
        <f t="shared" si="211"/>
        <v>#REF!</v>
      </c>
      <c r="J361" s="5"/>
      <c r="K361" s="280"/>
      <c r="L361" s="216">
        <v>17999</v>
      </c>
      <c r="M361" s="216">
        <v>0</v>
      </c>
      <c r="N361" s="216">
        <v>0</v>
      </c>
      <c r="O361" s="216">
        <f>VLOOKUP(A361,TB!A:F,3)</f>
        <v>0</v>
      </c>
      <c r="P361" s="216"/>
      <c r="Q361" s="216">
        <v>0</v>
      </c>
      <c r="R361" s="6">
        <f>VLOOKUP(A361,TB!A:F,6)</f>
        <v>0</v>
      </c>
      <c r="S361" s="5"/>
    </row>
    <row r="362" spans="1:19" ht="15.75" hidden="1" customHeight="1" outlineLevel="1" x14ac:dyDescent="0.25">
      <c r="A362" s="6" t="s">
        <v>1453</v>
      </c>
      <c r="B362" s="6" t="s">
        <v>88</v>
      </c>
      <c r="C362" s="280"/>
      <c r="D362" s="216">
        <v>2000</v>
      </c>
      <c r="E362" s="216" t="e">
        <f>D362*#REF!</f>
        <v>#REF!</v>
      </c>
      <c r="F362" s="216" t="e">
        <f>D362*#REF!</f>
        <v>#REF!</v>
      </c>
      <c r="G362" s="216" t="e">
        <f>(D362*#REF!)*#REF!</f>
        <v>#REF!</v>
      </c>
      <c r="H362" s="211">
        <f t="shared" si="210"/>
        <v>-1</v>
      </c>
      <c r="I362" s="7" t="e">
        <f t="shared" si="211"/>
        <v>#REF!</v>
      </c>
      <c r="J362" s="5"/>
      <c r="K362" s="280"/>
      <c r="L362" s="216">
        <v>0</v>
      </c>
      <c r="M362" s="216">
        <v>0</v>
      </c>
      <c r="N362" s="216">
        <v>0</v>
      </c>
      <c r="O362" s="216">
        <f>VLOOKUP(A362,TB!A:F,3)</f>
        <v>0</v>
      </c>
      <c r="P362" s="216"/>
      <c r="Q362" s="216">
        <v>0</v>
      </c>
      <c r="R362" s="6">
        <f>VLOOKUP(A362,TB!A:F,6)</f>
        <v>0</v>
      </c>
      <c r="S362" s="5"/>
    </row>
    <row r="363" spans="1:19" ht="15.75" hidden="1" customHeight="1" outlineLevel="1" x14ac:dyDescent="0.25">
      <c r="A363" s="6" t="s">
        <v>1454</v>
      </c>
      <c r="B363" s="6" t="s">
        <v>1209</v>
      </c>
      <c r="C363" s="280"/>
      <c r="D363" s="216">
        <v>2248</v>
      </c>
      <c r="E363" s="216" t="e">
        <f>D363*#REF!</f>
        <v>#REF!</v>
      </c>
      <c r="F363" s="216" t="e">
        <f>D363*#REF!</f>
        <v>#REF!</v>
      </c>
      <c r="G363" s="216" t="e">
        <f>(D363*#REF!)*#REF!</f>
        <v>#REF!</v>
      </c>
      <c r="H363" s="211">
        <f t="shared" si="210"/>
        <v>-1</v>
      </c>
      <c r="I363" s="7" t="e">
        <f t="shared" si="211"/>
        <v>#REF!</v>
      </c>
      <c r="J363" s="5"/>
      <c r="K363" s="280"/>
      <c r="L363" s="216">
        <v>2974</v>
      </c>
      <c r="M363" s="216">
        <v>0</v>
      </c>
      <c r="N363" s="216">
        <v>0</v>
      </c>
      <c r="O363" s="216">
        <f>VLOOKUP(A363,TB!A:F,3)</f>
        <v>0</v>
      </c>
      <c r="P363" s="216"/>
      <c r="Q363" s="216">
        <v>0</v>
      </c>
      <c r="R363" s="6">
        <f>VLOOKUP(A363,TB!A:F,6)</f>
        <v>0</v>
      </c>
      <c r="S363" s="5"/>
    </row>
    <row r="364" spans="1:19" ht="15.75" hidden="1" customHeight="1" outlineLevel="1" x14ac:dyDescent="0.25">
      <c r="A364" s="6" t="s">
        <v>1455</v>
      </c>
      <c r="B364" s="6" t="s">
        <v>92</v>
      </c>
      <c r="C364" s="280"/>
      <c r="D364" s="216">
        <v>3880</v>
      </c>
      <c r="E364" s="216" t="e">
        <f>D364*#REF!</f>
        <v>#REF!</v>
      </c>
      <c r="F364" s="216" t="e">
        <f>D364*#REF!</f>
        <v>#REF!</v>
      </c>
      <c r="G364" s="216" t="e">
        <f>(D364*#REF!)*#REF!</f>
        <v>#REF!</v>
      </c>
      <c r="H364" s="211">
        <f t="shared" si="210"/>
        <v>-1</v>
      </c>
      <c r="I364" s="7" t="e">
        <f t="shared" si="211"/>
        <v>#REF!</v>
      </c>
      <c r="J364" s="5"/>
      <c r="K364" s="280"/>
      <c r="L364" s="216">
        <v>6779</v>
      </c>
      <c r="M364" s="216">
        <v>0</v>
      </c>
      <c r="N364" s="216">
        <v>0</v>
      </c>
      <c r="O364" s="216">
        <f>VLOOKUP(A364,TB!A:F,3)</f>
        <v>0</v>
      </c>
      <c r="P364" s="216"/>
      <c r="Q364" s="216">
        <v>0</v>
      </c>
      <c r="R364" s="6">
        <f>VLOOKUP(A364,TB!A:F,6)</f>
        <v>0</v>
      </c>
      <c r="S364" s="5"/>
    </row>
    <row r="365" spans="1:19" ht="15.75" hidden="1" customHeight="1" outlineLevel="1" x14ac:dyDescent="0.25">
      <c r="A365" s="6" t="s">
        <v>1456</v>
      </c>
      <c r="B365" s="6" t="s">
        <v>94</v>
      </c>
      <c r="C365" s="280"/>
      <c r="D365" s="216">
        <v>4000</v>
      </c>
      <c r="E365" s="216" t="e">
        <f>D365*#REF!</f>
        <v>#REF!</v>
      </c>
      <c r="F365" s="216" t="e">
        <f>D365*#REF!</f>
        <v>#REF!</v>
      </c>
      <c r="G365" s="216" t="e">
        <f>(D365*#REF!)*#REF!</f>
        <v>#REF!</v>
      </c>
      <c r="H365" s="211">
        <f t="shared" si="210"/>
        <v>-1</v>
      </c>
      <c r="I365" s="7" t="e">
        <f t="shared" si="211"/>
        <v>#REF!</v>
      </c>
      <c r="J365" s="5"/>
      <c r="K365" s="280"/>
      <c r="L365" s="216">
        <v>17998</v>
      </c>
      <c r="M365" s="216">
        <v>0</v>
      </c>
      <c r="N365" s="216">
        <v>0</v>
      </c>
      <c r="O365" s="216">
        <f>VLOOKUP(A365,TB!A:F,3)</f>
        <v>0</v>
      </c>
      <c r="P365" s="216"/>
      <c r="Q365" s="216">
        <v>0</v>
      </c>
      <c r="R365" s="6">
        <f>VLOOKUP(A365,TB!A:F,6)</f>
        <v>0</v>
      </c>
      <c r="S365" s="5"/>
    </row>
    <row r="366" spans="1:19" ht="15.75" hidden="1" customHeight="1" outlineLevel="1" x14ac:dyDescent="0.25">
      <c r="A366" s="6" t="s">
        <v>1457</v>
      </c>
      <c r="B366" s="6" t="s">
        <v>99</v>
      </c>
      <c r="C366" s="280"/>
      <c r="D366" s="216">
        <v>121619</v>
      </c>
      <c r="E366" s="216" t="e">
        <f>D366*#REF!</f>
        <v>#REF!</v>
      </c>
      <c r="F366" s="216" t="e">
        <f>D366*#REF!</f>
        <v>#REF!</v>
      </c>
      <c r="G366" s="216" t="e">
        <f>(D366*#REF!)*#REF!</f>
        <v>#REF!</v>
      </c>
      <c r="H366" s="211">
        <f t="shared" si="210"/>
        <v>-1</v>
      </c>
      <c r="I366" s="7" t="e">
        <f t="shared" si="211"/>
        <v>#REF!</v>
      </c>
      <c r="J366" s="5"/>
      <c r="K366" s="280"/>
      <c r="L366" s="216">
        <v>107368</v>
      </c>
      <c r="M366" s="216">
        <v>0</v>
      </c>
      <c r="N366" s="216">
        <v>0</v>
      </c>
      <c r="O366" s="216">
        <f>VLOOKUP(A366,TB!A:F,3)</f>
        <v>0</v>
      </c>
      <c r="P366" s="216"/>
      <c r="Q366" s="216">
        <v>0</v>
      </c>
      <c r="R366" s="6">
        <f>VLOOKUP(A366,TB!A:F,6)</f>
        <v>0</v>
      </c>
      <c r="S366" s="5"/>
    </row>
    <row r="367" spans="1:19" ht="15.75" hidden="1" customHeight="1" outlineLevel="1" x14ac:dyDescent="0.25">
      <c r="A367" s="47" t="s">
        <v>1458</v>
      </c>
      <c r="B367" s="48"/>
      <c r="C367" s="325"/>
      <c r="D367" s="48">
        <f t="shared" ref="D367:G367" si="212">SUM(D348:D366)</f>
        <v>599145</v>
      </c>
      <c r="E367" s="48" t="e">
        <f t="shared" si="212"/>
        <v>#REF!</v>
      </c>
      <c r="F367" s="48" t="e">
        <f t="shared" si="212"/>
        <v>#REF!</v>
      </c>
      <c r="G367" s="48" t="e">
        <f t="shared" si="212"/>
        <v>#REF!</v>
      </c>
      <c r="H367" s="212">
        <f t="shared" si="210"/>
        <v>-1</v>
      </c>
      <c r="I367" s="12" t="e">
        <f t="shared" si="211"/>
        <v>#REF!</v>
      </c>
      <c r="J367" s="5"/>
      <c r="K367" s="325"/>
      <c r="L367" s="48">
        <f t="shared" ref="L367:S367" si="213">SUM(L348:L366)</f>
        <v>774041</v>
      </c>
      <c r="M367" s="48">
        <f t="shared" si="213"/>
        <v>0</v>
      </c>
      <c r="N367" s="48">
        <f t="shared" si="213"/>
        <v>0</v>
      </c>
      <c r="O367" s="48">
        <f t="shared" si="213"/>
        <v>0</v>
      </c>
      <c r="P367" s="48">
        <f t="shared" si="213"/>
        <v>0</v>
      </c>
      <c r="Q367" s="48">
        <f t="shared" si="213"/>
        <v>0</v>
      </c>
      <c r="R367" s="48">
        <f t="shared" si="213"/>
        <v>0</v>
      </c>
      <c r="S367" s="48">
        <f t="shared" si="213"/>
        <v>0</v>
      </c>
    </row>
    <row r="368" spans="1:19" ht="15.75" hidden="1" customHeight="1" outlineLevel="1" x14ac:dyDescent="0.2">
      <c r="A368" s="5"/>
      <c r="B368" s="5"/>
      <c r="C368" s="284"/>
      <c r="D368" s="5"/>
      <c r="E368" s="5"/>
      <c r="F368" s="5"/>
      <c r="G368" s="5"/>
      <c r="H368" s="5"/>
      <c r="I368" s="5"/>
      <c r="J368" s="5"/>
      <c r="K368" s="284"/>
      <c r="L368" s="5"/>
      <c r="M368" s="5"/>
      <c r="N368" s="5"/>
      <c r="O368" s="5"/>
      <c r="P368" s="5"/>
      <c r="Q368" s="5"/>
      <c r="R368" s="5"/>
      <c r="S368" s="5"/>
    </row>
    <row r="369" spans="1:19" ht="15.75" hidden="1" customHeight="1" outlineLevel="1" x14ac:dyDescent="0.2">
      <c r="A369" s="3" t="s">
        <v>50</v>
      </c>
      <c r="B369" s="3" t="s">
        <v>51</v>
      </c>
      <c r="C369" s="292"/>
      <c r="D369" s="3" t="s">
        <v>52</v>
      </c>
      <c r="E369" s="380" t="s">
        <v>53</v>
      </c>
      <c r="F369" s="380" t="s">
        <v>1212</v>
      </c>
      <c r="G369" s="380" t="s">
        <v>55</v>
      </c>
      <c r="H369" s="230" t="s">
        <v>56</v>
      </c>
      <c r="I369" s="230" t="s">
        <v>57</v>
      </c>
      <c r="J369" s="5"/>
      <c r="K369" s="292"/>
      <c r="L369" s="3" t="s">
        <v>59</v>
      </c>
      <c r="M369" s="3" t="s">
        <v>60</v>
      </c>
      <c r="N369" s="3" t="s">
        <v>436</v>
      </c>
      <c r="O369" s="3" t="s">
        <v>437</v>
      </c>
      <c r="P369" s="70">
        <f>P1</f>
        <v>0</v>
      </c>
      <c r="Q369" s="293" t="s">
        <v>438</v>
      </c>
      <c r="R369" s="70">
        <f>R1</f>
        <v>0</v>
      </c>
      <c r="S369" s="3" t="s">
        <v>586</v>
      </c>
    </row>
    <row r="370" spans="1:19" ht="15.75" hidden="1" customHeight="1" outlineLevel="1" x14ac:dyDescent="0.25">
      <c r="A370" s="6" t="s">
        <v>1459</v>
      </c>
      <c r="B370" s="6" t="s">
        <v>68</v>
      </c>
      <c r="C370" s="383"/>
      <c r="D370" s="265">
        <v>0</v>
      </c>
      <c r="E370" s="216" t="e">
        <f>D370*#REF!</f>
        <v>#REF!</v>
      </c>
      <c r="F370" s="216" t="e">
        <f>D370*#REF!</f>
        <v>#REF!</v>
      </c>
      <c r="G370" s="216" t="e">
        <f>(D370*#REF!)*#REF!</f>
        <v>#REF!</v>
      </c>
      <c r="H370" s="211">
        <f t="shared" ref="H370:H394" si="214">IFERROR(((Q370-D370)/D370),0)</f>
        <v>0</v>
      </c>
      <c r="I370" s="7" t="e">
        <f t="shared" ref="I370:I394" si="215">Q370-G370</f>
        <v>#REF!</v>
      </c>
      <c r="J370" s="5"/>
      <c r="K370" s="383"/>
      <c r="L370" s="265">
        <v>0</v>
      </c>
      <c r="M370" s="216">
        <v>239289.74</v>
      </c>
      <c r="N370" s="216">
        <v>252472</v>
      </c>
      <c r="O370" s="216">
        <f>VLOOKUP(A370,TB!A:F,3)</f>
        <v>192184.58</v>
      </c>
      <c r="P370" s="216"/>
      <c r="Q370" s="216">
        <v>277100</v>
      </c>
      <c r="R370" s="7">
        <f>VLOOKUP(A370,TB!A:F,6)</f>
        <v>277100</v>
      </c>
      <c r="S370" s="7">
        <f t="shared" ref="S370:S393" si="216">R370-Q370</f>
        <v>0</v>
      </c>
    </row>
    <row r="371" spans="1:19" ht="15.75" hidden="1" customHeight="1" outlineLevel="1" x14ac:dyDescent="0.25">
      <c r="A371" s="6" t="s">
        <v>1460</v>
      </c>
      <c r="B371" s="6" t="s">
        <v>70</v>
      </c>
      <c r="C371" s="383"/>
      <c r="D371" s="265">
        <v>0</v>
      </c>
      <c r="E371" s="216" t="e">
        <f>D371*#REF!</f>
        <v>#REF!</v>
      </c>
      <c r="F371" s="216" t="e">
        <f>D371*#REF!</f>
        <v>#REF!</v>
      </c>
      <c r="G371" s="216" t="e">
        <f>(D371*#REF!)*#REF!</f>
        <v>#REF!</v>
      </c>
      <c r="H371" s="211">
        <f t="shared" si="214"/>
        <v>0</v>
      </c>
      <c r="I371" s="7" t="e">
        <f t="shared" si="215"/>
        <v>#REF!</v>
      </c>
      <c r="J371" s="5"/>
      <c r="K371" s="383"/>
      <c r="L371" s="265">
        <v>0</v>
      </c>
      <c r="M371" s="216">
        <v>10403.200000000001</v>
      </c>
      <c r="N371" s="216">
        <v>14000</v>
      </c>
      <c r="O371" s="216">
        <f>VLOOKUP(A371,TB!A:F,3)</f>
        <v>10028.75</v>
      </c>
      <c r="P371" s="216"/>
      <c r="Q371" s="216">
        <v>14000</v>
      </c>
      <c r="R371" s="7">
        <f>VLOOKUP(A371,TB!A:F,6)</f>
        <v>11900</v>
      </c>
      <c r="S371" s="7">
        <f t="shared" si="216"/>
        <v>-2100</v>
      </c>
    </row>
    <row r="372" spans="1:19" ht="15.75" hidden="1" customHeight="1" outlineLevel="1" x14ac:dyDescent="0.25">
      <c r="A372" s="6" t="s">
        <v>1461</v>
      </c>
      <c r="B372" s="6" t="s">
        <v>108</v>
      </c>
      <c r="C372" s="383"/>
      <c r="D372" s="265">
        <v>0</v>
      </c>
      <c r="E372" s="216" t="e">
        <f>D372*#REF!</f>
        <v>#REF!</v>
      </c>
      <c r="F372" s="216" t="e">
        <f>D372*#REF!</f>
        <v>#REF!</v>
      </c>
      <c r="G372" s="216" t="e">
        <f>(D372*#REF!)*#REF!</f>
        <v>#REF!</v>
      </c>
      <c r="H372" s="211">
        <f t="shared" si="214"/>
        <v>0</v>
      </c>
      <c r="I372" s="7" t="e">
        <f t="shared" si="215"/>
        <v>#REF!</v>
      </c>
      <c r="J372" s="5"/>
      <c r="K372" s="383"/>
      <c r="L372" s="265">
        <v>0</v>
      </c>
      <c r="M372" s="216">
        <v>110186.97</v>
      </c>
      <c r="N372" s="216">
        <v>146000</v>
      </c>
      <c r="O372" s="216">
        <f>VLOOKUP(A372,TB!A:F,3)</f>
        <v>127988.61</v>
      </c>
      <c r="P372" s="216"/>
      <c r="Q372" s="216">
        <v>155000</v>
      </c>
      <c r="R372" s="7">
        <f>VLOOKUP(A372,TB!A:F,6)</f>
        <v>144000</v>
      </c>
      <c r="S372" s="7">
        <f t="shared" si="216"/>
        <v>-11000</v>
      </c>
    </row>
    <row r="373" spans="1:19" ht="15.75" hidden="1" customHeight="1" outlineLevel="1" x14ac:dyDescent="0.25">
      <c r="A373" s="6" t="s">
        <v>1462</v>
      </c>
      <c r="B373" s="6" t="s">
        <v>72</v>
      </c>
      <c r="C373" s="383"/>
      <c r="D373" s="265">
        <v>0</v>
      </c>
      <c r="E373" s="216" t="e">
        <f>D373*#REF!</f>
        <v>#REF!</v>
      </c>
      <c r="F373" s="216" t="e">
        <f>D373*#REF!</f>
        <v>#REF!</v>
      </c>
      <c r="G373" s="216" t="e">
        <f>(D373*#REF!)*#REF!</f>
        <v>#REF!</v>
      </c>
      <c r="H373" s="211">
        <f t="shared" si="214"/>
        <v>0</v>
      </c>
      <c r="I373" s="7" t="e">
        <f t="shared" si="215"/>
        <v>#REF!</v>
      </c>
      <c r="J373" s="5"/>
      <c r="K373" s="383"/>
      <c r="L373" s="265">
        <v>0</v>
      </c>
      <c r="M373" s="216">
        <v>138584.32000000001</v>
      </c>
      <c r="N373" s="216">
        <v>156359</v>
      </c>
      <c r="O373" s="216">
        <f>VLOOKUP(A373,TB!A:F,3)</f>
        <v>117890.01</v>
      </c>
      <c r="P373" s="216"/>
      <c r="Q373" s="216">
        <v>167800</v>
      </c>
      <c r="R373" s="7">
        <f>VLOOKUP(A373,TB!A:F,6)</f>
        <v>166800</v>
      </c>
      <c r="S373" s="7">
        <f t="shared" si="216"/>
        <v>-1000</v>
      </c>
    </row>
    <row r="374" spans="1:19" ht="15.75" hidden="1" customHeight="1" outlineLevel="1" x14ac:dyDescent="0.25">
      <c r="A374" s="6" t="s">
        <v>1463</v>
      </c>
      <c r="B374" s="6" t="s">
        <v>892</v>
      </c>
      <c r="C374" s="383"/>
      <c r="D374" s="265">
        <v>0</v>
      </c>
      <c r="E374" s="216" t="e">
        <f>D374*#REF!</f>
        <v>#REF!</v>
      </c>
      <c r="F374" s="216" t="e">
        <f>D374*#REF!</f>
        <v>#REF!</v>
      </c>
      <c r="G374" s="216" t="e">
        <f>(D374*#REF!)*#REF!</f>
        <v>#REF!</v>
      </c>
      <c r="H374" s="211">
        <f t="shared" si="214"/>
        <v>0</v>
      </c>
      <c r="I374" s="7" t="e">
        <f t="shared" si="215"/>
        <v>#REF!</v>
      </c>
      <c r="J374" s="5"/>
      <c r="K374" s="383"/>
      <c r="L374" s="265">
        <v>0</v>
      </c>
      <c r="M374" s="216">
        <v>2640</v>
      </c>
      <c r="N374" s="216">
        <v>5000</v>
      </c>
      <c r="O374" s="216">
        <f>VLOOKUP(A374,TB!A:F,3)</f>
        <v>2520</v>
      </c>
      <c r="P374" s="216"/>
      <c r="Q374" s="216">
        <v>5000</v>
      </c>
      <c r="R374" s="7">
        <f>VLOOKUP(A374,TB!A:F,6)</f>
        <v>5000</v>
      </c>
      <c r="S374" s="7">
        <f t="shared" si="216"/>
        <v>0</v>
      </c>
    </row>
    <row r="375" spans="1:19" ht="15.75" hidden="1" customHeight="1" outlineLevel="1" x14ac:dyDescent="0.25">
      <c r="A375" s="6" t="s">
        <v>1464</v>
      </c>
      <c r="B375" s="6" t="s">
        <v>451</v>
      </c>
      <c r="C375" s="383"/>
      <c r="D375" s="265">
        <v>0</v>
      </c>
      <c r="E375" s="216" t="e">
        <f>D375*#REF!</f>
        <v>#REF!</v>
      </c>
      <c r="F375" s="216" t="e">
        <f>D375*#REF!</f>
        <v>#REF!</v>
      </c>
      <c r="G375" s="216" t="e">
        <f>(D375*#REF!)*#REF!</f>
        <v>#REF!</v>
      </c>
      <c r="H375" s="211">
        <f t="shared" si="214"/>
        <v>0</v>
      </c>
      <c r="I375" s="7" t="e">
        <f t="shared" si="215"/>
        <v>#REF!</v>
      </c>
      <c r="J375" s="5"/>
      <c r="K375" s="383"/>
      <c r="L375" s="265">
        <v>0</v>
      </c>
      <c r="M375" s="216">
        <v>0</v>
      </c>
      <c r="N375" s="216">
        <v>6200</v>
      </c>
      <c r="O375" s="216">
        <f>VLOOKUP(A375,TB!A:F,3)</f>
        <v>363.75</v>
      </c>
      <c r="P375" s="216"/>
      <c r="Q375" s="216">
        <v>0</v>
      </c>
      <c r="R375" s="7">
        <f>VLOOKUP(A375,TB!A:F,6)</f>
        <v>2000</v>
      </c>
      <c r="S375" s="7">
        <f t="shared" si="216"/>
        <v>2000</v>
      </c>
    </row>
    <row r="376" spans="1:19" ht="15.75" hidden="1" customHeight="1" outlineLevel="1" x14ac:dyDescent="0.25">
      <c r="A376" s="6" t="s">
        <v>1465</v>
      </c>
      <c r="B376" s="6" t="s">
        <v>74</v>
      </c>
      <c r="C376" s="383"/>
      <c r="D376" s="265">
        <v>0</v>
      </c>
      <c r="E376" s="216" t="e">
        <f>D376*#REF!</f>
        <v>#REF!</v>
      </c>
      <c r="F376" s="216" t="e">
        <f>D376*#REF!</f>
        <v>#REF!</v>
      </c>
      <c r="G376" s="216" t="e">
        <f>(D376*#REF!)*#REF!</f>
        <v>#REF!</v>
      </c>
      <c r="H376" s="211">
        <f t="shared" si="214"/>
        <v>0</v>
      </c>
      <c r="I376" s="7" t="e">
        <f t="shared" si="215"/>
        <v>#REF!</v>
      </c>
      <c r="J376" s="5"/>
      <c r="K376" s="383"/>
      <c r="L376" s="265">
        <v>0</v>
      </c>
      <c r="M376" s="216">
        <v>0</v>
      </c>
      <c r="N376" s="216">
        <v>5000</v>
      </c>
      <c r="O376" s="216">
        <f>VLOOKUP(A376,TB!A:F,3)</f>
        <v>501</v>
      </c>
      <c r="P376" s="216"/>
      <c r="Q376" s="216">
        <v>725</v>
      </c>
      <c r="R376" s="7">
        <f>VLOOKUP(A376,TB!A:F,6)</f>
        <v>725</v>
      </c>
      <c r="S376" s="7">
        <f t="shared" si="216"/>
        <v>0</v>
      </c>
    </row>
    <row r="377" spans="1:19" ht="15.75" hidden="1" customHeight="1" outlineLevel="1" x14ac:dyDescent="0.25">
      <c r="A377" s="6" t="s">
        <v>1466</v>
      </c>
      <c r="B377" s="6" t="s">
        <v>76</v>
      </c>
      <c r="C377" s="383"/>
      <c r="D377" s="265">
        <v>0</v>
      </c>
      <c r="E377" s="216" t="e">
        <f>D377*#REF!</f>
        <v>#REF!</v>
      </c>
      <c r="F377" s="216" t="e">
        <f>D377*#REF!</f>
        <v>#REF!</v>
      </c>
      <c r="G377" s="216" t="e">
        <f>(D377*#REF!)*#REF!</f>
        <v>#REF!</v>
      </c>
      <c r="H377" s="211">
        <f t="shared" si="214"/>
        <v>0</v>
      </c>
      <c r="I377" s="7" t="e">
        <f t="shared" si="215"/>
        <v>#REF!</v>
      </c>
      <c r="J377" s="5"/>
      <c r="K377" s="383"/>
      <c r="L377" s="265">
        <v>0</v>
      </c>
      <c r="M377" s="216">
        <v>1927.03</v>
      </c>
      <c r="N377" s="216">
        <v>3400</v>
      </c>
      <c r="O377" s="216">
        <f>VLOOKUP(A377,TB!A:F,3)</f>
        <v>93.28</v>
      </c>
      <c r="P377" s="216"/>
      <c r="Q377" s="216">
        <v>3500</v>
      </c>
      <c r="R377" s="7">
        <f>VLOOKUP(A377,TB!A:F,6)</f>
        <v>2500</v>
      </c>
      <c r="S377" s="7">
        <f t="shared" si="216"/>
        <v>-1000</v>
      </c>
    </row>
    <row r="378" spans="1:19" ht="15.75" hidden="1" customHeight="1" outlineLevel="1" x14ac:dyDescent="0.25">
      <c r="A378" s="6" t="s">
        <v>1467</v>
      </c>
      <c r="B378" s="6" t="s">
        <v>80</v>
      </c>
      <c r="C378" s="383"/>
      <c r="D378" s="265">
        <v>0</v>
      </c>
      <c r="E378" s="216" t="e">
        <f>D378*#REF!</f>
        <v>#REF!</v>
      </c>
      <c r="F378" s="216" t="e">
        <f>D378*#REF!</f>
        <v>#REF!</v>
      </c>
      <c r="G378" s="216" t="e">
        <f>(D378*#REF!)*#REF!</f>
        <v>#REF!</v>
      </c>
      <c r="H378" s="211">
        <f t="shared" si="214"/>
        <v>0</v>
      </c>
      <c r="I378" s="7" t="e">
        <f t="shared" si="215"/>
        <v>#REF!</v>
      </c>
      <c r="J378" s="5"/>
      <c r="K378" s="383"/>
      <c r="L378" s="265">
        <v>0</v>
      </c>
      <c r="M378" s="216">
        <v>7170.73</v>
      </c>
      <c r="N378" s="216">
        <v>7000</v>
      </c>
      <c r="O378" s="216">
        <f>VLOOKUP(A378,TB!A:F,3)</f>
        <v>6344.22</v>
      </c>
      <c r="P378" s="216"/>
      <c r="Q378" s="216">
        <v>7400</v>
      </c>
      <c r="R378" s="7">
        <f>VLOOKUP(A378,TB!A:F,6)</f>
        <v>7400</v>
      </c>
      <c r="S378" s="7">
        <f t="shared" si="216"/>
        <v>0</v>
      </c>
    </row>
    <row r="379" spans="1:19" ht="15.75" hidden="1" customHeight="1" outlineLevel="1" x14ac:dyDescent="0.25">
      <c r="A379" s="6" t="s">
        <v>1468</v>
      </c>
      <c r="B379" s="6" t="s">
        <v>82</v>
      </c>
      <c r="C379" s="383"/>
      <c r="D379" s="265">
        <v>0</v>
      </c>
      <c r="E379" s="216" t="e">
        <f>D379*#REF!</f>
        <v>#REF!</v>
      </c>
      <c r="F379" s="216" t="e">
        <f>D379*#REF!</f>
        <v>#REF!</v>
      </c>
      <c r="G379" s="216" t="e">
        <f>(D379*#REF!)*#REF!</f>
        <v>#REF!</v>
      </c>
      <c r="H379" s="211">
        <f t="shared" si="214"/>
        <v>0</v>
      </c>
      <c r="I379" s="7" t="e">
        <f t="shared" si="215"/>
        <v>#REF!</v>
      </c>
      <c r="J379" s="5"/>
      <c r="K379" s="383"/>
      <c r="L379" s="265">
        <v>0</v>
      </c>
      <c r="M379" s="216">
        <v>29593.69</v>
      </c>
      <c r="N379" s="216">
        <v>51000</v>
      </c>
      <c r="O379" s="216">
        <f>VLOOKUP(A379,TB!A:F,3)</f>
        <v>18740.82</v>
      </c>
      <c r="P379" s="216"/>
      <c r="Q379" s="216">
        <v>52530</v>
      </c>
      <c r="R379" s="7">
        <f>VLOOKUP(A379,TB!A:F,6)</f>
        <v>40000</v>
      </c>
      <c r="S379" s="7">
        <f t="shared" si="216"/>
        <v>-12530</v>
      </c>
    </row>
    <row r="380" spans="1:19" ht="15.75" hidden="1" customHeight="1" outlineLevel="1" x14ac:dyDescent="0.25">
      <c r="A380" s="6" t="s">
        <v>1469</v>
      </c>
      <c r="B380" s="6" t="s">
        <v>115</v>
      </c>
      <c r="C380" s="383"/>
      <c r="D380" s="265">
        <v>0</v>
      </c>
      <c r="E380" s="216" t="e">
        <f>D380*#REF!</f>
        <v>#REF!</v>
      </c>
      <c r="F380" s="216" t="e">
        <f>D380*#REF!</f>
        <v>#REF!</v>
      </c>
      <c r="G380" s="216" t="e">
        <f>(D380*#REF!)*#REF!</f>
        <v>#REF!</v>
      </c>
      <c r="H380" s="211">
        <f t="shared" si="214"/>
        <v>0</v>
      </c>
      <c r="I380" s="7" t="e">
        <f t="shared" si="215"/>
        <v>#REF!</v>
      </c>
      <c r="J380" s="5"/>
      <c r="K380" s="383"/>
      <c r="L380" s="265">
        <v>0</v>
      </c>
      <c r="M380" s="216">
        <v>15125.63</v>
      </c>
      <c r="N380" s="216">
        <v>17500</v>
      </c>
      <c r="O380" s="216">
        <f>VLOOKUP(A380,TB!A:F,3)</f>
        <v>10811.9</v>
      </c>
      <c r="P380" s="216"/>
      <c r="Q380" s="216">
        <v>19025</v>
      </c>
      <c r="R380" s="7">
        <f>VLOOKUP(A380,TB!A:F,6)</f>
        <v>19025</v>
      </c>
      <c r="S380" s="7">
        <f t="shared" si="216"/>
        <v>0</v>
      </c>
    </row>
    <row r="381" spans="1:19" ht="15.75" hidden="1" customHeight="1" outlineLevel="1" x14ac:dyDescent="0.25">
      <c r="A381" s="6" t="s">
        <v>1470</v>
      </c>
      <c r="B381" s="6" t="s">
        <v>210</v>
      </c>
      <c r="C381" s="383"/>
      <c r="D381" s="265">
        <v>0</v>
      </c>
      <c r="E381" s="216" t="e">
        <f>D381*#REF!</f>
        <v>#REF!</v>
      </c>
      <c r="F381" s="216" t="e">
        <f>D381*#REF!</f>
        <v>#REF!</v>
      </c>
      <c r="G381" s="216" t="e">
        <f>(D381*#REF!)*#REF!</f>
        <v>#REF!</v>
      </c>
      <c r="H381" s="211">
        <f t="shared" si="214"/>
        <v>0</v>
      </c>
      <c r="I381" s="7" t="e">
        <f t="shared" si="215"/>
        <v>#REF!</v>
      </c>
      <c r="J381" s="5"/>
      <c r="K381" s="383"/>
      <c r="L381" s="265">
        <v>0</v>
      </c>
      <c r="M381" s="216">
        <v>14436.34</v>
      </c>
      <c r="N381" s="216">
        <v>0</v>
      </c>
      <c r="O381" s="216">
        <f>VLOOKUP(A381,TB!A:F,3)</f>
        <v>1604.39</v>
      </c>
      <c r="P381" s="216"/>
      <c r="Q381" s="216">
        <v>0</v>
      </c>
      <c r="R381" s="7">
        <f>VLOOKUP(A381,TB!A:F,6)</f>
        <v>0</v>
      </c>
      <c r="S381" s="7">
        <f t="shared" si="216"/>
        <v>0</v>
      </c>
    </row>
    <row r="382" spans="1:19" ht="15.75" hidden="1" customHeight="1" outlineLevel="1" x14ac:dyDescent="0.25">
      <c r="A382" s="6" t="s">
        <v>1471</v>
      </c>
      <c r="B382" s="6" t="s">
        <v>84</v>
      </c>
      <c r="C382" s="383"/>
      <c r="D382" s="265">
        <v>0</v>
      </c>
      <c r="E382" s="216" t="e">
        <f>D382*#REF!</f>
        <v>#REF!</v>
      </c>
      <c r="F382" s="216" t="e">
        <f>D382*#REF!</f>
        <v>#REF!</v>
      </c>
      <c r="G382" s="216" t="e">
        <f>(D382*#REF!)*#REF!</f>
        <v>#REF!</v>
      </c>
      <c r="H382" s="211">
        <f t="shared" si="214"/>
        <v>0</v>
      </c>
      <c r="I382" s="7" t="e">
        <f t="shared" si="215"/>
        <v>#REF!</v>
      </c>
      <c r="J382" s="5"/>
      <c r="K382" s="383"/>
      <c r="L382" s="265">
        <v>0</v>
      </c>
      <c r="M382" s="216">
        <v>9363.59</v>
      </c>
      <c r="N382" s="216">
        <v>9700</v>
      </c>
      <c r="O382" s="216">
        <f>VLOOKUP(A382,TB!A:F,3)</f>
        <v>7617.54</v>
      </c>
      <c r="P382" s="216"/>
      <c r="Q382" s="216">
        <v>10000</v>
      </c>
      <c r="R382" s="7">
        <f>VLOOKUP(A382,TB!A:F,6)</f>
        <v>10000</v>
      </c>
      <c r="S382" s="7">
        <f t="shared" si="216"/>
        <v>0</v>
      </c>
    </row>
    <row r="383" spans="1:19" ht="15.75" hidden="1" customHeight="1" outlineLevel="1" x14ac:dyDescent="0.25">
      <c r="A383" s="6" t="s">
        <v>1472</v>
      </c>
      <c r="B383" s="6" t="s">
        <v>210</v>
      </c>
      <c r="C383" s="383"/>
      <c r="D383" s="265">
        <v>0</v>
      </c>
      <c r="E383" s="216" t="e">
        <f>D383*#REF!</f>
        <v>#REF!</v>
      </c>
      <c r="F383" s="216" t="e">
        <f>D383*#REF!</f>
        <v>#REF!</v>
      </c>
      <c r="G383" s="216" t="e">
        <f>(D383*#REF!)*#REF!</f>
        <v>#REF!</v>
      </c>
      <c r="H383" s="211">
        <f t="shared" si="214"/>
        <v>0</v>
      </c>
      <c r="I383" s="7" t="e">
        <f t="shared" si="215"/>
        <v>#REF!</v>
      </c>
      <c r="J383" s="5"/>
      <c r="K383" s="383"/>
      <c r="L383" s="265">
        <v>0</v>
      </c>
      <c r="M383" s="216">
        <v>0</v>
      </c>
      <c r="N383" s="216">
        <v>40000</v>
      </c>
      <c r="O383" s="216">
        <f>VLOOKUP(A383,TB!A:F,3)</f>
        <v>16576.23</v>
      </c>
      <c r="P383" s="216"/>
      <c r="Q383" s="216">
        <v>40000</v>
      </c>
      <c r="R383" s="7">
        <f>VLOOKUP(A383,TB!A:F,6)</f>
        <v>30000</v>
      </c>
      <c r="S383" s="7">
        <f t="shared" si="216"/>
        <v>-10000</v>
      </c>
    </row>
    <row r="384" spans="1:19" ht="15.75" hidden="1" customHeight="1" outlineLevel="1" x14ac:dyDescent="0.25">
      <c r="A384" s="6" t="s">
        <v>1473</v>
      </c>
      <c r="B384" s="6" t="s">
        <v>1450</v>
      </c>
      <c r="C384" s="383"/>
      <c r="D384" s="265">
        <v>0</v>
      </c>
      <c r="E384" s="216" t="e">
        <f>D384*#REF!</f>
        <v>#REF!</v>
      </c>
      <c r="F384" s="216" t="e">
        <f>D384*#REF!</f>
        <v>#REF!</v>
      </c>
      <c r="G384" s="216" t="e">
        <f>(D384*#REF!)*#REF!</f>
        <v>#REF!</v>
      </c>
      <c r="H384" s="211">
        <f t="shared" si="214"/>
        <v>0</v>
      </c>
      <c r="I384" s="7" t="e">
        <f t="shared" si="215"/>
        <v>#REF!</v>
      </c>
      <c r="J384" s="5"/>
      <c r="K384" s="383"/>
      <c r="L384" s="265">
        <v>0</v>
      </c>
      <c r="M384" s="216">
        <v>118428.65</v>
      </c>
      <c r="N384" s="216">
        <v>120000</v>
      </c>
      <c r="O384" s="216">
        <f>VLOOKUP(A384,TB!A:F,3)</f>
        <v>80644.27</v>
      </c>
      <c r="P384" s="216"/>
      <c r="Q384" s="216">
        <v>123600</v>
      </c>
      <c r="R384" s="7">
        <f>VLOOKUP(A384,TB!A:F,6)</f>
        <v>123600</v>
      </c>
      <c r="S384" s="7">
        <f t="shared" si="216"/>
        <v>0</v>
      </c>
    </row>
    <row r="385" spans="1:24" ht="15.75" hidden="1" customHeight="1" outlineLevel="1" x14ac:dyDescent="0.25">
      <c r="A385" s="6" t="s">
        <v>1474</v>
      </c>
      <c r="B385" s="6" t="s">
        <v>1452</v>
      </c>
      <c r="C385" s="383"/>
      <c r="D385" s="265">
        <v>0</v>
      </c>
      <c r="E385" s="216" t="e">
        <f>D385*#REF!</f>
        <v>#REF!</v>
      </c>
      <c r="F385" s="216" t="e">
        <f>D385*#REF!</f>
        <v>#REF!</v>
      </c>
      <c r="G385" s="216" t="e">
        <f>(D385*#REF!)*#REF!</f>
        <v>#REF!</v>
      </c>
      <c r="H385" s="211">
        <f t="shared" si="214"/>
        <v>0</v>
      </c>
      <c r="I385" s="7" t="e">
        <f t="shared" si="215"/>
        <v>#REF!</v>
      </c>
      <c r="J385" s="5"/>
      <c r="K385" s="383"/>
      <c r="L385" s="265">
        <v>0</v>
      </c>
      <c r="M385" s="216">
        <v>15406.12</v>
      </c>
      <c r="N385" s="216">
        <v>60000</v>
      </c>
      <c r="O385" s="216">
        <f>VLOOKUP(A385,TB!A:F,3)</f>
        <v>16259.81</v>
      </c>
      <c r="P385" s="216"/>
      <c r="Q385" s="216">
        <v>60000</v>
      </c>
      <c r="R385" s="7">
        <f>VLOOKUP(A385,TB!A:F,6)</f>
        <v>30000</v>
      </c>
      <c r="S385" s="7">
        <f t="shared" si="216"/>
        <v>-30000</v>
      </c>
    </row>
    <row r="386" spans="1:24" ht="15.75" hidden="1" customHeight="1" outlineLevel="1" x14ac:dyDescent="0.25">
      <c r="A386" s="6" t="s">
        <v>1475</v>
      </c>
      <c r="B386" s="6" t="s">
        <v>86</v>
      </c>
      <c r="C386" s="383"/>
      <c r="D386" s="265">
        <v>0</v>
      </c>
      <c r="E386" s="216" t="e">
        <f>D386*#REF!</f>
        <v>#REF!</v>
      </c>
      <c r="F386" s="216" t="e">
        <f>D386*#REF!</f>
        <v>#REF!</v>
      </c>
      <c r="G386" s="216" t="e">
        <f>(D386*#REF!)*#REF!</f>
        <v>#REF!</v>
      </c>
      <c r="H386" s="211">
        <f t="shared" si="214"/>
        <v>0</v>
      </c>
      <c r="I386" s="7" t="e">
        <f t="shared" si="215"/>
        <v>#REF!</v>
      </c>
      <c r="J386" s="5"/>
      <c r="K386" s="383"/>
      <c r="L386" s="265">
        <v>0</v>
      </c>
      <c r="M386" s="216">
        <v>2500</v>
      </c>
      <c r="N386" s="216">
        <v>11000</v>
      </c>
      <c r="O386" s="216">
        <f>VLOOKUP(A386,TB!A:F,3)</f>
        <v>2500</v>
      </c>
      <c r="P386" s="216"/>
      <c r="Q386" s="216">
        <v>11400</v>
      </c>
      <c r="R386" s="7">
        <f>VLOOKUP(A386,TB!A:F,6)</f>
        <v>11400</v>
      </c>
      <c r="S386" s="7">
        <f t="shared" si="216"/>
        <v>0</v>
      </c>
    </row>
    <row r="387" spans="1:24" ht="15.75" hidden="1" customHeight="1" outlineLevel="1" x14ac:dyDescent="0.25">
      <c r="A387" s="6" t="s">
        <v>1476</v>
      </c>
      <c r="B387" s="6" t="s">
        <v>88</v>
      </c>
      <c r="C387" s="383"/>
      <c r="D387" s="265">
        <v>0</v>
      </c>
      <c r="E387" s="216" t="e">
        <f>D387*#REF!</f>
        <v>#REF!</v>
      </c>
      <c r="F387" s="216" t="e">
        <f>D387*#REF!</f>
        <v>#REF!</v>
      </c>
      <c r="G387" s="216" t="e">
        <f>(D387*#REF!)*#REF!</f>
        <v>#REF!</v>
      </c>
      <c r="H387" s="211">
        <f t="shared" si="214"/>
        <v>0</v>
      </c>
      <c r="I387" s="7" t="e">
        <f t="shared" si="215"/>
        <v>#REF!</v>
      </c>
      <c r="J387" s="5"/>
      <c r="K387" s="383"/>
      <c r="L387" s="265">
        <v>0</v>
      </c>
      <c r="M387" s="216">
        <v>0</v>
      </c>
      <c r="N387" s="216">
        <v>0</v>
      </c>
      <c r="O387" s="216">
        <f>VLOOKUP(A387,TB!A:F,3)</f>
        <v>0</v>
      </c>
      <c r="P387" s="216"/>
      <c r="Q387" s="216">
        <v>7150</v>
      </c>
      <c r="R387" s="7">
        <f>VLOOKUP(A387,TB!A:F,6)</f>
        <v>2150</v>
      </c>
      <c r="S387" s="7">
        <f t="shared" si="216"/>
        <v>-5000</v>
      </c>
    </row>
    <row r="388" spans="1:24" ht="15.75" hidden="1" customHeight="1" outlineLevel="1" x14ac:dyDescent="0.25">
      <c r="A388" s="6" t="s">
        <v>1477</v>
      </c>
      <c r="B388" s="6" t="s">
        <v>90</v>
      </c>
      <c r="C388" s="383"/>
      <c r="D388" s="265">
        <v>0</v>
      </c>
      <c r="E388" s="216" t="e">
        <f>D388*#REF!</f>
        <v>#REF!</v>
      </c>
      <c r="F388" s="216" t="e">
        <f>D388*#REF!</f>
        <v>#REF!</v>
      </c>
      <c r="G388" s="216" t="e">
        <f>(D388*#REF!)*#REF!</f>
        <v>#REF!</v>
      </c>
      <c r="H388" s="211">
        <f t="shared" si="214"/>
        <v>0</v>
      </c>
      <c r="I388" s="7" t="e">
        <f t="shared" si="215"/>
        <v>#REF!</v>
      </c>
      <c r="J388" s="5"/>
      <c r="K388" s="383"/>
      <c r="L388" s="265">
        <v>0</v>
      </c>
      <c r="M388" s="216">
        <v>0</v>
      </c>
      <c r="N388" s="216">
        <v>4800</v>
      </c>
      <c r="O388" s="216">
        <f>VLOOKUP(A388,TB!A:F,3)</f>
        <v>860</v>
      </c>
      <c r="P388" s="216"/>
      <c r="Q388" s="216">
        <v>5000</v>
      </c>
      <c r="R388" s="7">
        <f>VLOOKUP(A388,TB!A:F,6)</f>
        <v>4000</v>
      </c>
      <c r="S388" s="7">
        <f t="shared" si="216"/>
        <v>-1000</v>
      </c>
    </row>
    <row r="389" spans="1:24" ht="15.75" hidden="1" customHeight="1" outlineLevel="1" x14ac:dyDescent="0.25">
      <c r="A389" s="6" t="s">
        <v>1478</v>
      </c>
      <c r="B389" s="6" t="s">
        <v>1209</v>
      </c>
      <c r="C389" s="383"/>
      <c r="D389" s="265">
        <v>0</v>
      </c>
      <c r="E389" s="216" t="e">
        <f>D389*#REF!</f>
        <v>#REF!</v>
      </c>
      <c r="F389" s="216" t="e">
        <f>D389*#REF!</f>
        <v>#REF!</v>
      </c>
      <c r="G389" s="216" t="e">
        <f>(D389*#REF!)*#REF!</f>
        <v>#REF!</v>
      </c>
      <c r="H389" s="211">
        <f t="shared" si="214"/>
        <v>0</v>
      </c>
      <c r="I389" s="7" t="e">
        <f t="shared" si="215"/>
        <v>#REF!</v>
      </c>
      <c r="J389" s="5"/>
      <c r="K389" s="383"/>
      <c r="L389" s="265">
        <v>0</v>
      </c>
      <c r="M389" s="216">
        <v>3948.71</v>
      </c>
      <c r="N389" s="216">
        <v>5750</v>
      </c>
      <c r="O389" s="216">
        <f>VLOOKUP(A389,TB!A:F,3)</f>
        <v>3148.65</v>
      </c>
      <c r="P389" s="216"/>
      <c r="Q389" s="216">
        <v>6000</v>
      </c>
      <c r="R389" s="7">
        <f>VLOOKUP(A389,TB!A:F,6)</f>
        <v>5000</v>
      </c>
      <c r="S389" s="7">
        <f t="shared" si="216"/>
        <v>-1000</v>
      </c>
    </row>
    <row r="390" spans="1:24" ht="15.75" hidden="1" customHeight="1" outlineLevel="1" x14ac:dyDescent="0.25">
      <c r="A390" s="6" t="s">
        <v>1479</v>
      </c>
      <c r="B390" s="6" t="s">
        <v>92</v>
      </c>
      <c r="C390" s="280"/>
      <c r="D390" s="216">
        <v>0</v>
      </c>
      <c r="E390" s="216" t="e">
        <f>D390*#REF!</f>
        <v>#REF!</v>
      </c>
      <c r="F390" s="216" t="e">
        <f>D390*#REF!</f>
        <v>#REF!</v>
      </c>
      <c r="G390" s="216" t="e">
        <f>(D390*#REF!)*#REF!</f>
        <v>#REF!</v>
      </c>
      <c r="H390" s="211">
        <f t="shared" si="214"/>
        <v>0</v>
      </c>
      <c r="I390" s="7" t="e">
        <f t="shared" si="215"/>
        <v>#REF!</v>
      </c>
      <c r="J390" s="5"/>
      <c r="K390" s="280"/>
      <c r="L390" s="216">
        <v>0</v>
      </c>
      <c r="M390" s="216">
        <v>8020.77</v>
      </c>
      <c r="N390" s="216">
        <v>7000</v>
      </c>
      <c r="O390" s="216">
        <f>VLOOKUP(A390,TB!A:F,3)</f>
        <v>8757.0300000000007</v>
      </c>
      <c r="P390" s="216"/>
      <c r="Q390" s="216">
        <v>7000</v>
      </c>
      <c r="R390" s="7">
        <f>VLOOKUP(A390,TB!A:F,6)</f>
        <v>7000</v>
      </c>
      <c r="S390" s="7">
        <f t="shared" si="216"/>
        <v>0</v>
      </c>
    </row>
    <row r="391" spans="1:24" ht="15.75" hidden="1" customHeight="1" outlineLevel="1" x14ac:dyDescent="0.25">
      <c r="A391" s="413" t="s">
        <v>1480</v>
      </c>
      <c r="B391" s="413" t="s">
        <v>1481</v>
      </c>
      <c r="C391" s="280"/>
      <c r="D391" s="414">
        <v>0</v>
      </c>
      <c r="E391" s="414" t="e">
        <f>D391*#REF!</f>
        <v>#REF!</v>
      </c>
      <c r="F391" s="414" t="e">
        <f>D391*#REF!</f>
        <v>#REF!</v>
      </c>
      <c r="G391" s="414" t="e">
        <f>(D391*#REF!)*#REF!</f>
        <v>#REF!</v>
      </c>
      <c r="H391" s="415">
        <f t="shared" si="214"/>
        <v>0</v>
      </c>
      <c r="I391" s="416" t="e">
        <f t="shared" si="215"/>
        <v>#REF!</v>
      </c>
      <c r="J391" s="5"/>
      <c r="K391" s="280"/>
      <c r="L391" s="414">
        <v>0</v>
      </c>
      <c r="M391" s="414">
        <v>0</v>
      </c>
      <c r="N391" s="414">
        <v>0</v>
      </c>
      <c r="O391" s="216">
        <v>0</v>
      </c>
      <c r="P391" s="414"/>
      <c r="Q391" s="414">
        <v>0</v>
      </c>
      <c r="R391" s="7">
        <f>VLOOKUP(A391,TB!A:F,6)</f>
        <v>5000</v>
      </c>
      <c r="S391" s="7">
        <f t="shared" si="216"/>
        <v>5000</v>
      </c>
    </row>
    <row r="392" spans="1:24" ht="15.75" hidden="1" customHeight="1" outlineLevel="1" x14ac:dyDescent="0.25">
      <c r="A392" s="6" t="s">
        <v>1482</v>
      </c>
      <c r="B392" s="6" t="s">
        <v>1011</v>
      </c>
      <c r="C392" s="280"/>
      <c r="D392" s="216">
        <v>0</v>
      </c>
      <c r="E392" s="216" t="e">
        <f>D392*#REF!</f>
        <v>#REF!</v>
      </c>
      <c r="F392" s="216" t="e">
        <f>D392*#REF!</f>
        <v>#REF!</v>
      </c>
      <c r="G392" s="216" t="e">
        <f>(D392*#REF!)*#REF!</f>
        <v>#REF!</v>
      </c>
      <c r="H392" s="211">
        <f t="shared" si="214"/>
        <v>0</v>
      </c>
      <c r="I392" s="7" t="e">
        <f t="shared" si="215"/>
        <v>#REF!</v>
      </c>
      <c r="J392" s="5"/>
      <c r="K392" s="280"/>
      <c r="L392" s="216">
        <v>0</v>
      </c>
      <c r="M392" s="216">
        <v>7458.14</v>
      </c>
      <c r="N392" s="216">
        <v>7200</v>
      </c>
      <c r="O392" s="216">
        <f>VLOOKUP(A392,TB!A:F,3)</f>
        <v>0</v>
      </c>
      <c r="P392" s="216"/>
      <c r="Q392" s="216">
        <v>7200</v>
      </c>
      <c r="R392" s="7">
        <f>VLOOKUP(A392,TB!A:F,6)</f>
        <v>0</v>
      </c>
      <c r="S392" s="7">
        <f t="shared" si="216"/>
        <v>-7200</v>
      </c>
    </row>
    <row r="393" spans="1:24" ht="15.75" hidden="1" customHeight="1" outlineLevel="1" x14ac:dyDescent="0.25">
      <c r="A393" s="6" t="s">
        <v>1483</v>
      </c>
      <c r="B393" s="6" t="s">
        <v>99</v>
      </c>
      <c r="C393" s="280"/>
      <c r="D393" s="216">
        <v>0</v>
      </c>
      <c r="E393" s="216" t="e">
        <f>D393*#REF!</f>
        <v>#REF!</v>
      </c>
      <c r="F393" s="216" t="e">
        <f>D393*#REF!</f>
        <v>#REF!</v>
      </c>
      <c r="G393" s="216" t="e">
        <f>(D393*#REF!)*#REF!</f>
        <v>#REF!</v>
      </c>
      <c r="H393" s="211">
        <f t="shared" si="214"/>
        <v>0</v>
      </c>
      <c r="I393" s="7" t="e">
        <f t="shared" si="215"/>
        <v>#REF!</v>
      </c>
      <c r="J393" s="5"/>
      <c r="K393" s="280"/>
      <c r="L393" s="216">
        <v>0</v>
      </c>
      <c r="M393" s="216">
        <v>121658.49</v>
      </c>
      <c r="N393" s="216">
        <v>0</v>
      </c>
      <c r="O393" s="216">
        <f>VLOOKUP(A393,TB!A:F,3)</f>
        <v>0</v>
      </c>
      <c r="P393" s="216"/>
      <c r="Q393" s="216">
        <v>0</v>
      </c>
      <c r="R393" s="7">
        <f>VLOOKUP(A393,TB!A:F,6)</f>
        <v>0</v>
      </c>
      <c r="S393" s="7">
        <f t="shared" si="216"/>
        <v>0</v>
      </c>
    </row>
    <row r="394" spans="1:24" ht="15.75" hidden="1" customHeight="1" outlineLevel="1" x14ac:dyDescent="0.25">
      <c r="A394" s="47" t="s">
        <v>1458</v>
      </c>
      <c r="B394" s="48"/>
      <c r="C394" s="325"/>
      <c r="D394" s="48">
        <f t="shared" ref="D394:G394" si="217">SUM(D370:D393)</f>
        <v>0</v>
      </c>
      <c r="E394" s="48" t="e">
        <f t="shared" si="217"/>
        <v>#REF!</v>
      </c>
      <c r="F394" s="48" t="e">
        <f t="shared" si="217"/>
        <v>#REF!</v>
      </c>
      <c r="G394" s="48" t="e">
        <f t="shared" si="217"/>
        <v>#REF!</v>
      </c>
      <c r="H394" s="212">
        <f t="shared" si="214"/>
        <v>0</v>
      </c>
      <c r="I394" s="12" t="e">
        <f t="shared" si="215"/>
        <v>#REF!</v>
      </c>
      <c r="J394" s="5"/>
      <c r="K394" s="325"/>
      <c r="L394" s="48">
        <f t="shared" ref="L394:S394" si="218">SUM(L370:L393)</f>
        <v>0</v>
      </c>
      <c r="M394" s="48">
        <f t="shared" si="218"/>
        <v>856142.12</v>
      </c>
      <c r="N394" s="48">
        <f t="shared" si="218"/>
        <v>929381</v>
      </c>
      <c r="O394" s="48">
        <f t="shared" si="218"/>
        <v>625434.84000000008</v>
      </c>
      <c r="P394" s="48">
        <f t="shared" si="218"/>
        <v>0</v>
      </c>
      <c r="Q394" s="48">
        <f t="shared" si="218"/>
        <v>979430</v>
      </c>
      <c r="R394" s="12">
        <f t="shared" si="218"/>
        <v>904600</v>
      </c>
      <c r="S394" s="12">
        <f t="shared" si="218"/>
        <v>-74830</v>
      </c>
    </row>
    <row r="395" spans="1:24" ht="15.75" hidden="1" customHeight="1" outlineLevel="1" x14ac:dyDescent="0.2">
      <c r="A395" s="5"/>
      <c r="B395" s="5"/>
      <c r="C395" s="284"/>
      <c r="D395" s="5"/>
      <c r="E395" s="5"/>
      <c r="F395" s="5"/>
      <c r="G395" s="5"/>
      <c r="H395" s="5"/>
      <c r="I395" s="5"/>
      <c r="J395" s="5"/>
      <c r="K395" s="284"/>
      <c r="L395" s="5"/>
      <c r="M395" s="5"/>
      <c r="N395" s="5"/>
      <c r="O395" s="5"/>
      <c r="P395" s="5"/>
      <c r="Q395" s="5"/>
      <c r="R395" s="5"/>
      <c r="S395" s="5"/>
    </row>
    <row r="396" spans="1:24" ht="15.75" hidden="1" customHeight="1" outlineLevel="1" x14ac:dyDescent="0.2">
      <c r="A396" s="3" t="s">
        <v>50</v>
      </c>
      <c r="B396" s="3" t="s">
        <v>51</v>
      </c>
      <c r="C396" s="292"/>
      <c r="D396" s="3" t="s">
        <v>52</v>
      </c>
      <c r="E396" s="380" t="s">
        <v>53</v>
      </c>
      <c r="F396" s="380" t="s">
        <v>1212</v>
      </c>
      <c r="G396" s="380" t="s">
        <v>55</v>
      </c>
      <c r="H396" s="230" t="s">
        <v>56</v>
      </c>
      <c r="I396" s="230" t="s">
        <v>57</v>
      </c>
      <c r="J396" s="5"/>
      <c r="K396" s="292"/>
      <c r="L396" s="3" t="s">
        <v>59</v>
      </c>
      <c r="M396" s="3" t="s">
        <v>60</v>
      </c>
      <c r="N396" s="3" t="s">
        <v>436</v>
      </c>
      <c r="O396" s="3" t="s">
        <v>437</v>
      </c>
      <c r="P396" s="70">
        <f>P1</f>
        <v>0</v>
      </c>
      <c r="Q396" s="293" t="s">
        <v>438</v>
      </c>
      <c r="R396" s="70">
        <f>R1</f>
        <v>0</v>
      </c>
      <c r="S396" s="3" t="s">
        <v>586</v>
      </c>
    </row>
    <row r="397" spans="1:24" ht="15.75" hidden="1" customHeight="1" outlineLevel="1" x14ac:dyDescent="0.25">
      <c r="A397" s="6" t="s">
        <v>1484</v>
      </c>
      <c r="B397" s="6" t="s">
        <v>99</v>
      </c>
      <c r="C397" s="382"/>
      <c r="D397" s="36">
        <v>0</v>
      </c>
      <c r="E397" s="216" t="e">
        <f>D397*#REF!</f>
        <v>#REF!</v>
      </c>
      <c r="F397" s="216" t="e">
        <f>D397*#REF!</f>
        <v>#REF!</v>
      </c>
      <c r="G397" s="216" t="e">
        <f>(D397*#REF!)*#REF!</f>
        <v>#REF!</v>
      </c>
      <c r="H397" s="63">
        <f t="shared" ref="H397:H398" si="219">IFERROR(((Q397-D397)/D397),0)</f>
        <v>0</v>
      </c>
      <c r="I397" s="7" t="e">
        <f t="shared" ref="I397:I398" si="220">Q397-G397</f>
        <v>#REF!</v>
      </c>
      <c r="J397" s="5"/>
      <c r="K397" s="382"/>
      <c r="L397" s="36">
        <v>0</v>
      </c>
      <c r="M397" s="36">
        <v>0</v>
      </c>
      <c r="N397" s="36">
        <v>63000</v>
      </c>
      <c r="O397" s="36">
        <v>55781.01</v>
      </c>
      <c r="P397" s="36">
        <f>N397</f>
        <v>63000</v>
      </c>
      <c r="Q397" s="36">
        <v>61000</v>
      </c>
      <c r="R397" s="7">
        <f>VLOOKUP(A397,TB!A:F,6)</f>
        <v>46000</v>
      </c>
      <c r="S397" s="7">
        <f>R397-Q397</f>
        <v>-15000</v>
      </c>
    </row>
    <row r="398" spans="1:24" ht="15.75" hidden="1" customHeight="1" outlineLevel="1" x14ac:dyDescent="0.25">
      <c r="A398" s="47" t="s">
        <v>1485</v>
      </c>
      <c r="B398" s="48"/>
      <c r="C398" s="325"/>
      <c r="D398" s="12">
        <f t="shared" ref="D398:G398" si="221">SUM(D397)</f>
        <v>0</v>
      </c>
      <c r="E398" s="12" t="e">
        <f t="shared" si="221"/>
        <v>#REF!</v>
      </c>
      <c r="F398" s="12" t="e">
        <f t="shared" si="221"/>
        <v>#REF!</v>
      </c>
      <c r="G398" s="12" t="e">
        <f t="shared" si="221"/>
        <v>#REF!</v>
      </c>
      <c r="H398" s="332">
        <f t="shared" si="219"/>
        <v>0</v>
      </c>
      <c r="I398" s="12" t="e">
        <f t="shared" si="220"/>
        <v>#REF!</v>
      </c>
      <c r="J398" s="5"/>
      <c r="K398" s="325"/>
      <c r="L398" s="12">
        <f t="shared" ref="L398:S398" si="222">SUM(L397)</f>
        <v>0</v>
      </c>
      <c r="M398" s="12">
        <f t="shared" si="222"/>
        <v>0</v>
      </c>
      <c r="N398" s="12">
        <f t="shared" si="222"/>
        <v>63000</v>
      </c>
      <c r="O398" s="12">
        <f t="shared" si="222"/>
        <v>55781.01</v>
      </c>
      <c r="P398" s="12">
        <f t="shared" si="222"/>
        <v>63000</v>
      </c>
      <c r="Q398" s="12">
        <f t="shared" si="222"/>
        <v>61000</v>
      </c>
      <c r="R398" s="12">
        <f t="shared" si="222"/>
        <v>46000</v>
      </c>
      <c r="S398" s="12">
        <f t="shared" si="222"/>
        <v>-15000</v>
      </c>
    </row>
    <row r="399" spans="1:24" ht="15.75" hidden="1" customHeight="1" outlineLevel="1" x14ac:dyDescent="0.2">
      <c r="A399" s="5"/>
      <c r="B399" s="5"/>
      <c r="C399" s="284"/>
      <c r="D399" s="7"/>
      <c r="E399" s="7"/>
      <c r="F399" s="7"/>
      <c r="G399" s="7"/>
      <c r="H399" s="7"/>
      <c r="I399" s="7"/>
      <c r="J399" s="5"/>
      <c r="K399" s="284"/>
      <c r="L399" s="5"/>
      <c r="M399" s="5"/>
      <c r="N399" s="5"/>
      <c r="O399" s="5"/>
      <c r="P399" s="5"/>
      <c r="Q399" s="5"/>
      <c r="R399" s="5"/>
      <c r="S399" s="5"/>
    </row>
    <row r="400" spans="1:24" ht="28.5" customHeight="1" collapsed="1" x14ac:dyDescent="0.35">
      <c r="A400" s="417" t="s">
        <v>1486</v>
      </c>
      <c r="B400" s="5"/>
      <c r="C400" s="15"/>
      <c r="D400" s="16"/>
      <c r="E400" s="16"/>
      <c r="F400" s="16"/>
      <c r="G400" s="16"/>
      <c r="H400" s="18"/>
      <c r="I400" s="16"/>
      <c r="J400" s="16"/>
      <c r="K400" s="15"/>
      <c r="L400" s="7"/>
      <c r="M400" s="7"/>
      <c r="N400" s="7"/>
      <c r="O400" s="7"/>
      <c r="P400" s="7"/>
      <c r="Q400" s="7"/>
      <c r="R400" s="7"/>
      <c r="S400" s="7"/>
      <c r="T400" s="206"/>
      <c r="W400" s="19"/>
      <c r="X400" s="20"/>
    </row>
    <row r="401" spans="1:31" ht="50.25" customHeight="1" x14ac:dyDescent="0.2">
      <c r="A401" s="3" t="s">
        <v>50</v>
      </c>
      <c r="B401" s="3" t="s">
        <v>51</v>
      </c>
      <c r="C401" s="21"/>
      <c r="D401" s="22" t="s">
        <v>52</v>
      </c>
      <c r="E401" s="23" t="s">
        <v>53</v>
      </c>
      <c r="F401" s="23" t="s">
        <v>54</v>
      </c>
      <c r="G401" s="23" t="s">
        <v>55</v>
      </c>
      <c r="H401" s="100" t="s">
        <v>56</v>
      </c>
      <c r="I401" s="23" t="s">
        <v>57</v>
      </c>
      <c r="J401" s="129" t="s">
        <v>58</v>
      </c>
      <c r="K401" s="130"/>
      <c r="L401" s="27" t="s">
        <v>59</v>
      </c>
      <c r="M401" s="27" t="s">
        <v>60</v>
      </c>
      <c r="N401" s="27" t="s">
        <v>61</v>
      </c>
      <c r="O401" s="27" t="s">
        <v>62</v>
      </c>
      <c r="P401" s="27" t="s">
        <v>63</v>
      </c>
      <c r="Q401" s="27" t="s">
        <v>64</v>
      </c>
      <c r="R401" s="27" t="s">
        <v>65</v>
      </c>
      <c r="S401" s="27" t="s">
        <v>66</v>
      </c>
      <c r="T401" s="207"/>
      <c r="U401" s="28"/>
      <c r="V401" s="19"/>
      <c r="X401" s="28"/>
      <c r="Y401" s="28"/>
      <c r="Z401" s="28"/>
      <c r="AA401" s="28"/>
      <c r="AB401" s="28"/>
      <c r="AC401" s="28"/>
      <c r="AD401" s="28"/>
      <c r="AE401" s="28"/>
    </row>
    <row r="402" spans="1:31" ht="15.75" customHeight="1" x14ac:dyDescent="0.25">
      <c r="A402" s="5"/>
      <c r="B402" s="6"/>
      <c r="C402" s="383"/>
      <c r="D402" s="265"/>
      <c r="E402" s="216"/>
      <c r="F402" s="216"/>
      <c r="G402" s="142"/>
      <c r="H402" s="211"/>
      <c r="I402" s="5"/>
      <c r="J402" s="5"/>
      <c r="K402" s="383"/>
      <c r="L402" s="265"/>
      <c r="M402" s="265"/>
      <c r="N402" s="265"/>
      <c r="O402" s="265"/>
      <c r="P402" s="266"/>
      <c r="Q402" s="266"/>
      <c r="R402" s="5"/>
      <c r="S402" s="5"/>
    </row>
    <row r="403" spans="1:31" ht="15.75" customHeight="1" x14ac:dyDescent="0.25">
      <c r="A403" s="6" t="s">
        <v>1235</v>
      </c>
      <c r="B403" s="6" t="s">
        <v>68</v>
      </c>
      <c r="C403" s="383"/>
      <c r="D403" s="266">
        <f t="shared" ref="D403:D425" si="223">SUMIF($B$348:$B$366,$B403,D$348:D$366)+SUMIF($B$370:$B$393,$B403,D$370:D$393)+SUMIF($B$397,$B403,D$397)</f>
        <v>95580</v>
      </c>
      <c r="E403" s="142" t="e">
        <f>D403*#REF!</f>
        <v>#REF!</v>
      </c>
      <c r="F403" s="142" t="e">
        <f>D403*#REF!</f>
        <v>#REF!</v>
      </c>
      <c r="G403" s="142" t="e">
        <f>(D403*#REF!)*#REF!</f>
        <v>#REF!</v>
      </c>
      <c r="H403" s="33">
        <f t="shared" ref="H403:H426" si="224">IFERROR(((Q403-G403)/G403),0)</f>
        <v>0</v>
      </c>
      <c r="I403" s="16" t="e">
        <f t="shared" ref="I403:I426" si="225">Q403-G403</f>
        <v>#REF!</v>
      </c>
      <c r="J403" s="109"/>
      <c r="K403" s="383"/>
      <c r="L403" s="265">
        <f t="shared" ref="L403:O403" si="226">SUMIF($B$348:$B$366,$B403,L$348:L$366)+SUMIF($B$370:$B$393,$B403,L$370:L$393)+SUMIF($B$397,$B403,L$397)</f>
        <v>194379</v>
      </c>
      <c r="M403" s="265">
        <f t="shared" si="226"/>
        <v>239289.74</v>
      </c>
      <c r="N403" s="265">
        <f t="shared" si="226"/>
        <v>252472</v>
      </c>
      <c r="O403" s="265">
        <f t="shared" si="226"/>
        <v>192184.58</v>
      </c>
      <c r="P403" s="266">
        <f t="shared" ref="P403:P404" si="227">O403/20*26</f>
        <v>249839.95399999997</v>
      </c>
      <c r="Q403" s="266">
        <f t="shared" ref="Q403:S403" si="228">SUMIF($B$348:$B$366,$B403,Q$348:Q$366)+SUMIF($B$370:$B$393,$B403,Q$370:Q$393)+SUMIF($B$397,$B403,Q$397)</f>
        <v>277100</v>
      </c>
      <c r="R403" s="265">
        <f t="shared" si="228"/>
        <v>277100</v>
      </c>
      <c r="S403" s="265">
        <f t="shared" si="228"/>
        <v>0</v>
      </c>
    </row>
    <row r="404" spans="1:31" ht="15.75" customHeight="1" x14ac:dyDescent="0.25">
      <c r="A404" s="6" t="s">
        <v>1235</v>
      </c>
      <c r="B404" s="6" t="s">
        <v>70</v>
      </c>
      <c r="C404" s="383"/>
      <c r="D404" s="266">
        <f t="shared" si="223"/>
        <v>1075</v>
      </c>
      <c r="E404" s="142" t="e">
        <f>D404*#REF!</f>
        <v>#REF!</v>
      </c>
      <c r="F404" s="142" t="e">
        <f>D404*#REF!</f>
        <v>#REF!</v>
      </c>
      <c r="G404" s="142" t="e">
        <f>(D404*#REF!)*#REF!</f>
        <v>#REF!</v>
      </c>
      <c r="H404" s="33">
        <f t="shared" si="224"/>
        <v>0</v>
      </c>
      <c r="I404" s="16" t="e">
        <f t="shared" si="225"/>
        <v>#REF!</v>
      </c>
      <c r="J404" s="16">
        <v>-2100</v>
      </c>
      <c r="K404" s="383"/>
      <c r="L404" s="265">
        <f t="shared" ref="L404:O404" si="229">SUMIF($B$348:$B$366,$B404,L$348:L$366)+SUMIF($B$370:$B$393,$B404,L$370:L$393)+SUMIF($B$397,$B404,L$397)</f>
        <v>7412</v>
      </c>
      <c r="M404" s="265">
        <f t="shared" si="229"/>
        <v>10403.200000000001</v>
      </c>
      <c r="N404" s="265">
        <f t="shared" si="229"/>
        <v>14000</v>
      </c>
      <c r="O404" s="265">
        <f t="shared" si="229"/>
        <v>10028.75</v>
      </c>
      <c r="P404" s="266">
        <f t="shared" si="227"/>
        <v>13037.375</v>
      </c>
      <c r="Q404" s="266">
        <f t="shared" ref="Q404:S404" si="230">SUMIF($B$348:$B$366,$B404,Q$348:Q$366)+SUMIF($B$370:$B$393,$B404,Q$370:Q$393)+SUMIF($B$397,$B404,Q$397)</f>
        <v>14000</v>
      </c>
      <c r="R404" s="265">
        <f t="shared" si="230"/>
        <v>11900</v>
      </c>
      <c r="S404" s="265">
        <f t="shared" si="230"/>
        <v>-2100</v>
      </c>
    </row>
    <row r="405" spans="1:31" ht="15.75" customHeight="1" x14ac:dyDescent="0.25">
      <c r="A405" s="6" t="s">
        <v>1235</v>
      </c>
      <c r="B405" s="6" t="s">
        <v>108</v>
      </c>
      <c r="C405" s="383"/>
      <c r="D405" s="266">
        <f t="shared" si="223"/>
        <v>106361</v>
      </c>
      <c r="E405" s="142" t="e">
        <f>D405*#REF!</f>
        <v>#REF!</v>
      </c>
      <c r="F405" s="142" t="e">
        <f>D405*#REF!</f>
        <v>#REF!</v>
      </c>
      <c r="G405" s="142" t="e">
        <f>(D405*#REF!)*#REF!</f>
        <v>#REF!</v>
      </c>
      <c r="H405" s="33">
        <f t="shared" si="224"/>
        <v>0</v>
      </c>
      <c r="I405" s="16" t="e">
        <f t="shared" si="225"/>
        <v>#REF!</v>
      </c>
      <c r="J405" s="16">
        <v>-11000</v>
      </c>
      <c r="K405" s="383"/>
      <c r="L405" s="265">
        <f t="shared" ref="L405:O405" si="231">SUMIF($B$348:$B$366,$B405,L$348:L$366)+SUMIF($B$370:$B$393,$B405,L$370:L$393)+SUMIF($B$397,$B405,L$397)</f>
        <v>87202</v>
      </c>
      <c r="M405" s="265">
        <f t="shared" si="231"/>
        <v>110186.97</v>
      </c>
      <c r="N405" s="265">
        <f t="shared" si="231"/>
        <v>146000</v>
      </c>
      <c r="O405" s="265">
        <f t="shared" si="231"/>
        <v>127988.61</v>
      </c>
      <c r="P405" s="266">
        <f>N405</f>
        <v>146000</v>
      </c>
      <c r="Q405" s="266">
        <f t="shared" ref="Q405:S405" si="232">SUMIF($B$348:$B$366,$B405,Q$348:Q$366)+SUMIF($B$370:$B$393,$B405,Q$370:Q$393)+SUMIF($B$397,$B405,Q$397)</f>
        <v>155000</v>
      </c>
      <c r="R405" s="265">
        <f t="shared" si="232"/>
        <v>144000</v>
      </c>
      <c r="S405" s="265">
        <f t="shared" si="232"/>
        <v>-11000</v>
      </c>
    </row>
    <row r="406" spans="1:31" ht="15.75" customHeight="1" x14ac:dyDescent="0.25">
      <c r="A406" s="6" t="s">
        <v>1235</v>
      </c>
      <c r="B406" s="6" t="s">
        <v>72</v>
      </c>
      <c r="C406" s="383"/>
      <c r="D406" s="266">
        <f t="shared" si="223"/>
        <v>65521</v>
      </c>
      <c r="E406" s="142" t="e">
        <f>D406*#REF!</f>
        <v>#REF!</v>
      </c>
      <c r="F406" s="142" t="e">
        <f>D406*#REF!</f>
        <v>#REF!</v>
      </c>
      <c r="G406" s="142" t="e">
        <f>(D406*#REF!)*#REF!</f>
        <v>#REF!</v>
      </c>
      <c r="H406" s="33">
        <f t="shared" si="224"/>
        <v>0</v>
      </c>
      <c r="I406" s="16" t="e">
        <f t="shared" si="225"/>
        <v>#REF!</v>
      </c>
      <c r="J406" s="16">
        <v>-1000</v>
      </c>
      <c r="K406" s="383"/>
      <c r="L406" s="265">
        <f t="shared" ref="L406:O406" si="233">SUMIF($B$348:$B$366,$B406,L$348:L$366)+SUMIF($B$370:$B$393,$B406,L$370:L$393)+SUMIF($B$397,$B406,L$397)</f>
        <v>105961</v>
      </c>
      <c r="M406" s="265">
        <f t="shared" si="233"/>
        <v>138584.32000000001</v>
      </c>
      <c r="N406" s="265">
        <f t="shared" si="233"/>
        <v>156359</v>
      </c>
      <c r="O406" s="265">
        <f t="shared" si="233"/>
        <v>117890.01</v>
      </c>
      <c r="P406" s="266">
        <f t="shared" ref="P406:P408" si="234">O406/20*26</f>
        <v>153257.01300000001</v>
      </c>
      <c r="Q406" s="266">
        <f t="shared" ref="Q406:S406" si="235">SUMIF($B$348:$B$366,$B406,Q$348:Q$366)+SUMIF($B$370:$B$393,$B406,Q$370:Q$393)+SUMIF($B$397,$B406,Q$397)</f>
        <v>167800</v>
      </c>
      <c r="R406" s="265">
        <f t="shared" si="235"/>
        <v>166800</v>
      </c>
      <c r="S406" s="265">
        <f t="shared" si="235"/>
        <v>-1000</v>
      </c>
    </row>
    <row r="407" spans="1:31" ht="15.75" customHeight="1" x14ac:dyDescent="0.25">
      <c r="A407" s="6" t="s">
        <v>1235</v>
      </c>
      <c r="B407" s="6" t="s">
        <v>892</v>
      </c>
      <c r="C407" s="383"/>
      <c r="D407" s="266">
        <f t="shared" si="223"/>
        <v>2676</v>
      </c>
      <c r="E407" s="142" t="e">
        <f>D407*#REF!</f>
        <v>#REF!</v>
      </c>
      <c r="F407" s="142" t="e">
        <f>D407*#REF!</f>
        <v>#REF!</v>
      </c>
      <c r="G407" s="142" t="e">
        <f>(D407*#REF!)*#REF!</f>
        <v>#REF!</v>
      </c>
      <c r="H407" s="33">
        <f t="shared" si="224"/>
        <v>0</v>
      </c>
      <c r="I407" s="16" t="e">
        <f t="shared" si="225"/>
        <v>#REF!</v>
      </c>
      <c r="J407" s="16"/>
      <c r="K407" s="383"/>
      <c r="L407" s="265">
        <f t="shared" ref="L407:N407" si="236">SUMIF($B$348:$B$366,$B407,L$348:L$366)+SUMIF($B$370:$B$393,$B407,L$370:L$393)+SUMIF($B$397,$B407,L$397)</f>
        <v>2538</v>
      </c>
      <c r="M407" s="265">
        <f t="shared" si="236"/>
        <v>2640</v>
      </c>
      <c r="N407" s="265">
        <f t="shared" si="236"/>
        <v>5000</v>
      </c>
      <c r="O407" s="265">
        <v>2250</v>
      </c>
      <c r="P407" s="266">
        <f t="shared" si="234"/>
        <v>2925</v>
      </c>
      <c r="Q407" s="266">
        <f t="shared" ref="Q407:S407" si="237">SUMIF($B$348:$B$366,$B407,Q$348:Q$366)+SUMIF($B$370:$B$393,$B407,Q$370:Q$393)+SUMIF($B$397,$B407,Q$397)</f>
        <v>5000</v>
      </c>
      <c r="R407" s="265">
        <f t="shared" si="237"/>
        <v>5000</v>
      </c>
      <c r="S407" s="265">
        <f t="shared" si="237"/>
        <v>0</v>
      </c>
    </row>
    <row r="408" spans="1:31" ht="15.75" customHeight="1" x14ac:dyDescent="0.25">
      <c r="A408" s="6" t="s">
        <v>1235</v>
      </c>
      <c r="B408" s="6" t="s">
        <v>451</v>
      </c>
      <c r="C408" s="383"/>
      <c r="D408" s="266">
        <f t="shared" si="223"/>
        <v>0</v>
      </c>
      <c r="E408" s="142" t="e">
        <f>D408*#REF!</f>
        <v>#REF!</v>
      </c>
      <c r="F408" s="142" t="e">
        <f>D408*#REF!</f>
        <v>#REF!</v>
      </c>
      <c r="G408" s="142" t="e">
        <f>(D408*#REF!)*#REF!</f>
        <v>#REF!</v>
      </c>
      <c r="H408" s="33">
        <f t="shared" si="224"/>
        <v>0</v>
      </c>
      <c r="I408" s="16" t="e">
        <f t="shared" si="225"/>
        <v>#REF!</v>
      </c>
      <c r="J408" s="16">
        <v>2000</v>
      </c>
      <c r="K408" s="383"/>
      <c r="L408" s="265">
        <f t="shared" ref="L408:O408" si="238">SUMIF($B$348:$B$366,$B408,L$348:L$366)+SUMIF($B$370:$B$393,$B408,L$370:L$393)+SUMIF($B$397,$B408,L$397)</f>
        <v>0</v>
      </c>
      <c r="M408" s="265">
        <f t="shared" si="238"/>
        <v>0</v>
      </c>
      <c r="N408" s="265">
        <f t="shared" si="238"/>
        <v>6200</v>
      </c>
      <c r="O408" s="265">
        <f t="shared" si="238"/>
        <v>363.75</v>
      </c>
      <c r="P408" s="266">
        <f t="shared" si="234"/>
        <v>472.875</v>
      </c>
      <c r="Q408" s="266">
        <f t="shared" ref="Q408:S408" si="239">SUMIF($B$348:$B$366,$B408,Q$348:Q$366)+SUMIF($B$370:$B$393,$B408,Q$370:Q$393)+SUMIF($B$397,$B408,Q$397)</f>
        <v>0</v>
      </c>
      <c r="R408" s="265">
        <f t="shared" si="239"/>
        <v>2000</v>
      </c>
      <c r="S408" s="265">
        <f t="shared" si="239"/>
        <v>2000</v>
      </c>
    </row>
    <row r="409" spans="1:31" ht="15.75" customHeight="1" x14ac:dyDescent="0.25">
      <c r="A409" s="6" t="s">
        <v>1235</v>
      </c>
      <c r="B409" s="6" t="s">
        <v>74</v>
      </c>
      <c r="C409" s="383"/>
      <c r="D409" s="266">
        <f t="shared" si="223"/>
        <v>0</v>
      </c>
      <c r="E409" s="142" t="e">
        <f>D409*#REF!</f>
        <v>#REF!</v>
      </c>
      <c r="F409" s="142" t="e">
        <f>D409*#REF!</f>
        <v>#REF!</v>
      </c>
      <c r="G409" s="142" t="e">
        <f>(D409*#REF!)*#REF!</f>
        <v>#REF!</v>
      </c>
      <c r="H409" s="33">
        <f t="shared" si="224"/>
        <v>0</v>
      </c>
      <c r="I409" s="16" t="e">
        <f t="shared" si="225"/>
        <v>#REF!</v>
      </c>
      <c r="J409" s="16"/>
      <c r="K409" s="383"/>
      <c r="L409" s="265">
        <f t="shared" ref="L409:O409" si="240">SUMIF($B$348:$B$366,$B409,L$348:L$366)+SUMIF($B$370:$B$393,$B409,L$370:L$393)+SUMIF($B$397,$B409,L$397)</f>
        <v>0</v>
      </c>
      <c r="M409" s="265">
        <f t="shared" si="240"/>
        <v>0</v>
      </c>
      <c r="N409" s="265">
        <f t="shared" si="240"/>
        <v>5000</v>
      </c>
      <c r="O409" s="265">
        <f t="shared" si="240"/>
        <v>501</v>
      </c>
      <c r="P409" s="266">
        <f t="shared" ref="P409:P412" si="241">O409/9*12</f>
        <v>668</v>
      </c>
      <c r="Q409" s="266">
        <f t="shared" ref="Q409:S409" si="242">SUMIF($B$348:$B$366,$B409,Q$348:Q$366)+SUMIF($B$370:$B$393,$B409,Q$370:Q$393)+SUMIF($B$397,$B409,Q$397)</f>
        <v>725</v>
      </c>
      <c r="R409" s="265">
        <f t="shared" si="242"/>
        <v>725</v>
      </c>
      <c r="S409" s="265">
        <f t="shared" si="242"/>
        <v>0</v>
      </c>
    </row>
    <row r="410" spans="1:31" ht="15.75" customHeight="1" x14ac:dyDescent="0.25">
      <c r="A410" s="6" t="s">
        <v>1235</v>
      </c>
      <c r="B410" s="6" t="s">
        <v>76</v>
      </c>
      <c r="C410" s="383"/>
      <c r="D410" s="266">
        <f t="shared" si="223"/>
        <v>2052</v>
      </c>
      <c r="E410" s="142" t="e">
        <f>D410*#REF!</f>
        <v>#REF!</v>
      </c>
      <c r="F410" s="142" t="e">
        <f>D410*#REF!</f>
        <v>#REF!</v>
      </c>
      <c r="G410" s="142" t="e">
        <f>(D410*#REF!)*#REF!</f>
        <v>#REF!</v>
      </c>
      <c r="H410" s="33">
        <f t="shared" si="224"/>
        <v>0</v>
      </c>
      <c r="I410" s="16" t="e">
        <f t="shared" si="225"/>
        <v>#REF!</v>
      </c>
      <c r="J410" s="16">
        <v>-1000</v>
      </c>
      <c r="K410" s="383"/>
      <c r="L410" s="265">
        <f t="shared" ref="L410:O410" si="243">SUMIF($B$348:$B$366,$B410,L$348:L$366)+SUMIF($B$370:$B$393,$B410,L$370:L$393)+SUMIF($B$397,$B410,L$397)</f>
        <v>3043</v>
      </c>
      <c r="M410" s="265">
        <f t="shared" si="243"/>
        <v>1927.03</v>
      </c>
      <c r="N410" s="265">
        <f t="shared" si="243"/>
        <v>3400</v>
      </c>
      <c r="O410" s="265">
        <f t="shared" si="243"/>
        <v>93.28</v>
      </c>
      <c r="P410" s="266">
        <f t="shared" si="241"/>
        <v>124.37333333333333</v>
      </c>
      <c r="Q410" s="266">
        <f t="shared" ref="Q410:S410" si="244">SUMIF($B$348:$B$366,$B410,Q$348:Q$366)+SUMIF($B$370:$B$393,$B410,Q$370:Q$393)+SUMIF($B$397,$B410,Q$397)</f>
        <v>3500</v>
      </c>
      <c r="R410" s="265">
        <f t="shared" si="244"/>
        <v>2500</v>
      </c>
      <c r="S410" s="265">
        <f t="shared" si="244"/>
        <v>-1000</v>
      </c>
    </row>
    <row r="411" spans="1:31" ht="15.75" customHeight="1" x14ac:dyDescent="0.25">
      <c r="A411" s="6" t="s">
        <v>1235</v>
      </c>
      <c r="B411" s="6" t="s">
        <v>80</v>
      </c>
      <c r="C411" s="383"/>
      <c r="D411" s="266">
        <f t="shared" si="223"/>
        <v>4280</v>
      </c>
      <c r="E411" s="142" t="e">
        <f>D411*#REF!</f>
        <v>#REF!</v>
      </c>
      <c r="F411" s="142" t="e">
        <f>D411*#REF!</f>
        <v>#REF!</v>
      </c>
      <c r="G411" s="142" t="e">
        <f>(D411*#REF!)*#REF!</f>
        <v>#REF!</v>
      </c>
      <c r="H411" s="33">
        <f t="shared" si="224"/>
        <v>0</v>
      </c>
      <c r="I411" s="16" t="e">
        <f t="shared" si="225"/>
        <v>#REF!</v>
      </c>
      <c r="J411" s="16"/>
      <c r="K411" s="383"/>
      <c r="L411" s="265">
        <f t="shared" ref="L411:O411" si="245">SUMIF($B$348:$B$366,$B411,L$348:L$366)+SUMIF($B$370:$B$393,$B411,L$370:L$393)+SUMIF($B$397,$B411,L$397)</f>
        <v>7025</v>
      </c>
      <c r="M411" s="265">
        <f t="shared" si="245"/>
        <v>7170.73</v>
      </c>
      <c r="N411" s="265">
        <f t="shared" si="245"/>
        <v>7000</v>
      </c>
      <c r="O411" s="265">
        <f t="shared" si="245"/>
        <v>6344.22</v>
      </c>
      <c r="P411" s="266">
        <f t="shared" si="241"/>
        <v>8458.9600000000009</v>
      </c>
      <c r="Q411" s="266">
        <f t="shared" ref="Q411:S411" si="246">SUMIF($B$348:$B$366,$B411,Q$348:Q$366)+SUMIF($B$370:$B$393,$B411,Q$370:Q$393)+SUMIF($B$397,$B411,Q$397)</f>
        <v>7400</v>
      </c>
      <c r="R411" s="265">
        <f t="shared" si="246"/>
        <v>7400</v>
      </c>
      <c r="S411" s="265">
        <f t="shared" si="246"/>
        <v>0</v>
      </c>
    </row>
    <row r="412" spans="1:31" ht="15.75" customHeight="1" x14ac:dyDescent="0.25">
      <c r="A412" s="6" t="s">
        <v>1235</v>
      </c>
      <c r="B412" s="6" t="s">
        <v>82</v>
      </c>
      <c r="C412" s="383"/>
      <c r="D412" s="266">
        <f t="shared" si="223"/>
        <v>16321</v>
      </c>
      <c r="E412" s="142" t="e">
        <f>D412*#REF!</f>
        <v>#REF!</v>
      </c>
      <c r="F412" s="142" t="e">
        <f>D412*#REF!</f>
        <v>#REF!</v>
      </c>
      <c r="G412" s="142" t="e">
        <f>(D412*#REF!)*#REF!</f>
        <v>#REF!</v>
      </c>
      <c r="H412" s="33">
        <f t="shared" si="224"/>
        <v>0</v>
      </c>
      <c r="I412" s="16" t="e">
        <f t="shared" si="225"/>
        <v>#REF!</v>
      </c>
      <c r="J412" s="16">
        <v>-12530</v>
      </c>
      <c r="K412" s="383"/>
      <c r="L412" s="265">
        <f t="shared" ref="L412:O412" si="247">SUMIF($B$348:$B$366,$B412,L$348:L$366)+SUMIF($B$370:$B$393,$B412,L$370:L$393)+SUMIF($B$397,$B412,L$397)</f>
        <v>20933</v>
      </c>
      <c r="M412" s="265">
        <f t="shared" si="247"/>
        <v>29593.69</v>
      </c>
      <c r="N412" s="265">
        <f t="shared" si="247"/>
        <v>51000</v>
      </c>
      <c r="O412" s="265">
        <f t="shared" si="247"/>
        <v>18740.82</v>
      </c>
      <c r="P412" s="266">
        <f t="shared" si="241"/>
        <v>24987.760000000002</v>
      </c>
      <c r="Q412" s="266">
        <f t="shared" ref="Q412:S412" si="248">SUMIF($B$348:$B$366,$B412,Q$348:Q$366)+SUMIF($B$370:$B$393,$B412,Q$370:Q$393)+SUMIF($B$397,$B412,Q$397)</f>
        <v>52530</v>
      </c>
      <c r="R412" s="265">
        <f t="shared" si="248"/>
        <v>40000</v>
      </c>
      <c r="S412" s="265">
        <f t="shared" si="248"/>
        <v>-12530</v>
      </c>
    </row>
    <row r="413" spans="1:31" ht="15.75" customHeight="1" x14ac:dyDescent="0.25">
      <c r="A413" s="6" t="s">
        <v>1235</v>
      </c>
      <c r="B413" s="6" t="s">
        <v>115</v>
      </c>
      <c r="C413" s="383"/>
      <c r="D413" s="266">
        <f t="shared" si="223"/>
        <v>27992</v>
      </c>
      <c r="E413" s="142" t="e">
        <f>D413*#REF!</f>
        <v>#REF!</v>
      </c>
      <c r="F413" s="142" t="e">
        <f>D413*#REF!</f>
        <v>#REF!</v>
      </c>
      <c r="G413" s="142" t="e">
        <f>(D413*#REF!)*#REF!</f>
        <v>#REF!</v>
      </c>
      <c r="H413" s="33">
        <f t="shared" si="224"/>
        <v>0</v>
      </c>
      <c r="I413" s="16" t="e">
        <f t="shared" si="225"/>
        <v>#REF!</v>
      </c>
      <c r="J413" s="16"/>
      <c r="K413" s="383"/>
      <c r="L413" s="265">
        <f t="shared" ref="L413:O413" si="249">SUMIF($B$348:$B$366,$B413,L$348:L$366)+SUMIF($B$370:$B$393,$B413,L$370:L$393)+SUMIF($B$397,$B413,L$397)</f>
        <v>11008</v>
      </c>
      <c r="M413" s="265">
        <f t="shared" si="249"/>
        <v>15125.63</v>
      </c>
      <c r="N413" s="265">
        <f t="shared" si="249"/>
        <v>17500</v>
      </c>
      <c r="O413" s="265">
        <f t="shared" si="249"/>
        <v>10811.9</v>
      </c>
      <c r="P413" s="386">
        <f t="shared" ref="P413:P415" si="250">N413</f>
        <v>17500</v>
      </c>
      <c r="Q413" s="266">
        <f t="shared" ref="Q413:S413" si="251">SUMIF($B$348:$B$366,$B413,Q$348:Q$366)+SUMIF($B$370:$B$393,$B413,Q$370:Q$393)+SUMIF($B$397,$B413,Q$397)</f>
        <v>19025</v>
      </c>
      <c r="R413" s="265">
        <f t="shared" si="251"/>
        <v>19025</v>
      </c>
      <c r="S413" s="265">
        <f t="shared" si="251"/>
        <v>0</v>
      </c>
    </row>
    <row r="414" spans="1:31" ht="15.75" customHeight="1" x14ac:dyDescent="0.25">
      <c r="A414" s="6" t="s">
        <v>1235</v>
      </c>
      <c r="B414" s="6" t="s">
        <v>210</v>
      </c>
      <c r="C414" s="383"/>
      <c r="D414" s="266">
        <f t="shared" si="223"/>
        <v>16002</v>
      </c>
      <c r="E414" s="142" t="e">
        <f>D414*#REF!</f>
        <v>#REF!</v>
      </c>
      <c r="F414" s="142" t="e">
        <f>D414*#REF!</f>
        <v>#REF!</v>
      </c>
      <c r="G414" s="142" t="e">
        <f>(D414*#REF!)*#REF!</f>
        <v>#REF!</v>
      </c>
      <c r="H414" s="33">
        <f t="shared" si="224"/>
        <v>0</v>
      </c>
      <c r="I414" s="16" t="e">
        <f t="shared" si="225"/>
        <v>#REF!</v>
      </c>
      <c r="J414" s="16">
        <v>-10000</v>
      </c>
      <c r="K414" s="383"/>
      <c r="L414" s="265">
        <f t="shared" ref="L414:O414" si="252">SUMIF($B$348:$B$366,$B414,L$348:L$366)+SUMIF($B$370:$B$393,$B414,L$370:L$393)+SUMIF($B$397,$B414,L$397)</f>
        <v>13104</v>
      </c>
      <c r="M414" s="265">
        <f t="shared" si="252"/>
        <v>14436.34</v>
      </c>
      <c r="N414" s="265">
        <f t="shared" si="252"/>
        <v>40000</v>
      </c>
      <c r="O414" s="265">
        <f t="shared" si="252"/>
        <v>18180.62</v>
      </c>
      <c r="P414" s="386">
        <f t="shared" si="250"/>
        <v>40000</v>
      </c>
      <c r="Q414" s="266">
        <f t="shared" ref="Q414:S414" si="253">SUMIF($B$348:$B$366,$B414,Q$348:Q$366)+SUMIF($B$370:$B$393,$B414,Q$370:Q$393)+SUMIF($B$397,$B414,Q$397)</f>
        <v>40000</v>
      </c>
      <c r="R414" s="265">
        <f t="shared" si="253"/>
        <v>30000</v>
      </c>
      <c r="S414" s="265">
        <f t="shared" si="253"/>
        <v>-10000</v>
      </c>
    </row>
    <row r="415" spans="1:31" ht="15.75" customHeight="1" x14ac:dyDescent="0.25">
      <c r="A415" s="6" t="s">
        <v>1235</v>
      </c>
      <c r="B415" s="6" t="s">
        <v>84</v>
      </c>
      <c r="C415" s="383"/>
      <c r="D415" s="266">
        <f t="shared" si="223"/>
        <v>4546</v>
      </c>
      <c r="E415" s="142" t="e">
        <f>D415*#REF!</f>
        <v>#REF!</v>
      </c>
      <c r="F415" s="142" t="e">
        <f>D415*#REF!</f>
        <v>#REF!</v>
      </c>
      <c r="G415" s="142" t="e">
        <f>(D415*#REF!)*#REF!</f>
        <v>#REF!</v>
      </c>
      <c r="H415" s="33">
        <f t="shared" si="224"/>
        <v>0</v>
      </c>
      <c r="I415" s="16" t="e">
        <f t="shared" si="225"/>
        <v>#REF!</v>
      </c>
      <c r="J415" s="16"/>
      <c r="K415" s="383"/>
      <c r="L415" s="265">
        <f t="shared" ref="L415:O415" si="254">SUMIF($B$348:$B$366,$B415,L$348:L$366)+SUMIF($B$370:$B$393,$B415,L$370:L$393)+SUMIF($B$397,$B415,L$397)</f>
        <v>8008</v>
      </c>
      <c r="M415" s="265">
        <f t="shared" si="254"/>
        <v>9363.59</v>
      </c>
      <c r="N415" s="265">
        <f t="shared" si="254"/>
        <v>9700</v>
      </c>
      <c r="O415" s="265">
        <f t="shared" si="254"/>
        <v>7617.54</v>
      </c>
      <c r="P415" s="386">
        <f t="shared" si="250"/>
        <v>9700</v>
      </c>
      <c r="Q415" s="266">
        <f t="shared" ref="Q415:S415" si="255">SUMIF($B$348:$B$366,$B415,Q$348:Q$366)+SUMIF($B$370:$B$393,$B415,Q$370:Q$393)+SUMIF($B$397,$B415,Q$397)</f>
        <v>10000</v>
      </c>
      <c r="R415" s="265">
        <f t="shared" si="255"/>
        <v>10000</v>
      </c>
      <c r="S415" s="265">
        <f t="shared" si="255"/>
        <v>0</v>
      </c>
    </row>
    <row r="416" spans="1:31" ht="15.75" customHeight="1" x14ac:dyDescent="0.25">
      <c r="A416" s="6" t="s">
        <v>1235</v>
      </c>
      <c r="B416" s="6" t="s">
        <v>1450</v>
      </c>
      <c r="C416" s="383"/>
      <c r="D416" s="266">
        <f t="shared" si="223"/>
        <v>104108</v>
      </c>
      <c r="E416" s="142" t="e">
        <f>D416*#REF!</f>
        <v>#REF!</v>
      </c>
      <c r="F416" s="142" t="e">
        <f>D416*#REF!</f>
        <v>#REF!</v>
      </c>
      <c r="G416" s="142" t="e">
        <f>(D416*#REF!)*#REF!</f>
        <v>#REF!</v>
      </c>
      <c r="H416" s="33">
        <f t="shared" si="224"/>
        <v>0</v>
      </c>
      <c r="I416" s="16" t="e">
        <f t="shared" si="225"/>
        <v>#REF!</v>
      </c>
      <c r="J416" s="16"/>
      <c r="K416" s="383"/>
      <c r="L416" s="265">
        <f t="shared" ref="L416:O416" si="256">SUMIF($B$348:$B$366,$B416,L$348:L$366)+SUMIF($B$370:$B$393,$B416,L$370:L$393)+SUMIF($B$397,$B416,L$397)</f>
        <v>160310</v>
      </c>
      <c r="M416" s="265">
        <f t="shared" si="256"/>
        <v>118428.65</v>
      </c>
      <c r="N416" s="265">
        <f t="shared" si="256"/>
        <v>120000</v>
      </c>
      <c r="O416" s="265">
        <f t="shared" si="256"/>
        <v>80644.27</v>
      </c>
      <c r="P416" s="266">
        <f t="shared" ref="P416:P418" si="257">O416/9*12</f>
        <v>107525.69333333333</v>
      </c>
      <c r="Q416" s="266">
        <f t="shared" ref="Q416:S416" si="258">SUMIF($B$348:$B$366,$B416,Q$348:Q$366)+SUMIF($B$370:$B$393,$B416,Q$370:Q$393)+SUMIF($B$397,$B416,Q$397)</f>
        <v>123600</v>
      </c>
      <c r="R416" s="265">
        <f t="shared" si="258"/>
        <v>123600</v>
      </c>
      <c r="S416" s="265">
        <f t="shared" si="258"/>
        <v>0</v>
      </c>
    </row>
    <row r="417" spans="1:28" ht="15.75" customHeight="1" x14ac:dyDescent="0.25">
      <c r="A417" s="6" t="s">
        <v>1235</v>
      </c>
      <c r="B417" s="6" t="s">
        <v>1452</v>
      </c>
      <c r="C417" s="383"/>
      <c r="D417" s="266">
        <f t="shared" si="223"/>
        <v>18884</v>
      </c>
      <c r="E417" s="142" t="e">
        <f>D417*#REF!</f>
        <v>#REF!</v>
      </c>
      <c r="F417" s="142" t="e">
        <f>D417*#REF!</f>
        <v>#REF!</v>
      </c>
      <c r="G417" s="142" t="e">
        <f>(D417*#REF!)*#REF!</f>
        <v>#REF!</v>
      </c>
      <c r="H417" s="33">
        <f t="shared" si="224"/>
        <v>0</v>
      </c>
      <c r="I417" s="16" t="e">
        <f t="shared" si="225"/>
        <v>#REF!</v>
      </c>
      <c r="J417" s="16">
        <v>-30000</v>
      </c>
      <c r="K417" s="383"/>
      <c r="L417" s="265">
        <f t="shared" ref="L417:O417" si="259">SUMIF($B$348:$B$366,$B417,L$348:L$366)+SUMIF($B$370:$B$393,$B417,L$370:L$393)+SUMIF($B$397,$B417,L$397)</f>
        <v>17999</v>
      </c>
      <c r="M417" s="265">
        <f t="shared" si="259"/>
        <v>15406.12</v>
      </c>
      <c r="N417" s="265">
        <f t="shared" si="259"/>
        <v>60000</v>
      </c>
      <c r="O417" s="265">
        <f t="shared" si="259"/>
        <v>16259.81</v>
      </c>
      <c r="P417" s="266">
        <f t="shared" si="257"/>
        <v>21679.746666666666</v>
      </c>
      <c r="Q417" s="266">
        <f t="shared" ref="Q417:S417" si="260">SUMIF($B$348:$B$366,$B417,Q$348:Q$366)+SUMIF($B$370:$B$393,$B417,Q$370:Q$393)+SUMIF($B$397,$B417,Q$397)</f>
        <v>60000</v>
      </c>
      <c r="R417" s="265">
        <f t="shared" si="260"/>
        <v>30000</v>
      </c>
      <c r="S417" s="265">
        <f t="shared" si="260"/>
        <v>-30000</v>
      </c>
    </row>
    <row r="418" spans="1:28" ht="15.75" customHeight="1" x14ac:dyDescent="0.25">
      <c r="A418" s="6" t="s">
        <v>1235</v>
      </c>
      <c r="B418" s="6" t="s">
        <v>86</v>
      </c>
      <c r="C418" s="383"/>
      <c r="D418" s="266">
        <f t="shared" si="223"/>
        <v>0</v>
      </c>
      <c r="E418" s="142" t="e">
        <f>D418*#REF!</f>
        <v>#REF!</v>
      </c>
      <c r="F418" s="142" t="e">
        <f>D418*#REF!</f>
        <v>#REF!</v>
      </c>
      <c r="G418" s="142" t="e">
        <f>(D418*#REF!)*#REF!</f>
        <v>#REF!</v>
      </c>
      <c r="H418" s="33">
        <f t="shared" si="224"/>
        <v>0</v>
      </c>
      <c r="I418" s="16" t="e">
        <f t="shared" si="225"/>
        <v>#REF!</v>
      </c>
      <c r="J418" s="16"/>
      <c r="K418" s="383"/>
      <c r="L418" s="265">
        <f t="shared" ref="L418:O418" si="261">SUMIF($B$348:$B$366,$B418,L$348:L$366)+SUMIF($B$370:$B$393,$B418,L$370:L$393)+SUMIF($B$397,$B418,L$397)</f>
        <v>0</v>
      </c>
      <c r="M418" s="265">
        <f t="shared" si="261"/>
        <v>2500</v>
      </c>
      <c r="N418" s="265">
        <f t="shared" si="261"/>
        <v>11000</v>
      </c>
      <c r="O418" s="265">
        <f t="shared" si="261"/>
        <v>2500</v>
      </c>
      <c r="P418" s="266">
        <f t="shared" si="257"/>
        <v>3333.333333333333</v>
      </c>
      <c r="Q418" s="266">
        <f t="shared" ref="Q418:S418" si="262">SUMIF($B$348:$B$366,$B418,Q$348:Q$366)+SUMIF($B$370:$B$393,$B418,Q$370:Q$393)+SUMIF($B$397,$B418,Q$397)</f>
        <v>11400</v>
      </c>
      <c r="R418" s="265">
        <f t="shared" si="262"/>
        <v>11400</v>
      </c>
      <c r="S418" s="265">
        <f t="shared" si="262"/>
        <v>0</v>
      </c>
    </row>
    <row r="419" spans="1:28" ht="15.75" customHeight="1" x14ac:dyDescent="0.25">
      <c r="A419" s="6" t="s">
        <v>1235</v>
      </c>
      <c r="B419" s="6" t="s">
        <v>88</v>
      </c>
      <c r="C419" s="383"/>
      <c r="D419" s="266">
        <f t="shared" si="223"/>
        <v>2000</v>
      </c>
      <c r="E419" s="142" t="e">
        <f>D419*#REF!</f>
        <v>#REF!</v>
      </c>
      <c r="F419" s="142" t="e">
        <f>D419*#REF!</f>
        <v>#REF!</v>
      </c>
      <c r="G419" s="142" t="e">
        <f>(D419*#REF!)*#REF!</f>
        <v>#REF!</v>
      </c>
      <c r="H419" s="33">
        <f t="shared" si="224"/>
        <v>0</v>
      </c>
      <c r="I419" s="16" t="e">
        <f t="shared" si="225"/>
        <v>#REF!</v>
      </c>
      <c r="J419" s="16">
        <v>-5000</v>
      </c>
      <c r="K419" s="383"/>
      <c r="L419" s="265">
        <f t="shared" ref="L419:O419" si="263">SUMIF($B$348:$B$366,$B419,L$348:L$366)+SUMIF($B$370:$B$393,$B419,L$370:L$393)+SUMIF($B$397,$B419,L$397)</f>
        <v>0</v>
      </c>
      <c r="M419" s="265">
        <f t="shared" si="263"/>
        <v>0</v>
      </c>
      <c r="N419" s="265">
        <f t="shared" si="263"/>
        <v>0</v>
      </c>
      <c r="O419" s="265">
        <f t="shared" si="263"/>
        <v>0</v>
      </c>
      <c r="P419" s="266">
        <f>IF(O419/9*12&lt;N419,N419,O419/9*12)</f>
        <v>0</v>
      </c>
      <c r="Q419" s="266">
        <f t="shared" ref="Q419:S419" si="264">SUMIF($B$348:$B$366,$B419,Q$348:Q$366)+SUMIF($B$370:$B$393,$B419,Q$370:Q$393)+SUMIF($B$397,$B419,Q$397)</f>
        <v>7150</v>
      </c>
      <c r="R419" s="265">
        <f t="shared" si="264"/>
        <v>2150</v>
      </c>
      <c r="S419" s="265">
        <f t="shared" si="264"/>
        <v>-5000</v>
      </c>
    </row>
    <row r="420" spans="1:28" ht="15.75" customHeight="1" x14ac:dyDescent="0.25">
      <c r="A420" s="6" t="s">
        <v>1235</v>
      </c>
      <c r="B420" s="6" t="s">
        <v>90</v>
      </c>
      <c r="C420" s="383"/>
      <c r="D420" s="266">
        <f t="shared" si="223"/>
        <v>0</v>
      </c>
      <c r="E420" s="142" t="e">
        <f>D420*#REF!</f>
        <v>#REF!</v>
      </c>
      <c r="F420" s="142" t="e">
        <f>D420*#REF!</f>
        <v>#REF!</v>
      </c>
      <c r="G420" s="142" t="e">
        <f>(D420*#REF!)*#REF!</f>
        <v>#REF!</v>
      </c>
      <c r="H420" s="33">
        <f t="shared" si="224"/>
        <v>0</v>
      </c>
      <c r="I420" s="16" t="e">
        <f t="shared" si="225"/>
        <v>#REF!</v>
      </c>
      <c r="J420" s="16">
        <v>-1000</v>
      </c>
      <c r="K420" s="383"/>
      <c r="L420" s="265">
        <f t="shared" ref="L420:O420" si="265">SUMIF($B$348:$B$366,$B420,L$348:L$366)+SUMIF($B$370:$B$393,$B420,L$370:L$393)+SUMIF($B$397,$B420,L$397)</f>
        <v>0</v>
      </c>
      <c r="M420" s="265">
        <f t="shared" si="265"/>
        <v>0</v>
      </c>
      <c r="N420" s="265">
        <f t="shared" si="265"/>
        <v>4800</v>
      </c>
      <c r="O420" s="265">
        <f t="shared" si="265"/>
        <v>860</v>
      </c>
      <c r="P420" s="266">
        <f>O420/9*12</f>
        <v>1146.6666666666667</v>
      </c>
      <c r="Q420" s="266">
        <f t="shared" ref="Q420:S420" si="266">SUMIF($B$348:$B$366,$B420,Q$348:Q$366)+SUMIF($B$370:$B$393,$B420,Q$370:Q$393)+SUMIF($B$397,$B420,Q$397)</f>
        <v>5000</v>
      </c>
      <c r="R420" s="265">
        <f t="shared" si="266"/>
        <v>4000</v>
      </c>
      <c r="S420" s="265">
        <f t="shared" si="266"/>
        <v>-1000</v>
      </c>
    </row>
    <row r="421" spans="1:28" ht="15.75" customHeight="1" x14ac:dyDescent="0.25">
      <c r="A421" s="6" t="s">
        <v>1235</v>
      </c>
      <c r="B421" s="6" t="s">
        <v>1209</v>
      </c>
      <c r="C421" s="383"/>
      <c r="D421" s="266">
        <f t="shared" si="223"/>
        <v>2248</v>
      </c>
      <c r="E421" s="142" t="e">
        <f>D421*#REF!</f>
        <v>#REF!</v>
      </c>
      <c r="F421" s="142" t="e">
        <f>D421*#REF!</f>
        <v>#REF!</v>
      </c>
      <c r="G421" s="142" t="e">
        <f>(D421*#REF!)*#REF!</f>
        <v>#REF!</v>
      </c>
      <c r="H421" s="33">
        <f t="shared" si="224"/>
        <v>0</v>
      </c>
      <c r="I421" s="16" t="e">
        <f t="shared" si="225"/>
        <v>#REF!</v>
      </c>
      <c r="J421" s="16">
        <v>-1000</v>
      </c>
      <c r="K421" s="383"/>
      <c r="L421" s="265">
        <f t="shared" ref="L421:O421" si="267">SUMIF($B$348:$B$366,$B421,L$348:L$366)+SUMIF($B$370:$B$393,$B421,L$370:L$393)+SUMIF($B$397,$B421,L$397)</f>
        <v>2974</v>
      </c>
      <c r="M421" s="265">
        <f t="shared" si="267"/>
        <v>3948.71</v>
      </c>
      <c r="N421" s="265">
        <f t="shared" si="267"/>
        <v>5750</v>
      </c>
      <c r="O421" s="265">
        <f t="shared" si="267"/>
        <v>3148.65</v>
      </c>
      <c r="P421" s="386">
        <f>IF(O421/9*12&lt;N421,N421,O421/9*12)</f>
        <v>5750</v>
      </c>
      <c r="Q421" s="266">
        <f t="shared" ref="Q421:S421" si="268">SUMIF($B$348:$B$366,$B421,Q$348:Q$366)+SUMIF($B$370:$B$393,$B421,Q$370:Q$393)+SUMIF($B$397,$B421,Q$397)</f>
        <v>6000</v>
      </c>
      <c r="R421" s="265">
        <f t="shared" si="268"/>
        <v>5000</v>
      </c>
      <c r="S421" s="265">
        <f t="shared" si="268"/>
        <v>-1000</v>
      </c>
    </row>
    <row r="422" spans="1:28" ht="15.75" customHeight="1" x14ac:dyDescent="0.25">
      <c r="A422" s="6" t="s">
        <v>1235</v>
      </c>
      <c r="B422" s="6" t="s">
        <v>92</v>
      </c>
      <c r="C422" s="383"/>
      <c r="D422" s="266">
        <f t="shared" si="223"/>
        <v>3880</v>
      </c>
      <c r="E422" s="142" t="e">
        <f>D422*#REF!</f>
        <v>#REF!</v>
      </c>
      <c r="F422" s="142" t="e">
        <f>D422*#REF!</f>
        <v>#REF!</v>
      </c>
      <c r="G422" s="142" t="e">
        <f>(D422*#REF!)*#REF!</f>
        <v>#REF!</v>
      </c>
      <c r="H422" s="33">
        <f t="shared" si="224"/>
        <v>0</v>
      </c>
      <c r="I422" s="16" t="e">
        <f t="shared" si="225"/>
        <v>#REF!</v>
      </c>
      <c r="J422" s="16"/>
      <c r="K422" s="383"/>
      <c r="L422" s="265">
        <f t="shared" ref="L422:O422" si="269">SUMIF($B$348:$B$366,$B422,L$348:L$366)+SUMIF($B$370:$B$393,$B422,L$370:L$393)+SUMIF($B$397,$B422,L$397)</f>
        <v>6779</v>
      </c>
      <c r="M422" s="265">
        <f t="shared" si="269"/>
        <v>8020.77</v>
      </c>
      <c r="N422" s="265">
        <f t="shared" si="269"/>
        <v>7000</v>
      </c>
      <c r="O422" s="265">
        <f t="shared" si="269"/>
        <v>8757.0300000000007</v>
      </c>
      <c r="P422" s="386">
        <f>O422</f>
        <v>8757.0300000000007</v>
      </c>
      <c r="Q422" s="266">
        <f t="shared" ref="Q422:S422" si="270">SUMIF($B$348:$B$366,$B422,Q$348:Q$366)+SUMIF($B$370:$B$393,$B422,Q$370:Q$393)+SUMIF($B$397,$B422,Q$397)</f>
        <v>7000</v>
      </c>
      <c r="R422" s="265">
        <f t="shared" si="270"/>
        <v>7000</v>
      </c>
      <c r="S422" s="265">
        <f t="shared" si="270"/>
        <v>0</v>
      </c>
    </row>
    <row r="423" spans="1:28" ht="15.75" customHeight="1" x14ac:dyDescent="0.25">
      <c r="A423" s="6" t="s">
        <v>1235</v>
      </c>
      <c r="B423" s="6" t="s">
        <v>94</v>
      </c>
      <c r="C423" s="383"/>
      <c r="D423" s="266">
        <f t="shared" si="223"/>
        <v>4000</v>
      </c>
      <c r="E423" s="142" t="e">
        <f>D423*#REF!</f>
        <v>#REF!</v>
      </c>
      <c r="F423" s="142" t="e">
        <f>D423*#REF!</f>
        <v>#REF!</v>
      </c>
      <c r="G423" s="142" t="e">
        <f>(D423*#REF!)*#REF!</f>
        <v>#REF!</v>
      </c>
      <c r="H423" s="33">
        <f t="shared" si="224"/>
        <v>0</v>
      </c>
      <c r="I423" s="16" t="e">
        <f t="shared" si="225"/>
        <v>#REF!</v>
      </c>
      <c r="J423" s="16"/>
      <c r="K423" s="383"/>
      <c r="L423" s="265">
        <f t="shared" ref="L423:O423" si="271">SUMIF($B$348:$B$366,$B423,L$348:L$366)+SUMIF($B$370:$B$393,$B423,L$370:L$393)+SUMIF($B$397,$B423,L$397)</f>
        <v>17998</v>
      </c>
      <c r="M423" s="265">
        <f t="shared" si="271"/>
        <v>0</v>
      </c>
      <c r="N423" s="265">
        <f t="shared" si="271"/>
        <v>0</v>
      </c>
      <c r="O423" s="265">
        <f t="shared" si="271"/>
        <v>0</v>
      </c>
      <c r="P423" s="266">
        <f t="shared" ref="P423:P424" si="272">IF(O423/9*12&lt;N423,N423,O423/9*12)</f>
        <v>0</v>
      </c>
      <c r="Q423" s="266">
        <f t="shared" ref="Q423:S423" si="273">SUMIF($B$348:$B$366,$B423,Q$348:Q$366)+SUMIF($B$370:$B$393,$B423,Q$370:Q$393)+SUMIF($B$397,$B423,Q$397)</f>
        <v>0</v>
      </c>
      <c r="R423" s="265">
        <f t="shared" si="273"/>
        <v>0</v>
      </c>
      <c r="S423" s="265">
        <f t="shared" si="273"/>
        <v>0</v>
      </c>
    </row>
    <row r="424" spans="1:28" ht="15.75" customHeight="1" x14ac:dyDescent="0.25">
      <c r="A424" s="6" t="s">
        <v>1235</v>
      </c>
      <c r="B424" s="6" t="s">
        <v>1481</v>
      </c>
      <c r="C424" s="383"/>
      <c r="D424" s="266">
        <f t="shared" si="223"/>
        <v>0</v>
      </c>
      <c r="E424" s="142" t="e">
        <f>D424*#REF!</f>
        <v>#REF!</v>
      </c>
      <c r="F424" s="142" t="e">
        <f>D424*#REF!</f>
        <v>#REF!</v>
      </c>
      <c r="G424" s="142" t="e">
        <f>(D424*#REF!)*#REF!</f>
        <v>#REF!</v>
      </c>
      <c r="H424" s="33">
        <f t="shared" si="224"/>
        <v>0</v>
      </c>
      <c r="I424" s="16" t="e">
        <f t="shared" si="225"/>
        <v>#REF!</v>
      </c>
      <c r="J424" s="16">
        <v>5000</v>
      </c>
      <c r="K424" s="383"/>
      <c r="L424" s="265">
        <f t="shared" ref="L424:O424" si="274">SUMIF($B$348:$B$366,$B424,L$348:L$366)+SUMIF($B$370:$B$393,$B424,L$370:L$393)+SUMIF($B$397,$B424,L$397)</f>
        <v>0</v>
      </c>
      <c r="M424" s="265">
        <f t="shared" si="274"/>
        <v>0</v>
      </c>
      <c r="N424" s="265">
        <f t="shared" si="274"/>
        <v>0</v>
      </c>
      <c r="O424" s="265">
        <f t="shared" si="274"/>
        <v>0</v>
      </c>
      <c r="P424" s="266">
        <f t="shared" si="272"/>
        <v>0</v>
      </c>
      <c r="Q424" s="266">
        <f t="shared" ref="Q424:S424" si="275">SUMIF($B$348:$B$366,$B424,Q$348:Q$366)+SUMIF($B$370:$B$393,$B424,Q$370:Q$393)+SUMIF($B$397,$B424,Q$397)</f>
        <v>0</v>
      </c>
      <c r="R424" s="265">
        <f t="shared" si="275"/>
        <v>5000</v>
      </c>
      <c r="S424" s="265">
        <f t="shared" si="275"/>
        <v>5000</v>
      </c>
    </row>
    <row r="425" spans="1:28" ht="15.75" customHeight="1" x14ac:dyDescent="0.25">
      <c r="A425" s="6" t="s">
        <v>1235</v>
      </c>
      <c r="B425" s="6" t="s">
        <v>1011</v>
      </c>
      <c r="C425" s="383"/>
      <c r="D425" s="266">
        <f t="shared" si="223"/>
        <v>0</v>
      </c>
      <c r="E425" s="142" t="e">
        <f>D425*#REF!</f>
        <v>#REF!</v>
      </c>
      <c r="F425" s="142" t="e">
        <f>D425*#REF!</f>
        <v>#REF!</v>
      </c>
      <c r="G425" s="142" t="e">
        <f>(D425*#REF!)*#REF!</f>
        <v>#REF!</v>
      </c>
      <c r="H425" s="33">
        <f t="shared" si="224"/>
        <v>0</v>
      </c>
      <c r="I425" s="16" t="e">
        <f t="shared" si="225"/>
        <v>#REF!</v>
      </c>
      <c r="J425" s="16">
        <v>-7200</v>
      </c>
      <c r="K425" s="383"/>
      <c r="L425" s="265">
        <f t="shared" ref="L425:O425" si="276">SUMIF($B$348:$B$366,$B425,L$348:L$366)+SUMIF($B$370:$B$393,$B425,L$370:L$393)+SUMIF($B$397,$B425,L$397)</f>
        <v>0</v>
      </c>
      <c r="M425" s="265">
        <f t="shared" si="276"/>
        <v>7458.14</v>
      </c>
      <c r="N425" s="265">
        <f t="shared" si="276"/>
        <v>7200</v>
      </c>
      <c r="O425" s="265">
        <f t="shared" si="276"/>
        <v>0</v>
      </c>
      <c r="P425" s="266">
        <f>O425/9*12</f>
        <v>0</v>
      </c>
      <c r="Q425" s="266">
        <f t="shared" ref="Q425:S425" si="277">SUMIF($B$348:$B$366,$B425,Q$348:Q$366)+SUMIF($B$370:$B$393,$B425,Q$370:Q$393)+SUMIF($B$397,$B425,Q$397)</f>
        <v>7200</v>
      </c>
      <c r="R425" s="265">
        <f t="shared" si="277"/>
        <v>0</v>
      </c>
      <c r="S425" s="265">
        <f t="shared" si="277"/>
        <v>-7200</v>
      </c>
    </row>
    <row r="426" spans="1:28" ht="15.75" customHeight="1" x14ac:dyDescent="0.25">
      <c r="A426" s="47" t="s">
        <v>1458</v>
      </c>
      <c r="B426" s="48"/>
      <c r="C426" s="282"/>
      <c r="D426" s="50">
        <f t="shared" ref="D426:G426" si="278">SUM(D403:D425)</f>
        <v>477526</v>
      </c>
      <c r="E426" s="50" t="e">
        <f t="shared" si="278"/>
        <v>#REF!</v>
      </c>
      <c r="F426" s="50" t="e">
        <f t="shared" si="278"/>
        <v>#REF!</v>
      </c>
      <c r="G426" s="50" t="e">
        <f t="shared" si="278"/>
        <v>#REF!</v>
      </c>
      <c r="H426" s="42">
        <f t="shared" si="224"/>
        <v>0</v>
      </c>
      <c r="I426" s="50" t="e">
        <f t="shared" si="225"/>
        <v>#REF!</v>
      </c>
      <c r="J426" s="50">
        <f>SUM(J403:J425)</f>
        <v>-74830</v>
      </c>
      <c r="K426" s="282"/>
      <c r="L426" s="12">
        <f t="shared" ref="L426:S426" si="279">SUM(L403:L425)</f>
        <v>666673</v>
      </c>
      <c r="M426" s="12">
        <f t="shared" si="279"/>
        <v>734483.63</v>
      </c>
      <c r="N426" s="12">
        <f t="shared" si="279"/>
        <v>929381</v>
      </c>
      <c r="O426" s="12">
        <f t="shared" si="279"/>
        <v>625164.84000000008</v>
      </c>
      <c r="P426" s="50">
        <f t="shared" si="279"/>
        <v>815163.7803333333</v>
      </c>
      <c r="Q426" s="50">
        <f t="shared" si="279"/>
        <v>979430</v>
      </c>
      <c r="R426" s="12">
        <f t="shared" si="279"/>
        <v>904600</v>
      </c>
      <c r="S426" s="12">
        <f t="shared" si="279"/>
        <v>-74830</v>
      </c>
    </row>
    <row r="427" spans="1:28" ht="15.75" customHeight="1" x14ac:dyDescent="0.25">
      <c r="A427" s="6"/>
      <c r="B427" s="6"/>
      <c r="C427" s="383"/>
      <c r="D427" s="265"/>
      <c r="E427" s="265"/>
      <c r="F427" s="265"/>
      <c r="G427" s="265"/>
      <c r="H427" s="211"/>
      <c r="I427" s="5"/>
      <c r="J427" s="5"/>
      <c r="K427" s="383"/>
      <c r="L427" s="265"/>
      <c r="M427" s="265"/>
      <c r="N427" s="265"/>
      <c r="O427" s="265"/>
      <c r="P427" s="265"/>
      <c r="Q427" s="265"/>
      <c r="R427" s="5"/>
      <c r="S427" s="5"/>
    </row>
    <row r="428" spans="1:28" ht="15.75" customHeight="1" x14ac:dyDescent="0.25">
      <c r="A428" s="6" t="s">
        <v>1235</v>
      </c>
      <c r="B428" s="6" t="s">
        <v>99</v>
      </c>
      <c r="C428" s="383"/>
      <c r="D428" s="266">
        <f t="shared" ref="D428:G428" si="280">SUMIF($B$348:$B$366,$B428,D$348:D$366)+SUMIF($B$370:$B$393,$B428,D$370:D$393)+SUMIF($B$397,$B428,D$397)</f>
        <v>121619</v>
      </c>
      <c r="E428" s="266" t="e">
        <f t="shared" si="280"/>
        <v>#REF!</v>
      </c>
      <c r="F428" s="266" t="e">
        <f t="shared" si="280"/>
        <v>#REF!</v>
      </c>
      <c r="G428" s="266" t="e">
        <f t="shared" si="280"/>
        <v>#REF!</v>
      </c>
      <c r="H428" s="33">
        <f t="shared" ref="H428:H429" si="281">IFERROR(((Q428-G428)/G428),0)</f>
        <v>0</v>
      </c>
      <c r="I428" s="16" t="e">
        <f t="shared" ref="I428:I429" si="282">Q428-G428</f>
        <v>#REF!</v>
      </c>
      <c r="J428" s="16">
        <v>-15000</v>
      </c>
      <c r="K428" s="383"/>
      <c r="L428" s="265">
        <f t="shared" ref="L428:O428" si="283">SUMIF($B$348:$B$366,$B428,L$348:L$366)+SUMIF($B$370:$B$393,$B428,L$370:L$393)+SUMIF($B$397,$B428,L$397)</f>
        <v>107368</v>
      </c>
      <c r="M428" s="265">
        <f t="shared" si="283"/>
        <v>121658.49</v>
      </c>
      <c r="N428" s="265">
        <f t="shared" si="283"/>
        <v>63000</v>
      </c>
      <c r="O428" s="265">
        <f t="shared" si="283"/>
        <v>55781.01</v>
      </c>
      <c r="P428" s="386">
        <f>N428</f>
        <v>63000</v>
      </c>
      <c r="Q428" s="266">
        <f t="shared" ref="Q428:S428" si="284">SUMIF($B$348:$B$366,$B428,Q$348:Q$366)+SUMIF($B$370:$B$393,$B428,Q$370:Q$393)+SUMIF($B$397,$B428,Q$397)</f>
        <v>61000</v>
      </c>
      <c r="R428" s="265">
        <f t="shared" si="284"/>
        <v>46000</v>
      </c>
      <c r="S428" s="265">
        <f t="shared" si="284"/>
        <v>-15000</v>
      </c>
    </row>
    <row r="429" spans="1:28" ht="15.75" customHeight="1" x14ac:dyDescent="0.25">
      <c r="A429" s="47" t="s">
        <v>1485</v>
      </c>
      <c r="B429" s="48"/>
      <c r="C429" s="282"/>
      <c r="D429" s="50">
        <f t="shared" ref="D429:G429" si="285">D428</f>
        <v>121619</v>
      </c>
      <c r="E429" s="50" t="e">
        <f t="shared" si="285"/>
        <v>#REF!</v>
      </c>
      <c r="F429" s="50" t="e">
        <f t="shared" si="285"/>
        <v>#REF!</v>
      </c>
      <c r="G429" s="50" t="e">
        <f t="shared" si="285"/>
        <v>#REF!</v>
      </c>
      <c r="H429" s="42">
        <f t="shared" si="281"/>
        <v>0</v>
      </c>
      <c r="I429" s="50" t="e">
        <f t="shared" si="282"/>
        <v>#REF!</v>
      </c>
      <c r="J429" s="50">
        <f>J428</f>
        <v>-15000</v>
      </c>
      <c r="K429" s="282"/>
      <c r="L429" s="12">
        <f t="shared" ref="L429:S429" si="286">L428</f>
        <v>107368</v>
      </c>
      <c r="M429" s="12">
        <f t="shared" si="286"/>
        <v>121658.49</v>
      </c>
      <c r="N429" s="12">
        <f t="shared" si="286"/>
        <v>63000</v>
      </c>
      <c r="O429" s="12">
        <f t="shared" si="286"/>
        <v>55781.01</v>
      </c>
      <c r="P429" s="50">
        <f t="shared" si="286"/>
        <v>63000</v>
      </c>
      <c r="Q429" s="50">
        <f t="shared" si="286"/>
        <v>61000</v>
      </c>
      <c r="R429" s="12">
        <f t="shared" si="286"/>
        <v>46000</v>
      </c>
      <c r="S429" s="12">
        <f t="shared" si="286"/>
        <v>-15000</v>
      </c>
    </row>
    <row r="430" spans="1:28" ht="15.75" customHeight="1" x14ac:dyDescent="0.2">
      <c r="A430" s="396"/>
      <c r="B430" s="396"/>
      <c r="C430" s="397"/>
      <c r="D430" s="398">
        <f t="shared" ref="D430:G430" si="287">(D429+D426)-D394-D367-D398</f>
        <v>0</v>
      </c>
      <c r="E430" s="398" t="e">
        <f t="shared" si="287"/>
        <v>#REF!</v>
      </c>
      <c r="F430" s="398" t="e">
        <f t="shared" si="287"/>
        <v>#REF!</v>
      </c>
      <c r="G430" s="398" t="e">
        <f t="shared" si="287"/>
        <v>#REF!</v>
      </c>
      <c r="H430" s="396"/>
      <c r="I430" s="396"/>
      <c r="J430" s="396"/>
      <c r="K430" s="397"/>
      <c r="L430" s="396"/>
      <c r="M430" s="396"/>
      <c r="N430" s="396"/>
      <c r="O430" s="396"/>
      <c r="P430" s="396"/>
      <c r="Q430" s="396"/>
      <c r="R430" s="396"/>
      <c r="S430" s="5"/>
      <c r="V430" s="92"/>
      <c r="W430" s="92"/>
      <c r="X430" s="92"/>
      <c r="Y430" s="92"/>
      <c r="Z430" s="92"/>
      <c r="AA430" s="92"/>
      <c r="AB430" s="92"/>
    </row>
    <row r="431" spans="1:28" ht="15.75" customHeight="1" x14ac:dyDescent="0.25">
      <c r="A431" s="47" t="s">
        <v>1487</v>
      </c>
      <c r="B431" s="48"/>
      <c r="C431" s="282"/>
      <c r="D431" s="50">
        <f t="shared" ref="D431:G431" si="288">D426+D429</f>
        <v>599145</v>
      </c>
      <c r="E431" s="50" t="e">
        <f t="shared" si="288"/>
        <v>#REF!</v>
      </c>
      <c r="F431" s="50" t="e">
        <f t="shared" si="288"/>
        <v>#REF!</v>
      </c>
      <c r="G431" s="50" t="e">
        <f t="shared" si="288"/>
        <v>#REF!</v>
      </c>
      <c r="H431" s="42">
        <f>IFERROR(((Q431-G431)/G431),0)</f>
        <v>0</v>
      </c>
      <c r="I431" s="50" t="e">
        <f>Q431-G431</f>
        <v>#REF!</v>
      </c>
      <c r="J431" s="50">
        <f>J426+J429</f>
        <v>-89830</v>
      </c>
      <c r="K431" s="282"/>
      <c r="L431" s="12">
        <f t="shared" ref="L431:S431" si="289">L426+L429</f>
        <v>774041</v>
      </c>
      <c r="M431" s="12">
        <f t="shared" si="289"/>
        <v>856142.12</v>
      </c>
      <c r="N431" s="12">
        <f t="shared" si="289"/>
        <v>992381</v>
      </c>
      <c r="O431" s="12">
        <f t="shared" si="289"/>
        <v>680945.85000000009</v>
      </c>
      <c r="P431" s="50">
        <f t="shared" si="289"/>
        <v>878163.7803333333</v>
      </c>
      <c r="Q431" s="50">
        <f t="shared" si="289"/>
        <v>1040430</v>
      </c>
      <c r="R431" s="12">
        <f t="shared" si="289"/>
        <v>950600</v>
      </c>
      <c r="S431" s="12">
        <f t="shared" si="289"/>
        <v>-89830</v>
      </c>
    </row>
    <row r="432" spans="1:28" ht="15.75" customHeight="1" x14ac:dyDescent="0.2">
      <c r="A432" s="5"/>
      <c r="B432" s="5"/>
      <c r="C432" s="284"/>
      <c r="D432" s="5"/>
      <c r="E432" s="5"/>
      <c r="F432" s="5"/>
      <c r="G432" s="5"/>
      <c r="H432" s="5"/>
      <c r="I432" s="5"/>
      <c r="J432" s="5"/>
      <c r="K432" s="284"/>
      <c r="L432" s="5"/>
      <c r="M432" s="5"/>
      <c r="N432" s="5"/>
      <c r="O432" s="5"/>
      <c r="P432" s="5"/>
      <c r="Q432" s="5"/>
      <c r="R432" s="5"/>
      <c r="S432" s="5"/>
    </row>
    <row r="433" spans="1:27" ht="15.75" customHeight="1" x14ac:dyDescent="0.2">
      <c r="A433" s="11" t="s">
        <v>184</v>
      </c>
      <c r="B433" s="5"/>
      <c r="C433" s="284"/>
      <c r="D433" s="5"/>
      <c r="E433" s="5"/>
      <c r="F433" s="5"/>
      <c r="G433" s="5"/>
      <c r="H433" s="5"/>
      <c r="I433" s="5"/>
      <c r="J433" s="5"/>
      <c r="K433" s="284"/>
      <c r="L433" s="5"/>
      <c r="M433" s="5"/>
      <c r="N433" s="5"/>
      <c r="O433" s="5"/>
      <c r="P433" s="5"/>
      <c r="Q433" s="5"/>
      <c r="R433" s="5"/>
      <c r="S433" s="5"/>
    </row>
    <row r="434" spans="1:27" ht="15.75" customHeight="1" x14ac:dyDescent="0.25">
      <c r="A434" s="6" t="s">
        <v>1488</v>
      </c>
      <c r="B434" s="6" t="s">
        <v>1489</v>
      </c>
      <c r="C434" s="284"/>
      <c r="D434" s="18">
        <v>0</v>
      </c>
      <c r="E434" s="142" t="e">
        <f>D434*#REF!</f>
        <v>#REF!</v>
      </c>
      <c r="F434" s="142" t="e">
        <f>D434*#REF!</f>
        <v>#REF!</v>
      </c>
      <c r="G434" s="142" t="e">
        <f>(D434*#REF!)*#REF!</f>
        <v>#REF!</v>
      </c>
      <c r="H434" s="33">
        <f t="shared" ref="H434:H445" si="290">IFERROR(((Q434-G434)/G434),0)</f>
        <v>0</v>
      </c>
      <c r="I434" s="16" t="e">
        <f t="shared" ref="I434:I445" si="291">Q434-G434</f>
        <v>#REF!</v>
      </c>
      <c r="J434" s="18"/>
      <c r="K434" s="284"/>
      <c r="L434" s="6">
        <v>0</v>
      </c>
      <c r="M434" s="7">
        <v>-23643.13</v>
      </c>
      <c r="N434" s="7">
        <v>-23000</v>
      </c>
      <c r="O434" s="6">
        <v>0</v>
      </c>
      <c r="P434" s="322">
        <f t="shared" ref="P434:P444" si="292">N434</f>
        <v>-23000</v>
      </c>
      <c r="Q434" s="16">
        <v>-23000</v>
      </c>
      <c r="R434" s="7">
        <f t="shared" ref="R434:R435" si="293">Q434</f>
        <v>-23000</v>
      </c>
      <c r="S434" s="265">
        <f t="shared" ref="S434:S444" si="294">R434-Q434</f>
        <v>0</v>
      </c>
    </row>
    <row r="435" spans="1:27" ht="15.75" customHeight="1" x14ac:dyDescent="0.25">
      <c r="A435" s="6" t="s">
        <v>1490</v>
      </c>
      <c r="B435" s="6" t="s">
        <v>1489</v>
      </c>
      <c r="C435" s="285"/>
      <c r="D435" s="16">
        <v>-8000</v>
      </c>
      <c r="E435" s="142" t="e">
        <f>D435*#REF!</f>
        <v>#REF!</v>
      </c>
      <c r="F435" s="142" t="e">
        <f>D435*#REF!</f>
        <v>#REF!</v>
      </c>
      <c r="G435" s="142" t="e">
        <f>(D435*#REF!)*#REF!</f>
        <v>#REF!</v>
      </c>
      <c r="H435" s="33">
        <f t="shared" si="290"/>
        <v>0</v>
      </c>
      <c r="I435" s="16" t="e">
        <f t="shared" si="291"/>
        <v>#REF!</v>
      </c>
      <c r="J435" s="18"/>
      <c r="K435" s="285"/>
      <c r="L435" s="7">
        <v>-76891</v>
      </c>
      <c r="M435" s="6">
        <v>0</v>
      </c>
      <c r="N435" s="6">
        <v>0</v>
      </c>
      <c r="O435" s="6">
        <v>0</v>
      </c>
      <c r="P435" s="16">
        <f t="shared" si="292"/>
        <v>0</v>
      </c>
      <c r="Q435" s="18">
        <v>0</v>
      </c>
      <c r="R435" s="7">
        <f t="shared" si="293"/>
        <v>0</v>
      </c>
      <c r="S435" s="265">
        <f t="shared" si="294"/>
        <v>0</v>
      </c>
    </row>
    <row r="436" spans="1:27" ht="15.75" customHeight="1" x14ac:dyDescent="0.25">
      <c r="A436" s="6" t="s">
        <v>1491</v>
      </c>
      <c r="B436" s="6" t="s">
        <v>1492</v>
      </c>
      <c r="C436" s="285"/>
      <c r="D436" s="16">
        <v>-5308</v>
      </c>
      <c r="E436" s="142" t="e">
        <f>D436*#REF!</f>
        <v>#REF!</v>
      </c>
      <c r="F436" s="142" t="e">
        <f>D436*#REF!</f>
        <v>#REF!</v>
      </c>
      <c r="G436" s="142" t="e">
        <f>(D436*#REF!)*#REF!</f>
        <v>#REF!</v>
      </c>
      <c r="H436" s="33">
        <f t="shared" si="290"/>
        <v>0</v>
      </c>
      <c r="I436" s="16" t="e">
        <f t="shared" si="291"/>
        <v>#REF!</v>
      </c>
      <c r="J436" s="18"/>
      <c r="K436" s="285"/>
      <c r="L436" s="7">
        <v>-25000</v>
      </c>
      <c r="M436" s="6">
        <v>0</v>
      </c>
      <c r="N436" s="6">
        <v>0</v>
      </c>
      <c r="O436" s="6">
        <v>0</v>
      </c>
      <c r="P436" s="16">
        <f t="shared" si="292"/>
        <v>0</v>
      </c>
      <c r="Q436" s="18">
        <v>0</v>
      </c>
      <c r="R436" s="7">
        <f>VLOOKUP(A436,TB!A:F,6)</f>
        <v>0</v>
      </c>
      <c r="S436" s="265">
        <f t="shared" si="294"/>
        <v>0</v>
      </c>
    </row>
    <row r="437" spans="1:27" ht="15.75" customHeight="1" x14ac:dyDescent="0.25">
      <c r="A437" s="6" t="s">
        <v>1493</v>
      </c>
      <c r="B437" s="6" t="s">
        <v>1492</v>
      </c>
      <c r="C437" s="284"/>
      <c r="D437" s="18">
        <v>0</v>
      </c>
      <c r="E437" s="142">
        <v>0</v>
      </c>
      <c r="F437" s="142">
        <v>0</v>
      </c>
      <c r="G437" s="142">
        <v>0</v>
      </c>
      <c r="H437" s="33">
        <f t="shared" si="290"/>
        <v>0</v>
      </c>
      <c r="I437" s="16">
        <f t="shared" si="291"/>
        <v>-25000</v>
      </c>
      <c r="J437" s="18"/>
      <c r="K437" s="284"/>
      <c r="L437" s="6">
        <v>0</v>
      </c>
      <c r="M437" s="7">
        <v>-25000</v>
      </c>
      <c r="N437" s="7">
        <v>-25000</v>
      </c>
      <c r="O437" s="6">
        <v>-562.5</v>
      </c>
      <c r="P437" s="322">
        <f t="shared" si="292"/>
        <v>-25000</v>
      </c>
      <c r="Q437" s="16">
        <v>-25000</v>
      </c>
      <c r="R437" s="7">
        <f>VLOOKUP(A437,TB!A:F,6)</f>
        <v>-25000</v>
      </c>
      <c r="S437" s="265">
        <f t="shared" si="294"/>
        <v>0</v>
      </c>
    </row>
    <row r="438" spans="1:27" ht="15.75" customHeight="1" x14ac:dyDescent="0.25">
      <c r="A438" s="6" t="s">
        <v>1494</v>
      </c>
      <c r="B438" s="6" t="s">
        <v>1495</v>
      </c>
      <c r="C438" s="284"/>
      <c r="D438" s="18">
        <v>0</v>
      </c>
      <c r="E438" s="142" t="e">
        <f>D438*#REF!</f>
        <v>#REF!</v>
      </c>
      <c r="F438" s="142" t="e">
        <f>D438*#REF!</f>
        <v>#REF!</v>
      </c>
      <c r="G438" s="142" t="e">
        <f>(D438*#REF!)*#REF!</f>
        <v>#REF!</v>
      </c>
      <c r="H438" s="33">
        <f t="shared" si="290"/>
        <v>0</v>
      </c>
      <c r="I438" s="16" t="e">
        <f t="shared" si="291"/>
        <v>#REF!</v>
      </c>
      <c r="J438" s="18"/>
      <c r="K438" s="284"/>
      <c r="L438" s="6">
        <v>0</v>
      </c>
      <c r="M438" s="7">
        <v>-123420</v>
      </c>
      <c r="N438" s="7">
        <v>-164000</v>
      </c>
      <c r="O438" s="6">
        <v>0</v>
      </c>
      <c r="P438" s="322">
        <f t="shared" si="292"/>
        <v>-164000</v>
      </c>
      <c r="Q438" s="16">
        <v>-120000</v>
      </c>
      <c r="R438" s="7">
        <f>VLOOKUP(A438,TB!A:F,6)</f>
        <v>-120000</v>
      </c>
      <c r="S438" s="265">
        <f t="shared" si="294"/>
        <v>0</v>
      </c>
    </row>
    <row r="439" spans="1:27" ht="15.75" customHeight="1" x14ac:dyDescent="0.25">
      <c r="A439" s="6" t="s">
        <v>1496</v>
      </c>
      <c r="B439" s="6" t="s">
        <v>1495</v>
      </c>
      <c r="C439" s="284"/>
      <c r="D439" s="18">
        <v>0</v>
      </c>
      <c r="E439" s="142" t="e">
        <f>D439*#REF!</f>
        <v>#REF!</v>
      </c>
      <c r="F439" s="142" t="e">
        <f>D439*#REF!</f>
        <v>#REF!</v>
      </c>
      <c r="G439" s="142" t="e">
        <f>(D439*#REF!)*#REF!</f>
        <v>#REF!</v>
      </c>
      <c r="H439" s="33">
        <f t="shared" si="290"/>
        <v>0</v>
      </c>
      <c r="I439" s="16" t="e">
        <f t="shared" si="291"/>
        <v>#REF!</v>
      </c>
      <c r="J439" s="18"/>
      <c r="K439" s="284"/>
      <c r="L439" s="7">
        <v>-127560</v>
      </c>
      <c r="M439" s="6">
        <v>0</v>
      </c>
      <c r="N439" s="6">
        <v>0</v>
      </c>
      <c r="O439" s="7">
        <v>-40580</v>
      </c>
      <c r="P439" s="16">
        <f t="shared" si="292"/>
        <v>0</v>
      </c>
      <c r="Q439" s="18">
        <v>0</v>
      </c>
      <c r="R439" s="7">
        <f>VLOOKUP(A439,TB!A:F,6)</f>
        <v>0</v>
      </c>
      <c r="S439" s="265">
        <f t="shared" si="294"/>
        <v>0</v>
      </c>
    </row>
    <row r="440" spans="1:27" ht="15.75" customHeight="1" x14ac:dyDescent="0.25">
      <c r="A440" s="6" t="s">
        <v>1497</v>
      </c>
      <c r="B440" s="6" t="s">
        <v>1498</v>
      </c>
      <c r="C440" s="284"/>
      <c r="D440" s="18">
        <v>0</v>
      </c>
      <c r="E440" s="142" t="e">
        <f>D440*#REF!</f>
        <v>#REF!</v>
      </c>
      <c r="F440" s="142" t="e">
        <f>D440*#REF!</f>
        <v>#REF!</v>
      </c>
      <c r="G440" s="142" t="e">
        <f>(D440*#REF!)*#REF!</f>
        <v>#REF!</v>
      </c>
      <c r="H440" s="33">
        <f t="shared" si="290"/>
        <v>0</v>
      </c>
      <c r="I440" s="16" t="e">
        <f t="shared" si="291"/>
        <v>#REF!</v>
      </c>
      <c r="J440" s="16">
        <v>-5000</v>
      </c>
      <c r="K440" s="284"/>
      <c r="L440" s="6">
        <v>0</v>
      </c>
      <c r="M440" s="7">
        <v>-28575.56</v>
      </c>
      <c r="N440" s="7">
        <v>-23000</v>
      </c>
      <c r="O440" s="7">
        <v>-13539.27</v>
      </c>
      <c r="P440" s="322">
        <f t="shared" si="292"/>
        <v>-23000</v>
      </c>
      <c r="Q440" s="16">
        <v>-25000</v>
      </c>
      <c r="R440" s="7">
        <f>VLOOKUP(A440,TB!A:F,6)</f>
        <v>-30000</v>
      </c>
      <c r="S440" s="265">
        <f t="shared" si="294"/>
        <v>-5000</v>
      </c>
    </row>
    <row r="441" spans="1:27" ht="15.75" customHeight="1" x14ac:dyDescent="0.25">
      <c r="A441" s="6" t="s">
        <v>1499</v>
      </c>
      <c r="B441" s="6" t="s">
        <v>1498</v>
      </c>
      <c r="C441" s="285"/>
      <c r="D441" s="16">
        <v>-35311</v>
      </c>
      <c r="E441" s="142" t="e">
        <f>D441*#REF!</f>
        <v>#REF!</v>
      </c>
      <c r="F441" s="142" t="e">
        <f>D441*#REF!</f>
        <v>#REF!</v>
      </c>
      <c r="G441" s="142" t="e">
        <f>(D441*#REF!)*#REF!</f>
        <v>#REF!</v>
      </c>
      <c r="H441" s="33">
        <f t="shared" si="290"/>
        <v>0</v>
      </c>
      <c r="I441" s="16" t="e">
        <f t="shared" si="291"/>
        <v>#REF!</v>
      </c>
      <c r="J441" s="18"/>
      <c r="K441" s="285"/>
      <c r="L441" s="7">
        <v>-22799</v>
      </c>
      <c r="M441" s="6">
        <v>0</v>
      </c>
      <c r="N441" s="6">
        <v>0</v>
      </c>
      <c r="O441" s="6">
        <v>0</v>
      </c>
      <c r="P441" s="16">
        <f t="shared" si="292"/>
        <v>0</v>
      </c>
      <c r="Q441" s="18">
        <v>0</v>
      </c>
      <c r="R441" s="7">
        <f>VLOOKUP(A441,TB!A:F,6)</f>
        <v>0</v>
      </c>
      <c r="S441" s="265">
        <f t="shared" si="294"/>
        <v>0</v>
      </c>
    </row>
    <row r="442" spans="1:27" ht="15.75" customHeight="1" x14ac:dyDescent="0.25">
      <c r="A442" s="6" t="s">
        <v>1500</v>
      </c>
      <c r="B442" s="6" t="s">
        <v>1501</v>
      </c>
      <c r="C442" s="284"/>
      <c r="D442" s="18">
        <v>0</v>
      </c>
      <c r="E442" s="142" t="e">
        <f>D442*#REF!</f>
        <v>#REF!</v>
      </c>
      <c r="F442" s="142" t="e">
        <f>D442*#REF!</f>
        <v>#REF!</v>
      </c>
      <c r="G442" s="142" t="e">
        <f>(D442*#REF!)*#REF!</f>
        <v>#REF!</v>
      </c>
      <c r="H442" s="33">
        <f t="shared" si="290"/>
        <v>0</v>
      </c>
      <c r="I442" s="16" t="e">
        <f t="shared" si="291"/>
        <v>#REF!</v>
      </c>
      <c r="J442" s="18"/>
      <c r="K442" s="284"/>
      <c r="L442" s="7">
        <v>-44594</v>
      </c>
      <c r="M442" s="6">
        <v>0</v>
      </c>
      <c r="N442" s="6">
        <v>0</v>
      </c>
      <c r="O442" s="6">
        <v>0</v>
      </c>
      <c r="P442" s="16">
        <f t="shared" si="292"/>
        <v>0</v>
      </c>
      <c r="Q442" s="18">
        <v>0</v>
      </c>
      <c r="R442" s="7">
        <f>VLOOKUP(A442,TB!A:F,6)</f>
        <v>0</v>
      </c>
      <c r="S442" s="265">
        <f t="shared" si="294"/>
        <v>0</v>
      </c>
    </row>
    <row r="443" spans="1:27" ht="15.75" customHeight="1" x14ac:dyDescent="0.25">
      <c r="A443" s="6" t="s">
        <v>1502</v>
      </c>
      <c r="B443" s="6" t="s">
        <v>1501</v>
      </c>
      <c r="C443" s="284"/>
      <c r="D443" s="18">
        <v>0</v>
      </c>
      <c r="E443" s="142" t="e">
        <f>D443*#REF!</f>
        <v>#REF!</v>
      </c>
      <c r="F443" s="142" t="e">
        <f>D443*#REF!</f>
        <v>#REF!</v>
      </c>
      <c r="G443" s="142" t="e">
        <f>(D443*#REF!)*#REF!</f>
        <v>#REF!</v>
      </c>
      <c r="H443" s="33">
        <f t="shared" si="290"/>
        <v>0</v>
      </c>
      <c r="I443" s="16" t="e">
        <f t="shared" si="291"/>
        <v>#REF!</v>
      </c>
      <c r="J443" s="18"/>
      <c r="K443" s="284"/>
      <c r="L443" s="6">
        <v>0</v>
      </c>
      <c r="M443" s="7">
        <v>-48816</v>
      </c>
      <c r="N443" s="7">
        <v>-45000</v>
      </c>
      <c r="O443" s="7">
        <v>-26797.7</v>
      </c>
      <c r="P443" s="322">
        <f t="shared" si="292"/>
        <v>-45000</v>
      </c>
      <c r="Q443" s="16">
        <v>-45000</v>
      </c>
      <c r="R443" s="7">
        <f>VLOOKUP(A443,TB!A:F,6)</f>
        <v>-45000</v>
      </c>
      <c r="S443" s="265">
        <f t="shared" si="294"/>
        <v>0</v>
      </c>
    </row>
    <row r="444" spans="1:27" ht="15.75" customHeight="1" x14ac:dyDescent="0.25">
      <c r="A444" s="6" t="s">
        <v>1503</v>
      </c>
      <c r="B444" s="6" t="s">
        <v>1504</v>
      </c>
      <c r="C444" s="285"/>
      <c r="D444" s="16">
        <v>-119143</v>
      </c>
      <c r="E444" s="142" t="e">
        <f>D444*#REF!</f>
        <v>#REF!</v>
      </c>
      <c r="F444" s="142" t="e">
        <f>D444*#REF!</f>
        <v>#REF!</v>
      </c>
      <c r="G444" s="142" t="e">
        <f>(D444*#REF!)*#REF!</f>
        <v>#REF!</v>
      </c>
      <c r="H444" s="33">
        <f t="shared" si="290"/>
        <v>0</v>
      </c>
      <c r="I444" s="16" t="e">
        <f t="shared" si="291"/>
        <v>#REF!</v>
      </c>
      <c r="J444" s="18"/>
      <c r="K444" s="285"/>
      <c r="L444" s="7">
        <v>-104177</v>
      </c>
      <c r="M444" s="6">
        <v>-100</v>
      </c>
      <c r="N444" s="6">
        <v>0</v>
      </c>
      <c r="O444" s="6">
        <v>0</v>
      </c>
      <c r="P444" s="16">
        <f t="shared" si="292"/>
        <v>0</v>
      </c>
      <c r="Q444" s="18">
        <v>0</v>
      </c>
      <c r="R444" s="7">
        <f>VLOOKUP(A444,TB!A:F,6)</f>
        <v>0</v>
      </c>
      <c r="S444" s="265">
        <f t="shared" si="294"/>
        <v>0</v>
      </c>
    </row>
    <row r="445" spans="1:27" ht="15.75" customHeight="1" x14ac:dyDescent="0.2">
      <c r="A445" s="11" t="s">
        <v>189</v>
      </c>
      <c r="B445" s="48"/>
      <c r="C445" s="282"/>
      <c r="D445" s="50">
        <f t="shared" ref="D445:G445" si="295">SUM(D434:D444)</f>
        <v>-167762</v>
      </c>
      <c r="E445" s="50" t="e">
        <f t="shared" si="295"/>
        <v>#REF!</v>
      </c>
      <c r="F445" s="50" t="e">
        <f t="shared" si="295"/>
        <v>#REF!</v>
      </c>
      <c r="G445" s="50" t="e">
        <f t="shared" si="295"/>
        <v>#REF!</v>
      </c>
      <c r="H445" s="42">
        <f t="shared" si="290"/>
        <v>0</v>
      </c>
      <c r="I445" s="50" t="e">
        <f t="shared" si="291"/>
        <v>#REF!</v>
      </c>
      <c r="J445" s="50">
        <f>SUM(J434:J444)</f>
        <v>-5000</v>
      </c>
      <c r="K445" s="282"/>
      <c r="L445" s="12">
        <f t="shared" ref="L445:S445" si="296">SUM(L434:L444)</f>
        <v>-401021</v>
      </c>
      <c r="M445" s="12">
        <f t="shared" si="296"/>
        <v>-249554.69</v>
      </c>
      <c r="N445" s="12">
        <f t="shared" si="296"/>
        <v>-280000</v>
      </c>
      <c r="O445" s="12">
        <f t="shared" si="296"/>
        <v>-81479.47</v>
      </c>
      <c r="P445" s="50">
        <f t="shared" si="296"/>
        <v>-280000</v>
      </c>
      <c r="Q445" s="50">
        <f t="shared" si="296"/>
        <v>-238000</v>
      </c>
      <c r="R445" s="12">
        <f t="shared" si="296"/>
        <v>-243000</v>
      </c>
      <c r="S445" s="12">
        <f t="shared" si="296"/>
        <v>-5000</v>
      </c>
    </row>
    <row r="446" spans="1:27" ht="15.75" customHeight="1" x14ac:dyDescent="0.2">
      <c r="A446" s="5"/>
      <c r="B446" s="5"/>
      <c r="C446" s="284"/>
      <c r="D446" s="5"/>
      <c r="E446" s="5"/>
      <c r="F446" s="5"/>
      <c r="G446" s="5"/>
      <c r="H446" s="5"/>
      <c r="I446" s="5"/>
      <c r="J446" s="5"/>
      <c r="K446" s="284"/>
      <c r="L446" s="5"/>
      <c r="M446" s="5"/>
      <c r="N446" s="5"/>
      <c r="O446" s="5"/>
      <c r="P446" s="5"/>
      <c r="Q446" s="5"/>
      <c r="R446" s="5"/>
      <c r="S446" s="5"/>
    </row>
    <row r="447" spans="1:27" ht="15.75" customHeight="1" x14ac:dyDescent="0.2">
      <c r="A447" s="11" t="s">
        <v>190</v>
      </c>
      <c r="B447" s="6"/>
      <c r="C447" s="286"/>
      <c r="D447" s="178">
        <f t="shared" ref="D447:G447" si="297">D431+D445</f>
        <v>431383</v>
      </c>
      <c r="E447" s="178" t="e">
        <f t="shared" si="297"/>
        <v>#REF!</v>
      </c>
      <c r="F447" s="178" t="e">
        <f t="shared" si="297"/>
        <v>#REF!</v>
      </c>
      <c r="G447" s="178" t="e">
        <f t="shared" si="297"/>
        <v>#REF!</v>
      </c>
      <c r="H447" s="273">
        <f>IFERROR(((Q447-G447)/G447),0)</f>
        <v>0</v>
      </c>
      <c r="I447" s="178" t="e">
        <f>Q447-G447</f>
        <v>#REF!</v>
      </c>
      <c r="J447" s="178">
        <f>J431+J445</f>
        <v>-94830</v>
      </c>
      <c r="K447" s="286"/>
      <c r="L447" s="227">
        <f t="shared" ref="L447:S447" si="298">L431+L445</f>
        <v>373020</v>
      </c>
      <c r="M447" s="227">
        <f t="shared" si="298"/>
        <v>606587.42999999993</v>
      </c>
      <c r="N447" s="227">
        <f t="shared" si="298"/>
        <v>712381</v>
      </c>
      <c r="O447" s="227">
        <f t="shared" si="298"/>
        <v>599466.38000000012</v>
      </c>
      <c r="P447" s="178">
        <f t="shared" si="298"/>
        <v>598163.7803333333</v>
      </c>
      <c r="Q447" s="178">
        <f t="shared" si="298"/>
        <v>802430</v>
      </c>
      <c r="R447" s="227">
        <f t="shared" si="298"/>
        <v>707600</v>
      </c>
      <c r="S447" s="227">
        <f t="shared" si="298"/>
        <v>-94830</v>
      </c>
      <c r="V447" s="56"/>
      <c r="W447" s="56"/>
      <c r="X447" s="56"/>
      <c r="Y447" s="56"/>
      <c r="Z447" s="56"/>
      <c r="AA447" s="56"/>
    </row>
    <row r="448" spans="1:27" ht="15.75" customHeight="1" x14ac:dyDescent="0.2">
      <c r="C448" s="287"/>
      <c r="K448" s="287"/>
    </row>
    <row r="449" spans="3:19" ht="15.75" customHeight="1" x14ac:dyDescent="0.2">
      <c r="C449" s="287"/>
      <c r="K449" s="287"/>
    </row>
    <row r="450" spans="3:19" ht="15.75" customHeight="1" x14ac:dyDescent="0.2">
      <c r="C450" s="288"/>
      <c r="K450" s="288"/>
      <c r="L450" s="173">
        <f t="shared" ref="L450:R450" si="299">L1</f>
        <v>0</v>
      </c>
      <c r="M450" s="173">
        <f t="shared" si="299"/>
        <v>0</v>
      </c>
      <c r="N450" s="173">
        <f t="shared" si="299"/>
        <v>0</v>
      </c>
      <c r="O450" s="173">
        <f t="shared" si="299"/>
        <v>0</v>
      </c>
      <c r="P450" s="173">
        <f t="shared" si="299"/>
        <v>0</v>
      </c>
      <c r="Q450" s="173">
        <f t="shared" si="299"/>
        <v>0</v>
      </c>
      <c r="R450" s="173">
        <f t="shared" si="299"/>
        <v>0</v>
      </c>
      <c r="S450" s="57"/>
    </row>
    <row r="451" spans="3:19" ht="15.75" customHeight="1" x14ac:dyDescent="0.2">
      <c r="C451" s="289"/>
      <c r="K451" s="289"/>
      <c r="L451" s="63">
        <f t="shared" ref="L451:R451" si="300">L447</f>
        <v>373020</v>
      </c>
      <c r="M451" s="63">
        <f t="shared" si="300"/>
        <v>606587.42999999993</v>
      </c>
      <c r="N451" s="63">
        <f t="shared" si="300"/>
        <v>712381</v>
      </c>
      <c r="O451" s="63">
        <f t="shared" si="300"/>
        <v>599466.38000000012</v>
      </c>
      <c r="P451" s="63">
        <f t="shared" si="300"/>
        <v>598163.7803333333</v>
      </c>
      <c r="Q451" s="63">
        <f t="shared" si="300"/>
        <v>802430</v>
      </c>
      <c r="R451" s="63">
        <f t="shared" si="300"/>
        <v>707600</v>
      </c>
      <c r="S451" s="51"/>
    </row>
    <row r="452" spans="3:19" ht="15.75" customHeight="1" x14ac:dyDescent="0.2">
      <c r="C452" s="287"/>
      <c r="K452" s="287"/>
    </row>
    <row r="453" spans="3:19" ht="15.75" hidden="1" customHeight="1" x14ac:dyDescent="0.2">
      <c r="C453" s="287"/>
      <c r="K453" s="287"/>
    </row>
    <row r="454" spans="3:19" ht="15.75" hidden="1" customHeight="1" x14ac:dyDescent="0.2">
      <c r="C454" s="287"/>
      <c r="K454" s="287"/>
    </row>
    <row r="455" spans="3:19" ht="15.75" hidden="1" customHeight="1" x14ac:dyDescent="0.2">
      <c r="C455" s="287"/>
      <c r="K455" s="287"/>
    </row>
    <row r="456" spans="3:19" ht="15.75" hidden="1" customHeight="1" x14ac:dyDescent="0.2">
      <c r="C456" s="287"/>
      <c r="K456" s="287"/>
    </row>
    <row r="457" spans="3:19" ht="15.75" hidden="1" customHeight="1" x14ac:dyDescent="0.2">
      <c r="C457" s="287"/>
      <c r="K457" s="287"/>
    </row>
    <row r="458" spans="3:19" ht="15.75" hidden="1" customHeight="1" x14ac:dyDescent="0.2">
      <c r="C458" s="287"/>
      <c r="K458" s="287"/>
    </row>
    <row r="459" spans="3:19" ht="15.75" hidden="1" customHeight="1" x14ac:dyDescent="0.2">
      <c r="C459" s="287"/>
      <c r="K459" s="287"/>
    </row>
    <row r="460" spans="3:19" ht="15.75" hidden="1" customHeight="1" x14ac:dyDescent="0.2">
      <c r="C460" s="287"/>
      <c r="K460" s="287"/>
    </row>
    <row r="461" spans="3:19" ht="15.75" hidden="1" customHeight="1" x14ac:dyDescent="0.2">
      <c r="C461" s="287"/>
      <c r="K461" s="287"/>
    </row>
    <row r="462" spans="3:19" ht="15.75" hidden="1" customHeight="1" x14ac:dyDescent="0.2">
      <c r="C462" s="287"/>
      <c r="K462" s="287"/>
    </row>
    <row r="463" spans="3:19" ht="15.75" hidden="1" customHeight="1" x14ac:dyDescent="0.2">
      <c r="C463" s="287"/>
      <c r="K463" s="287"/>
    </row>
    <row r="464" spans="3:19" ht="15.75" hidden="1" customHeight="1" x14ac:dyDescent="0.2">
      <c r="C464" s="287"/>
      <c r="K464" s="287"/>
    </row>
    <row r="465" spans="3:11" ht="15.75" hidden="1" customHeight="1" x14ac:dyDescent="0.2">
      <c r="C465" s="287"/>
      <c r="K465" s="287"/>
    </row>
    <row r="466" spans="3:11" ht="15.75" hidden="1" customHeight="1" x14ac:dyDescent="0.2">
      <c r="C466" s="287"/>
      <c r="K466" s="287"/>
    </row>
    <row r="467" spans="3:11" ht="15.75" hidden="1" customHeight="1" x14ac:dyDescent="0.2">
      <c r="C467" s="287"/>
      <c r="K467" s="287"/>
    </row>
    <row r="468" spans="3:11" ht="15.75" hidden="1" customHeight="1" x14ac:dyDescent="0.2">
      <c r="C468" s="287"/>
      <c r="K468" s="287"/>
    </row>
    <row r="469" spans="3:11" ht="15.75" hidden="1" customHeight="1" x14ac:dyDescent="0.2">
      <c r="C469" s="287"/>
      <c r="K469" s="287"/>
    </row>
    <row r="470" spans="3:11" ht="15.75" hidden="1" customHeight="1" x14ac:dyDescent="0.2">
      <c r="C470" s="287"/>
      <c r="K470" s="287"/>
    </row>
    <row r="471" spans="3:11" ht="15.75" hidden="1" customHeight="1" x14ac:dyDescent="0.2">
      <c r="C471" s="287"/>
      <c r="K471" s="287"/>
    </row>
    <row r="472" spans="3:11" ht="15.75" hidden="1" customHeight="1" x14ac:dyDescent="0.2">
      <c r="C472" s="287"/>
      <c r="K472" s="287"/>
    </row>
    <row r="473" spans="3:11" ht="15.75" hidden="1" customHeight="1" x14ac:dyDescent="0.2">
      <c r="C473" s="287"/>
      <c r="K473" s="287"/>
    </row>
    <row r="474" spans="3:11" ht="15.75" hidden="1" customHeight="1" x14ac:dyDescent="0.2">
      <c r="C474" s="287"/>
      <c r="K474" s="287"/>
    </row>
    <row r="475" spans="3:11" ht="15.75" hidden="1" customHeight="1" x14ac:dyDescent="0.2">
      <c r="C475" s="287"/>
      <c r="K475" s="287"/>
    </row>
    <row r="476" spans="3:11" ht="15.75" hidden="1" customHeight="1" x14ac:dyDescent="0.2">
      <c r="C476" s="287"/>
      <c r="K476" s="287"/>
    </row>
    <row r="477" spans="3:11" ht="15.75" hidden="1" customHeight="1" x14ac:dyDescent="0.2">
      <c r="C477" s="287"/>
      <c r="K477" s="287"/>
    </row>
    <row r="478" spans="3:11" ht="15.75" hidden="1" customHeight="1" x14ac:dyDescent="0.2">
      <c r="C478" s="287"/>
      <c r="K478" s="287"/>
    </row>
    <row r="479" spans="3:11" ht="15.75" hidden="1" customHeight="1" x14ac:dyDescent="0.2">
      <c r="C479" s="287"/>
      <c r="K479" s="287"/>
    </row>
    <row r="480" spans="3:11" ht="15.75" hidden="1" customHeight="1" x14ac:dyDescent="0.2">
      <c r="C480" s="287"/>
      <c r="K480" s="287"/>
    </row>
    <row r="481" spans="3:11" ht="15.75" hidden="1" customHeight="1" x14ac:dyDescent="0.2">
      <c r="C481" s="287"/>
      <c r="K481" s="287"/>
    </row>
    <row r="482" spans="3:11" ht="15.75" hidden="1" customHeight="1" x14ac:dyDescent="0.2">
      <c r="C482" s="287"/>
      <c r="K482" s="287"/>
    </row>
    <row r="483" spans="3:11" ht="15.75" hidden="1" customHeight="1" x14ac:dyDescent="0.2">
      <c r="C483" s="287"/>
      <c r="K483" s="287"/>
    </row>
    <row r="484" spans="3:11" ht="15.75" hidden="1" customHeight="1" x14ac:dyDescent="0.2">
      <c r="C484" s="287"/>
      <c r="K484" s="287"/>
    </row>
    <row r="485" spans="3:11" ht="15.75" hidden="1" customHeight="1" x14ac:dyDescent="0.2">
      <c r="C485" s="287"/>
      <c r="K485" s="287"/>
    </row>
    <row r="486" spans="3:11" ht="15.75" hidden="1" customHeight="1" x14ac:dyDescent="0.2">
      <c r="C486" s="287"/>
      <c r="K486" s="287"/>
    </row>
    <row r="487" spans="3:11" ht="15.75" hidden="1" customHeight="1" x14ac:dyDescent="0.2">
      <c r="C487" s="287"/>
      <c r="K487" s="287"/>
    </row>
    <row r="488" spans="3:11" ht="15.75" hidden="1" customHeight="1" x14ac:dyDescent="0.2">
      <c r="C488" s="287"/>
      <c r="K488" s="287"/>
    </row>
    <row r="489" spans="3:11" ht="15.75" hidden="1" customHeight="1" x14ac:dyDescent="0.2">
      <c r="C489" s="287"/>
      <c r="K489" s="287"/>
    </row>
    <row r="490" spans="3:11" ht="15.75" hidden="1" customHeight="1" x14ac:dyDescent="0.2">
      <c r="C490" s="287"/>
      <c r="K490" s="287"/>
    </row>
    <row r="491" spans="3:11" ht="15.75" hidden="1" customHeight="1" x14ac:dyDescent="0.2">
      <c r="C491" s="287"/>
      <c r="K491" s="287"/>
    </row>
    <row r="492" spans="3:11" ht="15.75" hidden="1" customHeight="1" x14ac:dyDescent="0.2">
      <c r="C492" s="287"/>
      <c r="K492" s="287"/>
    </row>
    <row r="493" spans="3:11" ht="15.75" hidden="1" customHeight="1" x14ac:dyDescent="0.2">
      <c r="C493" s="287"/>
      <c r="K493" s="287"/>
    </row>
    <row r="494" spans="3:11" ht="15.75" hidden="1" customHeight="1" x14ac:dyDescent="0.2">
      <c r="C494" s="287"/>
      <c r="K494" s="287"/>
    </row>
    <row r="495" spans="3:11" ht="15.75" hidden="1" customHeight="1" x14ac:dyDescent="0.2">
      <c r="C495" s="287"/>
      <c r="K495" s="287"/>
    </row>
    <row r="496" spans="3:11" ht="15.75" hidden="1" customHeight="1" x14ac:dyDescent="0.2">
      <c r="C496" s="287"/>
      <c r="K496" s="287"/>
    </row>
    <row r="497" spans="1:19" ht="15.75" hidden="1" customHeight="1" x14ac:dyDescent="0.2">
      <c r="C497" s="287"/>
      <c r="K497" s="287"/>
    </row>
    <row r="498" spans="1:19" ht="15.75" hidden="1" customHeight="1" x14ac:dyDescent="0.2">
      <c r="C498" s="287"/>
      <c r="K498" s="287"/>
    </row>
    <row r="499" spans="1:19" ht="15.75" hidden="1" customHeight="1" x14ac:dyDescent="0.2">
      <c r="C499" s="287"/>
      <c r="K499" s="287"/>
    </row>
    <row r="500" spans="1:19" ht="15.75" hidden="1" customHeight="1" x14ac:dyDescent="0.2">
      <c r="C500" s="287"/>
      <c r="K500" s="287"/>
    </row>
    <row r="501" spans="1:19" ht="15.75" hidden="1" customHeight="1" x14ac:dyDescent="0.2">
      <c r="C501" s="287"/>
      <c r="K501" s="287"/>
    </row>
    <row r="502" spans="1:19" ht="15.75" hidden="1" customHeight="1" x14ac:dyDescent="0.2">
      <c r="C502" s="287"/>
      <c r="K502" s="287"/>
    </row>
    <row r="503" spans="1:19" ht="15.75" hidden="1" customHeight="1" x14ac:dyDescent="0.2">
      <c r="C503" s="287"/>
      <c r="K503" s="287"/>
    </row>
    <row r="504" spans="1:19" ht="15.75" hidden="1" customHeight="1" x14ac:dyDescent="0.2">
      <c r="C504" s="287"/>
      <c r="K504" s="287"/>
    </row>
    <row r="505" spans="1:19" ht="15.75" hidden="1" customHeight="1" x14ac:dyDescent="0.2">
      <c r="C505" s="287"/>
      <c r="K505" s="287"/>
    </row>
    <row r="506" spans="1:19" ht="15.75" hidden="1" customHeight="1" outlineLevel="1" x14ac:dyDescent="0.2">
      <c r="C506" s="287"/>
      <c r="K506" s="287"/>
    </row>
    <row r="507" spans="1:19" ht="15.75" hidden="1" customHeight="1" outlineLevel="1" x14ac:dyDescent="0.2">
      <c r="A507" s="379" t="s">
        <v>50</v>
      </c>
      <c r="B507" s="379" t="s">
        <v>51</v>
      </c>
      <c r="C507" s="292"/>
      <c r="D507" s="379" t="s">
        <v>52</v>
      </c>
      <c r="E507" s="380" t="s">
        <v>53</v>
      </c>
      <c r="F507" s="380" t="s">
        <v>1212</v>
      </c>
      <c r="G507" s="380" t="s">
        <v>55</v>
      </c>
      <c r="H507" s="230" t="s">
        <v>56</v>
      </c>
      <c r="I507" s="230" t="s">
        <v>57</v>
      </c>
      <c r="K507" s="292"/>
      <c r="L507" s="394">
        <f t="shared" ref="L507:S507" si="301">L1</f>
        <v>0</v>
      </c>
      <c r="M507" s="394">
        <f t="shared" si="301"/>
        <v>0</v>
      </c>
      <c r="N507" s="394">
        <f t="shared" si="301"/>
        <v>0</v>
      </c>
      <c r="O507" s="394">
        <f t="shared" si="301"/>
        <v>0</v>
      </c>
      <c r="P507" s="394">
        <f t="shared" si="301"/>
        <v>0</v>
      </c>
      <c r="Q507" s="394">
        <f t="shared" si="301"/>
        <v>0</v>
      </c>
      <c r="R507" s="394">
        <f t="shared" si="301"/>
        <v>0</v>
      </c>
      <c r="S507" s="394">
        <f t="shared" si="301"/>
        <v>0</v>
      </c>
    </row>
    <row r="508" spans="1:19" ht="15.75" hidden="1" customHeight="1" outlineLevel="1" x14ac:dyDescent="0.25">
      <c r="A508" s="51" t="s">
        <v>1238</v>
      </c>
      <c r="B508" s="51" t="s">
        <v>68</v>
      </c>
      <c r="C508" s="400"/>
      <c r="D508" s="65">
        <v>0</v>
      </c>
      <c r="E508" s="20" t="e">
        <f>D508*#REF!</f>
        <v>#REF!</v>
      </c>
      <c r="F508" s="20" t="e">
        <f>D508*#REF!</f>
        <v>#REF!</v>
      </c>
      <c r="G508" s="20" t="e">
        <f>(D508*#REF!)*#REF!</f>
        <v>#REF!</v>
      </c>
      <c r="H508" s="234">
        <f t="shared" ref="H508:H530" si="302">IFERROR(((Q508-D508)/D508),0)</f>
        <v>0</v>
      </c>
      <c r="I508" s="54" t="e">
        <f t="shared" ref="I508:I530" si="303">Q508-G508</f>
        <v>#REF!</v>
      </c>
      <c r="K508" s="400"/>
      <c r="L508" s="65">
        <v>0</v>
      </c>
      <c r="M508" s="20">
        <v>106175.43</v>
      </c>
      <c r="N508" s="20">
        <v>67493</v>
      </c>
      <c r="O508" s="20">
        <f>VLOOKUP(A508,TB!A:F,3)</f>
        <v>29967.42</v>
      </c>
      <c r="P508" s="20"/>
      <c r="Q508" s="20">
        <v>86700</v>
      </c>
      <c r="R508" s="54">
        <f>VLOOKUP(A508,TB!A:F,6)</f>
        <v>86700</v>
      </c>
      <c r="S508" s="54">
        <f t="shared" ref="S508:S529" si="304">R508-Q508</f>
        <v>0</v>
      </c>
    </row>
    <row r="509" spans="1:19" ht="15.75" hidden="1" customHeight="1" outlineLevel="1" x14ac:dyDescent="0.25">
      <c r="A509" s="51" t="s">
        <v>1239</v>
      </c>
      <c r="B509" s="51" t="s">
        <v>70</v>
      </c>
      <c r="C509" s="400"/>
      <c r="D509" s="65">
        <v>0</v>
      </c>
      <c r="E509" s="20" t="e">
        <f>D509*#REF!</f>
        <v>#REF!</v>
      </c>
      <c r="F509" s="20" t="e">
        <f>D509*#REF!</f>
        <v>#REF!</v>
      </c>
      <c r="G509" s="20" t="e">
        <f>(D509*#REF!)*#REF!</f>
        <v>#REF!</v>
      </c>
      <c r="H509" s="234">
        <f t="shared" si="302"/>
        <v>0</v>
      </c>
      <c r="I509" s="54" t="e">
        <f t="shared" si="303"/>
        <v>#REF!</v>
      </c>
      <c r="K509" s="400"/>
      <c r="L509" s="65">
        <v>0</v>
      </c>
      <c r="M509" s="20">
        <v>1510</v>
      </c>
      <c r="N509" s="20">
        <v>1375</v>
      </c>
      <c r="O509" s="20">
        <f>VLOOKUP(A509,TB!A:F,3)</f>
        <v>703.04</v>
      </c>
      <c r="P509" s="20"/>
      <c r="Q509" s="20">
        <v>1400</v>
      </c>
      <c r="R509" s="54">
        <f>VLOOKUP(A509,TB!A:F,6)</f>
        <v>1250</v>
      </c>
      <c r="S509" s="54">
        <f t="shared" si="304"/>
        <v>-150</v>
      </c>
    </row>
    <row r="510" spans="1:19" ht="15.75" hidden="1" customHeight="1" outlineLevel="1" x14ac:dyDescent="0.25">
      <c r="A510" s="51" t="s">
        <v>1240</v>
      </c>
      <c r="B510" s="51" t="s">
        <v>132</v>
      </c>
      <c r="C510" s="400"/>
      <c r="D510" s="65">
        <v>0</v>
      </c>
      <c r="E510" s="20" t="e">
        <f>D510*#REF!</f>
        <v>#REF!</v>
      </c>
      <c r="F510" s="20" t="e">
        <f>D510*#REF!</f>
        <v>#REF!</v>
      </c>
      <c r="G510" s="20" t="e">
        <f>(D510*#REF!)*#REF!</f>
        <v>#REF!</v>
      </c>
      <c r="H510" s="234">
        <f t="shared" si="302"/>
        <v>0</v>
      </c>
      <c r="I510" s="54" t="e">
        <f t="shared" si="303"/>
        <v>#REF!</v>
      </c>
      <c r="K510" s="400"/>
      <c r="L510" s="65">
        <v>0</v>
      </c>
      <c r="M510" s="20">
        <v>0</v>
      </c>
      <c r="N510" s="20">
        <v>5000</v>
      </c>
      <c r="O510" s="20">
        <f>VLOOKUP(A510,TB!A:F,3)</f>
        <v>0</v>
      </c>
      <c r="P510" s="20"/>
      <c r="Q510" s="20">
        <v>5000</v>
      </c>
      <c r="R510" s="54">
        <f>VLOOKUP(A510,TB!A:F,6)</f>
        <v>5000</v>
      </c>
      <c r="S510" s="54">
        <f t="shared" si="304"/>
        <v>0</v>
      </c>
    </row>
    <row r="511" spans="1:19" ht="15.75" hidden="1" customHeight="1" outlineLevel="1" x14ac:dyDescent="0.25">
      <c r="A511" s="51" t="s">
        <v>1241</v>
      </c>
      <c r="B511" s="51" t="s">
        <v>108</v>
      </c>
      <c r="C511" s="400"/>
      <c r="D511" s="65">
        <v>0</v>
      </c>
      <c r="E511" s="20" t="e">
        <f>D511*#REF!</f>
        <v>#REF!</v>
      </c>
      <c r="F511" s="20" t="e">
        <f>D511*#REF!</f>
        <v>#REF!</v>
      </c>
      <c r="G511" s="20" t="e">
        <f>(D511*#REF!)*#REF!</f>
        <v>#REF!</v>
      </c>
      <c r="H511" s="234">
        <f t="shared" si="302"/>
        <v>0</v>
      </c>
      <c r="I511" s="54" t="e">
        <f t="shared" si="303"/>
        <v>#REF!</v>
      </c>
      <c r="K511" s="400"/>
      <c r="L511" s="65">
        <v>0</v>
      </c>
      <c r="M511" s="20">
        <v>0</v>
      </c>
      <c r="N511" s="20">
        <v>0</v>
      </c>
      <c r="O511" s="20">
        <f>VLOOKUP(A511,TB!A:F,3)</f>
        <v>0</v>
      </c>
      <c r="P511" s="20"/>
      <c r="Q511" s="20">
        <v>0</v>
      </c>
      <c r="R511" s="54">
        <f>VLOOKUP(A511,TB!A:F,6)</f>
        <v>5000</v>
      </c>
      <c r="S511" s="54">
        <f t="shared" si="304"/>
        <v>5000</v>
      </c>
    </row>
    <row r="512" spans="1:19" ht="15.75" hidden="1" customHeight="1" outlineLevel="1" x14ac:dyDescent="0.25">
      <c r="A512" s="51" t="s">
        <v>1242</v>
      </c>
      <c r="B512" s="51" t="s">
        <v>72</v>
      </c>
      <c r="C512" s="400"/>
      <c r="D512" s="65">
        <v>0</v>
      </c>
      <c r="E512" s="20" t="e">
        <f>D512*#REF!</f>
        <v>#REF!</v>
      </c>
      <c r="F512" s="20" t="e">
        <f>D512*#REF!</f>
        <v>#REF!</v>
      </c>
      <c r="G512" s="20" t="e">
        <f>(D512*#REF!)*#REF!</f>
        <v>#REF!</v>
      </c>
      <c r="H512" s="234">
        <f t="shared" si="302"/>
        <v>0</v>
      </c>
      <c r="I512" s="54" t="e">
        <f t="shared" si="303"/>
        <v>#REF!</v>
      </c>
      <c r="K512" s="400"/>
      <c r="L512" s="65">
        <v>0</v>
      </c>
      <c r="M512" s="20">
        <v>54378.400000000001</v>
      </c>
      <c r="N512" s="20">
        <v>45371</v>
      </c>
      <c r="O512" s="20">
        <f>VLOOKUP(A512,TB!A:F,3)</f>
        <v>15366.86</v>
      </c>
      <c r="P512" s="20"/>
      <c r="Q512" s="20">
        <v>44400</v>
      </c>
      <c r="R512" s="54">
        <f>VLOOKUP(A512,TB!A:F,6)</f>
        <v>44400</v>
      </c>
      <c r="S512" s="54">
        <f t="shared" si="304"/>
        <v>0</v>
      </c>
    </row>
    <row r="513" spans="1:19" ht="15.75" hidden="1" customHeight="1" outlineLevel="1" x14ac:dyDescent="0.25">
      <c r="A513" s="51" t="s">
        <v>1243</v>
      </c>
      <c r="B513" s="51" t="s">
        <v>74</v>
      </c>
      <c r="C513" s="400"/>
      <c r="D513" s="65">
        <v>0</v>
      </c>
      <c r="E513" s="20" t="e">
        <f>D513*#REF!</f>
        <v>#REF!</v>
      </c>
      <c r="F513" s="20" t="e">
        <f>D513*#REF!</f>
        <v>#REF!</v>
      </c>
      <c r="G513" s="20" t="e">
        <f>(D513*#REF!)*#REF!</f>
        <v>#REF!</v>
      </c>
      <c r="H513" s="234">
        <f t="shared" si="302"/>
        <v>0</v>
      </c>
      <c r="I513" s="54" t="e">
        <f t="shared" si="303"/>
        <v>#REF!</v>
      </c>
      <c r="K513" s="400"/>
      <c r="L513" s="65">
        <v>0</v>
      </c>
      <c r="M513" s="20">
        <v>1831.5</v>
      </c>
      <c r="N513" s="20">
        <v>1075</v>
      </c>
      <c r="O513" s="20">
        <f>VLOOKUP(A513,TB!A:F,3)</f>
        <v>72.75</v>
      </c>
      <c r="P513" s="20"/>
      <c r="Q513" s="20">
        <v>1075</v>
      </c>
      <c r="R513" s="54">
        <f>VLOOKUP(A513,TB!A:F,6)</f>
        <v>1000</v>
      </c>
      <c r="S513" s="54">
        <f t="shared" si="304"/>
        <v>-75</v>
      </c>
    </row>
    <row r="514" spans="1:19" ht="15.75" hidden="1" customHeight="1" outlineLevel="1" x14ac:dyDescent="0.25">
      <c r="A514" s="51" t="s">
        <v>1244</v>
      </c>
      <c r="B514" s="51" t="s">
        <v>76</v>
      </c>
      <c r="C514" s="400"/>
      <c r="D514" s="65">
        <v>0</v>
      </c>
      <c r="E514" s="20" t="e">
        <f>D514*#REF!</f>
        <v>#REF!</v>
      </c>
      <c r="F514" s="20" t="e">
        <f>D514*#REF!</f>
        <v>#REF!</v>
      </c>
      <c r="G514" s="20" t="e">
        <f>(D514*#REF!)*#REF!</f>
        <v>#REF!</v>
      </c>
      <c r="H514" s="234">
        <f t="shared" si="302"/>
        <v>0</v>
      </c>
      <c r="I514" s="54" t="e">
        <f t="shared" si="303"/>
        <v>#REF!</v>
      </c>
      <c r="K514" s="400"/>
      <c r="L514" s="65">
        <v>0</v>
      </c>
      <c r="M514" s="20">
        <v>3827.31</v>
      </c>
      <c r="N514" s="20">
        <v>2875</v>
      </c>
      <c r="O514" s="20">
        <f>VLOOKUP(A514,TB!A:F,3)</f>
        <v>223.95</v>
      </c>
      <c r="P514" s="20"/>
      <c r="Q514" s="20">
        <v>3500</v>
      </c>
      <c r="R514" s="54">
        <f>VLOOKUP(A514,TB!A:F,6)</f>
        <v>2500</v>
      </c>
      <c r="S514" s="54">
        <f t="shared" si="304"/>
        <v>-1000</v>
      </c>
    </row>
    <row r="515" spans="1:19" ht="15.75" hidden="1" customHeight="1" outlineLevel="1" x14ac:dyDescent="0.25">
      <c r="A515" s="51" t="s">
        <v>1245</v>
      </c>
      <c r="B515" s="51" t="s">
        <v>80</v>
      </c>
      <c r="C515" s="400"/>
      <c r="D515" s="65">
        <v>0</v>
      </c>
      <c r="E515" s="20" t="e">
        <f>D515*#REF!</f>
        <v>#REF!</v>
      </c>
      <c r="F515" s="20" t="e">
        <f>D515*#REF!</f>
        <v>#REF!</v>
      </c>
      <c r="G515" s="20" t="e">
        <f>(D515*#REF!)*#REF!</f>
        <v>#REF!</v>
      </c>
      <c r="H515" s="234">
        <f t="shared" si="302"/>
        <v>0</v>
      </c>
      <c r="I515" s="54" t="e">
        <f t="shared" si="303"/>
        <v>#REF!</v>
      </c>
      <c r="K515" s="400"/>
      <c r="L515" s="65">
        <v>0</v>
      </c>
      <c r="M515" s="20">
        <v>1142.8</v>
      </c>
      <c r="N515" s="20">
        <v>2375</v>
      </c>
      <c r="O515" s="20">
        <f>VLOOKUP(A515,TB!A:F,3)</f>
        <v>346.32</v>
      </c>
      <c r="P515" s="20"/>
      <c r="Q515" s="20">
        <v>1375</v>
      </c>
      <c r="R515" s="54">
        <f>VLOOKUP(A515,TB!A:F,6)</f>
        <v>1250</v>
      </c>
      <c r="S515" s="54">
        <f t="shared" si="304"/>
        <v>-125</v>
      </c>
    </row>
    <row r="516" spans="1:19" ht="15.75" hidden="1" customHeight="1" outlineLevel="1" x14ac:dyDescent="0.25">
      <c r="A516" s="51" t="s">
        <v>1246</v>
      </c>
      <c r="B516" s="51" t="s">
        <v>82</v>
      </c>
      <c r="C516" s="400"/>
      <c r="D516" s="65">
        <v>0</v>
      </c>
      <c r="E516" s="20" t="e">
        <f>D516*#REF!</f>
        <v>#REF!</v>
      </c>
      <c r="F516" s="20" t="e">
        <f>D516*#REF!</f>
        <v>#REF!</v>
      </c>
      <c r="G516" s="20" t="e">
        <f>(D516*#REF!)*#REF!</f>
        <v>#REF!</v>
      </c>
      <c r="H516" s="234">
        <f t="shared" si="302"/>
        <v>0</v>
      </c>
      <c r="I516" s="54" t="e">
        <f t="shared" si="303"/>
        <v>#REF!</v>
      </c>
      <c r="K516" s="400"/>
      <c r="L516" s="65">
        <v>0</v>
      </c>
      <c r="M516" s="20">
        <v>10887.79</v>
      </c>
      <c r="N516" s="20">
        <v>6125</v>
      </c>
      <c r="O516" s="20">
        <f>VLOOKUP(A516,TB!A:F,3)</f>
        <v>757.05</v>
      </c>
      <c r="P516" s="20"/>
      <c r="Q516" s="20">
        <v>6125</v>
      </c>
      <c r="R516" s="54">
        <f>VLOOKUP(A516,TB!A:F,6)</f>
        <v>5000</v>
      </c>
      <c r="S516" s="54">
        <f t="shared" si="304"/>
        <v>-1125</v>
      </c>
    </row>
    <row r="517" spans="1:19" ht="15.75" hidden="1" customHeight="1" outlineLevel="1" x14ac:dyDescent="0.25">
      <c r="A517" s="51" t="s">
        <v>1247</v>
      </c>
      <c r="B517" s="51" t="s">
        <v>115</v>
      </c>
      <c r="C517" s="400"/>
      <c r="D517" s="65">
        <v>0</v>
      </c>
      <c r="E517" s="20" t="e">
        <f>D517*#REF!</f>
        <v>#REF!</v>
      </c>
      <c r="F517" s="20" t="e">
        <f>D517*#REF!</f>
        <v>#REF!</v>
      </c>
      <c r="G517" s="20" t="e">
        <f>(D517*#REF!)*#REF!</f>
        <v>#REF!</v>
      </c>
      <c r="H517" s="234">
        <f t="shared" si="302"/>
        <v>0</v>
      </c>
      <c r="I517" s="54" t="e">
        <f t="shared" si="303"/>
        <v>#REF!</v>
      </c>
      <c r="K517" s="400"/>
      <c r="L517" s="65">
        <v>0</v>
      </c>
      <c r="M517" s="20">
        <v>299</v>
      </c>
      <c r="N517" s="20">
        <v>1250</v>
      </c>
      <c r="O517" s="20">
        <f>VLOOKUP(A517,TB!A:F,3)</f>
        <v>0</v>
      </c>
      <c r="P517" s="20"/>
      <c r="Q517" s="20">
        <v>1500</v>
      </c>
      <c r="R517" s="54">
        <f>VLOOKUP(A517,TB!A:F,6)</f>
        <v>1000</v>
      </c>
      <c r="S517" s="54">
        <f t="shared" si="304"/>
        <v>-500</v>
      </c>
    </row>
    <row r="518" spans="1:19" ht="15.75" hidden="1" customHeight="1" outlineLevel="1" x14ac:dyDescent="0.25">
      <c r="A518" s="51" t="s">
        <v>1248</v>
      </c>
      <c r="B518" s="51" t="s">
        <v>84</v>
      </c>
      <c r="C518" s="400"/>
      <c r="D518" s="65">
        <v>0</v>
      </c>
      <c r="E518" s="20" t="e">
        <f>D518*#REF!</f>
        <v>#REF!</v>
      </c>
      <c r="F518" s="20" t="e">
        <f>D518*#REF!</f>
        <v>#REF!</v>
      </c>
      <c r="G518" s="20" t="e">
        <f>(D518*#REF!)*#REF!</f>
        <v>#REF!</v>
      </c>
      <c r="H518" s="234">
        <f t="shared" si="302"/>
        <v>0</v>
      </c>
      <c r="I518" s="54" t="e">
        <f t="shared" si="303"/>
        <v>#REF!</v>
      </c>
      <c r="K518" s="400"/>
      <c r="L518" s="65">
        <v>0</v>
      </c>
      <c r="M518" s="20">
        <v>2483.3200000000002</v>
      </c>
      <c r="N518" s="20">
        <v>1900</v>
      </c>
      <c r="O518" s="20">
        <f>VLOOKUP(A518,TB!A:F,3)</f>
        <v>408.42</v>
      </c>
      <c r="P518" s="20"/>
      <c r="Q518" s="20">
        <v>1900</v>
      </c>
      <c r="R518" s="54">
        <f>VLOOKUP(A518,TB!A:F,6)</f>
        <v>1650</v>
      </c>
      <c r="S518" s="54">
        <f t="shared" si="304"/>
        <v>-250</v>
      </c>
    </row>
    <row r="519" spans="1:19" ht="15.75" hidden="1" customHeight="1" outlineLevel="1" x14ac:dyDescent="0.25">
      <c r="A519" s="51" t="s">
        <v>1249</v>
      </c>
      <c r="B519" s="51" t="s">
        <v>86</v>
      </c>
      <c r="C519" s="400"/>
      <c r="D519" s="65">
        <v>0</v>
      </c>
      <c r="E519" s="20" t="e">
        <f>D519*#REF!</f>
        <v>#REF!</v>
      </c>
      <c r="F519" s="20" t="e">
        <f>D519*#REF!</f>
        <v>#REF!</v>
      </c>
      <c r="G519" s="20" t="e">
        <f>(D519*#REF!)*#REF!</f>
        <v>#REF!</v>
      </c>
      <c r="H519" s="234">
        <f t="shared" si="302"/>
        <v>0</v>
      </c>
      <c r="I519" s="54" t="e">
        <f t="shared" si="303"/>
        <v>#REF!</v>
      </c>
      <c r="K519" s="400"/>
      <c r="L519" s="65">
        <v>0</v>
      </c>
      <c r="M519" s="20">
        <v>112463.24</v>
      </c>
      <c r="N519" s="20">
        <v>48750</v>
      </c>
      <c r="O519" s="20">
        <f>VLOOKUP(A519,TB!A:F,3)</f>
        <v>20595.189999999999</v>
      </c>
      <c r="P519" s="20"/>
      <c r="Q519" s="20">
        <v>41250</v>
      </c>
      <c r="R519" s="54">
        <f>VLOOKUP(A519,TB!A:F,6)</f>
        <v>40000</v>
      </c>
      <c r="S519" s="54">
        <f t="shared" si="304"/>
        <v>-1250</v>
      </c>
    </row>
    <row r="520" spans="1:19" ht="15.75" hidden="1" customHeight="1" outlineLevel="1" x14ac:dyDescent="0.25">
      <c r="A520" s="51" t="s">
        <v>1250</v>
      </c>
      <c r="B520" s="51" t="s">
        <v>88</v>
      </c>
      <c r="C520" s="400"/>
      <c r="D520" s="65">
        <v>0</v>
      </c>
      <c r="E520" s="20" t="e">
        <f>D520*#REF!</f>
        <v>#REF!</v>
      </c>
      <c r="F520" s="20" t="e">
        <f>D520*#REF!</f>
        <v>#REF!</v>
      </c>
      <c r="G520" s="20" t="e">
        <f>(D520*#REF!)*#REF!</f>
        <v>#REF!</v>
      </c>
      <c r="H520" s="234">
        <f t="shared" si="302"/>
        <v>0</v>
      </c>
      <c r="I520" s="54" t="e">
        <f t="shared" si="303"/>
        <v>#REF!</v>
      </c>
      <c r="K520" s="400"/>
      <c r="L520" s="65">
        <v>0</v>
      </c>
      <c r="M520" s="20">
        <v>6297.17</v>
      </c>
      <c r="N520" s="20">
        <v>4600</v>
      </c>
      <c r="O520" s="20">
        <f>VLOOKUP(A520,TB!A:F,3)</f>
        <v>3040.13</v>
      </c>
      <c r="P520" s="20"/>
      <c r="Q520" s="20">
        <v>4850</v>
      </c>
      <c r="R520" s="54">
        <f>VLOOKUP(A520,TB!A:F,6)</f>
        <v>4850</v>
      </c>
      <c r="S520" s="54">
        <f t="shared" si="304"/>
        <v>0</v>
      </c>
    </row>
    <row r="521" spans="1:19" ht="15.75" hidden="1" customHeight="1" outlineLevel="1" x14ac:dyDescent="0.25">
      <c r="A521" s="51" t="s">
        <v>1251</v>
      </c>
      <c r="B521" s="51" t="s">
        <v>1252</v>
      </c>
      <c r="C521" s="400"/>
      <c r="D521" s="65">
        <v>0</v>
      </c>
      <c r="E521" s="20" t="e">
        <f>D521*#REF!</f>
        <v>#REF!</v>
      </c>
      <c r="F521" s="20" t="e">
        <f>D521*#REF!</f>
        <v>#REF!</v>
      </c>
      <c r="G521" s="20" t="e">
        <f>(D521*#REF!)*#REF!</f>
        <v>#REF!</v>
      </c>
      <c r="H521" s="234">
        <f t="shared" si="302"/>
        <v>0</v>
      </c>
      <c r="I521" s="54" t="e">
        <f t="shared" si="303"/>
        <v>#REF!</v>
      </c>
      <c r="K521" s="400"/>
      <c r="L521" s="65">
        <v>0</v>
      </c>
      <c r="M521" s="20">
        <v>0</v>
      </c>
      <c r="N521" s="20">
        <v>56962</v>
      </c>
      <c r="O521" s="20">
        <f>VLOOKUP(A521,TB!A:F,3)</f>
        <v>1812.5</v>
      </c>
      <c r="P521" s="20"/>
      <c r="Q521" s="20">
        <v>2500</v>
      </c>
      <c r="R521" s="54">
        <f>VLOOKUP(A521,TB!A:F,6)</f>
        <v>2500</v>
      </c>
      <c r="S521" s="54">
        <f t="shared" si="304"/>
        <v>0</v>
      </c>
    </row>
    <row r="522" spans="1:19" ht="15.75" hidden="1" customHeight="1" outlineLevel="1" x14ac:dyDescent="0.25">
      <c r="A522" s="51" t="s">
        <v>1253</v>
      </c>
      <c r="B522" s="51" t="s">
        <v>1254</v>
      </c>
      <c r="C522" s="400"/>
      <c r="D522" s="65">
        <v>0</v>
      </c>
      <c r="E522" s="20" t="e">
        <f>D522*#REF!</f>
        <v>#REF!</v>
      </c>
      <c r="F522" s="20" t="e">
        <f>D522*#REF!</f>
        <v>#REF!</v>
      </c>
      <c r="G522" s="20" t="e">
        <f>(D522*#REF!)*#REF!</f>
        <v>#REF!</v>
      </c>
      <c r="H522" s="234">
        <f t="shared" si="302"/>
        <v>0</v>
      </c>
      <c r="I522" s="54" t="e">
        <f t="shared" si="303"/>
        <v>#REF!</v>
      </c>
      <c r="K522" s="400"/>
      <c r="L522" s="65">
        <v>0</v>
      </c>
      <c r="M522" s="20">
        <v>19032.650000000001</v>
      </c>
      <c r="N522" s="20">
        <v>10000</v>
      </c>
      <c r="O522" s="20">
        <f>VLOOKUP(A522,TB!A:F,3)</f>
        <v>5906.93</v>
      </c>
      <c r="P522" s="20"/>
      <c r="Q522" s="20">
        <v>10000</v>
      </c>
      <c r="R522" s="54">
        <f>VLOOKUP(A522,TB!A:F,6)</f>
        <v>10000</v>
      </c>
      <c r="S522" s="54">
        <f t="shared" si="304"/>
        <v>0</v>
      </c>
    </row>
    <row r="523" spans="1:19" ht="15.75" hidden="1" customHeight="1" outlineLevel="1" x14ac:dyDescent="0.25">
      <c r="A523" s="51" t="s">
        <v>1255</v>
      </c>
      <c r="B523" s="51" t="s">
        <v>1256</v>
      </c>
      <c r="C523" s="400"/>
      <c r="D523" s="65">
        <v>0</v>
      </c>
      <c r="E523" s="20" t="e">
        <f>D523*#REF!</f>
        <v>#REF!</v>
      </c>
      <c r="F523" s="20" t="e">
        <f>D523*#REF!</f>
        <v>#REF!</v>
      </c>
      <c r="G523" s="20" t="e">
        <f>(D523*#REF!)*#REF!</f>
        <v>#REF!</v>
      </c>
      <c r="H523" s="234">
        <f t="shared" si="302"/>
        <v>0</v>
      </c>
      <c r="I523" s="54" t="e">
        <f t="shared" si="303"/>
        <v>#REF!</v>
      </c>
      <c r="K523" s="400"/>
      <c r="L523" s="65">
        <v>0</v>
      </c>
      <c r="M523" s="20">
        <v>23747.88</v>
      </c>
      <c r="N523" s="20">
        <v>6250</v>
      </c>
      <c r="O523" s="20">
        <f>VLOOKUP(A523,TB!A:F,3)</f>
        <v>9107.19</v>
      </c>
      <c r="P523" s="20"/>
      <c r="Q523" s="20">
        <v>15000</v>
      </c>
      <c r="R523" s="54">
        <f>VLOOKUP(A523,TB!A:F,6)</f>
        <v>15000</v>
      </c>
      <c r="S523" s="54">
        <f t="shared" si="304"/>
        <v>0</v>
      </c>
    </row>
    <row r="524" spans="1:19" ht="15.75" hidden="1" customHeight="1" outlineLevel="1" x14ac:dyDescent="0.25">
      <c r="A524" s="51" t="s">
        <v>1257</v>
      </c>
      <c r="B524" s="51" t="s">
        <v>1258</v>
      </c>
      <c r="C524" s="400"/>
      <c r="D524" s="65">
        <v>0</v>
      </c>
      <c r="E524" s="20" t="e">
        <f>D524*#REF!</f>
        <v>#REF!</v>
      </c>
      <c r="F524" s="20" t="e">
        <f>D524*#REF!</f>
        <v>#REF!</v>
      </c>
      <c r="G524" s="20" t="e">
        <f>(D524*#REF!)*#REF!</f>
        <v>#REF!</v>
      </c>
      <c r="H524" s="234">
        <f t="shared" si="302"/>
        <v>0</v>
      </c>
      <c r="I524" s="54" t="e">
        <f t="shared" si="303"/>
        <v>#REF!</v>
      </c>
      <c r="K524" s="400"/>
      <c r="L524" s="65">
        <v>0</v>
      </c>
      <c r="M524" s="20">
        <v>3993.58</v>
      </c>
      <c r="N524" s="20">
        <v>25000</v>
      </c>
      <c r="O524" s="20">
        <f>VLOOKUP(A524,TB!A:F,3)</f>
        <v>5968.07</v>
      </c>
      <c r="P524" s="20"/>
      <c r="Q524" s="20">
        <v>6250</v>
      </c>
      <c r="R524" s="54">
        <f>VLOOKUP(A524,TB!A:F,6)</f>
        <v>6250</v>
      </c>
      <c r="S524" s="54">
        <f t="shared" si="304"/>
        <v>0</v>
      </c>
    </row>
    <row r="525" spans="1:19" ht="15.75" hidden="1" customHeight="1" outlineLevel="1" x14ac:dyDescent="0.25">
      <c r="A525" s="51" t="s">
        <v>1259</v>
      </c>
      <c r="B525" s="51" t="s">
        <v>90</v>
      </c>
      <c r="C525" s="400"/>
      <c r="D525" s="65">
        <v>0</v>
      </c>
      <c r="E525" s="20" t="e">
        <f>D525*#REF!</f>
        <v>#REF!</v>
      </c>
      <c r="F525" s="20" t="e">
        <f>D525*#REF!</f>
        <v>#REF!</v>
      </c>
      <c r="G525" s="20" t="e">
        <f>(D525*#REF!)*#REF!</f>
        <v>#REF!</v>
      </c>
      <c r="H525" s="234">
        <f t="shared" si="302"/>
        <v>0</v>
      </c>
      <c r="I525" s="54" t="e">
        <f t="shared" si="303"/>
        <v>#REF!</v>
      </c>
      <c r="K525" s="400"/>
      <c r="L525" s="65">
        <v>0</v>
      </c>
      <c r="M525" s="20">
        <v>0</v>
      </c>
      <c r="N525" s="20">
        <v>1500</v>
      </c>
      <c r="O525" s="20">
        <f>VLOOKUP(A525,TB!A:F,3)</f>
        <v>770.53</v>
      </c>
      <c r="P525" s="20"/>
      <c r="Q525" s="20">
        <v>1500</v>
      </c>
      <c r="R525" s="54">
        <f>VLOOKUP(A525,TB!A:F,6)</f>
        <v>1250</v>
      </c>
      <c r="S525" s="54">
        <f t="shared" si="304"/>
        <v>-250</v>
      </c>
    </row>
    <row r="526" spans="1:19" ht="15.75" hidden="1" customHeight="1" outlineLevel="1" x14ac:dyDescent="0.25">
      <c r="A526" s="51" t="s">
        <v>1260</v>
      </c>
      <c r="B526" s="51" t="s">
        <v>1261</v>
      </c>
      <c r="C526" s="400"/>
      <c r="D526" s="65">
        <v>0</v>
      </c>
      <c r="E526" s="20" t="e">
        <f>D526*#REF!</f>
        <v>#REF!</v>
      </c>
      <c r="F526" s="20" t="e">
        <f>D526*#REF!</f>
        <v>#REF!</v>
      </c>
      <c r="G526" s="20" t="e">
        <f>(D526*#REF!)*#REF!</f>
        <v>#REF!</v>
      </c>
      <c r="H526" s="234">
        <f t="shared" si="302"/>
        <v>0</v>
      </c>
      <c r="I526" s="54" t="e">
        <f t="shared" si="303"/>
        <v>#REF!</v>
      </c>
      <c r="K526" s="400"/>
      <c r="L526" s="65">
        <v>0</v>
      </c>
      <c r="M526" s="20">
        <v>0</v>
      </c>
      <c r="N526" s="20">
        <v>0</v>
      </c>
      <c r="O526" s="20">
        <f>VLOOKUP(A526,TB!A:F,3)</f>
        <v>0</v>
      </c>
      <c r="P526" s="20"/>
      <c r="Q526" s="20">
        <v>25000</v>
      </c>
      <c r="R526" s="54">
        <f>VLOOKUP(A526,TB!A:F,6)</f>
        <v>25000</v>
      </c>
      <c r="S526" s="54">
        <f t="shared" si="304"/>
        <v>0</v>
      </c>
    </row>
    <row r="527" spans="1:19" ht="15.75" hidden="1" customHeight="1" outlineLevel="1" x14ac:dyDescent="0.25">
      <c r="A527" s="51" t="s">
        <v>1262</v>
      </c>
      <c r="B527" s="51" t="s">
        <v>92</v>
      </c>
      <c r="C527" s="400"/>
      <c r="D527" s="65">
        <v>0</v>
      </c>
      <c r="E527" s="20" t="e">
        <f>D527*#REF!</f>
        <v>#REF!</v>
      </c>
      <c r="F527" s="20" t="e">
        <f>D527*#REF!</f>
        <v>#REF!</v>
      </c>
      <c r="G527" s="20" t="e">
        <f>(D527*#REF!)*#REF!</f>
        <v>#REF!</v>
      </c>
      <c r="H527" s="234">
        <f t="shared" si="302"/>
        <v>0</v>
      </c>
      <c r="I527" s="54" t="e">
        <f t="shared" si="303"/>
        <v>#REF!</v>
      </c>
      <c r="K527" s="400"/>
      <c r="L527" s="65">
        <v>0</v>
      </c>
      <c r="M527" s="20">
        <v>1048.4100000000001</v>
      </c>
      <c r="N527" s="20">
        <v>1000</v>
      </c>
      <c r="O527" s="20">
        <f>VLOOKUP(A527,TB!A:F,3)</f>
        <v>757.16</v>
      </c>
      <c r="P527" s="20"/>
      <c r="Q527" s="20">
        <v>1000</v>
      </c>
      <c r="R527" s="54">
        <f>VLOOKUP(A527,TB!A:F,6)</f>
        <v>1000</v>
      </c>
      <c r="S527" s="54">
        <f t="shared" si="304"/>
        <v>0</v>
      </c>
    </row>
    <row r="528" spans="1:19" ht="15.75" hidden="1" customHeight="1" outlineLevel="1" x14ac:dyDescent="0.25">
      <c r="A528" s="51" t="s">
        <v>1263</v>
      </c>
      <c r="B528" s="51" t="s">
        <v>99</v>
      </c>
      <c r="C528" s="295"/>
      <c r="D528" s="20">
        <v>0</v>
      </c>
      <c r="E528" s="20" t="e">
        <f>D528*#REF!</f>
        <v>#REF!</v>
      </c>
      <c r="F528" s="20" t="e">
        <f>D528*#REF!</f>
        <v>#REF!</v>
      </c>
      <c r="G528" s="20" t="e">
        <f>(D528*#REF!)*#REF!</f>
        <v>#REF!</v>
      </c>
      <c r="H528" s="234">
        <f t="shared" si="302"/>
        <v>0</v>
      </c>
      <c r="I528" s="54" t="e">
        <f t="shared" si="303"/>
        <v>#REF!</v>
      </c>
      <c r="K528" s="295"/>
      <c r="L528" s="20">
        <v>0</v>
      </c>
      <c r="M528" s="20">
        <v>30018.99</v>
      </c>
      <c r="N528" s="20">
        <v>0</v>
      </c>
      <c r="O528" s="20">
        <f>VLOOKUP(A528,TB!A:F,3)</f>
        <v>0</v>
      </c>
      <c r="P528" s="20"/>
      <c r="Q528" s="20">
        <v>0</v>
      </c>
      <c r="R528" s="54">
        <f>VLOOKUP(A528,TB!A:F,6)</f>
        <v>0</v>
      </c>
      <c r="S528" s="54">
        <f t="shared" si="304"/>
        <v>0</v>
      </c>
    </row>
    <row r="529" spans="1:19" ht="15.75" hidden="1" customHeight="1" outlineLevel="1" x14ac:dyDescent="0.25">
      <c r="A529" s="51" t="s">
        <v>1264</v>
      </c>
      <c r="B529" s="51" t="s">
        <v>1265</v>
      </c>
      <c r="C529" s="295"/>
      <c r="D529" s="20">
        <v>0</v>
      </c>
      <c r="E529" s="20" t="e">
        <f>D529*#REF!</f>
        <v>#REF!</v>
      </c>
      <c r="F529" s="20" t="e">
        <f>D529*#REF!</f>
        <v>#REF!</v>
      </c>
      <c r="G529" s="20" t="e">
        <f>(D529*#REF!)*#REF!</f>
        <v>#REF!</v>
      </c>
      <c r="H529" s="234">
        <f t="shared" si="302"/>
        <v>0</v>
      </c>
      <c r="I529" s="54" t="e">
        <f t="shared" si="303"/>
        <v>#REF!</v>
      </c>
      <c r="K529" s="295"/>
      <c r="L529" s="20">
        <v>0</v>
      </c>
      <c r="M529" s="20">
        <v>966.19</v>
      </c>
      <c r="N529" s="20">
        <v>0</v>
      </c>
      <c r="O529" s="20">
        <f>VLOOKUP(A529,TB!A:F,3)</f>
        <v>0</v>
      </c>
      <c r="P529" s="20"/>
      <c r="Q529" s="20">
        <v>0</v>
      </c>
      <c r="R529" s="54">
        <f>VLOOKUP(A529,TB!A:F,6)</f>
        <v>0</v>
      </c>
      <c r="S529" s="54">
        <f t="shared" si="304"/>
        <v>0</v>
      </c>
    </row>
    <row r="530" spans="1:19" ht="15.75" hidden="1" customHeight="1" outlineLevel="1" x14ac:dyDescent="0.25">
      <c r="A530" s="74" t="s">
        <v>1266</v>
      </c>
      <c r="B530" s="75"/>
      <c r="C530" s="401"/>
      <c r="D530" s="75">
        <f t="shared" ref="D530:G530" si="305">SUM(D508:D529)</f>
        <v>0</v>
      </c>
      <c r="E530" s="75" t="e">
        <f t="shared" si="305"/>
        <v>#REF!</v>
      </c>
      <c r="F530" s="75" t="e">
        <f t="shared" si="305"/>
        <v>#REF!</v>
      </c>
      <c r="G530" s="75" t="e">
        <f t="shared" si="305"/>
        <v>#REF!</v>
      </c>
      <c r="H530" s="238">
        <f t="shared" si="302"/>
        <v>0</v>
      </c>
      <c r="I530" s="77" t="e">
        <f t="shared" si="303"/>
        <v>#REF!</v>
      </c>
      <c r="K530" s="401"/>
      <c r="L530" s="75">
        <f t="shared" ref="L530:S530" si="306">SUM(L508:L529)</f>
        <v>0</v>
      </c>
      <c r="M530" s="75">
        <f t="shared" si="306"/>
        <v>380103.66</v>
      </c>
      <c r="N530" s="75">
        <f t="shared" si="306"/>
        <v>288901</v>
      </c>
      <c r="O530" s="75">
        <f t="shared" si="306"/>
        <v>95803.510000000009</v>
      </c>
      <c r="P530" s="75">
        <f t="shared" si="306"/>
        <v>0</v>
      </c>
      <c r="Q530" s="75">
        <f t="shared" si="306"/>
        <v>260325</v>
      </c>
      <c r="R530" s="75">
        <f t="shared" si="306"/>
        <v>260600</v>
      </c>
      <c r="S530" s="75">
        <f t="shared" si="306"/>
        <v>275</v>
      </c>
    </row>
    <row r="531" spans="1:19" ht="15.75" hidden="1" customHeight="1" outlineLevel="1" x14ac:dyDescent="0.2">
      <c r="C531" s="287"/>
      <c r="K531" s="287"/>
    </row>
    <row r="532" spans="1:19" ht="15.75" hidden="1" customHeight="1" outlineLevel="1" x14ac:dyDescent="0.2">
      <c r="C532" s="287"/>
      <c r="K532" s="287"/>
    </row>
    <row r="533" spans="1:19" ht="15.75" hidden="1" customHeight="1" outlineLevel="1" x14ac:dyDescent="0.2">
      <c r="A533" s="379" t="s">
        <v>50</v>
      </c>
      <c r="B533" s="379" t="s">
        <v>51</v>
      </c>
      <c r="C533" s="292"/>
      <c r="D533" s="379" t="s">
        <v>52</v>
      </c>
      <c r="E533" s="380" t="s">
        <v>53</v>
      </c>
      <c r="F533" s="380" t="s">
        <v>1212</v>
      </c>
      <c r="G533" s="380" t="s">
        <v>55</v>
      </c>
      <c r="H533" s="230" t="s">
        <v>56</v>
      </c>
      <c r="I533" s="230" t="s">
        <v>57</v>
      </c>
      <c r="K533" s="292"/>
      <c r="L533" s="379" t="s">
        <v>59</v>
      </c>
      <c r="M533" s="379" t="s">
        <v>60</v>
      </c>
      <c r="N533" s="379" t="s">
        <v>436</v>
      </c>
      <c r="O533" s="379" t="s">
        <v>437</v>
      </c>
      <c r="P533" s="3" t="s">
        <v>541</v>
      </c>
      <c r="Q533" s="381" t="s">
        <v>438</v>
      </c>
      <c r="R533" s="293" t="s">
        <v>65</v>
      </c>
      <c r="S533" s="3" t="s">
        <v>586</v>
      </c>
    </row>
    <row r="534" spans="1:19" ht="15.75" hidden="1" customHeight="1" outlineLevel="1" x14ac:dyDescent="0.25">
      <c r="A534" s="51" t="s">
        <v>1267</v>
      </c>
      <c r="B534" s="51" t="s">
        <v>68</v>
      </c>
      <c r="C534" s="400"/>
      <c r="D534" s="65">
        <v>135153</v>
      </c>
      <c r="E534" s="20" t="e">
        <f>D534*#REF!</f>
        <v>#REF!</v>
      </c>
      <c r="F534" s="20" t="e">
        <f>D534*#REF!</f>
        <v>#REF!</v>
      </c>
      <c r="G534" s="20" t="e">
        <f>(D534*#REF!)*#REF!</f>
        <v>#REF!</v>
      </c>
      <c r="H534" s="234">
        <f t="shared" ref="H534:H556" si="307">IFERROR(((Q534-D534)/D534),0)</f>
        <v>0.92374568082099551</v>
      </c>
      <c r="I534" s="54" t="e">
        <f t="shared" ref="I534:I556" si="308">Q534-G534</f>
        <v>#REF!</v>
      </c>
      <c r="K534" s="400"/>
      <c r="L534" s="65">
        <v>165644</v>
      </c>
      <c r="M534" s="20">
        <v>106174.58</v>
      </c>
      <c r="N534" s="20">
        <v>210796</v>
      </c>
      <c r="O534" s="20">
        <f>VLOOKUP(A534,TB!A:F,3)</f>
        <v>84345.69</v>
      </c>
      <c r="P534" s="20"/>
      <c r="Q534" s="20">
        <v>260000</v>
      </c>
      <c r="R534" s="54">
        <f>VLOOKUP(A534,TB!A:F,6)</f>
        <v>260000</v>
      </c>
      <c r="S534" s="54">
        <f t="shared" ref="S534:S555" si="309">R534-Q534</f>
        <v>0</v>
      </c>
    </row>
    <row r="535" spans="1:19" ht="15.75" hidden="1" customHeight="1" outlineLevel="1" x14ac:dyDescent="0.25">
      <c r="A535" s="51" t="s">
        <v>1268</v>
      </c>
      <c r="B535" s="51" t="s">
        <v>70</v>
      </c>
      <c r="C535" s="400"/>
      <c r="D535" s="65">
        <v>91</v>
      </c>
      <c r="E535" s="20" t="e">
        <f>D535*#REF!</f>
        <v>#REF!</v>
      </c>
      <c r="F535" s="20" t="e">
        <f>D535*#REF!</f>
        <v>#REF!</v>
      </c>
      <c r="G535" s="20" t="e">
        <f>(D535*#REF!)*#REF!</f>
        <v>#REF!</v>
      </c>
      <c r="H535" s="234">
        <f t="shared" si="307"/>
        <v>45.153846153846153</v>
      </c>
      <c r="I535" s="54" t="e">
        <f t="shared" si="308"/>
        <v>#REF!</v>
      </c>
      <c r="K535" s="400"/>
      <c r="L535" s="65">
        <v>1609</v>
      </c>
      <c r="M535" s="20">
        <v>1509.98</v>
      </c>
      <c r="N535" s="20">
        <v>4125</v>
      </c>
      <c r="O535" s="20">
        <f>VLOOKUP(A535,TB!A:F,3)</f>
        <v>2003.9</v>
      </c>
      <c r="P535" s="20"/>
      <c r="Q535" s="20">
        <v>4200</v>
      </c>
      <c r="R535" s="54">
        <f>VLOOKUP(A535,TB!A:F,6)</f>
        <v>3750</v>
      </c>
      <c r="S535" s="54">
        <f t="shared" si="309"/>
        <v>-450</v>
      </c>
    </row>
    <row r="536" spans="1:19" ht="15.75" hidden="1" customHeight="1" outlineLevel="1" x14ac:dyDescent="0.25">
      <c r="A536" s="51" t="s">
        <v>1269</v>
      </c>
      <c r="B536" s="51" t="s">
        <v>132</v>
      </c>
      <c r="C536" s="400"/>
      <c r="D536" s="65">
        <v>8564</v>
      </c>
      <c r="E536" s="20" t="e">
        <f>D536*#REF!</f>
        <v>#REF!</v>
      </c>
      <c r="F536" s="20" t="e">
        <f>D536*#REF!</f>
        <v>#REF!</v>
      </c>
      <c r="G536" s="20" t="e">
        <f>(D536*#REF!)*#REF!</f>
        <v>#REF!</v>
      </c>
      <c r="H536" s="234">
        <f t="shared" si="307"/>
        <v>0.75151798225128441</v>
      </c>
      <c r="I536" s="54" t="e">
        <f t="shared" si="308"/>
        <v>#REF!</v>
      </c>
      <c r="K536" s="400"/>
      <c r="L536" s="65">
        <v>0</v>
      </c>
      <c r="M536" s="20">
        <v>0</v>
      </c>
      <c r="N536" s="20">
        <v>11250</v>
      </c>
      <c r="O536" s="20">
        <f>VLOOKUP(A536,TB!A:F,3)</f>
        <v>0</v>
      </c>
      <c r="P536" s="20"/>
      <c r="Q536" s="20">
        <v>15000</v>
      </c>
      <c r="R536" s="54">
        <f>VLOOKUP(A536,TB!A:F,6)</f>
        <v>15000</v>
      </c>
      <c r="S536" s="54">
        <f t="shared" si="309"/>
        <v>0</v>
      </c>
    </row>
    <row r="537" spans="1:19" ht="15.75" hidden="1" customHeight="1" outlineLevel="1" x14ac:dyDescent="0.25">
      <c r="A537" s="51" t="s">
        <v>1270</v>
      </c>
      <c r="B537" s="51" t="s">
        <v>72</v>
      </c>
      <c r="C537" s="400"/>
      <c r="D537" s="65">
        <v>53743</v>
      </c>
      <c r="E537" s="20" t="e">
        <f>D537*#REF!</f>
        <v>#REF!</v>
      </c>
      <c r="F537" s="20" t="e">
        <f>D537*#REF!</f>
        <v>#REF!</v>
      </c>
      <c r="G537" s="20" t="e">
        <f>(D537*#REF!)*#REF!</f>
        <v>#REF!</v>
      </c>
      <c r="H537" s="234">
        <f t="shared" si="307"/>
        <v>1.4710194816069069</v>
      </c>
      <c r="I537" s="54" t="e">
        <f t="shared" si="308"/>
        <v>#REF!</v>
      </c>
      <c r="K537" s="400"/>
      <c r="L537" s="65">
        <v>77954</v>
      </c>
      <c r="M537" s="20">
        <v>54377.22</v>
      </c>
      <c r="N537" s="20">
        <v>129708</v>
      </c>
      <c r="O537" s="20">
        <f>VLOOKUP(A537,TB!A:F,3)</f>
        <v>40852.400000000001</v>
      </c>
      <c r="P537" s="20"/>
      <c r="Q537" s="20">
        <v>132800</v>
      </c>
      <c r="R537" s="54">
        <f>VLOOKUP(A537,TB!A:F,6)</f>
        <v>132800</v>
      </c>
      <c r="S537" s="54">
        <f t="shared" si="309"/>
        <v>0</v>
      </c>
    </row>
    <row r="538" spans="1:19" ht="15.75" hidden="1" customHeight="1" outlineLevel="1" x14ac:dyDescent="0.25">
      <c r="A538" s="51" t="s">
        <v>1271</v>
      </c>
      <c r="B538" s="51" t="s">
        <v>74</v>
      </c>
      <c r="C538" s="400"/>
      <c r="D538" s="65">
        <v>2336</v>
      </c>
      <c r="E538" s="20" t="e">
        <f>D538*#REF!</f>
        <v>#REF!</v>
      </c>
      <c r="F538" s="20" t="e">
        <f>D538*#REF!</f>
        <v>#REF!</v>
      </c>
      <c r="G538" s="20" t="e">
        <f>(D538*#REF!)*#REF!</f>
        <v>#REF!</v>
      </c>
      <c r="H538" s="234">
        <f t="shared" si="307"/>
        <v>0.38056506849315069</v>
      </c>
      <c r="I538" s="54" t="e">
        <f t="shared" si="308"/>
        <v>#REF!</v>
      </c>
      <c r="K538" s="400"/>
      <c r="L538" s="65">
        <v>2000</v>
      </c>
      <c r="M538" s="20">
        <v>1831.5</v>
      </c>
      <c r="N538" s="20">
        <v>3225</v>
      </c>
      <c r="O538" s="20">
        <f>VLOOKUP(A538,TB!A:F,3)</f>
        <v>218.25</v>
      </c>
      <c r="P538" s="20"/>
      <c r="Q538" s="20">
        <v>3225</v>
      </c>
      <c r="R538" s="54">
        <f>VLOOKUP(A538,TB!A:F,6)</f>
        <v>3000</v>
      </c>
      <c r="S538" s="54">
        <f t="shared" si="309"/>
        <v>-225</v>
      </c>
    </row>
    <row r="539" spans="1:19" ht="15.75" hidden="1" customHeight="1" outlineLevel="1" x14ac:dyDescent="0.25">
      <c r="A539" s="51" t="s">
        <v>1272</v>
      </c>
      <c r="B539" s="51" t="s">
        <v>76</v>
      </c>
      <c r="C539" s="400"/>
      <c r="D539" s="65">
        <v>3083</v>
      </c>
      <c r="E539" s="20" t="e">
        <f>D539*#REF!</f>
        <v>#REF!</v>
      </c>
      <c r="F539" s="20" t="e">
        <f>D539*#REF!</f>
        <v>#REF!</v>
      </c>
      <c r="G539" s="20" t="e">
        <f>(D539*#REF!)*#REF!</f>
        <v>#REF!</v>
      </c>
      <c r="H539" s="234">
        <f t="shared" si="307"/>
        <v>2.4057735971456373</v>
      </c>
      <c r="I539" s="54" t="e">
        <f t="shared" si="308"/>
        <v>#REF!</v>
      </c>
      <c r="K539" s="400"/>
      <c r="L539" s="65">
        <v>5064</v>
      </c>
      <c r="M539" s="20">
        <v>3827.31</v>
      </c>
      <c r="N539" s="20">
        <v>8625</v>
      </c>
      <c r="O539" s="20">
        <f>VLOOKUP(A539,TB!A:F,3)</f>
        <v>671.85</v>
      </c>
      <c r="P539" s="20"/>
      <c r="Q539" s="20">
        <v>10500</v>
      </c>
      <c r="R539" s="54">
        <f>VLOOKUP(A539,TB!A:F,6)</f>
        <v>7500</v>
      </c>
      <c r="S539" s="54">
        <f t="shared" si="309"/>
        <v>-3000</v>
      </c>
    </row>
    <row r="540" spans="1:19" ht="15.75" hidden="1" customHeight="1" outlineLevel="1" x14ac:dyDescent="0.25">
      <c r="A540" s="51" t="s">
        <v>1273</v>
      </c>
      <c r="B540" s="51" t="s">
        <v>80</v>
      </c>
      <c r="C540" s="400"/>
      <c r="D540" s="65">
        <v>1744</v>
      </c>
      <c r="E540" s="20" t="e">
        <f>D540*#REF!</f>
        <v>#REF!</v>
      </c>
      <c r="F540" s="20" t="e">
        <f>D540*#REF!</f>
        <v>#REF!</v>
      </c>
      <c r="G540" s="20" t="e">
        <f>(D540*#REF!)*#REF!</f>
        <v>#REF!</v>
      </c>
      <c r="H540" s="234">
        <f t="shared" si="307"/>
        <v>1.3652522935779816</v>
      </c>
      <c r="I540" s="54" t="e">
        <f t="shared" si="308"/>
        <v>#REF!</v>
      </c>
      <c r="K540" s="400"/>
      <c r="L540" s="65">
        <v>2693</v>
      </c>
      <c r="M540" s="20">
        <v>1142.79</v>
      </c>
      <c r="N540" s="20">
        <v>7125</v>
      </c>
      <c r="O540" s="20">
        <f>VLOOKUP(A540,TB!A:F,3)</f>
        <v>1038.94</v>
      </c>
      <c r="P540" s="20"/>
      <c r="Q540" s="20">
        <v>4125</v>
      </c>
      <c r="R540" s="54">
        <f>VLOOKUP(A540,TB!A:F,6)</f>
        <v>3750</v>
      </c>
      <c r="S540" s="54">
        <f t="shared" si="309"/>
        <v>-375</v>
      </c>
    </row>
    <row r="541" spans="1:19" ht="15.75" hidden="1" customHeight="1" outlineLevel="1" x14ac:dyDescent="0.25">
      <c r="A541" s="51" t="s">
        <v>1274</v>
      </c>
      <c r="B541" s="51" t="s">
        <v>82</v>
      </c>
      <c r="C541" s="400"/>
      <c r="D541" s="65">
        <v>6615</v>
      </c>
      <c r="E541" s="20" t="e">
        <f>D541*#REF!</f>
        <v>#REF!</v>
      </c>
      <c r="F541" s="20" t="e">
        <f>D541*#REF!</f>
        <v>#REF!</v>
      </c>
      <c r="G541" s="20" t="e">
        <f>(D541*#REF!)*#REF!</f>
        <v>#REF!</v>
      </c>
      <c r="H541" s="234">
        <f t="shared" si="307"/>
        <v>1.7777777777777777</v>
      </c>
      <c r="I541" s="54" t="e">
        <f t="shared" si="308"/>
        <v>#REF!</v>
      </c>
      <c r="K541" s="400"/>
      <c r="L541" s="65">
        <v>17015</v>
      </c>
      <c r="M541" s="20">
        <v>10927.29</v>
      </c>
      <c r="N541" s="20">
        <v>18375</v>
      </c>
      <c r="O541" s="20">
        <f>VLOOKUP(A541,TB!A:F,3)</f>
        <v>2271.16</v>
      </c>
      <c r="P541" s="20"/>
      <c r="Q541" s="20">
        <v>18375</v>
      </c>
      <c r="R541" s="54">
        <f>VLOOKUP(A541,TB!A:F,6)</f>
        <v>15000</v>
      </c>
      <c r="S541" s="54">
        <f t="shared" si="309"/>
        <v>-3375</v>
      </c>
    </row>
    <row r="542" spans="1:19" ht="15.75" hidden="1" customHeight="1" outlineLevel="1" x14ac:dyDescent="0.25">
      <c r="A542" s="51" t="s">
        <v>1275</v>
      </c>
      <c r="B542" s="51" t="s">
        <v>115</v>
      </c>
      <c r="C542" s="400"/>
      <c r="D542" s="65">
        <v>894</v>
      </c>
      <c r="E542" s="20" t="e">
        <f>D542*#REF!</f>
        <v>#REF!</v>
      </c>
      <c r="F542" s="20" t="e">
        <f>D542*#REF!</f>
        <v>#REF!</v>
      </c>
      <c r="G542" s="20" t="e">
        <f>(D542*#REF!)*#REF!</f>
        <v>#REF!</v>
      </c>
      <c r="H542" s="234">
        <f t="shared" si="307"/>
        <v>4.0335570469798654</v>
      </c>
      <c r="I542" s="54" t="e">
        <f t="shared" si="308"/>
        <v>#REF!</v>
      </c>
      <c r="K542" s="400"/>
      <c r="L542" s="65">
        <v>2758</v>
      </c>
      <c r="M542" s="20">
        <v>299</v>
      </c>
      <c r="N542" s="20">
        <v>3750</v>
      </c>
      <c r="O542" s="20">
        <f>VLOOKUP(A542,TB!A:F,3)</f>
        <v>0</v>
      </c>
      <c r="P542" s="20"/>
      <c r="Q542" s="20">
        <v>4500</v>
      </c>
      <c r="R542" s="54">
        <f>VLOOKUP(A542,TB!A:F,6)</f>
        <v>3000</v>
      </c>
      <c r="S542" s="54">
        <f t="shared" si="309"/>
        <v>-1500</v>
      </c>
    </row>
    <row r="543" spans="1:19" ht="15.75" hidden="1" customHeight="1" outlineLevel="1" x14ac:dyDescent="0.25">
      <c r="A543" s="51" t="s">
        <v>1276</v>
      </c>
      <c r="B543" s="51" t="s">
        <v>84</v>
      </c>
      <c r="C543" s="400"/>
      <c r="D543" s="65">
        <v>1645</v>
      </c>
      <c r="E543" s="20" t="e">
        <f>D543*#REF!</f>
        <v>#REF!</v>
      </c>
      <c r="F543" s="20" t="e">
        <f>D543*#REF!</f>
        <v>#REF!</v>
      </c>
      <c r="G543" s="20" t="e">
        <f>(D543*#REF!)*#REF!</f>
        <v>#REF!</v>
      </c>
      <c r="H543" s="234">
        <f t="shared" si="307"/>
        <v>2.4650455927051671</v>
      </c>
      <c r="I543" s="54" t="e">
        <f t="shared" si="308"/>
        <v>#REF!</v>
      </c>
      <c r="K543" s="400"/>
      <c r="L543" s="65">
        <v>3727</v>
      </c>
      <c r="M543" s="20">
        <v>2501.8000000000002</v>
      </c>
      <c r="N543" s="20">
        <v>5700</v>
      </c>
      <c r="O543" s="20">
        <f>VLOOKUP(A543,TB!A:F,3)</f>
        <v>1225.25</v>
      </c>
      <c r="P543" s="20"/>
      <c r="Q543" s="20">
        <v>5700</v>
      </c>
      <c r="R543" s="54">
        <f>VLOOKUP(A543,TB!A:F,6)</f>
        <v>4950</v>
      </c>
      <c r="S543" s="54">
        <f t="shared" si="309"/>
        <v>-750</v>
      </c>
    </row>
    <row r="544" spans="1:19" ht="15.75" hidden="1" customHeight="1" outlineLevel="1" x14ac:dyDescent="0.25">
      <c r="A544" s="51" t="s">
        <v>1277</v>
      </c>
      <c r="B544" s="51" t="s">
        <v>86</v>
      </c>
      <c r="C544" s="400"/>
      <c r="D544" s="65">
        <v>0</v>
      </c>
      <c r="E544" s="20" t="e">
        <f>D544*#REF!</f>
        <v>#REF!</v>
      </c>
      <c r="F544" s="20" t="e">
        <f>D544*#REF!</f>
        <v>#REF!</v>
      </c>
      <c r="G544" s="20" t="e">
        <f>(D544*#REF!)*#REF!</f>
        <v>#REF!</v>
      </c>
      <c r="H544" s="234">
        <f t="shared" si="307"/>
        <v>0</v>
      </c>
      <c r="I544" s="54" t="e">
        <f t="shared" si="308"/>
        <v>#REF!</v>
      </c>
      <c r="K544" s="400"/>
      <c r="L544" s="65">
        <v>100347</v>
      </c>
      <c r="M544" s="20">
        <v>112463.24</v>
      </c>
      <c r="N544" s="20">
        <v>193583</v>
      </c>
      <c r="O544" s="20">
        <f>VLOOKUP(A544,TB!A:F,3)</f>
        <v>61785.59</v>
      </c>
      <c r="P544" s="20"/>
      <c r="Q544" s="20">
        <v>123750</v>
      </c>
      <c r="R544" s="54">
        <f>VLOOKUP(A544,TB!A:F,6)</f>
        <v>120000</v>
      </c>
      <c r="S544" s="54">
        <f t="shared" si="309"/>
        <v>-3750</v>
      </c>
    </row>
    <row r="545" spans="1:28" ht="15.75" hidden="1" customHeight="1" outlineLevel="1" x14ac:dyDescent="0.25">
      <c r="A545" s="51" t="s">
        <v>1278</v>
      </c>
      <c r="B545" s="51" t="s">
        <v>88</v>
      </c>
      <c r="C545" s="400"/>
      <c r="D545" s="65">
        <v>2303</v>
      </c>
      <c r="E545" s="20" t="e">
        <f>D545*#REF!</f>
        <v>#REF!</v>
      </c>
      <c r="F545" s="20" t="e">
        <f>D545*#REF!</f>
        <v>#REF!</v>
      </c>
      <c r="G545" s="20" t="e">
        <f>(D545*#REF!)*#REF!</f>
        <v>#REF!</v>
      </c>
      <c r="H545" s="234">
        <f t="shared" si="307"/>
        <v>5.3178462874511503</v>
      </c>
      <c r="I545" s="54" t="e">
        <f t="shared" si="308"/>
        <v>#REF!</v>
      </c>
      <c r="K545" s="400"/>
      <c r="L545" s="65">
        <v>12748</v>
      </c>
      <c r="M545" s="20">
        <v>6297.17</v>
      </c>
      <c r="N545" s="20">
        <v>13800</v>
      </c>
      <c r="O545" s="20">
        <f>VLOOKUP(A545,TB!A:F,3)</f>
        <v>9120.3799999999992</v>
      </c>
      <c r="P545" s="20"/>
      <c r="Q545" s="20">
        <v>14550</v>
      </c>
      <c r="R545" s="54">
        <f>VLOOKUP(A545,TB!A:F,6)</f>
        <v>14550</v>
      </c>
      <c r="S545" s="54">
        <f t="shared" si="309"/>
        <v>0</v>
      </c>
    </row>
    <row r="546" spans="1:28" ht="15.75" hidden="1" customHeight="1" outlineLevel="1" x14ac:dyDescent="0.25">
      <c r="A546" s="51" t="s">
        <v>1279</v>
      </c>
      <c r="B546" s="51" t="s">
        <v>1252</v>
      </c>
      <c r="C546" s="400"/>
      <c r="D546" s="65">
        <v>81302</v>
      </c>
      <c r="E546" s="20" t="e">
        <f>D546*#REF!</f>
        <v>#REF!</v>
      </c>
      <c r="F546" s="20" t="e">
        <f>D546*#REF!</f>
        <v>#REF!</v>
      </c>
      <c r="G546" s="20" t="e">
        <f>(D546*#REF!)*#REF!</f>
        <v>#REF!</v>
      </c>
      <c r="H546" s="234">
        <f t="shared" si="307"/>
        <v>-0.90775134683033631</v>
      </c>
      <c r="I546" s="54" t="e">
        <f t="shared" si="308"/>
        <v>#REF!</v>
      </c>
      <c r="K546" s="400"/>
      <c r="L546" s="65">
        <v>0</v>
      </c>
      <c r="M546" s="20">
        <v>0</v>
      </c>
      <c r="N546" s="20">
        <v>25654</v>
      </c>
      <c r="O546" s="20">
        <f>VLOOKUP(A546,TB!A:F,3)</f>
        <v>4875</v>
      </c>
      <c r="P546" s="20"/>
      <c r="Q546" s="20">
        <v>7500</v>
      </c>
      <c r="R546" s="54">
        <f>VLOOKUP(A546,TB!A:F,6)</f>
        <v>7500</v>
      </c>
      <c r="S546" s="54">
        <f t="shared" si="309"/>
        <v>0</v>
      </c>
    </row>
    <row r="547" spans="1:28" ht="15.75" hidden="1" customHeight="1" outlineLevel="1" x14ac:dyDescent="0.25">
      <c r="A547" s="51" t="s">
        <v>1280</v>
      </c>
      <c r="B547" s="51" t="s">
        <v>1254</v>
      </c>
      <c r="C547" s="400"/>
      <c r="D547" s="65">
        <v>27264</v>
      </c>
      <c r="E547" s="20" t="e">
        <f>D547*#REF!</f>
        <v>#REF!</v>
      </c>
      <c r="F547" s="20" t="e">
        <f>D547*#REF!</f>
        <v>#REF!</v>
      </c>
      <c r="G547" s="20" t="e">
        <f>(D547*#REF!)*#REF!</f>
        <v>#REF!</v>
      </c>
      <c r="H547" s="234">
        <f t="shared" si="307"/>
        <v>0.10035211267605634</v>
      </c>
      <c r="I547" s="54" t="e">
        <f t="shared" si="308"/>
        <v>#REF!</v>
      </c>
      <c r="K547" s="400"/>
      <c r="L547" s="65">
        <v>32082</v>
      </c>
      <c r="M547" s="20">
        <v>19032.650000000001</v>
      </c>
      <c r="N547" s="20">
        <v>30000</v>
      </c>
      <c r="O547" s="20">
        <f>VLOOKUP(A547,TB!A:F,3)</f>
        <v>16033.47</v>
      </c>
      <c r="P547" s="20"/>
      <c r="Q547" s="20">
        <v>30000</v>
      </c>
      <c r="R547" s="54">
        <f>VLOOKUP(A547,TB!A:F,6)</f>
        <v>30000</v>
      </c>
      <c r="S547" s="54">
        <f t="shared" si="309"/>
        <v>0</v>
      </c>
    </row>
    <row r="548" spans="1:28" ht="15.75" hidden="1" customHeight="1" outlineLevel="1" x14ac:dyDescent="0.25">
      <c r="A548" s="51" t="s">
        <v>1281</v>
      </c>
      <c r="B548" s="51" t="s">
        <v>1282</v>
      </c>
      <c r="C548" s="400"/>
      <c r="D548" s="65">
        <v>975</v>
      </c>
      <c r="E548" s="20" t="e">
        <f>D548*#REF!</f>
        <v>#REF!</v>
      </c>
      <c r="F548" s="20" t="e">
        <f>D548*#REF!</f>
        <v>#REF!</v>
      </c>
      <c r="G548" s="20" t="e">
        <f>(D548*#REF!)*#REF!</f>
        <v>#REF!</v>
      </c>
      <c r="H548" s="234">
        <f t="shared" si="307"/>
        <v>-1</v>
      </c>
      <c r="I548" s="54" t="e">
        <f t="shared" si="308"/>
        <v>#REF!</v>
      </c>
      <c r="K548" s="400"/>
      <c r="L548" s="65">
        <v>0</v>
      </c>
      <c r="M548" s="20">
        <v>0</v>
      </c>
      <c r="N548" s="20">
        <v>0</v>
      </c>
      <c r="O548" s="20">
        <v>0</v>
      </c>
      <c r="P548" s="20"/>
      <c r="Q548" s="20">
        <v>0</v>
      </c>
      <c r="R548" s="54">
        <v>0</v>
      </c>
      <c r="S548" s="54">
        <f t="shared" si="309"/>
        <v>0</v>
      </c>
    </row>
    <row r="549" spans="1:28" ht="15.75" hidden="1" customHeight="1" outlineLevel="1" x14ac:dyDescent="0.25">
      <c r="A549" s="51" t="s">
        <v>1283</v>
      </c>
      <c r="B549" s="51" t="s">
        <v>1256</v>
      </c>
      <c r="C549" s="400"/>
      <c r="D549" s="65">
        <v>29633</v>
      </c>
      <c r="E549" s="20" t="e">
        <f>D549*#REF!</f>
        <v>#REF!</v>
      </c>
      <c r="F549" s="20" t="e">
        <f>D549*#REF!</f>
        <v>#REF!</v>
      </c>
      <c r="G549" s="20" t="e">
        <f>(D549*#REF!)*#REF!</f>
        <v>#REF!</v>
      </c>
      <c r="H549" s="234">
        <f t="shared" si="307"/>
        <v>0.51857726183646613</v>
      </c>
      <c r="I549" s="54" t="e">
        <f t="shared" si="308"/>
        <v>#REF!</v>
      </c>
      <c r="K549" s="400"/>
      <c r="L549" s="65">
        <v>57975</v>
      </c>
      <c r="M549" s="20">
        <v>23747.88</v>
      </c>
      <c r="N549" s="20">
        <v>46750</v>
      </c>
      <c r="O549" s="20">
        <f>VLOOKUP(A549,TB!A:F,3)</f>
        <v>55321.599999999999</v>
      </c>
      <c r="P549" s="20"/>
      <c r="Q549" s="20">
        <v>45000</v>
      </c>
      <c r="R549" s="54">
        <f>VLOOKUP(A549,TB!A:F,6)</f>
        <v>45000</v>
      </c>
      <c r="S549" s="54">
        <f t="shared" si="309"/>
        <v>0</v>
      </c>
    </row>
    <row r="550" spans="1:28" ht="15.75" hidden="1" customHeight="1" outlineLevel="1" x14ac:dyDescent="0.25">
      <c r="A550" s="51" t="s">
        <v>1284</v>
      </c>
      <c r="B550" s="51" t="s">
        <v>1258</v>
      </c>
      <c r="C550" s="400"/>
      <c r="D550" s="65">
        <v>3962</v>
      </c>
      <c r="E550" s="20" t="e">
        <f>D550*#REF!</f>
        <v>#REF!</v>
      </c>
      <c r="F550" s="20" t="e">
        <f>D550*#REF!</f>
        <v>#REF!</v>
      </c>
      <c r="G550" s="20" t="e">
        <f>(D550*#REF!)*#REF!</f>
        <v>#REF!</v>
      </c>
      <c r="H550" s="234">
        <f t="shared" si="307"/>
        <v>3.7324583543664818</v>
      </c>
      <c r="I550" s="54" t="e">
        <f t="shared" si="308"/>
        <v>#REF!</v>
      </c>
      <c r="K550" s="400"/>
      <c r="L550" s="65">
        <v>5254</v>
      </c>
      <c r="M550" s="20">
        <v>3993.56</v>
      </c>
      <c r="N550" s="20">
        <v>0</v>
      </c>
      <c r="O550" s="20">
        <f>VLOOKUP(A550,TB!A:F,3)</f>
        <v>0</v>
      </c>
      <c r="P550" s="20"/>
      <c r="Q550" s="20">
        <v>18750</v>
      </c>
      <c r="R550" s="54">
        <f>VLOOKUP(A550,TB!A:F,6)</f>
        <v>18750</v>
      </c>
      <c r="S550" s="54">
        <f t="shared" si="309"/>
        <v>0</v>
      </c>
    </row>
    <row r="551" spans="1:28" ht="15.75" hidden="1" customHeight="1" outlineLevel="1" x14ac:dyDescent="0.25">
      <c r="A551" s="51" t="s">
        <v>1285</v>
      </c>
      <c r="B551" s="51" t="s">
        <v>90</v>
      </c>
      <c r="C551" s="400"/>
      <c r="D551" s="65">
        <v>0</v>
      </c>
      <c r="E551" s="20" t="e">
        <f>D551*#REF!</f>
        <v>#REF!</v>
      </c>
      <c r="F551" s="20" t="e">
        <f>D551*#REF!</f>
        <v>#REF!</v>
      </c>
      <c r="G551" s="20" t="e">
        <f>(D551*#REF!)*#REF!</f>
        <v>#REF!</v>
      </c>
      <c r="H551" s="234">
        <f t="shared" si="307"/>
        <v>0</v>
      </c>
      <c r="I551" s="54" t="e">
        <f t="shared" si="308"/>
        <v>#REF!</v>
      </c>
      <c r="K551" s="400"/>
      <c r="L551" s="65">
        <v>0</v>
      </c>
      <c r="M551" s="20">
        <v>0</v>
      </c>
      <c r="N551" s="20">
        <v>4500</v>
      </c>
      <c r="O551" s="20">
        <f>VLOOKUP(A551,TB!A:F,3)</f>
        <v>2311.61</v>
      </c>
      <c r="P551" s="20"/>
      <c r="Q551" s="20">
        <v>4500</v>
      </c>
      <c r="R551" s="54">
        <f>VLOOKUP(A551,TB!A:F,6)</f>
        <v>3750</v>
      </c>
      <c r="S551" s="54">
        <f t="shared" si="309"/>
        <v>-750</v>
      </c>
    </row>
    <row r="552" spans="1:28" ht="15.75" hidden="1" customHeight="1" outlineLevel="1" x14ac:dyDescent="0.25">
      <c r="A552" s="51" t="s">
        <v>1286</v>
      </c>
      <c r="B552" s="51" t="s">
        <v>1261</v>
      </c>
      <c r="C552" s="400"/>
      <c r="D552" s="65">
        <v>0</v>
      </c>
      <c r="E552" s="20" t="e">
        <f>D552*#REF!</f>
        <v>#REF!</v>
      </c>
      <c r="F552" s="20" t="e">
        <f>D552*#REF!</f>
        <v>#REF!</v>
      </c>
      <c r="G552" s="20" t="e">
        <f>(D552*#REF!)*#REF!</f>
        <v>#REF!</v>
      </c>
      <c r="H552" s="234">
        <f t="shared" si="307"/>
        <v>0</v>
      </c>
      <c r="I552" s="54" t="e">
        <f t="shared" si="308"/>
        <v>#REF!</v>
      </c>
      <c r="K552" s="400"/>
      <c r="L552" s="65">
        <v>101202</v>
      </c>
      <c r="M552" s="20">
        <v>0</v>
      </c>
      <c r="N552" s="20">
        <v>0</v>
      </c>
      <c r="O552" s="20">
        <f>VLOOKUP(A552,TB!A:F,3)</f>
        <v>49127</v>
      </c>
      <c r="P552" s="20"/>
      <c r="Q552" s="20">
        <v>75000</v>
      </c>
      <c r="R552" s="54">
        <f>VLOOKUP(A552,TB!A:F,6)</f>
        <v>75000</v>
      </c>
      <c r="S552" s="54">
        <f t="shared" si="309"/>
        <v>0</v>
      </c>
    </row>
    <row r="553" spans="1:28" ht="15.75" hidden="1" customHeight="1" outlineLevel="1" x14ac:dyDescent="0.25">
      <c r="A553" s="51" t="s">
        <v>1287</v>
      </c>
      <c r="B553" s="51" t="s">
        <v>92</v>
      </c>
      <c r="C553" s="400"/>
      <c r="D553" s="65">
        <v>1910</v>
      </c>
      <c r="E553" s="20" t="e">
        <f>D553*#REF!</f>
        <v>#REF!</v>
      </c>
      <c r="F553" s="20" t="e">
        <f>D553*#REF!</f>
        <v>#REF!</v>
      </c>
      <c r="G553" s="20" t="e">
        <f>(D553*#REF!)*#REF!</f>
        <v>#REF!</v>
      </c>
      <c r="H553" s="234">
        <f t="shared" si="307"/>
        <v>0.5706806282722513</v>
      </c>
      <c r="I553" s="54" t="e">
        <f t="shared" si="308"/>
        <v>#REF!</v>
      </c>
      <c r="K553" s="400"/>
      <c r="L553" s="65">
        <v>2694</v>
      </c>
      <c r="M553" s="20">
        <v>1048.4100000000001</v>
      </c>
      <c r="N553" s="20">
        <v>3000</v>
      </c>
      <c r="O553" s="20">
        <f>VLOOKUP(A553,TB!A:F,3)</f>
        <v>2259.8200000000002</v>
      </c>
      <c r="P553" s="20"/>
      <c r="Q553" s="20">
        <v>3000</v>
      </c>
      <c r="R553" s="54">
        <f>VLOOKUP(A553,TB!A:F,6)</f>
        <v>3000</v>
      </c>
      <c r="S553" s="54">
        <f t="shared" si="309"/>
        <v>0</v>
      </c>
    </row>
    <row r="554" spans="1:28" ht="15.75" hidden="1" customHeight="1" outlineLevel="1" x14ac:dyDescent="0.25">
      <c r="A554" s="51" t="s">
        <v>1288</v>
      </c>
      <c r="B554" s="51" t="s">
        <v>99</v>
      </c>
      <c r="C554" s="295"/>
      <c r="D554" s="20">
        <v>0</v>
      </c>
      <c r="E554" s="20" t="e">
        <f>D554*#REF!</f>
        <v>#REF!</v>
      </c>
      <c r="F554" s="20" t="e">
        <f>D554*#REF!</f>
        <v>#REF!</v>
      </c>
      <c r="G554" s="20" t="e">
        <f>(D554*#REF!)*#REF!</f>
        <v>#REF!</v>
      </c>
      <c r="H554" s="234">
        <f t="shared" si="307"/>
        <v>0</v>
      </c>
      <c r="I554" s="54" t="e">
        <f t="shared" si="308"/>
        <v>#REF!</v>
      </c>
      <c r="K554" s="295"/>
      <c r="L554" s="20">
        <v>146003</v>
      </c>
      <c r="M554" s="20">
        <v>30019</v>
      </c>
      <c r="N554" s="20">
        <v>0</v>
      </c>
      <c r="O554" s="20">
        <f>VLOOKUP(A554,TB!A:F,3)</f>
        <v>0</v>
      </c>
      <c r="P554" s="20"/>
      <c r="Q554" s="20">
        <v>0</v>
      </c>
      <c r="R554" s="54">
        <f>VLOOKUP(A554,TB!A:F,6)</f>
        <v>0</v>
      </c>
      <c r="S554" s="54">
        <f t="shared" si="309"/>
        <v>0</v>
      </c>
    </row>
    <row r="555" spans="1:28" ht="21" hidden="1" customHeight="1" outlineLevel="1" x14ac:dyDescent="0.25">
      <c r="A555" s="51" t="s">
        <v>1289</v>
      </c>
      <c r="B555" s="51" t="s">
        <v>1265</v>
      </c>
      <c r="C555" s="295"/>
      <c r="D555" s="20">
        <v>0</v>
      </c>
      <c r="E555" s="20" t="e">
        <f>D555*#REF!</f>
        <v>#REF!</v>
      </c>
      <c r="F555" s="20" t="e">
        <f>D555*#REF!</f>
        <v>#REF!</v>
      </c>
      <c r="G555" s="20" t="e">
        <f>(D555*#REF!)*#REF!</f>
        <v>#REF!</v>
      </c>
      <c r="H555" s="234">
        <f t="shared" si="307"/>
        <v>0</v>
      </c>
      <c r="I555" s="54" t="e">
        <f t="shared" si="308"/>
        <v>#REF!</v>
      </c>
      <c r="K555" s="295"/>
      <c r="L555" s="20">
        <v>0</v>
      </c>
      <c r="M555" s="20">
        <v>-966.19</v>
      </c>
      <c r="N555" s="20">
        <v>0</v>
      </c>
      <c r="O555" s="20">
        <f>VLOOKUP(A555,TB!A:F,3)</f>
        <v>0</v>
      </c>
      <c r="P555" s="20"/>
      <c r="Q555" s="20">
        <v>0</v>
      </c>
      <c r="R555" s="54">
        <f>VLOOKUP(A555,TB!A:F,6)</f>
        <v>0</v>
      </c>
      <c r="S555" s="54">
        <f t="shared" si="309"/>
        <v>0</v>
      </c>
    </row>
    <row r="556" spans="1:28" ht="15.75" hidden="1" customHeight="1" outlineLevel="1" x14ac:dyDescent="0.25">
      <c r="A556" s="74" t="s">
        <v>1266</v>
      </c>
      <c r="B556" s="75"/>
      <c r="C556" s="401"/>
      <c r="D556" s="75">
        <f t="shared" ref="D556:G556" si="310">SUM(D534:D555)</f>
        <v>361217</v>
      </c>
      <c r="E556" s="75" t="e">
        <f t="shared" si="310"/>
        <v>#REF!</v>
      </c>
      <c r="F556" s="75" t="e">
        <f t="shared" si="310"/>
        <v>#REF!</v>
      </c>
      <c r="G556" s="75" t="e">
        <f t="shared" si="310"/>
        <v>#REF!</v>
      </c>
      <c r="H556" s="238">
        <f t="shared" si="307"/>
        <v>1.1606818062272817</v>
      </c>
      <c r="I556" s="77" t="e">
        <f t="shared" si="308"/>
        <v>#REF!</v>
      </c>
      <c r="K556" s="401"/>
      <c r="L556" s="75">
        <f t="shared" ref="L556:S556" si="311">SUM(L534:L555)</f>
        <v>736769</v>
      </c>
      <c r="M556" s="75">
        <f t="shared" si="311"/>
        <v>378227.19</v>
      </c>
      <c r="N556" s="75">
        <f t="shared" si="311"/>
        <v>719966</v>
      </c>
      <c r="O556" s="75">
        <f t="shared" si="311"/>
        <v>333461.90999999997</v>
      </c>
      <c r="P556" s="75">
        <f t="shared" si="311"/>
        <v>0</v>
      </c>
      <c r="Q556" s="75">
        <f t="shared" si="311"/>
        <v>780475</v>
      </c>
      <c r="R556" s="75">
        <f t="shared" si="311"/>
        <v>766300</v>
      </c>
      <c r="S556" s="75">
        <f t="shared" si="311"/>
        <v>-14175</v>
      </c>
    </row>
    <row r="557" spans="1:28" ht="15.75" hidden="1" customHeight="1" outlineLevel="1" x14ac:dyDescent="0.2">
      <c r="C557" s="287"/>
      <c r="K557" s="287"/>
    </row>
    <row r="558" spans="1:28" ht="15.75" hidden="1" customHeight="1" outlineLevel="1" x14ac:dyDescent="0.2">
      <c r="A558" s="379" t="s">
        <v>50</v>
      </c>
      <c r="B558" s="379" t="s">
        <v>51</v>
      </c>
      <c r="C558" s="292"/>
      <c r="D558" s="379" t="s">
        <v>52</v>
      </c>
      <c r="E558" s="380" t="s">
        <v>53</v>
      </c>
      <c r="F558" s="380" t="s">
        <v>1212</v>
      </c>
      <c r="G558" s="380" t="s">
        <v>55</v>
      </c>
      <c r="H558" s="230" t="s">
        <v>56</v>
      </c>
      <c r="I558" s="230" t="s">
        <v>57</v>
      </c>
      <c r="K558" s="292"/>
      <c r="L558" s="379" t="s">
        <v>59</v>
      </c>
      <c r="M558" s="379" t="s">
        <v>60</v>
      </c>
      <c r="N558" s="379" t="s">
        <v>436</v>
      </c>
      <c r="O558" s="379" t="s">
        <v>437</v>
      </c>
      <c r="P558" s="3" t="s">
        <v>541</v>
      </c>
      <c r="Q558" s="381" t="s">
        <v>438</v>
      </c>
      <c r="R558" s="293" t="s">
        <v>65</v>
      </c>
      <c r="S558" s="3" t="s">
        <v>586</v>
      </c>
    </row>
    <row r="559" spans="1:28" ht="15.75" hidden="1" customHeight="1" outlineLevel="1" x14ac:dyDescent="0.25">
      <c r="A559" s="83" t="s">
        <v>1290</v>
      </c>
      <c r="B559" s="51" t="s">
        <v>532</v>
      </c>
      <c r="C559" s="406"/>
      <c r="D559" s="410">
        <v>0</v>
      </c>
      <c r="E559" s="233" t="e">
        <f>D559*#REF!</f>
        <v>#REF!</v>
      </c>
      <c r="F559" s="233" t="e">
        <f>D559*#REF!</f>
        <v>#REF!</v>
      </c>
      <c r="G559" s="233" t="e">
        <f>(D559*#REF!)*#REF!</f>
        <v>#REF!</v>
      </c>
      <c r="H559" s="241"/>
      <c r="I559" s="83"/>
      <c r="J559" s="83"/>
      <c r="K559" s="406"/>
      <c r="L559" s="410">
        <v>0</v>
      </c>
      <c r="M559" s="410">
        <v>0</v>
      </c>
      <c r="N559" s="274">
        <v>50000</v>
      </c>
      <c r="O559" s="20">
        <f>VLOOKUP(A559,TB!A:F,3)</f>
        <v>0</v>
      </c>
      <c r="P559" s="274"/>
      <c r="Q559" s="274">
        <v>3000000</v>
      </c>
      <c r="R559" s="54">
        <f>VLOOKUP(A559,TB!A:F,6)</f>
        <v>3000000</v>
      </c>
      <c r="S559" s="54">
        <f t="shared" ref="S559:S562" si="312">R559-Q559</f>
        <v>0</v>
      </c>
      <c r="V559" s="83"/>
      <c r="W559" s="83"/>
      <c r="X559" s="83"/>
      <c r="Y559" s="83"/>
      <c r="Z559" s="83"/>
      <c r="AA559" s="83"/>
      <c r="AB559" s="83"/>
    </row>
    <row r="560" spans="1:28" ht="15.75" hidden="1" customHeight="1" outlineLevel="1" x14ac:dyDescent="0.25">
      <c r="A560" s="83" t="s">
        <v>1291</v>
      </c>
      <c r="B560" s="83" t="s">
        <v>1292</v>
      </c>
      <c r="C560" s="406"/>
      <c r="D560" s="410">
        <v>0</v>
      </c>
      <c r="E560" s="233" t="e">
        <f>D560*#REF!</f>
        <v>#REF!</v>
      </c>
      <c r="F560" s="233" t="e">
        <f>D560*#REF!</f>
        <v>#REF!</v>
      </c>
      <c r="G560" s="233" t="e">
        <f>(D560*#REF!)*#REF!</f>
        <v>#REF!</v>
      </c>
      <c r="H560" s="241"/>
      <c r="I560" s="83"/>
      <c r="J560" s="83"/>
      <c r="K560" s="406"/>
      <c r="L560" s="410">
        <v>0</v>
      </c>
      <c r="M560" s="410">
        <v>0</v>
      </c>
      <c r="N560" s="274">
        <v>1061066</v>
      </c>
      <c r="O560" s="20">
        <f>VLOOKUP(A560,TB!A:F,3)</f>
        <v>637084.72</v>
      </c>
      <c r="P560" s="274"/>
      <c r="Q560" s="274">
        <v>0</v>
      </c>
      <c r="R560" s="54">
        <f>VLOOKUP(A560,TB!A:F,6)</f>
        <v>0</v>
      </c>
      <c r="S560" s="54">
        <f t="shared" si="312"/>
        <v>0</v>
      </c>
      <c r="V560" s="83"/>
      <c r="W560" s="83"/>
      <c r="X560" s="83"/>
      <c r="Y560" s="83"/>
      <c r="Z560" s="83"/>
      <c r="AA560" s="83"/>
      <c r="AB560" s="83"/>
    </row>
    <row r="561" spans="1:31" ht="15.75" hidden="1" customHeight="1" outlineLevel="1" x14ac:dyDescent="0.25">
      <c r="A561" s="51" t="s">
        <v>1293</v>
      </c>
      <c r="B561" s="51" t="s">
        <v>532</v>
      </c>
      <c r="C561" s="406"/>
      <c r="D561" s="80">
        <v>0</v>
      </c>
      <c r="E561" s="20" t="e">
        <f>D561*#REF!</f>
        <v>#REF!</v>
      </c>
      <c r="F561" s="20" t="e">
        <f>D561*#REF!</f>
        <v>#REF!</v>
      </c>
      <c r="G561" s="20" t="e">
        <f>(D561*#REF!)*#REF!</f>
        <v>#REF!</v>
      </c>
      <c r="H561" s="234">
        <f t="shared" ref="H561:H563" si="313">IFERROR(((Q561-D561)/D561),0)</f>
        <v>0</v>
      </c>
      <c r="I561" s="54" t="e">
        <f t="shared" ref="I561:I563" si="314">Q561-G561</f>
        <v>#REF!</v>
      </c>
      <c r="K561" s="406"/>
      <c r="L561" s="80">
        <v>0</v>
      </c>
      <c r="M561" s="80">
        <v>0</v>
      </c>
      <c r="N561" s="73">
        <v>1891604</v>
      </c>
      <c r="O561" s="20">
        <f>VLOOKUP(A561,TB!A:F,3)</f>
        <v>1239.1099999999999</v>
      </c>
      <c r="P561" s="73"/>
      <c r="Q561" s="73">
        <v>1000000</v>
      </c>
      <c r="R561" s="54">
        <f>VLOOKUP(A561,TB!A:F,6)</f>
        <v>1000000</v>
      </c>
      <c r="S561" s="54">
        <f t="shared" si="312"/>
        <v>0</v>
      </c>
    </row>
    <row r="562" spans="1:31" ht="15.75" hidden="1" customHeight="1" outlineLevel="1" x14ac:dyDescent="0.25">
      <c r="A562" s="51" t="s">
        <v>1294</v>
      </c>
      <c r="B562" s="51" t="s">
        <v>99</v>
      </c>
      <c r="C562" s="406"/>
      <c r="D562" s="80">
        <v>0</v>
      </c>
      <c r="E562" s="20" t="e">
        <f>D562*#REF!</f>
        <v>#REF!</v>
      </c>
      <c r="F562" s="20" t="e">
        <f>D562*#REF!</f>
        <v>#REF!</v>
      </c>
      <c r="G562" s="20" t="e">
        <f>(D562*#REF!)*#REF!</f>
        <v>#REF!</v>
      </c>
      <c r="H562" s="234">
        <f t="shared" si="313"/>
        <v>0</v>
      </c>
      <c r="I562" s="54" t="e">
        <f t="shared" si="314"/>
        <v>#REF!</v>
      </c>
      <c r="K562" s="406"/>
      <c r="L562" s="80">
        <v>0</v>
      </c>
      <c r="M562" s="80">
        <v>0</v>
      </c>
      <c r="N562" s="80">
        <v>0</v>
      </c>
      <c r="O562" s="20">
        <v>0</v>
      </c>
      <c r="P562" s="80"/>
      <c r="Q562" s="80">
        <v>0</v>
      </c>
      <c r="R562" s="54">
        <v>0</v>
      </c>
      <c r="S562" s="54">
        <f t="shared" si="312"/>
        <v>0</v>
      </c>
    </row>
    <row r="563" spans="1:31" ht="15.75" hidden="1" customHeight="1" outlineLevel="1" x14ac:dyDescent="0.25">
      <c r="A563" s="74" t="s">
        <v>1266</v>
      </c>
      <c r="B563" s="75"/>
      <c r="C563" s="401"/>
      <c r="D563" s="75">
        <f t="shared" ref="D563:G563" si="315">SUM(D561:D562)</f>
        <v>0</v>
      </c>
      <c r="E563" s="75" t="e">
        <f t="shared" si="315"/>
        <v>#REF!</v>
      </c>
      <c r="F563" s="75" t="e">
        <f t="shared" si="315"/>
        <v>#REF!</v>
      </c>
      <c r="G563" s="75" t="e">
        <f t="shared" si="315"/>
        <v>#REF!</v>
      </c>
      <c r="H563" s="238">
        <f t="shared" si="313"/>
        <v>0</v>
      </c>
      <c r="I563" s="77" t="e">
        <f t="shared" si="314"/>
        <v>#REF!</v>
      </c>
      <c r="K563" s="401"/>
      <c r="L563" s="77">
        <f t="shared" ref="L563:M563" si="316">SUM(L561:L562)</f>
        <v>0</v>
      </c>
      <c r="M563" s="77">
        <f t="shared" si="316"/>
        <v>0</v>
      </c>
      <c r="N563" s="77">
        <f t="shared" ref="N563:S563" si="317">SUM(N559:N562)</f>
        <v>3002670</v>
      </c>
      <c r="O563" s="77">
        <f t="shared" si="317"/>
        <v>638323.82999999996</v>
      </c>
      <c r="P563" s="77">
        <f t="shared" si="317"/>
        <v>0</v>
      </c>
      <c r="Q563" s="77">
        <f t="shared" si="317"/>
        <v>4000000</v>
      </c>
      <c r="R563" s="77">
        <f t="shared" si="317"/>
        <v>4000000</v>
      </c>
      <c r="S563" s="77">
        <f t="shared" si="317"/>
        <v>0</v>
      </c>
    </row>
    <row r="564" spans="1:31" ht="24.75" hidden="1" customHeight="1" collapsed="1" x14ac:dyDescent="0.3">
      <c r="A564" s="411" t="s">
        <v>1295</v>
      </c>
      <c r="B564" s="51"/>
      <c r="C564" s="400"/>
      <c r="D564" s="157"/>
      <c r="E564" s="160"/>
      <c r="F564" s="160"/>
      <c r="G564" s="160"/>
      <c r="H564" s="296"/>
      <c r="I564" s="97"/>
      <c r="J564" s="407"/>
      <c r="K564" s="400"/>
      <c r="L564" s="65"/>
      <c r="M564" s="65"/>
      <c r="N564" s="65"/>
      <c r="O564" s="65"/>
      <c r="P564" s="157"/>
      <c r="Q564" s="157"/>
      <c r="R564" s="65"/>
    </row>
    <row r="565" spans="1:31" ht="50.25" hidden="1" customHeight="1" x14ac:dyDescent="0.2">
      <c r="A565" s="3" t="s">
        <v>50</v>
      </c>
      <c r="B565" s="3" t="s">
        <v>51</v>
      </c>
      <c r="C565" s="21"/>
      <c r="D565" s="22" t="s">
        <v>52</v>
      </c>
      <c r="E565" s="23" t="s">
        <v>53</v>
      </c>
      <c r="F565" s="23" t="s">
        <v>54</v>
      </c>
      <c r="G565" s="23" t="s">
        <v>55</v>
      </c>
      <c r="H565" s="100" t="s">
        <v>56</v>
      </c>
      <c r="I565" s="23" t="s">
        <v>57</v>
      </c>
      <c r="J565" s="129" t="s">
        <v>58</v>
      </c>
      <c r="K565" s="130"/>
      <c r="L565" s="27" t="s">
        <v>59</v>
      </c>
      <c r="M565" s="27" t="s">
        <v>60</v>
      </c>
      <c r="N565" s="27" t="s">
        <v>61</v>
      </c>
      <c r="O565" s="27" t="s">
        <v>62</v>
      </c>
      <c r="P565" s="27" t="s">
        <v>63</v>
      </c>
      <c r="Q565" s="27" t="s">
        <v>64</v>
      </c>
      <c r="R565" s="27" t="s">
        <v>65</v>
      </c>
      <c r="S565" s="27" t="s">
        <v>66</v>
      </c>
      <c r="T565" s="207"/>
      <c r="U565" s="28"/>
      <c r="V565" s="19"/>
      <c r="X565" s="28"/>
      <c r="Y565" s="28"/>
      <c r="Z565" s="28"/>
      <c r="AA565" s="28"/>
      <c r="AB565" s="28"/>
      <c r="AC565" s="28"/>
      <c r="AD565" s="28"/>
      <c r="AE565" s="28"/>
    </row>
    <row r="566" spans="1:31" ht="15.75" hidden="1" customHeight="1" x14ac:dyDescent="0.25">
      <c r="A566" s="51" t="s">
        <v>1235</v>
      </c>
      <c r="B566" s="51" t="s">
        <v>68</v>
      </c>
      <c r="C566" s="400"/>
      <c r="D566" s="157">
        <f t="shared" ref="D566:D585" si="318">SUMIF($B$508:$B$529,$B566,D$508:D$529)+SUMIF($B$534:$B$555,$B566,D$534:D$555)+SUMIF($B$561:$B$562,$B566,D$561:D$562)</f>
        <v>135153</v>
      </c>
      <c r="E566" s="160" t="e">
        <f>D566*#REF!</f>
        <v>#REF!</v>
      </c>
      <c r="F566" s="160" t="e">
        <f>D566*#REF!</f>
        <v>#REF!</v>
      </c>
      <c r="G566" s="160" t="e">
        <f>(D566*#REF!)*#REF!</f>
        <v>#REF!</v>
      </c>
      <c r="H566" s="296">
        <f t="shared" ref="H566:H586" si="319">IFERROR(((Q566-G566)/G566),0)</f>
        <v>0</v>
      </c>
      <c r="I566" s="147" t="e">
        <f t="shared" ref="I566:I586" si="320">Q566-G566</f>
        <v>#REF!</v>
      </c>
      <c r="J566" s="407"/>
      <c r="K566" s="400"/>
      <c r="L566" s="65">
        <f t="shared" ref="L566:O566" si="321">SUMIF($B$508:$B$529,$B566,L$508:L$529)+SUMIF($B$534:$B$555,$B566,L$534:L$555)+SUMIF($B$561:$B$562,$B566,L$561:L$562)</f>
        <v>165644</v>
      </c>
      <c r="M566" s="65">
        <f t="shared" si="321"/>
        <v>212350.01</v>
      </c>
      <c r="N566" s="65">
        <f t="shared" si="321"/>
        <v>278289</v>
      </c>
      <c r="O566" s="65">
        <f t="shared" si="321"/>
        <v>114313.11</v>
      </c>
      <c r="P566" s="157">
        <f t="shared" ref="P566:P569" si="322">O566/20*26</f>
        <v>148607.04300000001</v>
      </c>
      <c r="Q566" s="157">
        <f t="shared" ref="Q566:R566" si="323">SUMIF($B$508:$B$529,$B566,Q$508:Q$529)+SUMIF($B$534:$B$555,$B566,Q$534:Q$555)+SUMIF($B$561:$B$562,$B566,Q$561:Q$562)</f>
        <v>346700</v>
      </c>
      <c r="R566" s="65">
        <f t="shared" si="323"/>
        <v>346700</v>
      </c>
      <c r="S566" s="54">
        <f t="shared" ref="S566:S585" si="324">R566-Q566</f>
        <v>0</v>
      </c>
    </row>
    <row r="567" spans="1:31" ht="15.75" hidden="1" customHeight="1" x14ac:dyDescent="0.25">
      <c r="A567" s="51" t="s">
        <v>1235</v>
      </c>
      <c r="B567" s="51" t="s">
        <v>70</v>
      </c>
      <c r="C567" s="400"/>
      <c r="D567" s="157">
        <f t="shared" si="318"/>
        <v>91</v>
      </c>
      <c r="E567" s="160" t="e">
        <f>D567*#REF!</f>
        <v>#REF!</v>
      </c>
      <c r="F567" s="160" t="e">
        <f>D567*#REF!</f>
        <v>#REF!</v>
      </c>
      <c r="G567" s="160" t="e">
        <f>(D567*#REF!)*#REF!</f>
        <v>#REF!</v>
      </c>
      <c r="H567" s="296">
        <f t="shared" si="319"/>
        <v>0</v>
      </c>
      <c r="I567" s="147" t="e">
        <f t="shared" si="320"/>
        <v>#REF!</v>
      </c>
      <c r="J567" s="147">
        <v>-600</v>
      </c>
      <c r="K567" s="400"/>
      <c r="L567" s="65">
        <f t="shared" ref="L567:O567" si="325">SUMIF($B$508:$B$529,$B567,L$508:L$529)+SUMIF($B$534:$B$555,$B567,L$534:L$555)+SUMIF($B$561:$B$562,$B567,L$561:L$562)</f>
        <v>1609</v>
      </c>
      <c r="M567" s="65">
        <f t="shared" si="325"/>
        <v>3019.98</v>
      </c>
      <c r="N567" s="65">
        <f t="shared" si="325"/>
        <v>5500</v>
      </c>
      <c r="O567" s="65">
        <f t="shared" si="325"/>
        <v>2706.94</v>
      </c>
      <c r="P567" s="157">
        <f t="shared" si="322"/>
        <v>3519.0220000000004</v>
      </c>
      <c r="Q567" s="157">
        <f t="shared" ref="Q567:R567" si="326">SUMIF($B$508:$B$529,$B567,Q$508:Q$529)+SUMIF($B$534:$B$555,$B567,Q$534:Q$555)+SUMIF($B$561:$B$562,$B567,Q$561:Q$562)</f>
        <v>5600</v>
      </c>
      <c r="R567" s="65">
        <f t="shared" si="326"/>
        <v>5000</v>
      </c>
      <c r="S567" s="54">
        <f t="shared" si="324"/>
        <v>-600</v>
      </c>
    </row>
    <row r="568" spans="1:31" ht="15.75" hidden="1" customHeight="1" x14ac:dyDescent="0.25">
      <c r="A568" s="51" t="s">
        <v>1235</v>
      </c>
      <c r="B568" s="51" t="s">
        <v>132</v>
      </c>
      <c r="C568" s="400"/>
      <c r="D568" s="157">
        <f t="shared" si="318"/>
        <v>8564</v>
      </c>
      <c r="E568" s="160" t="e">
        <f>D568*#REF!</f>
        <v>#REF!</v>
      </c>
      <c r="F568" s="160" t="e">
        <f>D568*#REF!</f>
        <v>#REF!</v>
      </c>
      <c r="G568" s="160" t="e">
        <f>(D568*#REF!)*#REF!</f>
        <v>#REF!</v>
      </c>
      <c r="H568" s="296">
        <f t="shared" si="319"/>
        <v>0</v>
      </c>
      <c r="I568" s="147" t="e">
        <f t="shared" si="320"/>
        <v>#REF!</v>
      </c>
      <c r="J568" s="147"/>
      <c r="K568" s="400"/>
      <c r="L568" s="65">
        <f t="shared" ref="L568:O568" si="327">SUMIF($B$508:$B$529,$B568,L$508:L$529)+SUMIF($B$534:$B$555,$B568,L$534:L$555)+SUMIF($B$561:$B$562,$B568,L$561:L$562)</f>
        <v>0</v>
      </c>
      <c r="M568" s="65">
        <f t="shared" si="327"/>
        <v>0</v>
      </c>
      <c r="N568" s="65">
        <f t="shared" si="327"/>
        <v>16250</v>
      </c>
      <c r="O568" s="65">
        <f t="shared" si="327"/>
        <v>0</v>
      </c>
      <c r="P568" s="157">
        <f t="shared" si="322"/>
        <v>0</v>
      </c>
      <c r="Q568" s="157">
        <f t="shared" ref="Q568:R568" si="328">SUMIF($B$508:$B$529,$B568,Q$508:Q$529)+SUMIF($B$534:$B$555,$B568,Q$534:Q$555)+SUMIF($B$561:$B$562,$B568,Q$561:Q$562)</f>
        <v>20000</v>
      </c>
      <c r="R568" s="65">
        <f t="shared" si="328"/>
        <v>20000</v>
      </c>
      <c r="S568" s="54">
        <f t="shared" si="324"/>
        <v>0</v>
      </c>
    </row>
    <row r="569" spans="1:31" ht="15.75" hidden="1" customHeight="1" x14ac:dyDescent="0.25">
      <c r="A569" s="51" t="s">
        <v>1235</v>
      </c>
      <c r="B569" s="51" t="s">
        <v>72</v>
      </c>
      <c r="C569" s="400"/>
      <c r="D569" s="157">
        <f t="shared" si="318"/>
        <v>53743</v>
      </c>
      <c r="E569" s="160" t="e">
        <f>D569*#REF!</f>
        <v>#REF!</v>
      </c>
      <c r="F569" s="160" t="e">
        <f>D569*#REF!</f>
        <v>#REF!</v>
      </c>
      <c r="G569" s="160" t="e">
        <f>(D569*#REF!)*#REF!</f>
        <v>#REF!</v>
      </c>
      <c r="H569" s="296">
        <f t="shared" si="319"/>
        <v>0</v>
      </c>
      <c r="I569" s="147" t="e">
        <f t="shared" si="320"/>
        <v>#REF!</v>
      </c>
      <c r="J569" s="147"/>
      <c r="K569" s="400"/>
      <c r="L569" s="65">
        <f t="shared" ref="L569:O569" si="329">SUMIF($B$508:$B$529,$B569,L$508:L$529)+SUMIF($B$534:$B$555,$B569,L$534:L$555)+SUMIF($B$561:$B$562,$B569,L$561:L$562)</f>
        <v>77954</v>
      </c>
      <c r="M569" s="65">
        <f t="shared" si="329"/>
        <v>108755.62</v>
      </c>
      <c r="N569" s="65">
        <f t="shared" si="329"/>
        <v>175079</v>
      </c>
      <c r="O569" s="65">
        <f t="shared" si="329"/>
        <v>56219.26</v>
      </c>
      <c r="P569" s="157">
        <f t="shared" si="322"/>
        <v>73085.038</v>
      </c>
      <c r="Q569" s="157">
        <f t="shared" ref="Q569:R569" si="330">SUMIF($B$508:$B$529,$B569,Q$508:Q$529)+SUMIF($B$534:$B$555,$B569,Q$534:Q$555)+SUMIF($B$561:$B$562,$B569,Q$561:Q$562)</f>
        <v>177200</v>
      </c>
      <c r="R569" s="65">
        <f t="shared" si="330"/>
        <v>177200</v>
      </c>
      <c r="S569" s="54">
        <f t="shared" si="324"/>
        <v>0</v>
      </c>
    </row>
    <row r="570" spans="1:31" ht="15.75" hidden="1" customHeight="1" x14ac:dyDescent="0.25">
      <c r="A570" s="51" t="s">
        <v>1235</v>
      </c>
      <c r="B570" s="51" t="s">
        <v>74</v>
      </c>
      <c r="C570" s="400"/>
      <c r="D570" s="157">
        <f t="shared" si="318"/>
        <v>2336</v>
      </c>
      <c r="E570" s="160" t="e">
        <f>D570*#REF!</f>
        <v>#REF!</v>
      </c>
      <c r="F570" s="160" t="e">
        <f>D570*#REF!</f>
        <v>#REF!</v>
      </c>
      <c r="G570" s="160" t="e">
        <f>(D570*#REF!)*#REF!</f>
        <v>#REF!</v>
      </c>
      <c r="H570" s="296">
        <f t="shared" si="319"/>
        <v>0</v>
      </c>
      <c r="I570" s="147" t="e">
        <f t="shared" si="320"/>
        <v>#REF!</v>
      </c>
      <c r="J570" s="147">
        <v>-300</v>
      </c>
      <c r="K570" s="400"/>
      <c r="L570" s="65">
        <f t="shared" ref="L570:O570" si="331">SUMIF($B$508:$B$529,$B570,L$508:L$529)+SUMIF($B$534:$B$555,$B570,L$534:L$555)+SUMIF($B$561:$B$562,$B570,L$561:L$562)</f>
        <v>2000</v>
      </c>
      <c r="M570" s="65">
        <f t="shared" si="331"/>
        <v>3663</v>
      </c>
      <c r="N570" s="65">
        <f t="shared" si="331"/>
        <v>4300</v>
      </c>
      <c r="O570" s="65">
        <f t="shared" si="331"/>
        <v>291</v>
      </c>
      <c r="P570" s="157">
        <f t="shared" ref="P570:P576" si="332">O570/9*12</f>
        <v>388</v>
      </c>
      <c r="Q570" s="157">
        <f t="shared" ref="Q570:R570" si="333">SUMIF($B$508:$B$529,$B570,Q$508:Q$529)+SUMIF($B$534:$B$555,$B570,Q$534:Q$555)+SUMIF($B$561:$B$562,$B570,Q$561:Q$562)</f>
        <v>4300</v>
      </c>
      <c r="R570" s="65">
        <f t="shared" si="333"/>
        <v>4000</v>
      </c>
      <c r="S570" s="54">
        <f t="shared" si="324"/>
        <v>-300</v>
      </c>
    </row>
    <row r="571" spans="1:31" ht="15.75" hidden="1" customHeight="1" x14ac:dyDescent="0.25">
      <c r="A571" s="51" t="s">
        <v>1235</v>
      </c>
      <c r="B571" s="51" t="s">
        <v>76</v>
      </c>
      <c r="C571" s="400"/>
      <c r="D571" s="157">
        <f t="shared" si="318"/>
        <v>3083</v>
      </c>
      <c r="E571" s="160" t="e">
        <f>D571*#REF!</f>
        <v>#REF!</v>
      </c>
      <c r="F571" s="160" t="e">
        <f>D571*#REF!</f>
        <v>#REF!</v>
      </c>
      <c r="G571" s="160" t="e">
        <f>(D571*#REF!)*#REF!</f>
        <v>#REF!</v>
      </c>
      <c r="H571" s="296">
        <f t="shared" si="319"/>
        <v>0</v>
      </c>
      <c r="I571" s="147" t="e">
        <f t="shared" si="320"/>
        <v>#REF!</v>
      </c>
      <c r="J571" s="147">
        <v>-4000</v>
      </c>
      <c r="K571" s="400"/>
      <c r="L571" s="65">
        <f t="shared" ref="L571:O571" si="334">SUMIF($B$508:$B$529,$B571,L$508:L$529)+SUMIF($B$534:$B$555,$B571,L$534:L$555)+SUMIF($B$561:$B$562,$B571,L$561:L$562)</f>
        <v>5064</v>
      </c>
      <c r="M571" s="65">
        <f t="shared" si="334"/>
        <v>7654.62</v>
      </c>
      <c r="N571" s="65">
        <f t="shared" si="334"/>
        <v>11500</v>
      </c>
      <c r="O571" s="65">
        <f t="shared" si="334"/>
        <v>895.8</v>
      </c>
      <c r="P571" s="157">
        <f t="shared" si="332"/>
        <v>1194.4000000000001</v>
      </c>
      <c r="Q571" s="157">
        <f t="shared" ref="Q571:R571" si="335">SUMIF($B$508:$B$529,$B571,Q$508:Q$529)+SUMIF($B$534:$B$555,$B571,Q$534:Q$555)+SUMIF($B$561:$B$562,$B571,Q$561:Q$562)</f>
        <v>14000</v>
      </c>
      <c r="R571" s="65">
        <f t="shared" si="335"/>
        <v>10000</v>
      </c>
      <c r="S571" s="54">
        <f t="shared" si="324"/>
        <v>-4000</v>
      </c>
    </row>
    <row r="572" spans="1:31" ht="15.75" hidden="1" customHeight="1" x14ac:dyDescent="0.25">
      <c r="A572" s="51" t="s">
        <v>1235</v>
      </c>
      <c r="B572" s="51" t="s">
        <v>80</v>
      </c>
      <c r="C572" s="400"/>
      <c r="D572" s="157">
        <f t="shared" si="318"/>
        <v>1744</v>
      </c>
      <c r="E572" s="160" t="e">
        <f>D572*#REF!</f>
        <v>#REF!</v>
      </c>
      <c r="F572" s="160" t="e">
        <f>D572*#REF!</f>
        <v>#REF!</v>
      </c>
      <c r="G572" s="160" t="e">
        <f>(D572*#REF!)*#REF!</f>
        <v>#REF!</v>
      </c>
      <c r="H572" s="296">
        <f t="shared" si="319"/>
        <v>0</v>
      </c>
      <c r="I572" s="147" t="e">
        <f t="shared" si="320"/>
        <v>#REF!</v>
      </c>
      <c r="J572" s="147">
        <v>-500</v>
      </c>
      <c r="K572" s="400"/>
      <c r="L572" s="65">
        <f t="shared" ref="L572:O572" si="336">SUMIF($B$508:$B$529,$B572,L$508:L$529)+SUMIF($B$534:$B$555,$B572,L$534:L$555)+SUMIF($B$561:$B$562,$B572,L$561:L$562)</f>
        <v>2693</v>
      </c>
      <c r="M572" s="65">
        <f t="shared" si="336"/>
        <v>2285.59</v>
      </c>
      <c r="N572" s="65">
        <f t="shared" si="336"/>
        <v>9500</v>
      </c>
      <c r="O572" s="65">
        <f t="shared" si="336"/>
        <v>1385.26</v>
      </c>
      <c r="P572" s="157">
        <f t="shared" si="332"/>
        <v>1847.0133333333333</v>
      </c>
      <c r="Q572" s="157">
        <f t="shared" ref="Q572:R572" si="337">SUMIF($B$508:$B$529,$B572,Q$508:Q$529)+SUMIF($B$534:$B$555,$B572,Q$534:Q$555)+SUMIF($B$561:$B$562,$B572,Q$561:Q$562)</f>
        <v>5500</v>
      </c>
      <c r="R572" s="65">
        <f t="shared" si="337"/>
        <v>5000</v>
      </c>
      <c r="S572" s="54">
        <f t="shared" si="324"/>
        <v>-500</v>
      </c>
    </row>
    <row r="573" spans="1:31" ht="15.75" hidden="1" customHeight="1" x14ac:dyDescent="0.25">
      <c r="A573" s="51" t="s">
        <v>1235</v>
      </c>
      <c r="B573" s="51" t="s">
        <v>82</v>
      </c>
      <c r="C573" s="400"/>
      <c r="D573" s="157">
        <f t="shared" si="318"/>
        <v>6615</v>
      </c>
      <c r="E573" s="160" t="e">
        <f>D573*#REF!</f>
        <v>#REF!</v>
      </c>
      <c r="F573" s="160" t="e">
        <f>D573*#REF!</f>
        <v>#REF!</v>
      </c>
      <c r="G573" s="160" t="e">
        <f>(D573*#REF!)*#REF!</f>
        <v>#REF!</v>
      </c>
      <c r="H573" s="296">
        <f t="shared" si="319"/>
        <v>0</v>
      </c>
      <c r="I573" s="147" t="e">
        <f t="shared" si="320"/>
        <v>#REF!</v>
      </c>
      <c r="J573" s="147">
        <v>-4500</v>
      </c>
      <c r="K573" s="400"/>
      <c r="L573" s="65">
        <f t="shared" ref="L573:O573" si="338">SUMIF($B$508:$B$529,$B573,L$508:L$529)+SUMIF($B$534:$B$555,$B573,L$534:L$555)+SUMIF($B$561:$B$562,$B573,L$561:L$562)</f>
        <v>17015</v>
      </c>
      <c r="M573" s="65">
        <f t="shared" si="338"/>
        <v>21815.08</v>
      </c>
      <c r="N573" s="65">
        <f t="shared" si="338"/>
        <v>24500</v>
      </c>
      <c r="O573" s="65">
        <f t="shared" si="338"/>
        <v>3028.21</v>
      </c>
      <c r="P573" s="157">
        <f t="shared" si="332"/>
        <v>4037.6133333333332</v>
      </c>
      <c r="Q573" s="157">
        <f t="shared" ref="Q573:R573" si="339">SUMIF($B$508:$B$529,$B573,Q$508:Q$529)+SUMIF($B$534:$B$555,$B573,Q$534:Q$555)+SUMIF($B$561:$B$562,$B573,Q$561:Q$562)</f>
        <v>24500</v>
      </c>
      <c r="R573" s="65">
        <f t="shared" si="339"/>
        <v>20000</v>
      </c>
      <c r="S573" s="54">
        <f t="shared" si="324"/>
        <v>-4500</v>
      </c>
    </row>
    <row r="574" spans="1:31" ht="15.75" hidden="1" customHeight="1" x14ac:dyDescent="0.25">
      <c r="A574" s="51" t="s">
        <v>1235</v>
      </c>
      <c r="B574" s="51" t="s">
        <v>115</v>
      </c>
      <c r="C574" s="400"/>
      <c r="D574" s="157">
        <f t="shared" si="318"/>
        <v>894</v>
      </c>
      <c r="E574" s="160" t="e">
        <f>D574*#REF!</f>
        <v>#REF!</v>
      </c>
      <c r="F574" s="160" t="e">
        <f>D574*#REF!</f>
        <v>#REF!</v>
      </c>
      <c r="G574" s="160" t="e">
        <f>(D574*#REF!)*#REF!</f>
        <v>#REF!</v>
      </c>
      <c r="H574" s="296">
        <f t="shared" si="319"/>
        <v>0</v>
      </c>
      <c r="I574" s="147" t="e">
        <f t="shared" si="320"/>
        <v>#REF!</v>
      </c>
      <c r="J574" s="147">
        <v>-2000</v>
      </c>
      <c r="K574" s="400"/>
      <c r="L574" s="65">
        <f t="shared" ref="L574:O574" si="340">SUMIF($B$508:$B$529,$B574,L$508:L$529)+SUMIF($B$534:$B$555,$B574,L$534:L$555)+SUMIF($B$561:$B$562,$B574,L$561:L$562)</f>
        <v>2758</v>
      </c>
      <c r="M574" s="65">
        <f t="shared" si="340"/>
        <v>598</v>
      </c>
      <c r="N574" s="65">
        <f t="shared" si="340"/>
        <v>5000</v>
      </c>
      <c r="O574" s="65">
        <f t="shared" si="340"/>
        <v>0</v>
      </c>
      <c r="P574" s="157">
        <f t="shared" si="332"/>
        <v>0</v>
      </c>
      <c r="Q574" s="157">
        <f t="shared" ref="Q574:R574" si="341">SUMIF($B$508:$B$529,$B574,Q$508:Q$529)+SUMIF($B$534:$B$555,$B574,Q$534:Q$555)+SUMIF($B$561:$B$562,$B574,Q$561:Q$562)</f>
        <v>6000</v>
      </c>
      <c r="R574" s="65">
        <f t="shared" si="341"/>
        <v>4000</v>
      </c>
      <c r="S574" s="54">
        <f t="shared" si="324"/>
        <v>-2000</v>
      </c>
    </row>
    <row r="575" spans="1:31" ht="15.75" hidden="1" customHeight="1" x14ac:dyDescent="0.25">
      <c r="A575" s="51" t="s">
        <v>1235</v>
      </c>
      <c r="B575" s="51" t="s">
        <v>84</v>
      </c>
      <c r="C575" s="400"/>
      <c r="D575" s="157">
        <f t="shared" si="318"/>
        <v>1645</v>
      </c>
      <c r="E575" s="160" t="e">
        <f>D575*#REF!</f>
        <v>#REF!</v>
      </c>
      <c r="F575" s="160" t="e">
        <f>D575*#REF!</f>
        <v>#REF!</v>
      </c>
      <c r="G575" s="160" t="e">
        <f>(D575*#REF!)*#REF!</f>
        <v>#REF!</v>
      </c>
      <c r="H575" s="296">
        <f t="shared" si="319"/>
        <v>0</v>
      </c>
      <c r="I575" s="147" t="e">
        <f t="shared" si="320"/>
        <v>#REF!</v>
      </c>
      <c r="J575" s="147">
        <v>-1000</v>
      </c>
      <c r="K575" s="400"/>
      <c r="L575" s="65">
        <f t="shared" ref="L575:O575" si="342">SUMIF($B$508:$B$529,$B575,L$508:L$529)+SUMIF($B$534:$B$555,$B575,L$534:L$555)+SUMIF($B$561:$B$562,$B575,L$561:L$562)</f>
        <v>3727</v>
      </c>
      <c r="M575" s="65">
        <f t="shared" si="342"/>
        <v>4985.1200000000008</v>
      </c>
      <c r="N575" s="65">
        <f t="shared" si="342"/>
        <v>7600</v>
      </c>
      <c r="O575" s="65">
        <f t="shared" si="342"/>
        <v>1633.67</v>
      </c>
      <c r="P575" s="157">
        <f t="shared" si="332"/>
        <v>2178.2266666666669</v>
      </c>
      <c r="Q575" s="157">
        <f t="shared" ref="Q575:R575" si="343">SUMIF($B$508:$B$529,$B575,Q$508:Q$529)+SUMIF($B$534:$B$555,$B575,Q$534:Q$555)+SUMIF($B$561:$B$562,$B575,Q$561:Q$562)</f>
        <v>7600</v>
      </c>
      <c r="R575" s="65">
        <f t="shared" si="343"/>
        <v>6600</v>
      </c>
      <c r="S575" s="54">
        <f t="shared" si="324"/>
        <v>-1000</v>
      </c>
    </row>
    <row r="576" spans="1:31" ht="15.75" hidden="1" customHeight="1" x14ac:dyDescent="0.25">
      <c r="A576" s="51" t="s">
        <v>1235</v>
      </c>
      <c r="B576" s="51" t="s">
        <v>86</v>
      </c>
      <c r="C576" s="400"/>
      <c r="D576" s="157">
        <f t="shared" si="318"/>
        <v>0</v>
      </c>
      <c r="E576" s="160" t="e">
        <f>D576*#REF!</f>
        <v>#REF!</v>
      </c>
      <c r="F576" s="160" t="e">
        <f>D576*#REF!</f>
        <v>#REF!</v>
      </c>
      <c r="G576" s="160" t="e">
        <f>(D576*#REF!)*#REF!</f>
        <v>#REF!</v>
      </c>
      <c r="H576" s="296">
        <f t="shared" si="319"/>
        <v>0</v>
      </c>
      <c r="I576" s="147" t="e">
        <f t="shared" si="320"/>
        <v>#REF!</v>
      </c>
      <c r="J576" s="147">
        <v>-5000</v>
      </c>
      <c r="K576" s="400"/>
      <c r="L576" s="65">
        <f t="shared" ref="L576:O576" si="344">SUMIF($B$508:$B$529,$B576,L$508:L$529)+SUMIF($B$534:$B$555,$B576,L$534:L$555)+SUMIF($B$561:$B$562,$B576,L$561:L$562)</f>
        <v>100347</v>
      </c>
      <c r="M576" s="65">
        <f t="shared" si="344"/>
        <v>224926.48</v>
      </c>
      <c r="N576" s="65">
        <f t="shared" si="344"/>
        <v>242333</v>
      </c>
      <c r="O576" s="65">
        <f t="shared" si="344"/>
        <v>82380.78</v>
      </c>
      <c r="P576" s="157">
        <f t="shared" si="332"/>
        <v>109841.04000000001</v>
      </c>
      <c r="Q576" s="157">
        <f t="shared" ref="Q576:R576" si="345">SUMIF($B$508:$B$529,$B576,Q$508:Q$529)+SUMIF($B$534:$B$555,$B576,Q$534:Q$555)+SUMIF($B$561:$B$562,$B576,Q$561:Q$562)</f>
        <v>165000</v>
      </c>
      <c r="R576" s="65">
        <f t="shared" si="345"/>
        <v>160000</v>
      </c>
      <c r="S576" s="54">
        <f t="shared" si="324"/>
        <v>-5000</v>
      </c>
    </row>
    <row r="577" spans="1:19" ht="15.75" hidden="1" customHeight="1" x14ac:dyDescent="0.25">
      <c r="A577" s="51" t="s">
        <v>1235</v>
      </c>
      <c r="B577" s="51" t="s">
        <v>88</v>
      </c>
      <c r="C577" s="400"/>
      <c r="D577" s="157">
        <f t="shared" si="318"/>
        <v>2303</v>
      </c>
      <c r="E577" s="160" t="e">
        <f>D577*#REF!</f>
        <v>#REF!</v>
      </c>
      <c r="F577" s="160" t="e">
        <f>D577*#REF!</f>
        <v>#REF!</v>
      </c>
      <c r="G577" s="160" t="e">
        <f>(D577*#REF!)*#REF!</f>
        <v>#REF!</v>
      </c>
      <c r="H577" s="296">
        <f t="shared" si="319"/>
        <v>0</v>
      </c>
      <c r="I577" s="147" t="e">
        <f t="shared" si="320"/>
        <v>#REF!</v>
      </c>
      <c r="J577" s="147"/>
      <c r="K577" s="400"/>
      <c r="L577" s="65">
        <f t="shared" ref="L577:O577" si="346">SUMIF($B$508:$B$529,$B577,L$508:L$529)+SUMIF($B$534:$B$555,$B577,L$534:L$555)+SUMIF($B$561:$B$562,$B577,L$561:L$562)</f>
        <v>12748</v>
      </c>
      <c r="M577" s="65">
        <f t="shared" si="346"/>
        <v>12594.34</v>
      </c>
      <c r="N577" s="65">
        <f t="shared" si="346"/>
        <v>18400</v>
      </c>
      <c r="O577" s="65">
        <f t="shared" si="346"/>
        <v>12160.509999999998</v>
      </c>
      <c r="P577" s="408">
        <f>IF(O577/9*12&lt;N577,N577,O577/9*12)</f>
        <v>18400</v>
      </c>
      <c r="Q577" s="157">
        <f t="shared" ref="Q577:R577" si="347">SUMIF($B$508:$B$529,$B577,Q$508:Q$529)+SUMIF($B$534:$B$555,$B577,Q$534:Q$555)+SUMIF($B$561:$B$562,$B577,Q$561:Q$562)</f>
        <v>19400</v>
      </c>
      <c r="R577" s="65">
        <f t="shared" si="347"/>
        <v>19400</v>
      </c>
      <c r="S577" s="54">
        <f t="shared" si="324"/>
        <v>0</v>
      </c>
    </row>
    <row r="578" spans="1:19" ht="15.75" hidden="1" customHeight="1" x14ac:dyDescent="0.25">
      <c r="A578" s="51" t="s">
        <v>1235</v>
      </c>
      <c r="B578" s="51" t="s">
        <v>1252</v>
      </c>
      <c r="C578" s="400"/>
      <c r="D578" s="157">
        <f t="shared" si="318"/>
        <v>81302</v>
      </c>
      <c r="E578" s="160" t="e">
        <f>D578*#REF!</f>
        <v>#REF!</v>
      </c>
      <c r="F578" s="160" t="e">
        <f>D578*#REF!</f>
        <v>#REF!</v>
      </c>
      <c r="G578" s="160" t="e">
        <f>(D578*#REF!)*#REF!</f>
        <v>#REF!</v>
      </c>
      <c r="H578" s="296">
        <f t="shared" si="319"/>
        <v>0</v>
      </c>
      <c r="I578" s="147" t="e">
        <f t="shared" si="320"/>
        <v>#REF!</v>
      </c>
      <c r="J578" s="147"/>
      <c r="K578" s="400"/>
      <c r="L578" s="65">
        <f t="shared" ref="L578:O578" si="348">SUMIF($B$508:$B$529,$B578,L$508:L$529)+SUMIF($B$534:$B$555,$B578,L$534:L$555)+SUMIF($B$561:$B$562,$B578,L$561:L$562)</f>
        <v>0</v>
      </c>
      <c r="M578" s="65">
        <f t="shared" si="348"/>
        <v>0</v>
      </c>
      <c r="N578" s="65">
        <f t="shared" si="348"/>
        <v>82616</v>
      </c>
      <c r="O578" s="65">
        <f t="shared" si="348"/>
        <v>6687.5</v>
      </c>
      <c r="P578" s="157">
        <f>O578/9*12</f>
        <v>8916.6666666666661</v>
      </c>
      <c r="Q578" s="157">
        <f t="shared" ref="Q578:R578" si="349">SUMIF($B$508:$B$529,$B578,Q$508:Q$529)+SUMIF($B$534:$B$555,$B578,Q$534:Q$555)+SUMIF($B$561:$B$562,$B578,Q$561:Q$562)</f>
        <v>10000</v>
      </c>
      <c r="R578" s="65">
        <f t="shared" si="349"/>
        <v>10000</v>
      </c>
      <c r="S578" s="54">
        <f t="shared" si="324"/>
        <v>0</v>
      </c>
    </row>
    <row r="579" spans="1:19" ht="15.75" hidden="1" customHeight="1" x14ac:dyDescent="0.25">
      <c r="A579" s="51" t="s">
        <v>1235</v>
      </c>
      <c r="B579" s="51" t="s">
        <v>1254</v>
      </c>
      <c r="C579" s="400"/>
      <c r="D579" s="157">
        <f t="shared" si="318"/>
        <v>27264</v>
      </c>
      <c r="E579" s="160" t="e">
        <f>D579*#REF!</f>
        <v>#REF!</v>
      </c>
      <c r="F579" s="160" t="e">
        <f>D579*#REF!</f>
        <v>#REF!</v>
      </c>
      <c r="G579" s="160" t="e">
        <f>(D579*#REF!)*#REF!</f>
        <v>#REF!</v>
      </c>
      <c r="H579" s="296">
        <f t="shared" si="319"/>
        <v>0</v>
      </c>
      <c r="I579" s="147" t="e">
        <f t="shared" si="320"/>
        <v>#REF!</v>
      </c>
      <c r="J579" s="147"/>
      <c r="K579" s="400"/>
      <c r="L579" s="65">
        <f t="shared" ref="L579:O579" si="350">SUMIF($B$508:$B$529,$B579,L$508:L$529)+SUMIF($B$534:$B$555,$B579,L$534:L$555)+SUMIF($B$561:$B$562,$B579,L$561:L$562)</f>
        <v>32082</v>
      </c>
      <c r="M579" s="65">
        <f t="shared" si="350"/>
        <v>38065.300000000003</v>
      </c>
      <c r="N579" s="65">
        <f t="shared" si="350"/>
        <v>40000</v>
      </c>
      <c r="O579" s="65">
        <f t="shared" si="350"/>
        <v>21940.400000000001</v>
      </c>
      <c r="P579" s="408">
        <f t="shared" ref="P579:P580" si="351">IF(O579/9*12&lt;N579,N579,O579/9*12)</f>
        <v>40000</v>
      </c>
      <c r="Q579" s="157">
        <f t="shared" ref="Q579:R579" si="352">SUMIF($B$508:$B$529,$B579,Q$508:Q$529)+SUMIF($B$534:$B$555,$B579,Q$534:Q$555)+SUMIF($B$561:$B$562,$B579,Q$561:Q$562)</f>
        <v>40000</v>
      </c>
      <c r="R579" s="65">
        <f t="shared" si="352"/>
        <v>40000</v>
      </c>
      <c r="S579" s="54">
        <f t="shared" si="324"/>
        <v>0</v>
      </c>
    </row>
    <row r="580" spans="1:19" ht="15.75" hidden="1" customHeight="1" x14ac:dyDescent="0.25">
      <c r="A580" s="51" t="s">
        <v>1235</v>
      </c>
      <c r="B580" s="51" t="s">
        <v>1282</v>
      </c>
      <c r="C580" s="400"/>
      <c r="D580" s="157">
        <f t="shared" si="318"/>
        <v>975</v>
      </c>
      <c r="E580" s="160" t="e">
        <f>D580*#REF!</f>
        <v>#REF!</v>
      </c>
      <c r="F580" s="160" t="e">
        <f>D580*#REF!</f>
        <v>#REF!</v>
      </c>
      <c r="G580" s="160" t="e">
        <f>(D580*#REF!)*#REF!</f>
        <v>#REF!</v>
      </c>
      <c r="H580" s="296">
        <f t="shared" si="319"/>
        <v>0</v>
      </c>
      <c r="I580" s="147" t="e">
        <f t="shared" si="320"/>
        <v>#REF!</v>
      </c>
      <c r="J580" s="147"/>
      <c r="K580" s="400"/>
      <c r="L580" s="65">
        <f t="shared" ref="L580:O580" si="353">SUMIF($B$508:$B$529,$B580,L$508:L$529)+SUMIF($B$534:$B$555,$B580,L$534:L$555)+SUMIF($B$561:$B$562,$B580,L$561:L$562)</f>
        <v>0</v>
      </c>
      <c r="M580" s="65">
        <f t="shared" si="353"/>
        <v>0</v>
      </c>
      <c r="N580" s="65">
        <f t="shared" si="353"/>
        <v>0</v>
      </c>
      <c r="O580" s="65">
        <f t="shared" si="353"/>
        <v>0</v>
      </c>
      <c r="P580" s="157">
        <f t="shared" si="351"/>
        <v>0</v>
      </c>
      <c r="Q580" s="157">
        <f t="shared" ref="Q580:R580" si="354">SUMIF($B$508:$B$529,$B580,Q$508:Q$529)+SUMIF($B$534:$B$555,$B580,Q$534:Q$555)+SUMIF($B$561:$B$562,$B580,Q$561:Q$562)</f>
        <v>0</v>
      </c>
      <c r="R580" s="65">
        <f t="shared" si="354"/>
        <v>0</v>
      </c>
      <c r="S580" s="54">
        <f t="shared" si="324"/>
        <v>0</v>
      </c>
    </row>
    <row r="581" spans="1:19" ht="15.75" hidden="1" customHeight="1" x14ac:dyDescent="0.25">
      <c r="A581" s="51" t="s">
        <v>1235</v>
      </c>
      <c r="B581" s="51" t="s">
        <v>1256</v>
      </c>
      <c r="C581" s="400"/>
      <c r="D581" s="157">
        <f t="shared" si="318"/>
        <v>29633</v>
      </c>
      <c r="E581" s="160" t="e">
        <f>D581*#REF!</f>
        <v>#REF!</v>
      </c>
      <c r="F581" s="160" t="e">
        <f>D581*#REF!</f>
        <v>#REF!</v>
      </c>
      <c r="G581" s="160" t="e">
        <f>(D581*#REF!)*#REF!</f>
        <v>#REF!</v>
      </c>
      <c r="H581" s="296">
        <f t="shared" si="319"/>
        <v>0</v>
      </c>
      <c r="I581" s="147" t="e">
        <f t="shared" si="320"/>
        <v>#REF!</v>
      </c>
      <c r="J581" s="147"/>
      <c r="K581" s="400"/>
      <c r="L581" s="65">
        <f t="shared" ref="L581:O581" si="355">SUMIF($B$508:$B$529,$B581,L$508:L$529)+SUMIF($B$534:$B$555,$B581,L$534:L$555)+SUMIF($B$561:$B$562,$B581,L$561:L$562)</f>
        <v>57975</v>
      </c>
      <c r="M581" s="65">
        <f t="shared" si="355"/>
        <v>47495.76</v>
      </c>
      <c r="N581" s="65">
        <f t="shared" si="355"/>
        <v>53000</v>
      </c>
      <c r="O581" s="65">
        <f t="shared" si="355"/>
        <v>64428.79</v>
      </c>
      <c r="P581" s="408">
        <f>O581</f>
        <v>64428.79</v>
      </c>
      <c r="Q581" s="157">
        <f t="shared" ref="Q581:R581" si="356">SUMIF($B$508:$B$529,$B581,Q$508:Q$529)+SUMIF($B$534:$B$555,$B581,Q$534:Q$555)+SUMIF($B$561:$B$562,$B581,Q$561:Q$562)</f>
        <v>60000</v>
      </c>
      <c r="R581" s="65">
        <f t="shared" si="356"/>
        <v>60000</v>
      </c>
      <c r="S581" s="54">
        <f t="shared" si="324"/>
        <v>0</v>
      </c>
    </row>
    <row r="582" spans="1:19" ht="15.75" hidden="1" customHeight="1" x14ac:dyDescent="0.25">
      <c r="A582" s="51" t="s">
        <v>1235</v>
      </c>
      <c r="B582" s="51" t="s">
        <v>1258</v>
      </c>
      <c r="C582" s="400"/>
      <c r="D582" s="157">
        <f t="shared" si="318"/>
        <v>3962</v>
      </c>
      <c r="E582" s="160" t="e">
        <f>D582*#REF!</f>
        <v>#REF!</v>
      </c>
      <c r="F582" s="160" t="e">
        <f>D582*#REF!</f>
        <v>#REF!</v>
      </c>
      <c r="G582" s="160" t="e">
        <f>(D582*#REF!)*#REF!</f>
        <v>#REF!</v>
      </c>
      <c r="H582" s="296">
        <f t="shared" si="319"/>
        <v>0</v>
      </c>
      <c r="I582" s="147" t="e">
        <f t="shared" si="320"/>
        <v>#REF!</v>
      </c>
      <c r="J582" s="147"/>
      <c r="K582" s="400"/>
      <c r="L582" s="65">
        <f t="shared" ref="L582:O582" si="357">SUMIF($B$508:$B$529,$B582,L$508:L$529)+SUMIF($B$534:$B$555,$B582,L$534:L$555)+SUMIF($B$561:$B$562,$B582,L$561:L$562)</f>
        <v>5254</v>
      </c>
      <c r="M582" s="65">
        <f t="shared" si="357"/>
        <v>7987.1399999999994</v>
      </c>
      <c r="N582" s="65">
        <f t="shared" si="357"/>
        <v>25000</v>
      </c>
      <c r="O582" s="65">
        <f t="shared" si="357"/>
        <v>5968.07</v>
      </c>
      <c r="P582" s="157">
        <f>O582/9*12</f>
        <v>7957.4266666666663</v>
      </c>
      <c r="Q582" s="157">
        <f t="shared" ref="Q582:R582" si="358">SUMIF($B$508:$B$529,$B582,Q$508:Q$529)+SUMIF($B$534:$B$555,$B582,Q$534:Q$555)+SUMIF($B$561:$B$562,$B582,Q$561:Q$562)</f>
        <v>25000</v>
      </c>
      <c r="R582" s="65">
        <f t="shared" si="358"/>
        <v>25000</v>
      </c>
      <c r="S582" s="54">
        <f t="shared" si="324"/>
        <v>0</v>
      </c>
    </row>
    <row r="583" spans="1:19" ht="15.75" hidden="1" customHeight="1" x14ac:dyDescent="0.25">
      <c r="A583" s="51" t="s">
        <v>1235</v>
      </c>
      <c r="B583" s="51" t="s">
        <v>90</v>
      </c>
      <c r="C583" s="400"/>
      <c r="D583" s="157">
        <f t="shared" si="318"/>
        <v>0</v>
      </c>
      <c r="E583" s="160" t="e">
        <f>D583*#REF!</f>
        <v>#REF!</v>
      </c>
      <c r="F583" s="160" t="e">
        <f>D583*#REF!</f>
        <v>#REF!</v>
      </c>
      <c r="G583" s="160" t="e">
        <f>(D583*#REF!)*#REF!</f>
        <v>#REF!</v>
      </c>
      <c r="H583" s="296">
        <f t="shared" si="319"/>
        <v>0</v>
      </c>
      <c r="I583" s="147" t="e">
        <f t="shared" si="320"/>
        <v>#REF!</v>
      </c>
      <c r="J583" s="147">
        <v>-1000</v>
      </c>
      <c r="K583" s="400"/>
      <c r="L583" s="65">
        <f t="shared" ref="L583:O583" si="359">SUMIF($B$508:$B$529,$B583,L$508:L$529)+SUMIF($B$534:$B$555,$B583,L$534:L$555)+SUMIF($B$561:$B$562,$B583,L$561:L$562)</f>
        <v>0</v>
      </c>
      <c r="M583" s="65">
        <f t="shared" si="359"/>
        <v>0</v>
      </c>
      <c r="N583" s="65">
        <f t="shared" si="359"/>
        <v>6000</v>
      </c>
      <c r="O583" s="65">
        <f t="shared" si="359"/>
        <v>3082.1400000000003</v>
      </c>
      <c r="P583" s="408">
        <f>IF(O583/9*12&lt;N583,N583,O583/9*12)</f>
        <v>6000</v>
      </c>
      <c r="Q583" s="157">
        <f t="shared" ref="Q583:R583" si="360">SUMIF($B$508:$B$529,$B583,Q$508:Q$529)+SUMIF($B$534:$B$555,$B583,Q$534:Q$555)+SUMIF($B$561:$B$562,$B583,Q$561:Q$562)</f>
        <v>6000</v>
      </c>
      <c r="R583" s="65">
        <f t="shared" si="360"/>
        <v>5000</v>
      </c>
      <c r="S583" s="54">
        <f t="shared" si="324"/>
        <v>-1000</v>
      </c>
    </row>
    <row r="584" spans="1:19" ht="15.75" hidden="1" customHeight="1" x14ac:dyDescent="0.25">
      <c r="A584" s="51" t="s">
        <v>1235</v>
      </c>
      <c r="B584" s="51" t="s">
        <v>1261</v>
      </c>
      <c r="C584" s="400"/>
      <c r="D584" s="157">
        <f t="shared" si="318"/>
        <v>0</v>
      </c>
      <c r="E584" s="160" t="e">
        <f>D584*#REF!</f>
        <v>#REF!</v>
      </c>
      <c r="F584" s="160" t="e">
        <f>D584*#REF!</f>
        <v>#REF!</v>
      </c>
      <c r="G584" s="160" t="e">
        <f>(D584*#REF!)*#REF!</f>
        <v>#REF!</v>
      </c>
      <c r="H584" s="296">
        <f t="shared" si="319"/>
        <v>0</v>
      </c>
      <c r="I584" s="147" t="e">
        <f t="shared" si="320"/>
        <v>#REF!</v>
      </c>
      <c r="J584" s="407"/>
      <c r="K584" s="400"/>
      <c r="L584" s="65">
        <f t="shared" ref="L584:O584" si="361">SUMIF($B$508:$B$529,$B584,L$508:L$529)+SUMIF($B$534:$B$555,$B584,L$534:L$555)+SUMIF($B$561:$B$562,$B584,L$561:L$562)</f>
        <v>101202</v>
      </c>
      <c r="M584" s="65">
        <f t="shared" si="361"/>
        <v>0</v>
      </c>
      <c r="N584" s="65">
        <f t="shared" si="361"/>
        <v>0</v>
      </c>
      <c r="O584" s="65">
        <f t="shared" si="361"/>
        <v>49127</v>
      </c>
      <c r="P584" s="408">
        <f>O584</f>
        <v>49127</v>
      </c>
      <c r="Q584" s="157">
        <f t="shared" ref="Q584:R584" si="362">SUMIF($B$508:$B$529,$B584,Q$508:Q$529)+SUMIF($B$534:$B$555,$B584,Q$534:Q$555)+SUMIF($B$561:$B$562,$B584,Q$561:Q$562)</f>
        <v>100000</v>
      </c>
      <c r="R584" s="65">
        <f t="shared" si="362"/>
        <v>100000</v>
      </c>
      <c r="S584" s="54">
        <f t="shared" si="324"/>
        <v>0</v>
      </c>
    </row>
    <row r="585" spans="1:19" ht="15.75" hidden="1" customHeight="1" x14ac:dyDescent="0.25">
      <c r="A585" s="51" t="s">
        <v>1235</v>
      </c>
      <c r="B585" s="51" t="s">
        <v>92</v>
      </c>
      <c r="C585" s="400"/>
      <c r="D585" s="157">
        <f t="shared" si="318"/>
        <v>1910</v>
      </c>
      <c r="E585" s="160" t="e">
        <f>D585*#REF!</f>
        <v>#REF!</v>
      </c>
      <c r="F585" s="160" t="e">
        <f>D585*#REF!</f>
        <v>#REF!</v>
      </c>
      <c r="G585" s="160" t="e">
        <f>(D585*#REF!)*#REF!</f>
        <v>#REF!</v>
      </c>
      <c r="H585" s="296">
        <f t="shared" si="319"/>
        <v>0</v>
      </c>
      <c r="I585" s="147" t="e">
        <f t="shared" si="320"/>
        <v>#REF!</v>
      </c>
      <c r="J585" s="407"/>
      <c r="K585" s="400"/>
      <c r="L585" s="65">
        <f t="shared" ref="L585:O585" si="363">SUMIF($B$508:$B$529,$B585,L$508:L$529)+SUMIF($B$534:$B$555,$B585,L$534:L$555)+SUMIF($B$561:$B$562,$B585,L$561:L$562)</f>
        <v>2694</v>
      </c>
      <c r="M585" s="65">
        <f t="shared" si="363"/>
        <v>2096.8200000000002</v>
      </c>
      <c r="N585" s="65">
        <f t="shared" si="363"/>
        <v>4000</v>
      </c>
      <c r="O585" s="65">
        <f t="shared" si="363"/>
        <v>3016.98</v>
      </c>
      <c r="P585" s="408">
        <f>N585</f>
        <v>4000</v>
      </c>
      <c r="Q585" s="157">
        <f t="shared" ref="Q585:R585" si="364">SUMIF($B$508:$B$529,$B585,Q$508:Q$529)+SUMIF($B$534:$B$555,$B585,Q$534:Q$555)+SUMIF($B$561:$B$562,$B585,Q$561:Q$562)</f>
        <v>4000</v>
      </c>
      <c r="R585" s="65">
        <f t="shared" si="364"/>
        <v>4000</v>
      </c>
      <c r="S585" s="54">
        <f t="shared" si="324"/>
        <v>0</v>
      </c>
    </row>
    <row r="586" spans="1:19" ht="15.75" hidden="1" customHeight="1" x14ac:dyDescent="0.25">
      <c r="A586" s="74" t="s">
        <v>1266</v>
      </c>
      <c r="B586" s="75"/>
      <c r="C586" s="299"/>
      <c r="D586" s="189">
        <f t="shared" ref="D586:G586" si="365">SUM(D566:D585)</f>
        <v>361217</v>
      </c>
      <c r="E586" s="189" t="e">
        <f t="shared" si="365"/>
        <v>#REF!</v>
      </c>
      <c r="F586" s="189" t="e">
        <f t="shared" si="365"/>
        <v>#REF!</v>
      </c>
      <c r="G586" s="189" t="e">
        <f t="shared" si="365"/>
        <v>#REF!</v>
      </c>
      <c r="H586" s="300">
        <f t="shared" si="319"/>
        <v>0</v>
      </c>
      <c r="I586" s="189" t="e">
        <f t="shared" si="320"/>
        <v>#REF!</v>
      </c>
      <c r="J586" s="189">
        <f>SUM(J566:J585)</f>
        <v>-18900</v>
      </c>
      <c r="K586" s="299"/>
      <c r="L586" s="77">
        <f t="shared" ref="L586:S586" si="366">SUM(L566:L585)</f>
        <v>590766</v>
      </c>
      <c r="M586" s="77">
        <f t="shared" si="366"/>
        <v>698292.86</v>
      </c>
      <c r="N586" s="77">
        <f t="shared" si="366"/>
        <v>1008867</v>
      </c>
      <c r="O586" s="77">
        <f t="shared" si="366"/>
        <v>429265.42000000004</v>
      </c>
      <c r="P586" s="189">
        <f t="shared" si="366"/>
        <v>543527.27966666664</v>
      </c>
      <c r="Q586" s="189">
        <f t="shared" si="366"/>
        <v>1040800</v>
      </c>
      <c r="R586" s="77">
        <f t="shared" si="366"/>
        <v>1021900</v>
      </c>
      <c r="S586" s="77">
        <f t="shared" si="366"/>
        <v>-18900</v>
      </c>
    </row>
    <row r="587" spans="1:19" ht="15.75" hidden="1" customHeight="1" x14ac:dyDescent="0.25">
      <c r="A587" s="51"/>
      <c r="B587" s="51"/>
      <c r="C587" s="400"/>
      <c r="D587" s="65"/>
      <c r="E587" s="65"/>
      <c r="F587" s="65"/>
      <c r="G587" s="65"/>
      <c r="H587" s="234"/>
      <c r="K587" s="400"/>
      <c r="L587" s="65"/>
      <c r="M587" s="65"/>
      <c r="N587" s="65"/>
      <c r="O587" s="65"/>
      <c r="P587" s="65"/>
      <c r="Q587" s="65"/>
    </row>
    <row r="588" spans="1:19" ht="15.75" hidden="1" customHeight="1" x14ac:dyDescent="0.25">
      <c r="A588" s="51" t="s">
        <v>1235</v>
      </c>
      <c r="B588" s="51" t="s">
        <v>99</v>
      </c>
      <c r="C588" s="400"/>
      <c r="D588" s="157">
        <f t="shared" ref="D588:D591" si="367">SUMIF($B$508:$B$529,$B588,D$508:D$529)+SUMIF($B$534:$B$555,$B588,D$534:D$555)+SUMIF($B$561:$B$562,$B588,D$561:D$562)</f>
        <v>0</v>
      </c>
      <c r="E588" s="160" t="e">
        <f>D588*#REF!</f>
        <v>#REF!</v>
      </c>
      <c r="F588" s="160" t="e">
        <f>D588*#REF!</f>
        <v>#REF!</v>
      </c>
      <c r="G588" s="160" t="e">
        <f>(D588*#REF!)*#REF!</f>
        <v>#REF!</v>
      </c>
      <c r="H588" s="296">
        <f t="shared" ref="H588:H592" si="368">IFERROR(((Q588-G588)/G588),0)</f>
        <v>0</v>
      </c>
      <c r="I588" s="147" t="e">
        <f t="shared" ref="I588:I592" si="369">Q588-G588</f>
        <v>#REF!</v>
      </c>
      <c r="J588" s="97"/>
      <c r="K588" s="400"/>
      <c r="L588" s="65">
        <f t="shared" ref="L588:M588" si="370">SUMIF($B$508:$B$529,$B588,L$508:L$529)+SUMIF($B$534:$B$555,$B588,L$534:L$555)+SUMIF($B$561:$B$562,$B588,L$561:L$562)</f>
        <v>146003</v>
      </c>
      <c r="M588" s="65">
        <f t="shared" si="370"/>
        <v>60037.990000000005</v>
      </c>
      <c r="N588" s="65">
        <f t="shared" ref="N588:N591" si="371">SUMIF($B$508:$B$529,$B588,N$508:N$529)+SUMIF($B$534:$B$555,$B588,N$534:N$555)+SUMIF($B$559:$B$562,$B588,N$559:N$562)</f>
        <v>0</v>
      </c>
      <c r="O588" s="65">
        <f t="shared" ref="O588:O591" si="372">SUMIF($B$508:$B$529,$B588,O$508:O$529)+SUMIF($B$534:$B$555,$B588,O$534:O$555)+SUMIF($B$561:$B$562,$B588,O$561:O$562)</f>
        <v>0</v>
      </c>
      <c r="P588" s="157">
        <f>O588</f>
        <v>0</v>
      </c>
      <c r="Q588" s="157">
        <f t="shared" ref="Q588:R588" si="373">SUMIF($B$508:$B$529,$B588,Q$508:Q$529)+SUMIF($B$534:$B$555,$B588,Q$534:Q$555)+SUMIF($B$559:$B$562,$B588,Q$559:Q$562)</f>
        <v>0</v>
      </c>
      <c r="R588" s="275">
        <f t="shared" si="373"/>
        <v>0</v>
      </c>
      <c r="S588" s="54">
        <f t="shared" ref="S588:S591" si="374">R588-Q588</f>
        <v>0</v>
      </c>
    </row>
    <row r="589" spans="1:19" ht="15.75" hidden="1" customHeight="1" x14ac:dyDescent="0.25">
      <c r="A589" s="51" t="s">
        <v>1235</v>
      </c>
      <c r="B589" s="51" t="s">
        <v>1292</v>
      </c>
      <c r="C589" s="400"/>
      <c r="D589" s="157">
        <f t="shared" si="367"/>
        <v>0</v>
      </c>
      <c r="E589" s="160" t="e">
        <f>D589*#REF!</f>
        <v>#REF!</v>
      </c>
      <c r="F589" s="160" t="e">
        <f>D589*#REF!</f>
        <v>#REF!</v>
      </c>
      <c r="G589" s="160" t="e">
        <f>(D589*#REF!)*#REF!</f>
        <v>#REF!</v>
      </c>
      <c r="H589" s="296">
        <f t="shared" si="368"/>
        <v>0</v>
      </c>
      <c r="I589" s="147" t="e">
        <f t="shared" si="369"/>
        <v>#REF!</v>
      </c>
      <c r="J589" s="97"/>
      <c r="K589" s="400"/>
      <c r="L589" s="65">
        <f t="shared" ref="L589:M589" si="375">SUMIF($B$508:$B$529,$B589,L$508:L$529)+SUMIF($B$534:$B$555,$B589,L$534:L$555)+SUMIF($B$561:$B$562,$B589,L$561:L$562)</f>
        <v>0</v>
      </c>
      <c r="M589" s="65">
        <f t="shared" si="375"/>
        <v>0</v>
      </c>
      <c r="N589" s="65">
        <f t="shared" si="371"/>
        <v>1061066</v>
      </c>
      <c r="O589" s="65">
        <f t="shared" si="372"/>
        <v>0</v>
      </c>
      <c r="P589" s="408">
        <f>N589</f>
        <v>1061066</v>
      </c>
      <c r="Q589" s="157">
        <f t="shared" ref="Q589:R589" si="376">SUMIF($B$508:$B$529,$B589,Q$508:Q$529)+SUMIF($B$534:$B$555,$B589,Q$534:Q$555)+SUMIF($B$559:$B$562,$B589,Q$559:Q$562)</f>
        <v>0</v>
      </c>
      <c r="R589" s="275">
        <f t="shared" si="376"/>
        <v>0</v>
      </c>
      <c r="S589" s="54">
        <f t="shared" si="374"/>
        <v>0</v>
      </c>
    </row>
    <row r="590" spans="1:19" ht="15.75" hidden="1" customHeight="1" x14ac:dyDescent="0.25">
      <c r="A590" s="51" t="s">
        <v>1235</v>
      </c>
      <c r="B590" s="51" t="s">
        <v>1265</v>
      </c>
      <c r="C590" s="400"/>
      <c r="D590" s="157">
        <f t="shared" si="367"/>
        <v>0</v>
      </c>
      <c r="E590" s="160" t="e">
        <f>D590*#REF!</f>
        <v>#REF!</v>
      </c>
      <c r="F590" s="160" t="e">
        <f>D590*#REF!</f>
        <v>#REF!</v>
      </c>
      <c r="G590" s="160" t="e">
        <f>(D590*#REF!)*#REF!</f>
        <v>#REF!</v>
      </c>
      <c r="H590" s="296">
        <f t="shared" si="368"/>
        <v>0</v>
      </c>
      <c r="I590" s="147" t="e">
        <f t="shared" si="369"/>
        <v>#REF!</v>
      </c>
      <c r="J590" s="97"/>
      <c r="K590" s="400"/>
      <c r="L590" s="65">
        <f t="shared" ref="L590:M590" si="377">SUMIF($B$508:$B$529,$B590,L$508:L$529)+SUMIF($B$534:$B$555,$B590,L$534:L$555)+SUMIF($B$561:$B$562,$B590,L$561:L$562)</f>
        <v>0</v>
      </c>
      <c r="M590" s="65">
        <f t="shared" si="377"/>
        <v>0</v>
      </c>
      <c r="N590" s="65">
        <f t="shared" si="371"/>
        <v>0</v>
      </c>
      <c r="O590" s="65">
        <f t="shared" si="372"/>
        <v>0</v>
      </c>
      <c r="P590" s="157">
        <v>0</v>
      </c>
      <c r="Q590" s="157">
        <f t="shared" ref="Q590:R590" si="378">SUMIF($B$508:$B$529,$B590,Q$508:Q$529)+SUMIF($B$534:$B$555,$B590,Q$534:Q$555)+SUMIF($B$559:$B$562,$B590,Q$559:Q$562)</f>
        <v>0</v>
      </c>
      <c r="R590" s="275">
        <f t="shared" si="378"/>
        <v>0</v>
      </c>
      <c r="S590" s="54">
        <f t="shared" si="374"/>
        <v>0</v>
      </c>
    </row>
    <row r="591" spans="1:19" ht="15.75" hidden="1" customHeight="1" x14ac:dyDescent="0.25">
      <c r="A591" s="51" t="s">
        <v>1235</v>
      </c>
      <c r="B591" s="51" t="str">
        <f>B561</f>
        <v>IMPROVEMENTS</v>
      </c>
      <c r="C591" s="400"/>
      <c r="D591" s="157">
        <f t="shared" si="367"/>
        <v>0</v>
      </c>
      <c r="E591" s="160" t="e">
        <f>D591*#REF!</f>
        <v>#REF!</v>
      </c>
      <c r="F591" s="160" t="e">
        <f>D591*#REF!</f>
        <v>#REF!</v>
      </c>
      <c r="G591" s="160" t="e">
        <f>(D591*#REF!)*#REF!</f>
        <v>#REF!</v>
      </c>
      <c r="H591" s="296">
        <f t="shared" si="368"/>
        <v>0</v>
      </c>
      <c r="I591" s="147" t="e">
        <f t="shared" si="369"/>
        <v>#REF!</v>
      </c>
      <c r="J591" s="97"/>
      <c r="K591" s="400"/>
      <c r="L591" s="65">
        <f t="shared" ref="L591:M591" si="379">SUMIF($B$508:$B$529,$B591,L$508:L$529)+SUMIF($B$534:$B$555,$B591,L$534:L$555)+SUMIF($B$561:$B$562,$B591,L$561:L$562)</f>
        <v>0</v>
      </c>
      <c r="M591" s="65">
        <f t="shared" si="379"/>
        <v>0</v>
      </c>
      <c r="N591" s="65">
        <f t="shared" si="371"/>
        <v>1941604</v>
      </c>
      <c r="O591" s="65">
        <f t="shared" si="372"/>
        <v>1239.1099999999999</v>
      </c>
      <c r="P591" s="408">
        <f>N591</f>
        <v>1941604</v>
      </c>
      <c r="Q591" s="157">
        <f t="shared" ref="Q591:R591" si="380">SUMIF($B$508:$B$529,$B591,Q$508:Q$529)+SUMIF($B$534:$B$555,$B591,Q$534:Q$555)+SUMIF($B$559:$B$562,$B591,Q$559:Q$562)</f>
        <v>4000000</v>
      </c>
      <c r="R591" s="275">
        <f t="shared" si="380"/>
        <v>4000000</v>
      </c>
      <c r="S591" s="54">
        <f t="shared" si="374"/>
        <v>0</v>
      </c>
    </row>
    <row r="592" spans="1:19" ht="15.75" hidden="1" customHeight="1" x14ac:dyDescent="0.25">
      <c r="A592" s="74" t="s">
        <v>1296</v>
      </c>
      <c r="B592" s="75"/>
      <c r="C592" s="299"/>
      <c r="D592" s="189">
        <f t="shared" ref="D592:G592" si="381">SUM(D588:D591)</f>
        <v>0</v>
      </c>
      <c r="E592" s="189" t="e">
        <f t="shared" si="381"/>
        <v>#REF!</v>
      </c>
      <c r="F592" s="189" t="e">
        <f t="shared" si="381"/>
        <v>#REF!</v>
      </c>
      <c r="G592" s="189" t="e">
        <f t="shared" si="381"/>
        <v>#REF!</v>
      </c>
      <c r="H592" s="300">
        <f t="shared" si="368"/>
        <v>0</v>
      </c>
      <c r="I592" s="189" t="e">
        <f t="shared" si="369"/>
        <v>#REF!</v>
      </c>
      <c r="J592" s="189">
        <f>SUM(J588:J591)</f>
        <v>0</v>
      </c>
      <c r="K592" s="299"/>
      <c r="L592" s="77">
        <f t="shared" ref="L592:S592" si="382">SUM(L588:L591)</f>
        <v>146003</v>
      </c>
      <c r="M592" s="77">
        <f t="shared" si="382"/>
        <v>60037.990000000005</v>
      </c>
      <c r="N592" s="77">
        <f t="shared" si="382"/>
        <v>3002670</v>
      </c>
      <c r="O592" s="77">
        <f t="shared" si="382"/>
        <v>1239.1099999999999</v>
      </c>
      <c r="P592" s="189">
        <f t="shared" si="382"/>
        <v>3002670</v>
      </c>
      <c r="Q592" s="189">
        <f t="shared" si="382"/>
        <v>4000000</v>
      </c>
      <c r="R592" s="77">
        <f t="shared" si="382"/>
        <v>4000000</v>
      </c>
      <c r="S592" s="77">
        <f t="shared" si="382"/>
        <v>0</v>
      </c>
    </row>
    <row r="593" spans="1:28" ht="15.75" hidden="1" customHeight="1" x14ac:dyDescent="0.2">
      <c r="A593" s="92"/>
      <c r="B593" s="92"/>
      <c r="C593" s="409"/>
      <c r="D593" s="89">
        <f t="shared" ref="D593:G593" si="383">(D592+D586)-D556-D530-D563</f>
        <v>0</v>
      </c>
      <c r="E593" s="89" t="e">
        <f t="shared" si="383"/>
        <v>#REF!</v>
      </c>
      <c r="F593" s="89" t="e">
        <f t="shared" si="383"/>
        <v>#REF!</v>
      </c>
      <c r="G593" s="89" t="e">
        <f t="shared" si="383"/>
        <v>#REF!</v>
      </c>
      <c r="H593" s="92"/>
      <c r="I593" s="92"/>
      <c r="J593" s="92"/>
      <c r="K593" s="409"/>
      <c r="L593" s="92"/>
      <c r="M593" s="92"/>
      <c r="N593" s="92"/>
      <c r="O593" s="92"/>
      <c r="P593" s="92"/>
      <c r="Q593" s="92"/>
      <c r="R593" s="92"/>
      <c r="V593" s="92"/>
      <c r="W593" s="92"/>
      <c r="X593" s="92"/>
      <c r="Y593" s="92"/>
      <c r="Z593" s="92"/>
      <c r="AA593" s="92"/>
      <c r="AB593" s="92"/>
    </row>
    <row r="594" spans="1:28" ht="15.75" hidden="1" customHeight="1" x14ac:dyDescent="0.25">
      <c r="A594" s="74" t="s">
        <v>1297</v>
      </c>
      <c r="B594" s="75"/>
      <c r="C594" s="299"/>
      <c r="D594" s="189">
        <f t="shared" ref="D594:G594" si="384">D592+D586</f>
        <v>361217</v>
      </c>
      <c r="E594" s="189" t="e">
        <f t="shared" si="384"/>
        <v>#REF!</v>
      </c>
      <c r="F594" s="189" t="e">
        <f t="shared" si="384"/>
        <v>#REF!</v>
      </c>
      <c r="G594" s="189" t="e">
        <f t="shared" si="384"/>
        <v>#REF!</v>
      </c>
      <c r="H594" s="300">
        <f>IFERROR(((Q594-G594)/G594),0)</f>
        <v>0</v>
      </c>
      <c r="I594" s="189" t="e">
        <f t="shared" ref="I594:J594" si="385">I592+I586</f>
        <v>#REF!</v>
      </c>
      <c r="J594" s="189">
        <f t="shared" si="385"/>
        <v>-18900</v>
      </c>
      <c r="K594" s="299"/>
      <c r="L594" s="77">
        <f t="shared" ref="L594:S594" si="386">L592+L586</f>
        <v>736769</v>
      </c>
      <c r="M594" s="77">
        <f t="shared" si="386"/>
        <v>758330.85</v>
      </c>
      <c r="N594" s="77">
        <f t="shared" si="386"/>
        <v>4011537</v>
      </c>
      <c r="O594" s="77">
        <f t="shared" si="386"/>
        <v>430504.53</v>
      </c>
      <c r="P594" s="189">
        <f t="shared" si="386"/>
        <v>3546197.2796666669</v>
      </c>
      <c r="Q594" s="189">
        <f t="shared" si="386"/>
        <v>5040800</v>
      </c>
      <c r="R594" s="77">
        <f t="shared" si="386"/>
        <v>5021900</v>
      </c>
      <c r="S594" s="77">
        <f t="shared" si="386"/>
        <v>-18900</v>
      </c>
    </row>
    <row r="595" spans="1:28" ht="15.75" hidden="1" customHeight="1" x14ac:dyDescent="0.2">
      <c r="C595" s="287"/>
      <c r="K595" s="287"/>
    </row>
    <row r="596" spans="1:28" ht="15.75" hidden="1" customHeight="1" x14ac:dyDescent="0.2">
      <c r="A596" s="69" t="s">
        <v>184</v>
      </c>
      <c r="C596" s="287"/>
      <c r="K596" s="287"/>
    </row>
    <row r="597" spans="1:28" ht="15.75" hidden="1" customHeight="1" x14ac:dyDescent="0.25">
      <c r="A597" s="51" t="s">
        <v>1298</v>
      </c>
      <c r="B597" s="51" t="s">
        <v>1299</v>
      </c>
      <c r="C597" s="307"/>
      <c r="D597" s="147">
        <v>-7000</v>
      </c>
      <c r="E597" s="161" t="e">
        <f>D597*#REF!</f>
        <v>#REF!</v>
      </c>
      <c r="F597" s="161" t="e">
        <f>D597*#REF!</f>
        <v>#REF!</v>
      </c>
      <c r="G597" s="161" t="e">
        <f>(D597*#REF!)*#REF!</f>
        <v>#REF!</v>
      </c>
      <c r="H597" s="296">
        <f t="shared" ref="H597:H606" si="387">IFERROR(((Q597-G597)/G597),0)</f>
        <v>0</v>
      </c>
      <c r="I597" s="147" t="e">
        <f t="shared" ref="I597:I606" si="388">Q597-G597</f>
        <v>#REF!</v>
      </c>
      <c r="J597" s="97"/>
      <c r="K597" s="307"/>
      <c r="L597" s="54">
        <v>-30305</v>
      </c>
      <c r="M597" s="54">
        <v>-606792</v>
      </c>
      <c r="N597" s="54">
        <v>-28000</v>
      </c>
      <c r="O597" s="20">
        <f>VLOOKUP(A597,TB!A:F,3)</f>
        <v>-28229.96</v>
      </c>
      <c r="P597" s="147">
        <f>O597</f>
        <v>-28229.96</v>
      </c>
      <c r="Q597" s="147">
        <v>-30000</v>
      </c>
      <c r="R597" s="54">
        <f>VLOOKUP(A597,TB!A:F,6)</f>
        <v>-30000</v>
      </c>
      <c r="S597" s="54">
        <f t="shared" ref="S597:S605" si="389">R597-Q597</f>
        <v>0</v>
      </c>
    </row>
    <row r="598" spans="1:28" ht="15.75" hidden="1" customHeight="1" x14ac:dyDescent="0.25">
      <c r="A598" s="51" t="s">
        <v>1300</v>
      </c>
      <c r="B598" s="51" t="s">
        <v>1299</v>
      </c>
      <c r="C598" s="287"/>
      <c r="D598" s="97">
        <v>0</v>
      </c>
      <c r="E598" s="160">
        <v>0</v>
      </c>
      <c r="F598" s="160">
        <v>0</v>
      </c>
      <c r="G598" s="160">
        <v>0</v>
      </c>
      <c r="H598" s="296">
        <f t="shared" si="387"/>
        <v>0</v>
      </c>
      <c r="I598" s="147">
        <f t="shared" si="388"/>
        <v>-25000</v>
      </c>
      <c r="J598" s="97"/>
      <c r="K598" s="287"/>
      <c r="L598" s="51">
        <v>0</v>
      </c>
      <c r="M598" s="51">
        <v>0</v>
      </c>
      <c r="N598" s="54">
        <v>-25000</v>
      </c>
      <c r="O598" s="20">
        <f>VLOOKUP(A598,TB!A:F,3)</f>
        <v>0</v>
      </c>
      <c r="P598" s="308">
        <f t="shared" ref="P598:P605" si="390">N598</f>
        <v>-25000</v>
      </c>
      <c r="Q598" s="147">
        <v>-25000</v>
      </c>
      <c r="R598" s="54">
        <f>P598</f>
        <v>-25000</v>
      </c>
      <c r="S598" s="54">
        <f t="shared" si="389"/>
        <v>0</v>
      </c>
    </row>
    <row r="599" spans="1:28" ht="15.75" hidden="1" customHeight="1" x14ac:dyDescent="0.25">
      <c r="A599" s="51" t="s">
        <v>1301</v>
      </c>
      <c r="B599" s="51" t="s">
        <v>1302</v>
      </c>
      <c r="C599" s="287"/>
      <c r="D599" s="97">
        <v>-20</v>
      </c>
      <c r="E599" s="160">
        <v>0</v>
      </c>
      <c r="F599" s="160">
        <v>0</v>
      </c>
      <c r="G599" s="160">
        <v>0</v>
      </c>
      <c r="H599" s="296">
        <f t="shared" si="387"/>
        <v>0</v>
      </c>
      <c r="I599" s="147">
        <f t="shared" si="388"/>
        <v>-20000</v>
      </c>
      <c r="J599" s="97"/>
      <c r="K599" s="287"/>
      <c r="L599" s="51">
        <v>0</v>
      </c>
      <c r="M599" s="51">
        <v>0</v>
      </c>
      <c r="N599" s="54">
        <v>-30000</v>
      </c>
      <c r="O599" s="20">
        <f>VLOOKUP(A599,TB!A:F,3)</f>
        <v>0</v>
      </c>
      <c r="P599" s="308">
        <f t="shared" si="390"/>
        <v>-30000</v>
      </c>
      <c r="Q599" s="147">
        <v>-20000</v>
      </c>
      <c r="R599" s="54">
        <f>VLOOKUP(A599,TB!A:F,6)</f>
        <v>-20000</v>
      </c>
      <c r="S599" s="54">
        <f t="shared" si="389"/>
        <v>0</v>
      </c>
    </row>
    <row r="600" spans="1:28" ht="15.75" hidden="1" customHeight="1" x14ac:dyDescent="0.25">
      <c r="A600" s="51" t="s">
        <v>1303</v>
      </c>
      <c r="B600" s="51" t="s">
        <v>1304</v>
      </c>
      <c r="C600" s="307"/>
      <c r="D600" s="147">
        <v>-5660</v>
      </c>
      <c r="E600" s="160">
        <v>0</v>
      </c>
      <c r="F600" s="160">
        <v>0</v>
      </c>
      <c r="G600" s="160">
        <v>0</v>
      </c>
      <c r="H600" s="296">
        <f t="shared" si="387"/>
        <v>0</v>
      </c>
      <c r="I600" s="147">
        <f t="shared" si="388"/>
        <v>-10000</v>
      </c>
      <c r="J600" s="97"/>
      <c r="K600" s="307"/>
      <c r="L600" s="54">
        <v>-10398</v>
      </c>
      <c r="M600" s="54">
        <v>-9705.7000000000007</v>
      </c>
      <c r="N600" s="54">
        <v>-8000</v>
      </c>
      <c r="O600" s="20">
        <f>VLOOKUP(A600,TB!A:F,3)</f>
        <v>-6916.9</v>
      </c>
      <c r="P600" s="147">
        <f t="shared" si="390"/>
        <v>-8000</v>
      </c>
      <c r="Q600" s="147">
        <v>-10000</v>
      </c>
      <c r="R600" s="54">
        <f>VLOOKUP(A600,TB!A:F,6)</f>
        <v>-10000</v>
      </c>
      <c r="S600" s="54">
        <f t="shared" si="389"/>
        <v>0</v>
      </c>
    </row>
    <row r="601" spans="1:28" ht="15.75" hidden="1" customHeight="1" x14ac:dyDescent="0.25">
      <c r="A601" s="51" t="s">
        <v>1305</v>
      </c>
      <c r="B601" s="51" t="s">
        <v>1306</v>
      </c>
      <c r="C601" s="307"/>
      <c r="D601" s="147">
        <v>-3950</v>
      </c>
      <c r="E601" s="160">
        <v>0</v>
      </c>
      <c r="F601" s="160">
        <v>0</v>
      </c>
      <c r="G601" s="160">
        <v>0</v>
      </c>
      <c r="H601" s="296">
        <f t="shared" si="387"/>
        <v>0</v>
      </c>
      <c r="I601" s="147">
        <f t="shared" si="388"/>
        <v>-12000</v>
      </c>
      <c r="J601" s="97"/>
      <c r="K601" s="307"/>
      <c r="L601" s="54">
        <v>-12650</v>
      </c>
      <c r="M601" s="54">
        <v>-14600</v>
      </c>
      <c r="N601" s="54">
        <v>-12000</v>
      </c>
      <c r="O601" s="20">
        <f>VLOOKUP(A601,TB!A:F,3)</f>
        <v>-7800</v>
      </c>
      <c r="P601" s="147">
        <f t="shared" si="390"/>
        <v>-12000</v>
      </c>
      <c r="Q601" s="147">
        <v>-12000</v>
      </c>
      <c r="R601" s="54">
        <f>VLOOKUP(A601,TB!A:F,6)</f>
        <v>-12000</v>
      </c>
      <c r="S601" s="54">
        <f t="shared" si="389"/>
        <v>0</v>
      </c>
    </row>
    <row r="602" spans="1:28" ht="15.75" hidden="1" customHeight="1" x14ac:dyDescent="0.25">
      <c r="A602" s="51" t="s">
        <v>1307</v>
      </c>
      <c r="B602" s="51" t="s">
        <v>1308</v>
      </c>
      <c r="C602" s="287"/>
      <c r="D602" s="97">
        <v>0</v>
      </c>
      <c r="E602" s="160">
        <v>0</v>
      </c>
      <c r="F602" s="160">
        <v>0</v>
      </c>
      <c r="G602" s="160">
        <v>0</v>
      </c>
      <c r="H602" s="296">
        <f t="shared" si="387"/>
        <v>0</v>
      </c>
      <c r="I602" s="147">
        <f t="shared" si="388"/>
        <v>-22000</v>
      </c>
      <c r="J602" s="97"/>
      <c r="K602" s="287"/>
      <c r="L602" s="54">
        <v>-23925</v>
      </c>
      <c r="M602" s="54">
        <v>-22150</v>
      </c>
      <c r="N602" s="54">
        <v>-22000</v>
      </c>
      <c r="O602" s="20">
        <f>VLOOKUP(A602,TB!A:F,3)</f>
        <v>-16100</v>
      </c>
      <c r="P602" s="147">
        <f t="shared" si="390"/>
        <v>-22000</v>
      </c>
      <c r="Q602" s="147">
        <v>-22000</v>
      </c>
      <c r="R602" s="54">
        <f>VLOOKUP(A602,TB!A:F,6)</f>
        <v>-22000</v>
      </c>
      <c r="S602" s="54">
        <f t="shared" si="389"/>
        <v>0</v>
      </c>
    </row>
    <row r="603" spans="1:28" ht="15.75" hidden="1" customHeight="1" x14ac:dyDescent="0.25">
      <c r="A603" s="51" t="s">
        <v>1309</v>
      </c>
      <c r="B603" s="51" t="s">
        <v>1310</v>
      </c>
      <c r="C603" s="307"/>
      <c r="D603" s="147">
        <v>-85500</v>
      </c>
      <c r="E603" s="160">
        <v>0</v>
      </c>
      <c r="F603" s="160">
        <v>0</v>
      </c>
      <c r="G603" s="160">
        <v>0</v>
      </c>
      <c r="H603" s="296">
        <f t="shared" si="387"/>
        <v>0</v>
      </c>
      <c r="I603" s="147">
        <f t="shared" si="388"/>
        <v>0</v>
      </c>
      <c r="J603" s="97"/>
      <c r="K603" s="307"/>
      <c r="L603" s="54">
        <v>-132476</v>
      </c>
      <c r="M603" s="54">
        <v>-184012.24</v>
      </c>
      <c r="N603" s="51">
        <v>0</v>
      </c>
      <c r="O603" s="20">
        <f>VLOOKUP(A603,TB!A:F,3)</f>
        <v>0</v>
      </c>
      <c r="P603" s="147">
        <f t="shared" si="390"/>
        <v>0</v>
      </c>
      <c r="Q603" s="97">
        <v>0</v>
      </c>
      <c r="R603" s="54">
        <f>VLOOKUP(A603,TB!A:F,6)</f>
        <v>0</v>
      </c>
      <c r="S603" s="54">
        <f t="shared" si="389"/>
        <v>0</v>
      </c>
    </row>
    <row r="604" spans="1:28" ht="15.75" hidden="1" customHeight="1" x14ac:dyDescent="0.25">
      <c r="A604" s="83" t="s">
        <v>1311</v>
      </c>
      <c r="B604" s="83" t="s">
        <v>1312</v>
      </c>
      <c r="C604" s="287"/>
      <c r="D604" s="97">
        <v>0</v>
      </c>
      <c r="E604" s="160">
        <v>0</v>
      </c>
      <c r="F604" s="160">
        <v>0</v>
      </c>
      <c r="G604" s="160">
        <v>0</v>
      </c>
      <c r="H604" s="296">
        <f t="shared" si="387"/>
        <v>0</v>
      </c>
      <c r="I604" s="147">
        <f t="shared" si="388"/>
        <v>-920000</v>
      </c>
      <c r="J604" s="97"/>
      <c r="K604" s="287"/>
      <c r="L604" s="83">
        <v>0</v>
      </c>
      <c r="M604" s="83">
        <v>0</v>
      </c>
      <c r="N604" s="81">
        <v>-798775</v>
      </c>
      <c r="O604" s="20">
        <f>VLOOKUP(A604,TB!A:F,3)</f>
        <v>0</v>
      </c>
      <c r="P604" s="308">
        <f t="shared" si="390"/>
        <v>-798775</v>
      </c>
      <c r="Q604" s="147">
        <v>-920000</v>
      </c>
      <c r="R604" s="54">
        <f>VLOOKUP(A604,TB!A:F,6)</f>
        <v>-920000</v>
      </c>
      <c r="S604" s="54">
        <f t="shared" si="389"/>
        <v>0</v>
      </c>
    </row>
    <row r="605" spans="1:28" ht="15.75" hidden="1" customHeight="1" x14ac:dyDescent="0.25">
      <c r="A605" s="83" t="s">
        <v>1313</v>
      </c>
      <c r="B605" s="83" t="s">
        <v>1310</v>
      </c>
      <c r="C605" s="287"/>
      <c r="D605" s="97">
        <v>0</v>
      </c>
      <c r="E605" s="160">
        <v>0</v>
      </c>
      <c r="F605" s="160">
        <v>0</v>
      </c>
      <c r="G605" s="160">
        <v>0</v>
      </c>
      <c r="H605" s="296">
        <f t="shared" si="387"/>
        <v>0</v>
      </c>
      <c r="I605" s="147">
        <f t="shared" si="388"/>
        <v>-2760000</v>
      </c>
      <c r="J605" s="97"/>
      <c r="K605" s="287"/>
      <c r="L605" s="83">
        <v>0</v>
      </c>
      <c r="M605" s="83">
        <v>0</v>
      </c>
      <c r="N605" s="81">
        <v>-272025</v>
      </c>
      <c r="O605" s="20">
        <f>VLOOKUP(A605,TB!A:F,3)</f>
        <v>0</v>
      </c>
      <c r="P605" s="308">
        <f t="shared" si="390"/>
        <v>-272025</v>
      </c>
      <c r="Q605" s="147">
        <v>-2760000</v>
      </c>
      <c r="R605" s="54">
        <f>VLOOKUP(A605,TB!A:F,6)</f>
        <v>-2760000</v>
      </c>
      <c r="S605" s="54">
        <f t="shared" si="389"/>
        <v>0</v>
      </c>
    </row>
    <row r="606" spans="1:28" ht="15.75" hidden="1" customHeight="1" x14ac:dyDescent="0.2">
      <c r="A606" s="239" t="s">
        <v>189</v>
      </c>
      <c r="B606" s="75"/>
      <c r="C606" s="299"/>
      <c r="D606" s="189">
        <f t="shared" ref="D606:G606" si="391">SUM(D597:D605)</f>
        <v>-102130</v>
      </c>
      <c r="E606" s="189" t="e">
        <f t="shared" si="391"/>
        <v>#REF!</v>
      </c>
      <c r="F606" s="189" t="e">
        <f t="shared" si="391"/>
        <v>#REF!</v>
      </c>
      <c r="G606" s="189" t="e">
        <f t="shared" si="391"/>
        <v>#REF!</v>
      </c>
      <c r="H606" s="300">
        <f t="shared" si="387"/>
        <v>0</v>
      </c>
      <c r="I606" s="189" t="e">
        <f t="shared" si="388"/>
        <v>#REF!</v>
      </c>
      <c r="J606" s="189">
        <f>SUM(J597:J605)</f>
        <v>0</v>
      </c>
      <c r="K606" s="299"/>
      <c r="L606" s="77">
        <f t="shared" ref="L606:S606" si="392">SUM(L597:L605)</f>
        <v>-209754</v>
      </c>
      <c r="M606" s="77">
        <f t="shared" si="392"/>
        <v>-837259.94</v>
      </c>
      <c r="N606" s="77">
        <f t="shared" si="392"/>
        <v>-1195800</v>
      </c>
      <c r="O606" s="77">
        <f t="shared" si="392"/>
        <v>-59046.86</v>
      </c>
      <c r="P606" s="189">
        <f t="shared" si="392"/>
        <v>-1196029.96</v>
      </c>
      <c r="Q606" s="189">
        <f t="shared" si="392"/>
        <v>-3799000</v>
      </c>
      <c r="R606" s="77">
        <f t="shared" si="392"/>
        <v>-3799000</v>
      </c>
      <c r="S606" s="77">
        <f t="shared" si="392"/>
        <v>0</v>
      </c>
    </row>
    <row r="607" spans="1:28" ht="15.75" hidden="1" customHeight="1" x14ac:dyDescent="0.2">
      <c r="C607" s="287"/>
      <c r="K607" s="287"/>
    </row>
    <row r="608" spans="1:28" ht="15.75" hidden="1" customHeight="1" x14ac:dyDescent="0.2">
      <c r="A608" s="69" t="s">
        <v>190</v>
      </c>
      <c r="B608" s="51"/>
      <c r="C608" s="309"/>
      <c r="D608" s="193">
        <f t="shared" ref="D608:G608" si="393">D594+D606</f>
        <v>259087</v>
      </c>
      <c r="E608" s="193" t="e">
        <f t="shared" si="393"/>
        <v>#REF!</v>
      </c>
      <c r="F608" s="193" t="e">
        <f t="shared" si="393"/>
        <v>#REF!</v>
      </c>
      <c r="G608" s="193" t="e">
        <f t="shared" si="393"/>
        <v>#REF!</v>
      </c>
      <c r="H608" s="310">
        <f>IFERROR(((Q608-G608)/G608),0)</f>
        <v>0</v>
      </c>
      <c r="I608" s="193" t="e">
        <f>Q608-G608</f>
        <v>#REF!</v>
      </c>
      <c r="J608" s="193">
        <f>J606+J599</f>
        <v>0</v>
      </c>
      <c r="K608" s="309"/>
      <c r="L608" s="245">
        <f t="shared" ref="L608:S608" si="394">L594+L606</f>
        <v>527015</v>
      </c>
      <c r="M608" s="245">
        <f t="shared" si="394"/>
        <v>-78929.089999999967</v>
      </c>
      <c r="N608" s="245">
        <f t="shared" si="394"/>
        <v>2815737</v>
      </c>
      <c r="O608" s="245">
        <f t="shared" si="394"/>
        <v>371457.67000000004</v>
      </c>
      <c r="P608" s="193">
        <f t="shared" si="394"/>
        <v>2350167.3196666669</v>
      </c>
      <c r="Q608" s="193">
        <f t="shared" si="394"/>
        <v>1241800</v>
      </c>
      <c r="R608" s="245">
        <f t="shared" si="394"/>
        <v>1222900</v>
      </c>
      <c r="S608" s="245">
        <f t="shared" si="394"/>
        <v>-18900</v>
      </c>
      <c r="V608" s="56"/>
      <c r="W608" s="56"/>
      <c r="X608" s="56"/>
      <c r="Y608" s="56"/>
      <c r="Z608" s="56"/>
      <c r="AA608" s="56"/>
    </row>
    <row r="609" spans="3:19" ht="15.75" hidden="1" customHeight="1" x14ac:dyDescent="0.2">
      <c r="C609" s="287"/>
      <c r="K609" s="287"/>
    </row>
    <row r="610" spans="3:19" ht="15.75" hidden="1" customHeight="1" x14ac:dyDescent="0.2">
      <c r="C610" s="287"/>
      <c r="K610" s="287"/>
    </row>
    <row r="611" spans="3:19" ht="15.75" hidden="1" customHeight="1" x14ac:dyDescent="0.2">
      <c r="C611" s="288"/>
      <c r="K611" s="288"/>
      <c r="L611" s="61">
        <f t="shared" ref="L611:R611" si="395">L1</f>
        <v>0</v>
      </c>
      <c r="M611" s="61">
        <f t="shared" si="395"/>
        <v>0</v>
      </c>
      <c r="N611" s="61">
        <f t="shared" si="395"/>
        <v>0</v>
      </c>
      <c r="O611" s="61">
        <f t="shared" si="395"/>
        <v>0</v>
      </c>
      <c r="P611" s="61">
        <f t="shared" si="395"/>
        <v>0</v>
      </c>
      <c r="Q611" s="61">
        <f t="shared" si="395"/>
        <v>0</v>
      </c>
      <c r="R611" s="61">
        <f t="shared" si="395"/>
        <v>0</v>
      </c>
      <c r="S611" s="57"/>
    </row>
    <row r="612" spans="3:19" ht="15.75" hidden="1" customHeight="1" x14ac:dyDescent="0.2">
      <c r="C612" s="289"/>
      <c r="K612" s="289"/>
      <c r="L612" s="63">
        <f t="shared" ref="L612:R612" si="396">L608</f>
        <v>527015</v>
      </c>
      <c r="M612" s="63">
        <f t="shared" si="396"/>
        <v>-78929.089999999967</v>
      </c>
      <c r="N612" s="63">
        <f t="shared" si="396"/>
        <v>2815737</v>
      </c>
      <c r="O612" s="63">
        <f t="shared" si="396"/>
        <v>371457.67000000004</v>
      </c>
      <c r="P612" s="63">
        <f t="shared" si="396"/>
        <v>2350167.3196666669</v>
      </c>
      <c r="Q612" s="63">
        <f t="shared" si="396"/>
        <v>1241800</v>
      </c>
      <c r="R612" s="63">
        <f t="shared" si="396"/>
        <v>1222900</v>
      </c>
      <c r="S612" s="51"/>
    </row>
    <row r="613" spans="3:19" ht="15.75" hidden="1" customHeight="1" x14ac:dyDescent="0.2">
      <c r="C613" s="287"/>
      <c r="K613" s="287"/>
    </row>
    <row r="614" spans="3:19" ht="15.75" hidden="1" customHeight="1" x14ac:dyDescent="0.2">
      <c r="C614" s="287"/>
      <c r="K614" s="287"/>
    </row>
    <row r="615" spans="3:19" ht="15.75" hidden="1" customHeight="1" x14ac:dyDescent="0.2">
      <c r="C615" s="287"/>
      <c r="K615" s="287"/>
    </row>
    <row r="616" spans="3:19" ht="15.75" hidden="1" customHeight="1" x14ac:dyDescent="0.2">
      <c r="C616" s="287"/>
      <c r="K616" s="287"/>
    </row>
    <row r="617" spans="3:19" ht="15.75" hidden="1" customHeight="1" x14ac:dyDescent="0.2">
      <c r="C617" s="287"/>
      <c r="K617" s="287"/>
    </row>
    <row r="618" spans="3:19" ht="15.75" hidden="1" customHeight="1" x14ac:dyDescent="0.2">
      <c r="C618" s="287"/>
      <c r="K618" s="287"/>
    </row>
    <row r="619" spans="3:19" ht="15.75" hidden="1" customHeight="1" x14ac:dyDescent="0.2">
      <c r="C619" s="287"/>
      <c r="K619" s="287"/>
    </row>
    <row r="620" spans="3:19" ht="15.75" hidden="1" customHeight="1" x14ac:dyDescent="0.2">
      <c r="C620" s="287"/>
      <c r="K620" s="287"/>
    </row>
    <row r="621" spans="3:19" ht="15.75" hidden="1" customHeight="1" x14ac:dyDescent="0.2">
      <c r="C621" s="287"/>
      <c r="K621" s="287"/>
    </row>
    <row r="622" spans="3:19" ht="15.75" hidden="1" customHeight="1" x14ac:dyDescent="0.2">
      <c r="C622" s="287"/>
      <c r="K622" s="287"/>
    </row>
    <row r="623" spans="3:19" ht="15.75" hidden="1" customHeight="1" x14ac:dyDescent="0.2">
      <c r="C623" s="287"/>
      <c r="K623" s="287"/>
    </row>
    <row r="624" spans="3:19" ht="15.75" hidden="1" customHeight="1" x14ac:dyDescent="0.2">
      <c r="C624" s="287"/>
      <c r="K624" s="287"/>
    </row>
    <row r="625" spans="3:11" ht="15.75" hidden="1" customHeight="1" x14ac:dyDescent="0.2">
      <c r="C625" s="287"/>
      <c r="K625" s="287"/>
    </row>
    <row r="626" spans="3:11" ht="15.75" hidden="1" customHeight="1" x14ac:dyDescent="0.2">
      <c r="C626" s="287"/>
      <c r="K626" s="287"/>
    </row>
    <row r="627" spans="3:11" ht="15.75" hidden="1" customHeight="1" x14ac:dyDescent="0.2">
      <c r="C627" s="287"/>
      <c r="K627" s="287"/>
    </row>
    <row r="628" spans="3:11" ht="15.75" hidden="1" customHeight="1" x14ac:dyDescent="0.2">
      <c r="C628" s="287"/>
      <c r="K628" s="287"/>
    </row>
    <row r="629" spans="3:11" ht="15.75" hidden="1" customHeight="1" x14ac:dyDescent="0.2">
      <c r="C629" s="287"/>
      <c r="K629" s="287"/>
    </row>
    <row r="630" spans="3:11" ht="15.75" hidden="1" customHeight="1" x14ac:dyDescent="0.2">
      <c r="C630" s="287"/>
      <c r="K630" s="287"/>
    </row>
    <row r="631" spans="3:11" ht="15.75" hidden="1" customHeight="1" x14ac:dyDescent="0.2">
      <c r="C631" s="287"/>
      <c r="K631" s="287"/>
    </row>
    <row r="632" spans="3:11" ht="15.75" hidden="1" customHeight="1" x14ac:dyDescent="0.2">
      <c r="C632" s="287"/>
      <c r="K632" s="287"/>
    </row>
    <row r="633" spans="3:11" ht="15.75" hidden="1" customHeight="1" x14ac:dyDescent="0.2">
      <c r="C633" s="287"/>
      <c r="K633" s="287"/>
    </row>
    <row r="634" spans="3:11" ht="15.75" hidden="1" customHeight="1" x14ac:dyDescent="0.2">
      <c r="C634" s="287"/>
      <c r="K634" s="287"/>
    </row>
    <row r="635" spans="3:11" ht="15.75" hidden="1" customHeight="1" x14ac:dyDescent="0.2">
      <c r="C635" s="287"/>
      <c r="K635" s="287"/>
    </row>
    <row r="636" spans="3:11" ht="15.75" hidden="1" customHeight="1" x14ac:dyDescent="0.2">
      <c r="C636" s="287"/>
      <c r="K636" s="287"/>
    </row>
    <row r="637" spans="3:11" ht="15.75" hidden="1" customHeight="1" x14ac:dyDescent="0.2">
      <c r="C637" s="287"/>
      <c r="K637" s="287"/>
    </row>
    <row r="638" spans="3:11" ht="15.75" hidden="1" customHeight="1" x14ac:dyDescent="0.2">
      <c r="C638" s="287"/>
      <c r="K638" s="287"/>
    </row>
    <row r="639" spans="3:11" ht="15.75" hidden="1" customHeight="1" x14ac:dyDescent="0.2">
      <c r="C639" s="287"/>
      <c r="K639" s="287"/>
    </row>
    <row r="640" spans="3:11" ht="15.75" hidden="1" customHeight="1" x14ac:dyDescent="0.2">
      <c r="C640" s="287"/>
      <c r="K640" s="287"/>
    </row>
    <row r="641" spans="3:11" ht="15.75" hidden="1" customHeight="1" x14ac:dyDescent="0.2">
      <c r="C641" s="287"/>
      <c r="K641" s="287"/>
    </row>
    <row r="642" spans="3:11" ht="15.75" hidden="1" customHeight="1" x14ac:dyDescent="0.2">
      <c r="C642" s="287"/>
      <c r="K642" s="287"/>
    </row>
    <row r="643" spans="3:11" ht="15.75" hidden="1" customHeight="1" x14ac:dyDescent="0.2">
      <c r="C643" s="287"/>
      <c r="K643" s="287"/>
    </row>
    <row r="644" spans="3:11" ht="15.75" hidden="1" customHeight="1" x14ac:dyDescent="0.2">
      <c r="C644" s="287"/>
      <c r="K644" s="287"/>
    </row>
    <row r="645" spans="3:11" ht="15.75" hidden="1" customHeight="1" x14ac:dyDescent="0.2">
      <c r="C645" s="287"/>
      <c r="K645" s="287"/>
    </row>
    <row r="646" spans="3:11" ht="15.75" hidden="1" customHeight="1" x14ac:dyDescent="0.2">
      <c r="C646" s="287"/>
      <c r="K646" s="287"/>
    </row>
    <row r="647" spans="3:11" ht="15.75" hidden="1" customHeight="1" x14ac:dyDescent="0.2">
      <c r="C647" s="287"/>
      <c r="K647" s="287"/>
    </row>
    <row r="648" spans="3:11" ht="15.75" hidden="1" customHeight="1" x14ac:dyDescent="0.2">
      <c r="C648" s="287"/>
      <c r="K648" s="287"/>
    </row>
    <row r="649" spans="3:11" ht="15.75" hidden="1" customHeight="1" x14ac:dyDescent="0.2">
      <c r="C649" s="287"/>
      <c r="K649" s="287"/>
    </row>
    <row r="650" spans="3:11" ht="15.75" hidden="1" customHeight="1" x14ac:dyDescent="0.2">
      <c r="C650" s="287"/>
      <c r="K650" s="287"/>
    </row>
    <row r="651" spans="3:11" ht="15.75" hidden="1" customHeight="1" x14ac:dyDescent="0.2">
      <c r="C651" s="287"/>
      <c r="K651" s="287"/>
    </row>
    <row r="652" spans="3:11" ht="15.75" hidden="1" customHeight="1" x14ac:dyDescent="0.2">
      <c r="C652" s="287"/>
      <c r="K652" s="287"/>
    </row>
    <row r="653" spans="3:11" ht="15.75" hidden="1" customHeight="1" x14ac:dyDescent="0.2">
      <c r="C653" s="287"/>
      <c r="K653" s="287"/>
    </row>
    <row r="654" spans="3:11" ht="15.75" hidden="1" customHeight="1" x14ac:dyDescent="0.2">
      <c r="C654" s="287"/>
      <c r="K654" s="287"/>
    </row>
    <row r="655" spans="3:11" ht="15.75" hidden="1" customHeight="1" x14ac:dyDescent="0.2">
      <c r="C655" s="287"/>
      <c r="K655" s="287"/>
    </row>
    <row r="656" spans="3:11" ht="15.75" hidden="1" customHeight="1" x14ac:dyDescent="0.2">
      <c r="C656" s="287"/>
      <c r="K656" s="287"/>
    </row>
    <row r="657" spans="3:11" ht="15.75" hidden="1" customHeight="1" x14ac:dyDescent="0.2">
      <c r="C657" s="287"/>
      <c r="K657" s="287"/>
    </row>
    <row r="658" spans="3:11" ht="15.75" hidden="1" customHeight="1" x14ac:dyDescent="0.2">
      <c r="C658" s="287"/>
      <c r="K658" s="287"/>
    </row>
    <row r="659" spans="3:11" ht="15.75" hidden="1" customHeight="1" x14ac:dyDescent="0.2">
      <c r="C659" s="287"/>
      <c r="K659" s="287"/>
    </row>
    <row r="660" spans="3:11" ht="15.75" hidden="1" customHeight="1" x14ac:dyDescent="0.2">
      <c r="C660" s="287"/>
      <c r="K660" s="287"/>
    </row>
    <row r="661" spans="3:11" ht="15.75" hidden="1" customHeight="1" x14ac:dyDescent="0.2">
      <c r="C661" s="287"/>
      <c r="K661" s="287"/>
    </row>
    <row r="662" spans="3:11" ht="15.75" hidden="1" customHeight="1" x14ac:dyDescent="0.2">
      <c r="C662" s="287"/>
      <c r="K662" s="287"/>
    </row>
    <row r="663" spans="3:11" ht="15.75" hidden="1" customHeight="1" x14ac:dyDescent="0.2">
      <c r="C663" s="287"/>
      <c r="K663" s="287"/>
    </row>
    <row r="664" spans="3:11" ht="15.75" hidden="1" customHeight="1" x14ac:dyDescent="0.2">
      <c r="C664" s="287"/>
      <c r="K664" s="287"/>
    </row>
    <row r="665" spans="3:11" ht="15.75" hidden="1" customHeight="1" x14ac:dyDescent="0.2">
      <c r="C665" s="287"/>
      <c r="K665" s="287"/>
    </row>
    <row r="666" spans="3:11" ht="15.75" hidden="1" customHeight="1" x14ac:dyDescent="0.2">
      <c r="C666" s="287"/>
      <c r="K666" s="287"/>
    </row>
    <row r="667" spans="3:11" ht="15.75" hidden="1" customHeight="1" x14ac:dyDescent="0.2">
      <c r="C667" s="287"/>
      <c r="K667" s="287"/>
    </row>
    <row r="668" spans="3:11" ht="15.75" hidden="1" customHeight="1" x14ac:dyDescent="0.2">
      <c r="C668" s="287"/>
      <c r="K668" s="287"/>
    </row>
    <row r="669" spans="3:11" ht="15.75" hidden="1" customHeight="1" x14ac:dyDescent="0.2">
      <c r="C669" s="287"/>
      <c r="K669" s="287"/>
    </row>
    <row r="670" spans="3:11" ht="15.75" hidden="1" customHeight="1" x14ac:dyDescent="0.2">
      <c r="C670" s="287"/>
      <c r="K670" s="287"/>
    </row>
    <row r="671" spans="3:11" ht="15.75" hidden="1" customHeight="1" x14ac:dyDescent="0.2">
      <c r="C671" s="287"/>
      <c r="K671" s="287"/>
    </row>
    <row r="672" spans="3:11" ht="15.75" hidden="1" customHeight="1" x14ac:dyDescent="0.2">
      <c r="C672" s="287"/>
      <c r="K672" s="287"/>
    </row>
    <row r="673" spans="3:11" ht="15.75" hidden="1" customHeight="1" x14ac:dyDescent="0.2">
      <c r="C673" s="287"/>
      <c r="K673" s="287"/>
    </row>
    <row r="674" spans="3:11" ht="15.75" hidden="1" customHeight="1" x14ac:dyDescent="0.2">
      <c r="C674" s="287"/>
      <c r="K674" s="287"/>
    </row>
    <row r="675" spans="3:11" ht="15.75" hidden="1" customHeight="1" x14ac:dyDescent="0.2">
      <c r="C675" s="287"/>
      <c r="K675" s="287"/>
    </row>
    <row r="676" spans="3:11" ht="15.75" hidden="1" customHeight="1" x14ac:dyDescent="0.2">
      <c r="C676" s="287"/>
      <c r="K676" s="287"/>
    </row>
    <row r="677" spans="3:11" ht="15.75" hidden="1" customHeight="1" x14ac:dyDescent="0.2">
      <c r="C677" s="287"/>
      <c r="K677" s="287"/>
    </row>
    <row r="678" spans="3:11" ht="15.75" hidden="1" customHeight="1" x14ac:dyDescent="0.2">
      <c r="C678" s="287"/>
      <c r="K678" s="287"/>
    </row>
    <row r="679" spans="3:11" ht="15.75" hidden="1" customHeight="1" x14ac:dyDescent="0.2">
      <c r="C679" s="287"/>
      <c r="K679" s="287"/>
    </row>
    <row r="680" spans="3:11" ht="15.75" hidden="1" customHeight="1" x14ac:dyDescent="0.2">
      <c r="C680" s="287"/>
      <c r="K680" s="287"/>
    </row>
    <row r="681" spans="3:11" ht="15.75" hidden="1" customHeight="1" x14ac:dyDescent="0.2">
      <c r="C681" s="287"/>
      <c r="K681" s="287"/>
    </row>
    <row r="682" spans="3:11" ht="15.75" hidden="1" customHeight="1" x14ac:dyDescent="0.2">
      <c r="C682" s="287"/>
      <c r="K682" s="287"/>
    </row>
    <row r="683" spans="3:11" ht="15.75" hidden="1" customHeight="1" x14ac:dyDescent="0.2">
      <c r="C683" s="287"/>
      <c r="K683" s="287"/>
    </row>
    <row r="684" spans="3:11" ht="15.75" hidden="1" customHeight="1" x14ac:dyDescent="0.2">
      <c r="C684" s="287"/>
      <c r="K684" s="287"/>
    </row>
    <row r="685" spans="3:11" ht="15.75" hidden="1" customHeight="1" x14ac:dyDescent="0.2">
      <c r="C685" s="287"/>
      <c r="K685" s="287"/>
    </row>
    <row r="686" spans="3:11" ht="15.75" hidden="1" customHeight="1" x14ac:dyDescent="0.2">
      <c r="C686" s="287"/>
      <c r="K686" s="287"/>
    </row>
    <row r="687" spans="3:11" ht="15.75" hidden="1" customHeight="1" x14ac:dyDescent="0.2">
      <c r="C687" s="287"/>
      <c r="K687" s="287"/>
    </row>
    <row r="688" spans="3:11" ht="15.75" hidden="1" customHeight="1" x14ac:dyDescent="0.2">
      <c r="C688" s="287"/>
      <c r="K688" s="287"/>
    </row>
    <row r="689" spans="3:11" ht="15.75" hidden="1" customHeight="1" x14ac:dyDescent="0.2">
      <c r="C689" s="287"/>
      <c r="K689" s="287"/>
    </row>
    <row r="690" spans="3:11" ht="15.75" hidden="1" customHeight="1" x14ac:dyDescent="0.2">
      <c r="C690" s="287"/>
      <c r="K690" s="287"/>
    </row>
    <row r="691" spans="3:11" ht="15.75" hidden="1" customHeight="1" x14ac:dyDescent="0.2">
      <c r="C691" s="287"/>
      <c r="K691" s="287"/>
    </row>
    <row r="692" spans="3:11" ht="15.75" hidden="1" customHeight="1" x14ac:dyDescent="0.2">
      <c r="C692" s="287"/>
      <c r="K692" s="287"/>
    </row>
    <row r="693" spans="3:11" ht="15.75" hidden="1" customHeight="1" x14ac:dyDescent="0.2">
      <c r="C693" s="287"/>
      <c r="K693" s="287"/>
    </row>
    <row r="694" spans="3:11" ht="15.75" hidden="1" customHeight="1" x14ac:dyDescent="0.2">
      <c r="C694" s="287"/>
      <c r="K694" s="287"/>
    </row>
    <row r="695" spans="3:11" ht="15.75" hidden="1" customHeight="1" x14ac:dyDescent="0.2">
      <c r="C695" s="287"/>
      <c r="K695" s="287"/>
    </row>
    <row r="696" spans="3:11" ht="15.75" hidden="1" customHeight="1" x14ac:dyDescent="0.2">
      <c r="C696" s="287"/>
      <c r="K696" s="287"/>
    </row>
    <row r="697" spans="3:11" ht="15.75" hidden="1" customHeight="1" x14ac:dyDescent="0.2">
      <c r="C697" s="287"/>
      <c r="K697" s="287"/>
    </row>
    <row r="698" spans="3:11" ht="15.75" hidden="1" customHeight="1" x14ac:dyDescent="0.2">
      <c r="C698" s="287"/>
      <c r="K698" s="287"/>
    </row>
    <row r="699" spans="3:11" ht="15.75" hidden="1" customHeight="1" x14ac:dyDescent="0.2">
      <c r="C699" s="287"/>
      <c r="K699" s="287"/>
    </row>
    <row r="700" spans="3:11" ht="15.75" hidden="1" customHeight="1" x14ac:dyDescent="0.2">
      <c r="C700" s="287"/>
      <c r="K700" s="287"/>
    </row>
    <row r="701" spans="3:11" ht="15.75" hidden="1" customHeight="1" x14ac:dyDescent="0.2">
      <c r="C701" s="287"/>
      <c r="K701" s="287"/>
    </row>
    <row r="702" spans="3:11" ht="15.75" hidden="1" customHeight="1" x14ac:dyDescent="0.2">
      <c r="C702" s="287"/>
      <c r="K702" s="287"/>
    </row>
    <row r="703" spans="3:11" ht="15.75" hidden="1" customHeight="1" x14ac:dyDescent="0.2">
      <c r="C703" s="287"/>
      <c r="K703" s="287"/>
    </row>
    <row r="704" spans="3:11" ht="15.75" hidden="1" customHeight="1" x14ac:dyDescent="0.2">
      <c r="C704" s="287"/>
      <c r="K704" s="287"/>
    </row>
    <row r="705" spans="3:11" ht="15.75" hidden="1" customHeight="1" x14ac:dyDescent="0.2">
      <c r="C705" s="287"/>
      <c r="K705" s="287"/>
    </row>
    <row r="706" spans="3:11" ht="15.75" hidden="1" customHeight="1" x14ac:dyDescent="0.2">
      <c r="C706" s="287"/>
      <c r="K706" s="287"/>
    </row>
    <row r="707" spans="3:11" ht="15.75" customHeight="1" x14ac:dyDescent="0.2">
      <c r="C707" s="287"/>
      <c r="K707" s="287"/>
    </row>
    <row r="708" spans="3:11" ht="15.75" customHeight="1" x14ac:dyDescent="0.2">
      <c r="C708" s="287"/>
      <c r="K708" s="287"/>
    </row>
    <row r="709" spans="3:11" ht="15.75" customHeight="1" x14ac:dyDescent="0.2">
      <c r="C709" s="287"/>
      <c r="K709" s="287"/>
    </row>
    <row r="710" spans="3:11" ht="15.75" customHeight="1" x14ac:dyDescent="0.2">
      <c r="C710" s="287"/>
      <c r="K710" s="287"/>
    </row>
    <row r="711" spans="3:11" ht="15.75" customHeight="1" x14ac:dyDescent="0.2">
      <c r="C711" s="287"/>
      <c r="K711" s="287"/>
    </row>
    <row r="712" spans="3:11" ht="15.75" customHeight="1" x14ac:dyDescent="0.2">
      <c r="C712" s="287"/>
      <c r="K712" s="287"/>
    </row>
    <row r="713" spans="3:11" ht="15.75" customHeight="1" x14ac:dyDescent="0.2">
      <c r="C713" s="287"/>
      <c r="K713" s="287"/>
    </row>
    <row r="714" spans="3:11" ht="15.75" customHeight="1" x14ac:dyDescent="0.2">
      <c r="C714" s="287"/>
      <c r="K714" s="287"/>
    </row>
    <row r="715" spans="3:11" ht="15.75" customHeight="1" x14ac:dyDescent="0.2">
      <c r="C715" s="287"/>
      <c r="K715" s="287"/>
    </row>
    <row r="716" spans="3:11" ht="15.75" customHeight="1" x14ac:dyDescent="0.2">
      <c r="C716" s="287"/>
      <c r="K716" s="287"/>
    </row>
    <row r="717" spans="3:11" ht="15.75" customHeight="1" x14ac:dyDescent="0.2">
      <c r="C717" s="287"/>
      <c r="K717" s="287"/>
    </row>
    <row r="718" spans="3:11" ht="15.75" customHeight="1" x14ac:dyDescent="0.2">
      <c r="C718" s="287"/>
      <c r="K718" s="287"/>
    </row>
    <row r="719" spans="3:11" ht="15.75" customHeight="1" x14ac:dyDescent="0.2">
      <c r="C719" s="287"/>
      <c r="K719" s="287"/>
    </row>
    <row r="720" spans="3:11" ht="15.75" customHeight="1" x14ac:dyDescent="0.2">
      <c r="C720" s="287"/>
      <c r="K720" s="287"/>
    </row>
    <row r="721" spans="3:11" ht="15.75" customHeight="1" x14ac:dyDescent="0.2">
      <c r="C721" s="287"/>
      <c r="K721" s="287"/>
    </row>
    <row r="722" spans="3:11" ht="15.75" customHeight="1" x14ac:dyDescent="0.2">
      <c r="C722" s="287"/>
      <c r="K722" s="287"/>
    </row>
    <row r="723" spans="3:11" ht="15.75" customHeight="1" x14ac:dyDescent="0.2">
      <c r="C723" s="287"/>
      <c r="K723" s="287"/>
    </row>
    <row r="724" spans="3:11" ht="15.75" customHeight="1" x14ac:dyDescent="0.2">
      <c r="C724" s="287"/>
      <c r="K724" s="287"/>
    </row>
    <row r="725" spans="3:11" ht="15.75" customHeight="1" x14ac:dyDescent="0.2">
      <c r="C725" s="287"/>
      <c r="K725" s="287"/>
    </row>
    <row r="726" spans="3:11" ht="15.75" customHeight="1" x14ac:dyDescent="0.2">
      <c r="C726" s="287"/>
      <c r="K726" s="287"/>
    </row>
    <row r="727" spans="3:11" ht="15.75" customHeight="1" x14ac:dyDescent="0.2">
      <c r="C727" s="287"/>
      <c r="K727" s="287"/>
    </row>
    <row r="728" spans="3:11" ht="15.75" customHeight="1" x14ac:dyDescent="0.2">
      <c r="C728" s="287"/>
      <c r="K728" s="287"/>
    </row>
    <row r="729" spans="3:11" ht="15.75" customHeight="1" x14ac:dyDescent="0.2">
      <c r="C729" s="287"/>
      <c r="K729" s="287"/>
    </row>
    <row r="730" spans="3:11" ht="15.75" customHeight="1" x14ac:dyDescent="0.2">
      <c r="C730" s="287"/>
      <c r="K730" s="287"/>
    </row>
    <row r="731" spans="3:11" ht="15.75" customHeight="1" x14ac:dyDescent="0.2">
      <c r="C731" s="287"/>
      <c r="K731" s="287"/>
    </row>
    <row r="732" spans="3:11" ht="15.75" customHeight="1" x14ac:dyDescent="0.2">
      <c r="C732" s="287"/>
      <c r="K732" s="287"/>
    </row>
    <row r="733" spans="3:11" ht="15.75" customHeight="1" x14ac:dyDescent="0.2">
      <c r="C733" s="287"/>
      <c r="K733" s="287"/>
    </row>
    <row r="734" spans="3:11" ht="15.75" customHeight="1" x14ac:dyDescent="0.2">
      <c r="C734" s="287"/>
      <c r="K734" s="287"/>
    </row>
    <row r="735" spans="3:11" ht="15.75" customHeight="1" x14ac:dyDescent="0.2">
      <c r="C735" s="287"/>
      <c r="K735" s="287"/>
    </row>
    <row r="736" spans="3:11" ht="15.75" customHeight="1" x14ac:dyDescent="0.2">
      <c r="C736" s="287"/>
      <c r="K736" s="287"/>
    </row>
    <row r="737" spans="3:11" ht="15.75" customHeight="1" x14ac:dyDescent="0.2">
      <c r="C737" s="287"/>
      <c r="K737" s="287"/>
    </row>
    <row r="738" spans="3:11" ht="15.75" customHeight="1" x14ac:dyDescent="0.2">
      <c r="C738" s="287"/>
      <c r="K738" s="287"/>
    </row>
    <row r="739" spans="3:11" ht="15.75" customHeight="1" x14ac:dyDescent="0.2">
      <c r="C739" s="287"/>
      <c r="K739" s="287"/>
    </row>
    <row r="740" spans="3:11" ht="15.75" customHeight="1" x14ac:dyDescent="0.2">
      <c r="C740" s="287"/>
      <c r="K740" s="287"/>
    </row>
    <row r="741" spans="3:11" ht="15.75" customHeight="1" x14ac:dyDescent="0.2">
      <c r="C741" s="287"/>
      <c r="K741" s="287"/>
    </row>
    <row r="742" spans="3:11" ht="15.75" customHeight="1" x14ac:dyDescent="0.2">
      <c r="C742" s="287"/>
      <c r="K742" s="287"/>
    </row>
    <row r="743" spans="3:11" ht="15.75" customHeight="1" x14ac:dyDescent="0.2">
      <c r="C743" s="287"/>
      <c r="K743" s="287"/>
    </row>
    <row r="744" spans="3:11" ht="15.75" customHeight="1" x14ac:dyDescent="0.2">
      <c r="C744" s="287"/>
      <c r="K744" s="287"/>
    </row>
    <row r="745" spans="3:11" ht="15.75" customHeight="1" x14ac:dyDescent="0.2">
      <c r="C745" s="287"/>
      <c r="K745" s="287"/>
    </row>
    <row r="746" spans="3:11" ht="15.75" customHeight="1" x14ac:dyDescent="0.2">
      <c r="C746" s="287"/>
      <c r="K746" s="287"/>
    </row>
    <row r="747" spans="3:11" ht="15.75" customHeight="1" x14ac:dyDescent="0.2">
      <c r="C747" s="287"/>
      <c r="K747" s="287"/>
    </row>
    <row r="748" spans="3:11" ht="15.75" customHeight="1" x14ac:dyDescent="0.2">
      <c r="C748" s="287"/>
      <c r="K748" s="287"/>
    </row>
    <row r="749" spans="3:11" ht="15.75" customHeight="1" x14ac:dyDescent="0.2">
      <c r="C749" s="287"/>
      <c r="K749" s="287"/>
    </row>
    <row r="750" spans="3:11" ht="15.75" customHeight="1" x14ac:dyDescent="0.2">
      <c r="C750" s="287"/>
      <c r="K750" s="287"/>
    </row>
    <row r="751" spans="3:11" ht="15.75" customHeight="1" x14ac:dyDescent="0.2">
      <c r="C751" s="287"/>
      <c r="K751" s="287"/>
    </row>
    <row r="752" spans="3:11" ht="15.75" customHeight="1" x14ac:dyDescent="0.2">
      <c r="C752" s="287"/>
      <c r="K752" s="287"/>
    </row>
    <row r="753" spans="3:11" ht="15.75" customHeight="1" x14ac:dyDescent="0.2">
      <c r="C753" s="287"/>
      <c r="K753" s="287"/>
    </row>
    <row r="754" spans="3:11" ht="15.75" customHeight="1" x14ac:dyDescent="0.2">
      <c r="C754" s="287"/>
      <c r="K754" s="287"/>
    </row>
    <row r="755" spans="3:11" ht="15.75" customHeight="1" x14ac:dyDescent="0.2">
      <c r="C755" s="287"/>
      <c r="K755" s="287"/>
    </row>
    <row r="756" spans="3:11" ht="15.75" customHeight="1" x14ac:dyDescent="0.2">
      <c r="C756" s="287"/>
      <c r="K756" s="287"/>
    </row>
    <row r="757" spans="3:11" ht="15.75" customHeight="1" x14ac:dyDescent="0.2">
      <c r="C757" s="287"/>
      <c r="K757" s="287"/>
    </row>
    <row r="758" spans="3:11" ht="15.75" customHeight="1" x14ac:dyDescent="0.2">
      <c r="C758" s="287"/>
      <c r="K758" s="287"/>
    </row>
    <row r="759" spans="3:11" ht="15.75" customHeight="1" x14ac:dyDescent="0.2">
      <c r="C759" s="287"/>
      <c r="K759" s="287"/>
    </row>
    <row r="760" spans="3:11" ht="15.75" customHeight="1" x14ac:dyDescent="0.2">
      <c r="C760" s="287"/>
      <c r="K760" s="287"/>
    </row>
    <row r="761" spans="3:11" ht="15.75" customHeight="1" x14ac:dyDescent="0.2">
      <c r="C761" s="287"/>
      <c r="K761" s="287"/>
    </row>
    <row r="762" spans="3:11" ht="15.75" customHeight="1" x14ac:dyDescent="0.2">
      <c r="C762" s="287"/>
      <c r="K762" s="287"/>
    </row>
    <row r="763" spans="3:11" ht="15.75" customHeight="1" x14ac:dyDescent="0.2">
      <c r="C763" s="287"/>
      <c r="K763" s="287"/>
    </row>
    <row r="764" spans="3:11" ht="15.75" customHeight="1" x14ac:dyDescent="0.2">
      <c r="C764" s="287"/>
      <c r="K764" s="287"/>
    </row>
    <row r="765" spans="3:11" ht="15.75" customHeight="1" x14ac:dyDescent="0.2">
      <c r="C765" s="287"/>
      <c r="K765" s="287"/>
    </row>
    <row r="766" spans="3:11" ht="15.75" customHeight="1" x14ac:dyDescent="0.2">
      <c r="C766" s="287"/>
      <c r="K766" s="287"/>
    </row>
    <row r="767" spans="3:11" ht="15.75" customHeight="1" x14ac:dyDescent="0.2">
      <c r="C767" s="287"/>
      <c r="K767" s="287"/>
    </row>
    <row r="768" spans="3:11" ht="15.75" customHeight="1" x14ac:dyDescent="0.2">
      <c r="C768" s="287"/>
      <c r="K768" s="287"/>
    </row>
    <row r="769" spans="3:11" ht="15.75" customHeight="1" x14ac:dyDescent="0.2">
      <c r="C769" s="287"/>
      <c r="K769" s="287"/>
    </row>
    <row r="770" spans="3:11" ht="15.75" customHeight="1" x14ac:dyDescent="0.2">
      <c r="C770" s="287"/>
      <c r="K770" s="287"/>
    </row>
    <row r="771" spans="3:11" ht="15.75" customHeight="1" x14ac:dyDescent="0.2">
      <c r="C771" s="287"/>
      <c r="K771" s="287"/>
    </row>
    <row r="772" spans="3:11" ht="15.75" customHeight="1" x14ac:dyDescent="0.2">
      <c r="C772" s="287"/>
      <c r="K772" s="287"/>
    </row>
    <row r="773" spans="3:11" ht="15.75" customHeight="1" x14ac:dyDescent="0.2">
      <c r="C773" s="287"/>
      <c r="K773" s="287"/>
    </row>
    <row r="774" spans="3:11" ht="15.75" customHeight="1" x14ac:dyDescent="0.2">
      <c r="C774" s="287"/>
      <c r="K774" s="287"/>
    </row>
    <row r="775" spans="3:11" ht="15.75" customHeight="1" x14ac:dyDescent="0.2">
      <c r="C775" s="287"/>
      <c r="K775" s="287"/>
    </row>
    <row r="776" spans="3:11" ht="15.75" customHeight="1" x14ac:dyDescent="0.2">
      <c r="C776" s="287"/>
      <c r="K776" s="287"/>
    </row>
    <row r="777" spans="3:11" ht="15.75" customHeight="1" x14ac:dyDescent="0.2">
      <c r="C777" s="287"/>
      <c r="K777" s="287"/>
    </row>
    <row r="778" spans="3:11" ht="15.75" customHeight="1" x14ac:dyDescent="0.2">
      <c r="C778" s="287"/>
      <c r="K778" s="287"/>
    </row>
    <row r="779" spans="3:11" ht="15.75" customHeight="1" x14ac:dyDescent="0.2">
      <c r="C779" s="287"/>
      <c r="K779" s="287"/>
    </row>
    <row r="780" spans="3:11" ht="15.75" customHeight="1" x14ac:dyDescent="0.2">
      <c r="C780" s="287"/>
      <c r="K780" s="287"/>
    </row>
    <row r="781" spans="3:11" ht="15.75" customHeight="1" x14ac:dyDescent="0.2">
      <c r="C781" s="287"/>
      <c r="K781" s="287"/>
    </row>
    <row r="782" spans="3:11" ht="15.75" customHeight="1" x14ac:dyDescent="0.2">
      <c r="C782" s="287"/>
      <c r="K782" s="287"/>
    </row>
    <row r="783" spans="3:11" ht="15.75" customHeight="1" x14ac:dyDescent="0.2">
      <c r="C783" s="287"/>
      <c r="K783" s="287"/>
    </row>
    <row r="784" spans="3:11" ht="15.75" customHeight="1" x14ac:dyDescent="0.2">
      <c r="C784" s="287"/>
      <c r="K784" s="287"/>
    </row>
    <row r="785" spans="3:11" ht="15.75" customHeight="1" x14ac:dyDescent="0.2">
      <c r="C785" s="287"/>
      <c r="K785" s="287"/>
    </row>
    <row r="786" spans="3:11" ht="15.75" customHeight="1" x14ac:dyDescent="0.2">
      <c r="C786" s="287"/>
      <c r="K786" s="287"/>
    </row>
    <row r="787" spans="3:11" ht="15.75" customHeight="1" x14ac:dyDescent="0.2">
      <c r="C787" s="287"/>
      <c r="K787" s="287"/>
    </row>
    <row r="788" spans="3:11" ht="15.75" customHeight="1" x14ac:dyDescent="0.2">
      <c r="C788" s="287"/>
      <c r="K788" s="287"/>
    </row>
    <row r="789" spans="3:11" ht="15.75" customHeight="1" x14ac:dyDescent="0.2">
      <c r="C789" s="287"/>
      <c r="K789" s="287"/>
    </row>
    <row r="790" spans="3:11" ht="15.75" customHeight="1" x14ac:dyDescent="0.2">
      <c r="C790" s="287"/>
      <c r="K790" s="287"/>
    </row>
    <row r="791" spans="3:11" ht="15.75" customHeight="1" x14ac:dyDescent="0.2">
      <c r="C791" s="287"/>
      <c r="K791" s="287"/>
    </row>
    <row r="792" spans="3:11" ht="15.75" customHeight="1" x14ac:dyDescent="0.2">
      <c r="C792" s="287"/>
      <c r="K792" s="287"/>
    </row>
    <row r="793" spans="3:11" ht="15.75" customHeight="1" x14ac:dyDescent="0.2">
      <c r="C793" s="287"/>
      <c r="K793" s="287"/>
    </row>
    <row r="794" spans="3:11" ht="15.75" customHeight="1" x14ac:dyDescent="0.2">
      <c r="C794" s="287"/>
      <c r="K794" s="287"/>
    </row>
    <row r="795" spans="3:11" ht="15.75" customHeight="1" x14ac:dyDescent="0.2">
      <c r="C795" s="287"/>
      <c r="K795" s="287"/>
    </row>
    <row r="796" spans="3:11" ht="15.75" customHeight="1" x14ac:dyDescent="0.2">
      <c r="C796" s="287"/>
      <c r="K796" s="287"/>
    </row>
    <row r="797" spans="3:11" ht="15.75" customHeight="1" x14ac:dyDescent="0.2">
      <c r="C797" s="287"/>
      <c r="K797" s="287"/>
    </row>
    <row r="798" spans="3:11" ht="15.75" customHeight="1" x14ac:dyDescent="0.2">
      <c r="C798" s="287"/>
      <c r="K798" s="287"/>
    </row>
    <row r="799" spans="3:11" ht="15.75" customHeight="1" x14ac:dyDescent="0.2">
      <c r="C799" s="287"/>
      <c r="K799" s="287"/>
    </row>
    <row r="800" spans="3:11" ht="15.75" customHeight="1" x14ac:dyDescent="0.2">
      <c r="C800" s="287"/>
      <c r="K800" s="287"/>
    </row>
    <row r="801" spans="3:11" ht="15.75" customHeight="1" x14ac:dyDescent="0.2">
      <c r="C801" s="287"/>
      <c r="K801" s="287"/>
    </row>
    <row r="802" spans="3:11" ht="15.75" customHeight="1" x14ac:dyDescent="0.2">
      <c r="C802" s="287"/>
      <c r="K802" s="287"/>
    </row>
    <row r="803" spans="3:11" ht="15.75" customHeight="1" x14ac:dyDescent="0.2">
      <c r="C803" s="287"/>
      <c r="K803" s="287"/>
    </row>
    <row r="804" spans="3:11" ht="15.75" customHeight="1" x14ac:dyDescent="0.2">
      <c r="C804" s="287"/>
      <c r="K804" s="287"/>
    </row>
    <row r="805" spans="3:11" ht="15.75" customHeight="1" x14ac:dyDescent="0.2">
      <c r="C805" s="287"/>
      <c r="K805" s="287"/>
    </row>
    <row r="806" spans="3:11" ht="15.75" customHeight="1" x14ac:dyDescent="0.2">
      <c r="C806" s="287"/>
      <c r="K806" s="287"/>
    </row>
    <row r="807" spans="3:11" ht="15.75" customHeight="1" x14ac:dyDescent="0.2">
      <c r="C807" s="287"/>
      <c r="K807" s="287"/>
    </row>
    <row r="808" spans="3:11" ht="15.75" customHeight="1" x14ac:dyDescent="0.2">
      <c r="C808" s="287"/>
      <c r="K808" s="287"/>
    </row>
    <row r="809" spans="3:11" ht="15.75" customHeight="1" x14ac:dyDescent="0.2">
      <c r="C809" s="287"/>
      <c r="K809" s="287"/>
    </row>
    <row r="810" spans="3:11" ht="15.75" customHeight="1" x14ac:dyDescent="0.2">
      <c r="C810" s="287"/>
      <c r="K810" s="287"/>
    </row>
    <row r="811" spans="3:11" ht="15.75" customHeight="1" x14ac:dyDescent="0.2">
      <c r="C811" s="287"/>
      <c r="K811" s="287"/>
    </row>
    <row r="812" spans="3:11" ht="15.75" customHeight="1" x14ac:dyDescent="0.2">
      <c r="C812" s="287"/>
      <c r="K812" s="287"/>
    </row>
    <row r="813" spans="3:11" ht="15.75" customHeight="1" x14ac:dyDescent="0.2"/>
    <row r="814" spans="3:11" ht="15.75" customHeight="1" x14ac:dyDescent="0.2"/>
    <row r="815" spans="3:11" ht="15.75" customHeight="1" x14ac:dyDescent="0.2"/>
    <row r="816" spans="3:11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conditionalFormatting sqref="H72:H74 H80 H141:H175 H179:H210 H213:H218 H221:H252 H254:H262 H264 H267:H287 H348:H367 H370:H394 H397:H398 H402:H429 H431 H434:H444 H508:H530 H534:H556 H559:H564 H566:H586 H588:H592 H594 H597:H605">
    <cfRule type="cellIs" dxfId="0" priority="1" operator="lessThan">
      <formula>0</formula>
    </cfRule>
  </conditionalFormatting>
  <printOptions horizontalCentered="1" verticalCentered="1"/>
  <pageMargins left="0.25" right="0.25" top="0.75" bottom="0.75" header="0.3" footer="0.3"/>
  <pageSetup scale="94" fitToHeight="0" orientation="landscape" r:id="rId1"/>
  <headerFooter>
    <oddHeader>&amp;A</oddHeader>
    <oddFooter>Page &amp;P of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G1515"/>
  <sheetViews>
    <sheetView workbookViewId="0"/>
  </sheetViews>
  <sheetFormatPr defaultColWidth="12.5703125" defaultRowHeight="15" customHeight="1" x14ac:dyDescent="0.2"/>
  <cols>
    <col min="1" max="1" width="16.140625" style="503" customWidth="1"/>
    <col min="2" max="2" width="47.28515625" style="499" customWidth="1"/>
    <col min="3" max="7" width="15" style="499" customWidth="1"/>
    <col min="8" max="16384" width="12.5703125" style="499"/>
  </cols>
  <sheetData>
    <row r="1" spans="1:7" ht="15.75" customHeight="1" x14ac:dyDescent="0.2">
      <c r="A1" s="497" t="s">
        <v>50</v>
      </c>
      <c r="B1" s="498" t="s">
        <v>51</v>
      </c>
      <c r="C1" s="498" t="s">
        <v>437</v>
      </c>
      <c r="D1" s="498" t="s">
        <v>1961</v>
      </c>
      <c r="E1" s="498" t="s">
        <v>1962</v>
      </c>
      <c r="F1" s="498" t="s">
        <v>1963</v>
      </c>
      <c r="G1" s="498" t="s">
        <v>1964</v>
      </c>
    </row>
    <row r="2" spans="1:7" ht="15.75" customHeight="1" x14ac:dyDescent="0.2">
      <c r="A2" s="500" t="s">
        <v>1965</v>
      </c>
      <c r="B2" s="501" t="s">
        <v>1966</v>
      </c>
      <c r="C2" s="502">
        <v>-1309848.79</v>
      </c>
      <c r="D2" s="502">
        <v>-19561836</v>
      </c>
      <c r="E2" s="502">
        <v>-20141500</v>
      </c>
      <c r="F2" s="502">
        <v>-20141500</v>
      </c>
      <c r="G2" s="501">
        <v>0</v>
      </c>
    </row>
    <row r="3" spans="1:7" ht="15.75" customHeight="1" x14ac:dyDescent="0.2">
      <c r="A3" s="500" t="s">
        <v>1967</v>
      </c>
      <c r="B3" s="501" t="s">
        <v>1968</v>
      </c>
      <c r="C3" s="501">
        <v>0</v>
      </c>
      <c r="D3" s="502">
        <v>-450000</v>
      </c>
      <c r="E3" s="502">
        <v>-450000</v>
      </c>
      <c r="F3" s="501">
        <v>0</v>
      </c>
      <c r="G3" s="502">
        <v>450000</v>
      </c>
    </row>
    <row r="4" spans="1:7" ht="15.75" customHeight="1" x14ac:dyDescent="0.2">
      <c r="A4" s="500" t="s">
        <v>1969</v>
      </c>
      <c r="B4" s="501" t="s">
        <v>1970</v>
      </c>
      <c r="C4" s="502">
        <v>-147733.60999999999</v>
      </c>
      <c r="D4" s="502">
        <v>-165000</v>
      </c>
      <c r="E4" s="502">
        <v>-120000</v>
      </c>
      <c r="F4" s="502">
        <v>-120000</v>
      </c>
      <c r="G4" s="501">
        <v>0</v>
      </c>
    </row>
    <row r="5" spans="1:7" ht="15.75" customHeight="1" x14ac:dyDescent="0.2">
      <c r="A5" s="500" t="s">
        <v>1971</v>
      </c>
      <c r="B5" s="501" t="s">
        <v>1972</v>
      </c>
      <c r="C5" s="502">
        <v>-5540516.79</v>
      </c>
      <c r="D5" s="502">
        <v>-10150000</v>
      </c>
      <c r="E5" s="502">
        <v>-9400000</v>
      </c>
      <c r="F5" s="502">
        <v>-10474800</v>
      </c>
      <c r="G5" s="502">
        <v>-1074800</v>
      </c>
    </row>
    <row r="6" spans="1:7" ht="15.75" customHeight="1" x14ac:dyDescent="0.2">
      <c r="A6" s="500" t="s">
        <v>1403</v>
      </c>
      <c r="B6" s="501" t="s">
        <v>1404</v>
      </c>
      <c r="C6" s="502">
        <v>-1571280.14</v>
      </c>
      <c r="D6" s="502">
        <v>-3021000</v>
      </c>
      <c r="E6" s="502">
        <v>-2680000</v>
      </c>
      <c r="F6" s="502">
        <v>-3117700</v>
      </c>
      <c r="G6" s="502">
        <v>-437700</v>
      </c>
    </row>
    <row r="7" spans="1:7" ht="15.75" customHeight="1" x14ac:dyDescent="0.2">
      <c r="A7" s="500" t="s">
        <v>1973</v>
      </c>
      <c r="B7" s="501" t="s">
        <v>1974</v>
      </c>
      <c r="C7" s="501">
        <v>0</v>
      </c>
      <c r="D7" s="501">
        <v>0</v>
      </c>
      <c r="E7" s="501">
        <v>0</v>
      </c>
      <c r="F7" s="501">
        <v>0</v>
      </c>
      <c r="G7" s="501">
        <v>0</v>
      </c>
    </row>
    <row r="8" spans="1:7" ht="15.75" customHeight="1" x14ac:dyDescent="0.2">
      <c r="A8" s="500" t="s">
        <v>1434</v>
      </c>
      <c r="B8" s="501" t="s">
        <v>1435</v>
      </c>
      <c r="C8" s="502">
        <v>-2174932.5099999998</v>
      </c>
      <c r="D8" s="502">
        <v>-4962072</v>
      </c>
      <c r="E8" s="502">
        <v>-6375000</v>
      </c>
      <c r="F8" s="502">
        <v>-5100000</v>
      </c>
      <c r="G8" s="502">
        <v>1275000</v>
      </c>
    </row>
    <row r="9" spans="1:7" ht="15.75" customHeight="1" x14ac:dyDescent="0.2">
      <c r="A9" s="500" t="s">
        <v>1975</v>
      </c>
      <c r="B9" s="501" t="s">
        <v>1976</v>
      </c>
      <c r="C9" s="502">
        <v>-767295.59</v>
      </c>
      <c r="D9" s="502">
        <v>-1000000</v>
      </c>
      <c r="E9" s="502">
        <v>-990000</v>
      </c>
      <c r="F9" s="502">
        <v>-990000</v>
      </c>
      <c r="G9" s="501">
        <v>0</v>
      </c>
    </row>
    <row r="10" spans="1:7" ht="15.75" customHeight="1" x14ac:dyDescent="0.2">
      <c r="A10" s="500" t="s">
        <v>1977</v>
      </c>
      <c r="B10" s="501" t="s">
        <v>1978</v>
      </c>
      <c r="C10" s="502">
        <v>-103381.52</v>
      </c>
      <c r="D10" s="502">
        <v>-150000</v>
      </c>
      <c r="E10" s="502">
        <v>-150000</v>
      </c>
      <c r="F10" s="502">
        <v>-150000</v>
      </c>
      <c r="G10" s="501">
        <v>0</v>
      </c>
    </row>
    <row r="11" spans="1:7" ht="15.75" customHeight="1" x14ac:dyDescent="0.2">
      <c r="A11" s="500" t="s">
        <v>259</v>
      </c>
      <c r="B11" s="501" t="s">
        <v>260</v>
      </c>
      <c r="C11" s="502">
        <v>-48690</v>
      </c>
      <c r="D11" s="502">
        <v>-60000</v>
      </c>
      <c r="E11" s="502">
        <v>-60000</v>
      </c>
      <c r="F11" s="502">
        <v>-60000</v>
      </c>
      <c r="G11" s="501">
        <v>0</v>
      </c>
    </row>
    <row r="12" spans="1:7" ht="15.75" customHeight="1" x14ac:dyDescent="0.2">
      <c r="A12" s="500" t="s">
        <v>1979</v>
      </c>
      <c r="B12" s="501" t="s">
        <v>1980</v>
      </c>
      <c r="C12" s="501">
        <v>-320</v>
      </c>
      <c r="D12" s="501">
        <v>0</v>
      </c>
      <c r="E12" s="501">
        <v>-500</v>
      </c>
      <c r="F12" s="501">
        <v>-500</v>
      </c>
      <c r="G12" s="501">
        <v>0</v>
      </c>
    </row>
    <row r="13" spans="1:7" ht="15.75" customHeight="1" x14ac:dyDescent="0.2">
      <c r="A13" s="500" t="s">
        <v>646</v>
      </c>
      <c r="B13" s="501" t="s">
        <v>647</v>
      </c>
      <c r="C13" s="501">
        <v>0</v>
      </c>
      <c r="D13" s="502">
        <v>-20000</v>
      </c>
      <c r="E13" s="502">
        <v>-20000</v>
      </c>
      <c r="F13" s="502">
        <v>-20000</v>
      </c>
      <c r="G13" s="501">
        <v>0</v>
      </c>
    </row>
    <row r="14" spans="1:7" ht="15.75" customHeight="1" x14ac:dyDescent="0.2">
      <c r="A14" s="500" t="s">
        <v>1981</v>
      </c>
      <c r="B14" s="501" t="s">
        <v>1982</v>
      </c>
      <c r="C14" s="502">
        <v>-12126.35</v>
      </c>
      <c r="D14" s="502">
        <v>-15000</v>
      </c>
      <c r="E14" s="502">
        <v>-15000</v>
      </c>
      <c r="F14" s="502">
        <v>-15000</v>
      </c>
      <c r="G14" s="501">
        <v>0</v>
      </c>
    </row>
    <row r="15" spans="1:7" ht="15.75" customHeight="1" x14ac:dyDescent="0.2">
      <c r="A15" s="500" t="s">
        <v>1983</v>
      </c>
      <c r="B15" s="501" t="s">
        <v>1984</v>
      </c>
      <c r="C15" s="502">
        <v>-957365</v>
      </c>
      <c r="D15" s="502">
        <v>-926000</v>
      </c>
      <c r="E15" s="502">
        <v>-960000</v>
      </c>
      <c r="F15" s="502">
        <v>-960000</v>
      </c>
      <c r="G15" s="501">
        <v>0</v>
      </c>
    </row>
    <row r="16" spans="1:7" ht="15.75" customHeight="1" x14ac:dyDescent="0.2">
      <c r="A16" s="500" t="s">
        <v>700</v>
      </c>
      <c r="B16" s="501" t="s">
        <v>701</v>
      </c>
      <c r="C16" s="502">
        <v>49305</v>
      </c>
      <c r="D16" s="502">
        <v>-200000</v>
      </c>
      <c r="E16" s="502">
        <v>-45000</v>
      </c>
      <c r="F16" s="502">
        <v>-45000</v>
      </c>
      <c r="G16" s="501">
        <v>0</v>
      </c>
    </row>
    <row r="17" spans="1:7" ht="15.75" customHeight="1" x14ac:dyDescent="0.2">
      <c r="A17" s="500" t="s">
        <v>290</v>
      </c>
      <c r="B17" s="501" t="s">
        <v>1985</v>
      </c>
      <c r="C17" s="501">
        <v>0</v>
      </c>
      <c r="D17" s="502">
        <v>-30000</v>
      </c>
      <c r="E17" s="501">
        <v>-500</v>
      </c>
      <c r="F17" s="501">
        <v>-500</v>
      </c>
      <c r="G17" s="501">
        <v>0</v>
      </c>
    </row>
    <row r="18" spans="1:7" ht="15.75" customHeight="1" x14ac:dyDescent="0.2">
      <c r="A18" s="500" t="s">
        <v>1488</v>
      </c>
      <c r="B18" s="501" t="s">
        <v>1489</v>
      </c>
      <c r="C18" s="501">
        <v>0</v>
      </c>
      <c r="D18" s="502">
        <v>-23000</v>
      </c>
      <c r="E18" s="502">
        <v>-23000</v>
      </c>
      <c r="F18" s="502">
        <v>-23000</v>
      </c>
      <c r="G18" s="501">
        <v>0</v>
      </c>
    </row>
    <row r="19" spans="1:7" ht="15.75" customHeight="1" x14ac:dyDescent="0.2">
      <c r="A19" s="500" t="s">
        <v>1986</v>
      </c>
      <c r="B19" s="501" t="s">
        <v>1938</v>
      </c>
      <c r="C19" s="502">
        <v>-45285.35</v>
      </c>
      <c r="D19" s="502">
        <v>-18805</v>
      </c>
      <c r="E19" s="501">
        <v>0</v>
      </c>
      <c r="F19" s="501">
        <v>0</v>
      </c>
      <c r="G19" s="501">
        <v>0</v>
      </c>
    </row>
    <row r="20" spans="1:7" ht="15.75" customHeight="1" x14ac:dyDescent="0.2">
      <c r="A20" s="500" t="s">
        <v>507</v>
      </c>
      <c r="B20" s="501" t="s">
        <v>508</v>
      </c>
      <c r="C20" s="502">
        <v>-91020.53</v>
      </c>
      <c r="D20" s="502">
        <v>-200000</v>
      </c>
      <c r="E20" s="502">
        <v>-165000</v>
      </c>
      <c r="F20" s="502">
        <v>-165000</v>
      </c>
      <c r="G20" s="501">
        <v>0</v>
      </c>
    </row>
    <row r="21" spans="1:7" ht="15.75" customHeight="1" x14ac:dyDescent="0.2">
      <c r="A21" s="500" t="s">
        <v>509</v>
      </c>
      <c r="B21" s="501" t="s">
        <v>510</v>
      </c>
      <c r="C21" s="501">
        <v>0</v>
      </c>
      <c r="D21" s="501">
        <v>0</v>
      </c>
      <c r="E21" s="501">
        <v>0</v>
      </c>
      <c r="F21" s="501">
        <v>0</v>
      </c>
      <c r="G21" s="501">
        <v>0</v>
      </c>
    </row>
    <row r="22" spans="1:7" ht="15.75" customHeight="1" x14ac:dyDescent="0.2">
      <c r="A22" s="500" t="s">
        <v>420</v>
      </c>
      <c r="B22" s="501" t="s">
        <v>421</v>
      </c>
      <c r="C22" s="502">
        <v>-94822.02</v>
      </c>
      <c r="D22" s="502">
        <v>-200000</v>
      </c>
      <c r="E22" s="502">
        <v>-170800</v>
      </c>
      <c r="F22" s="502">
        <v>-170800</v>
      </c>
      <c r="G22" s="501">
        <v>0</v>
      </c>
    </row>
    <row r="23" spans="1:7" ht="15.75" customHeight="1" x14ac:dyDescent="0.2">
      <c r="A23" s="500" t="s">
        <v>422</v>
      </c>
      <c r="B23" s="501" t="s">
        <v>423</v>
      </c>
      <c r="C23" s="501">
        <v>0</v>
      </c>
      <c r="D23" s="501">
        <v>0</v>
      </c>
      <c r="E23" s="501">
        <v>0</v>
      </c>
      <c r="F23" s="501">
        <v>0</v>
      </c>
      <c r="G23" s="501">
        <v>0</v>
      </c>
    </row>
    <row r="24" spans="1:7" ht="15.75" customHeight="1" x14ac:dyDescent="0.2">
      <c r="A24" s="500" t="s">
        <v>1987</v>
      </c>
      <c r="B24" s="501" t="s">
        <v>1988</v>
      </c>
      <c r="C24" s="501">
        <v>0</v>
      </c>
      <c r="D24" s="502">
        <v>-150000</v>
      </c>
      <c r="E24" s="501">
        <v>0</v>
      </c>
      <c r="F24" s="501">
        <v>0</v>
      </c>
      <c r="G24" s="501">
        <v>0</v>
      </c>
    </row>
    <row r="25" spans="1:7" ht="15.75" customHeight="1" x14ac:dyDescent="0.2">
      <c r="A25" s="500" t="s">
        <v>1027</v>
      </c>
      <c r="B25" s="501" t="s">
        <v>1028</v>
      </c>
      <c r="C25" s="502">
        <v>-6796</v>
      </c>
      <c r="D25" s="502">
        <v>-5700</v>
      </c>
      <c r="E25" s="502">
        <v>-4500</v>
      </c>
      <c r="F25" s="502">
        <v>-4500</v>
      </c>
      <c r="G25" s="501">
        <v>0</v>
      </c>
    </row>
    <row r="26" spans="1:7" ht="15.75" customHeight="1" x14ac:dyDescent="0.2">
      <c r="A26" s="500" t="s">
        <v>511</v>
      </c>
      <c r="B26" s="501" t="s">
        <v>512</v>
      </c>
      <c r="C26" s="502">
        <v>-126509.97</v>
      </c>
      <c r="D26" s="502">
        <v>-1074200</v>
      </c>
      <c r="E26" s="502">
        <v>-144000</v>
      </c>
      <c r="F26" s="502">
        <v>-144000</v>
      </c>
      <c r="G26" s="501">
        <v>0</v>
      </c>
    </row>
    <row r="27" spans="1:7" ht="15.75" customHeight="1" x14ac:dyDescent="0.2">
      <c r="A27" s="500" t="s">
        <v>292</v>
      </c>
      <c r="B27" s="501" t="s">
        <v>293</v>
      </c>
      <c r="C27" s="502">
        <v>-19218</v>
      </c>
      <c r="D27" s="502">
        <v>-15000</v>
      </c>
      <c r="E27" s="501">
        <v>0</v>
      </c>
      <c r="F27" s="501">
        <v>0</v>
      </c>
      <c r="G27" s="501">
        <v>0</v>
      </c>
    </row>
    <row r="28" spans="1:7" ht="15.75" customHeight="1" x14ac:dyDescent="0.2">
      <c r="A28" s="500" t="s">
        <v>648</v>
      </c>
      <c r="B28" s="501" t="s">
        <v>649</v>
      </c>
      <c r="C28" s="501">
        <v>0</v>
      </c>
      <c r="D28" s="502">
        <v>-20000</v>
      </c>
      <c r="E28" s="502">
        <v>-20000</v>
      </c>
      <c r="F28" s="502">
        <v>-20000</v>
      </c>
      <c r="G28" s="501">
        <v>0</v>
      </c>
    </row>
    <row r="29" spans="1:7" ht="15.75" customHeight="1" x14ac:dyDescent="0.2">
      <c r="A29" s="500" t="s">
        <v>1989</v>
      </c>
      <c r="B29" s="501" t="s">
        <v>1851</v>
      </c>
      <c r="C29" s="501">
        <v>0</v>
      </c>
      <c r="D29" s="501">
        <v>0</v>
      </c>
      <c r="E29" s="501">
        <v>0</v>
      </c>
      <c r="F29" s="501">
        <v>0</v>
      </c>
      <c r="G29" s="501">
        <v>0</v>
      </c>
    </row>
    <row r="30" spans="1:7" ht="15.75" customHeight="1" x14ac:dyDescent="0.2">
      <c r="A30" s="500" t="s">
        <v>1990</v>
      </c>
      <c r="B30" s="501" t="s">
        <v>1991</v>
      </c>
      <c r="C30" s="501">
        <v>0</v>
      </c>
      <c r="D30" s="502">
        <v>-9200</v>
      </c>
      <c r="E30" s="502">
        <v>-9200</v>
      </c>
      <c r="F30" s="502">
        <v>-9200</v>
      </c>
      <c r="G30" s="501">
        <v>0</v>
      </c>
    </row>
    <row r="31" spans="1:7" ht="15.75" customHeight="1" x14ac:dyDescent="0.2">
      <c r="A31" s="500" t="s">
        <v>1992</v>
      </c>
      <c r="B31" s="501" t="s">
        <v>1993</v>
      </c>
      <c r="C31" s="501">
        <v>0</v>
      </c>
      <c r="D31" s="501">
        <v>0</v>
      </c>
      <c r="E31" s="501">
        <v>0</v>
      </c>
      <c r="F31" s="501">
        <v>0</v>
      </c>
      <c r="G31" s="501">
        <v>0</v>
      </c>
    </row>
    <row r="32" spans="1:7" ht="15.75" customHeight="1" x14ac:dyDescent="0.2">
      <c r="A32" s="500" t="s">
        <v>1407</v>
      </c>
      <c r="B32" s="501" t="s">
        <v>1408</v>
      </c>
      <c r="C32" s="502">
        <v>-2963885.86</v>
      </c>
      <c r="D32" s="502">
        <v>-2450000</v>
      </c>
      <c r="E32" s="502">
        <v>-2800000</v>
      </c>
      <c r="F32" s="502">
        <v>-2800000</v>
      </c>
      <c r="G32" s="501">
        <v>0</v>
      </c>
    </row>
    <row r="33" spans="1:7" ht="15.75" customHeight="1" x14ac:dyDescent="0.2">
      <c r="A33" s="500" t="s">
        <v>568</v>
      </c>
      <c r="B33" s="501" t="s">
        <v>569</v>
      </c>
      <c r="C33" s="502">
        <v>-178675.45</v>
      </c>
      <c r="D33" s="502">
        <v>-349500</v>
      </c>
      <c r="E33" s="502">
        <v>-354000</v>
      </c>
      <c r="F33" s="502">
        <v>-354000</v>
      </c>
      <c r="G33" s="501">
        <v>0</v>
      </c>
    </row>
    <row r="34" spans="1:7" ht="15.75" customHeight="1" x14ac:dyDescent="0.2">
      <c r="A34" s="500" t="s">
        <v>1493</v>
      </c>
      <c r="B34" s="501" t="s">
        <v>1492</v>
      </c>
      <c r="C34" s="501">
        <v>-562.5</v>
      </c>
      <c r="D34" s="502">
        <v>-25000</v>
      </c>
      <c r="E34" s="502">
        <v>-25000</v>
      </c>
      <c r="F34" s="502">
        <v>-25000</v>
      </c>
      <c r="G34" s="501">
        <v>0</v>
      </c>
    </row>
    <row r="35" spans="1:7" ht="15.75" customHeight="1" x14ac:dyDescent="0.2">
      <c r="A35" s="500" t="s">
        <v>1994</v>
      </c>
      <c r="B35" s="501" t="s">
        <v>1995</v>
      </c>
      <c r="C35" s="502">
        <v>-401138.18</v>
      </c>
      <c r="D35" s="502">
        <v>-201000</v>
      </c>
      <c r="E35" s="502">
        <v>-184800</v>
      </c>
      <c r="F35" s="502">
        <v>-184800</v>
      </c>
      <c r="G35" s="501">
        <v>0</v>
      </c>
    </row>
    <row r="36" spans="1:7" ht="15.75" customHeight="1" x14ac:dyDescent="0.2">
      <c r="A36" s="500" t="s">
        <v>1494</v>
      </c>
      <c r="B36" s="501" t="s">
        <v>1495</v>
      </c>
      <c r="C36" s="502">
        <v>-40580</v>
      </c>
      <c r="D36" s="502">
        <v>-164000</v>
      </c>
      <c r="E36" s="502">
        <v>-120000</v>
      </c>
      <c r="F36" s="502">
        <v>-120000</v>
      </c>
      <c r="G36" s="501">
        <v>0</v>
      </c>
    </row>
    <row r="37" spans="1:7" ht="15.75" customHeight="1" x14ac:dyDescent="0.2">
      <c r="A37" s="500" t="s">
        <v>847</v>
      </c>
      <c r="B37" s="501" t="s">
        <v>848</v>
      </c>
      <c r="C37" s="501">
        <v>0</v>
      </c>
      <c r="D37" s="502">
        <v>-140000</v>
      </c>
      <c r="E37" s="502">
        <v>-179500</v>
      </c>
      <c r="F37" s="502">
        <v>-179500</v>
      </c>
      <c r="G37" s="501">
        <v>0</v>
      </c>
    </row>
    <row r="38" spans="1:7" ht="15.75" customHeight="1" x14ac:dyDescent="0.2">
      <c r="A38" s="500" t="s">
        <v>621</v>
      </c>
      <c r="B38" s="501" t="s">
        <v>622</v>
      </c>
      <c r="C38" s="502">
        <v>-4669.4799999999996</v>
      </c>
      <c r="D38" s="502">
        <v>-1500</v>
      </c>
      <c r="E38" s="502">
        <v>-3500</v>
      </c>
      <c r="F38" s="502">
        <v>-3500</v>
      </c>
      <c r="G38" s="501">
        <v>0</v>
      </c>
    </row>
    <row r="39" spans="1:7" ht="15.75" customHeight="1" x14ac:dyDescent="0.2">
      <c r="A39" s="500" t="s">
        <v>1102</v>
      </c>
      <c r="B39" s="501" t="s">
        <v>1103</v>
      </c>
      <c r="C39" s="501">
        <v>0</v>
      </c>
      <c r="D39" s="502">
        <v>-75000</v>
      </c>
      <c r="E39" s="501">
        <v>0</v>
      </c>
      <c r="F39" s="501">
        <v>0</v>
      </c>
      <c r="G39" s="501">
        <v>0</v>
      </c>
    </row>
    <row r="40" spans="1:7" ht="15.75" customHeight="1" x14ac:dyDescent="0.2">
      <c r="A40" s="500" t="s">
        <v>1789</v>
      </c>
      <c r="B40" s="501" t="s">
        <v>1790</v>
      </c>
      <c r="C40" s="501">
        <v>0</v>
      </c>
      <c r="D40" s="502">
        <v>-18300</v>
      </c>
      <c r="E40" s="502">
        <v>-16700</v>
      </c>
      <c r="F40" s="501">
        <v>0</v>
      </c>
      <c r="G40" s="502">
        <v>16700</v>
      </c>
    </row>
    <row r="41" spans="1:7" ht="15.75" customHeight="1" x14ac:dyDescent="0.2">
      <c r="A41" s="500" t="s">
        <v>294</v>
      </c>
      <c r="B41" s="501" t="s">
        <v>295</v>
      </c>
      <c r="C41" s="501">
        <v>0</v>
      </c>
      <c r="D41" s="502">
        <v>-270000</v>
      </c>
      <c r="E41" s="501">
        <v>0</v>
      </c>
      <c r="F41" s="501">
        <v>0</v>
      </c>
      <c r="G41" s="501">
        <v>0</v>
      </c>
    </row>
    <row r="42" spans="1:7" ht="15.75" customHeight="1" x14ac:dyDescent="0.2">
      <c r="A42" s="500" t="s">
        <v>261</v>
      </c>
      <c r="B42" s="501" t="s">
        <v>262</v>
      </c>
      <c r="C42" s="502">
        <v>-28324.25</v>
      </c>
      <c r="D42" s="502">
        <v>-45000</v>
      </c>
      <c r="E42" s="502">
        <v>-45000</v>
      </c>
      <c r="F42" s="502">
        <v>-45000</v>
      </c>
      <c r="G42" s="501">
        <v>0</v>
      </c>
    </row>
    <row r="43" spans="1:7" ht="15.75" customHeight="1" x14ac:dyDescent="0.2">
      <c r="A43" s="500" t="s">
        <v>316</v>
      </c>
      <c r="B43" s="501" t="s">
        <v>317</v>
      </c>
      <c r="C43" s="502">
        <v>-594308.25</v>
      </c>
      <c r="D43" s="502">
        <v>-700000</v>
      </c>
      <c r="E43" s="502">
        <v>-700000</v>
      </c>
      <c r="F43" s="502">
        <v>-700000</v>
      </c>
      <c r="G43" s="501">
        <v>0</v>
      </c>
    </row>
    <row r="44" spans="1:7" ht="15.75" customHeight="1" x14ac:dyDescent="0.2">
      <c r="A44" s="500" t="s">
        <v>318</v>
      </c>
      <c r="B44" s="501" t="s">
        <v>319</v>
      </c>
      <c r="C44" s="502">
        <v>121073.07</v>
      </c>
      <c r="D44" s="502">
        <v>167000</v>
      </c>
      <c r="E44" s="502">
        <v>184300</v>
      </c>
      <c r="F44" s="502">
        <v>184300</v>
      </c>
      <c r="G44" s="501">
        <v>0</v>
      </c>
    </row>
    <row r="45" spans="1:7" ht="15.75" customHeight="1" x14ac:dyDescent="0.2">
      <c r="A45" s="500" t="s">
        <v>1145</v>
      </c>
      <c r="B45" s="501" t="s">
        <v>1996</v>
      </c>
      <c r="C45" s="502">
        <v>-6450</v>
      </c>
      <c r="D45" s="502">
        <v>-12000</v>
      </c>
      <c r="E45" s="502">
        <v>-10000</v>
      </c>
      <c r="F45" s="502">
        <v>-31500</v>
      </c>
      <c r="G45" s="502">
        <v>-21500</v>
      </c>
    </row>
    <row r="46" spans="1:7" ht="15.75" customHeight="1" x14ac:dyDescent="0.2">
      <c r="A46" s="500" t="s">
        <v>185</v>
      </c>
      <c r="B46" s="501" t="s">
        <v>186</v>
      </c>
      <c r="C46" s="501">
        <v>0</v>
      </c>
      <c r="D46" s="502">
        <v>-1000</v>
      </c>
      <c r="E46" s="502">
        <v>-1000</v>
      </c>
      <c r="F46" s="502">
        <v>-51000</v>
      </c>
      <c r="G46" s="502">
        <v>-50000</v>
      </c>
    </row>
    <row r="47" spans="1:7" ht="15.75" customHeight="1" x14ac:dyDescent="0.2">
      <c r="A47" s="500" t="s">
        <v>424</v>
      </c>
      <c r="B47" s="501" t="s">
        <v>425</v>
      </c>
      <c r="C47" s="501">
        <v>-50</v>
      </c>
      <c r="D47" s="502">
        <v>-3800</v>
      </c>
      <c r="E47" s="502">
        <v>-3000</v>
      </c>
      <c r="F47" s="502">
        <v>-3000</v>
      </c>
      <c r="G47" s="501">
        <v>0</v>
      </c>
    </row>
    <row r="48" spans="1:7" ht="15.75" customHeight="1" x14ac:dyDescent="0.2">
      <c r="A48" s="500" t="s">
        <v>426</v>
      </c>
      <c r="B48" s="501" t="s">
        <v>427</v>
      </c>
      <c r="C48" s="501">
        <v>0</v>
      </c>
      <c r="D48" s="502">
        <v>-112000</v>
      </c>
      <c r="E48" s="501">
        <v>0</v>
      </c>
      <c r="F48" s="501">
        <v>0</v>
      </c>
      <c r="G48" s="501">
        <v>0</v>
      </c>
    </row>
    <row r="49" spans="1:7" ht="15.75" customHeight="1" x14ac:dyDescent="0.2">
      <c r="A49" s="500" t="s">
        <v>572</v>
      </c>
      <c r="B49" s="501" t="s">
        <v>573</v>
      </c>
      <c r="C49" s="502">
        <v>-76807.149999999994</v>
      </c>
      <c r="D49" s="502">
        <v>-100000</v>
      </c>
      <c r="E49" s="502">
        <v>-100000</v>
      </c>
      <c r="F49" s="502">
        <v>-100000</v>
      </c>
      <c r="G49" s="501">
        <v>0</v>
      </c>
    </row>
    <row r="50" spans="1:7" ht="15.75" customHeight="1" x14ac:dyDescent="0.2">
      <c r="A50" s="500" t="s">
        <v>623</v>
      </c>
      <c r="B50" s="501" t="s">
        <v>624</v>
      </c>
      <c r="C50" s="502">
        <v>-29910</v>
      </c>
      <c r="D50" s="502">
        <v>-48900</v>
      </c>
      <c r="E50" s="502">
        <v>-45000</v>
      </c>
      <c r="F50" s="502">
        <v>-45000</v>
      </c>
      <c r="G50" s="501">
        <v>0</v>
      </c>
    </row>
    <row r="51" spans="1:7" ht="15.75" customHeight="1" x14ac:dyDescent="0.2">
      <c r="A51" s="500" t="s">
        <v>625</v>
      </c>
      <c r="B51" s="501" t="s">
        <v>626</v>
      </c>
      <c r="C51" s="502">
        <v>-4917.04</v>
      </c>
      <c r="D51" s="502">
        <v>-7000</v>
      </c>
      <c r="E51" s="502">
        <v>-5000</v>
      </c>
      <c r="F51" s="502">
        <v>-5000</v>
      </c>
      <c r="G51" s="501">
        <v>0</v>
      </c>
    </row>
    <row r="52" spans="1:7" ht="15.75" customHeight="1" x14ac:dyDescent="0.2">
      <c r="A52" s="500" t="s">
        <v>849</v>
      </c>
      <c r="B52" s="501" t="s">
        <v>850</v>
      </c>
      <c r="C52" s="502">
        <v>-890106.5</v>
      </c>
      <c r="D52" s="502">
        <v>-974600</v>
      </c>
      <c r="E52" s="502">
        <v>-1180800</v>
      </c>
      <c r="F52" s="502">
        <v>-1180800</v>
      </c>
      <c r="G52" s="501">
        <v>0</v>
      </c>
    </row>
    <row r="53" spans="1:7" ht="15.75" customHeight="1" x14ac:dyDescent="0.2">
      <c r="A53" s="500" t="s">
        <v>750</v>
      </c>
      <c r="B53" s="501" t="s">
        <v>751</v>
      </c>
      <c r="C53" s="502">
        <v>-89879.01</v>
      </c>
      <c r="D53" s="502">
        <v>-96000</v>
      </c>
      <c r="E53" s="502">
        <v>-84000</v>
      </c>
      <c r="F53" s="502">
        <v>-84000</v>
      </c>
      <c r="G53" s="501">
        <v>0</v>
      </c>
    </row>
    <row r="54" spans="1:7" ht="15.75" customHeight="1" x14ac:dyDescent="0.2">
      <c r="A54" s="500" t="s">
        <v>774</v>
      </c>
      <c r="B54" s="501" t="s">
        <v>775</v>
      </c>
      <c r="C54" s="502">
        <v>-45306.36</v>
      </c>
      <c r="D54" s="502">
        <v>-91000</v>
      </c>
      <c r="E54" s="502">
        <v>-90000</v>
      </c>
      <c r="F54" s="502">
        <v>-90000</v>
      </c>
      <c r="G54" s="501">
        <v>0</v>
      </c>
    </row>
    <row r="55" spans="1:7" ht="15.75" customHeight="1" x14ac:dyDescent="0.2">
      <c r="A55" s="500" t="s">
        <v>878</v>
      </c>
      <c r="B55" s="501" t="s">
        <v>879</v>
      </c>
      <c r="C55" s="502">
        <v>-479848.9</v>
      </c>
      <c r="D55" s="502">
        <v>-694750</v>
      </c>
      <c r="E55" s="502">
        <v>-615600</v>
      </c>
      <c r="F55" s="502">
        <v>-615600</v>
      </c>
      <c r="G55" s="501">
        <v>0</v>
      </c>
    </row>
    <row r="56" spans="1:7" ht="15.75" customHeight="1" x14ac:dyDescent="0.2">
      <c r="A56" s="500" t="s">
        <v>851</v>
      </c>
      <c r="B56" s="501" t="s">
        <v>852</v>
      </c>
      <c r="C56" s="502">
        <v>-42889.75</v>
      </c>
      <c r="D56" s="502">
        <v>-50000</v>
      </c>
      <c r="E56" s="502">
        <v>-50000</v>
      </c>
      <c r="F56" s="502">
        <v>-50000</v>
      </c>
      <c r="G56" s="501">
        <v>0</v>
      </c>
    </row>
    <row r="57" spans="1:7" ht="15.75" customHeight="1" x14ac:dyDescent="0.2">
      <c r="A57" s="500" t="s">
        <v>1997</v>
      </c>
      <c r="B57" s="501" t="s">
        <v>1101</v>
      </c>
      <c r="C57" s="501">
        <v>0</v>
      </c>
      <c r="D57" s="502">
        <v>-46000</v>
      </c>
      <c r="E57" s="502">
        <v>-40000</v>
      </c>
      <c r="F57" s="502">
        <v>-40000</v>
      </c>
      <c r="G57" s="501">
        <v>0</v>
      </c>
    </row>
    <row r="58" spans="1:7" ht="15.75" customHeight="1" x14ac:dyDescent="0.2">
      <c r="A58" s="500" t="s">
        <v>702</v>
      </c>
      <c r="B58" s="501" t="s">
        <v>703</v>
      </c>
      <c r="C58" s="502">
        <v>-157367.07999999999</v>
      </c>
      <c r="D58" s="502">
        <v>-428400</v>
      </c>
      <c r="E58" s="502">
        <v>-277600</v>
      </c>
      <c r="F58" s="502">
        <v>-277600</v>
      </c>
      <c r="G58" s="501">
        <v>0</v>
      </c>
    </row>
    <row r="59" spans="1:7" ht="15.75" customHeight="1" x14ac:dyDescent="0.2">
      <c r="A59" s="500" t="s">
        <v>704</v>
      </c>
      <c r="B59" s="501" t="s">
        <v>705</v>
      </c>
      <c r="C59" s="501">
        <v>0</v>
      </c>
      <c r="D59" s="502">
        <v>-5000</v>
      </c>
      <c r="E59" s="502">
        <v>-2000</v>
      </c>
      <c r="F59" s="502">
        <v>-2000</v>
      </c>
      <c r="G59" s="501">
        <v>0</v>
      </c>
    </row>
    <row r="60" spans="1:7" ht="15.75" customHeight="1" x14ac:dyDescent="0.2">
      <c r="A60" s="500" t="s">
        <v>706</v>
      </c>
      <c r="B60" s="501" t="s">
        <v>707</v>
      </c>
      <c r="C60" s="502">
        <v>-8621.76</v>
      </c>
      <c r="D60" s="502">
        <v>-10000</v>
      </c>
      <c r="E60" s="502">
        <v>-10000</v>
      </c>
      <c r="F60" s="502">
        <v>-10000</v>
      </c>
      <c r="G60" s="501">
        <v>0</v>
      </c>
    </row>
    <row r="61" spans="1:7" ht="15.75" customHeight="1" x14ac:dyDescent="0.2">
      <c r="A61" s="500" t="s">
        <v>708</v>
      </c>
      <c r="B61" s="501" t="s">
        <v>709</v>
      </c>
      <c r="C61" s="502">
        <v>-82613.86</v>
      </c>
      <c r="D61" s="502">
        <v>-100000</v>
      </c>
      <c r="E61" s="502">
        <v>-120000</v>
      </c>
      <c r="F61" s="502">
        <v>-120000</v>
      </c>
      <c r="G61" s="501">
        <v>0</v>
      </c>
    </row>
    <row r="62" spans="1:7" ht="15.75" customHeight="1" x14ac:dyDescent="0.2">
      <c r="A62" s="500" t="s">
        <v>710</v>
      </c>
      <c r="B62" s="501" t="s">
        <v>711</v>
      </c>
      <c r="C62" s="502">
        <v>-1956.65</v>
      </c>
      <c r="D62" s="502">
        <v>-27000</v>
      </c>
      <c r="E62" s="502">
        <v>-24100</v>
      </c>
      <c r="F62" s="502">
        <v>-24100</v>
      </c>
      <c r="G62" s="501">
        <v>0</v>
      </c>
    </row>
    <row r="63" spans="1:7" ht="15.75" customHeight="1" x14ac:dyDescent="0.2">
      <c r="A63" s="500" t="s">
        <v>712</v>
      </c>
      <c r="B63" s="501" t="s">
        <v>713</v>
      </c>
      <c r="C63" s="502">
        <v>-4895.46</v>
      </c>
      <c r="D63" s="502">
        <v>-22000</v>
      </c>
      <c r="E63" s="502">
        <v>-27000</v>
      </c>
      <c r="F63" s="502">
        <v>-27000</v>
      </c>
      <c r="G63" s="501">
        <v>0</v>
      </c>
    </row>
    <row r="64" spans="1:7" ht="15.75" customHeight="1" x14ac:dyDescent="0.2">
      <c r="A64" s="500" t="s">
        <v>714</v>
      </c>
      <c r="B64" s="501" t="s">
        <v>715</v>
      </c>
      <c r="C64" s="502">
        <v>-201814.19</v>
      </c>
      <c r="D64" s="502">
        <v>-120000</v>
      </c>
      <c r="E64" s="502">
        <v>-230000</v>
      </c>
      <c r="F64" s="502">
        <v>-230000</v>
      </c>
      <c r="G64" s="501">
        <v>0</v>
      </c>
    </row>
    <row r="65" spans="1:7" ht="15.75" customHeight="1" x14ac:dyDescent="0.2">
      <c r="A65" s="500" t="s">
        <v>716</v>
      </c>
      <c r="B65" s="501" t="s">
        <v>717</v>
      </c>
      <c r="C65" s="501">
        <v>0</v>
      </c>
      <c r="D65" s="502">
        <v>-230000</v>
      </c>
      <c r="E65" s="502">
        <v>-260000</v>
      </c>
      <c r="F65" s="502">
        <v>-260000</v>
      </c>
      <c r="G65" s="501">
        <v>0</v>
      </c>
    </row>
    <row r="66" spans="1:7" ht="15.75" customHeight="1" x14ac:dyDescent="0.2">
      <c r="A66" s="500" t="s">
        <v>718</v>
      </c>
      <c r="B66" s="501" t="s">
        <v>719</v>
      </c>
      <c r="C66" s="502">
        <v>-1490254.36</v>
      </c>
      <c r="D66" s="502">
        <v>-2855400</v>
      </c>
      <c r="E66" s="502">
        <v>-2702700</v>
      </c>
      <c r="F66" s="502">
        <v>-2702700</v>
      </c>
      <c r="G66" s="501">
        <v>0</v>
      </c>
    </row>
    <row r="67" spans="1:7" ht="15.75" customHeight="1" x14ac:dyDescent="0.2">
      <c r="A67" s="500" t="s">
        <v>720</v>
      </c>
      <c r="B67" s="501" t="s">
        <v>721</v>
      </c>
      <c r="C67" s="502">
        <v>-6211.35</v>
      </c>
      <c r="D67" s="502">
        <v>-5000</v>
      </c>
      <c r="E67" s="502">
        <v>-15000</v>
      </c>
      <c r="F67" s="502">
        <v>-15000</v>
      </c>
      <c r="G67" s="501">
        <v>0</v>
      </c>
    </row>
    <row r="68" spans="1:7" ht="15.75" customHeight="1" x14ac:dyDescent="0.2">
      <c r="A68" s="500" t="s">
        <v>722</v>
      </c>
      <c r="B68" s="501" t="s">
        <v>723</v>
      </c>
      <c r="C68" s="502">
        <v>-1674.4</v>
      </c>
      <c r="D68" s="502">
        <v>-2500</v>
      </c>
      <c r="E68" s="502">
        <v>-2000</v>
      </c>
      <c r="F68" s="502">
        <v>-2000</v>
      </c>
      <c r="G68" s="501">
        <v>0</v>
      </c>
    </row>
    <row r="69" spans="1:7" ht="15.75" customHeight="1" x14ac:dyDescent="0.2">
      <c r="A69" s="500" t="s">
        <v>724</v>
      </c>
      <c r="B69" s="501" t="s">
        <v>725</v>
      </c>
      <c r="C69" s="502">
        <v>-27309.42</v>
      </c>
      <c r="D69" s="502">
        <v>-33000</v>
      </c>
      <c r="E69" s="502">
        <v>-34800</v>
      </c>
      <c r="F69" s="502">
        <v>-34800</v>
      </c>
      <c r="G69" s="501">
        <v>0</v>
      </c>
    </row>
    <row r="70" spans="1:7" ht="15.75" customHeight="1" x14ac:dyDescent="0.2">
      <c r="A70" s="500" t="s">
        <v>823</v>
      </c>
      <c r="B70" s="501" t="s">
        <v>824</v>
      </c>
      <c r="C70" s="502">
        <v>-90857.87</v>
      </c>
      <c r="D70" s="502">
        <v>-130000</v>
      </c>
      <c r="E70" s="502">
        <v>-130000</v>
      </c>
      <c r="F70" s="502">
        <v>-130000</v>
      </c>
      <c r="G70" s="501">
        <v>0</v>
      </c>
    </row>
    <row r="71" spans="1:7" ht="15.75" customHeight="1" x14ac:dyDescent="0.2">
      <c r="A71" s="500" t="s">
        <v>726</v>
      </c>
      <c r="B71" s="501" t="s">
        <v>727</v>
      </c>
      <c r="C71" s="502">
        <v>-843430.16</v>
      </c>
      <c r="D71" s="502">
        <v>-1587750</v>
      </c>
      <c r="E71" s="502">
        <v>-1500000</v>
      </c>
      <c r="F71" s="502">
        <v>-1500000</v>
      </c>
      <c r="G71" s="501">
        <v>0</v>
      </c>
    </row>
    <row r="72" spans="1:7" ht="15.75" customHeight="1" x14ac:dyDescent="0.2">
      <c r="A72" s="500" t="s">
        <v>728</v>
      </c>
      <c r="B72" s="501" t="s">
        <v>729</v>
      </c>
      <c r="C72" s="501">
        <v>0</v>
      </c>
      <c r="D72" s="502">
        <v>-10000</v>
      </c>
      <c r="E72" s="502">
        <v>-476325</v>
      </c>
      <c r="F72" s="502">
        <v>-476325</v>
      </c>
      <c r="G72" s="501">
        <v>0</v>
      </c>
    </row>
    <row r="73" spans="1:7" ht="15.75" customHeight="1" x14ac:dyDescent="0.2">
      <c r="A73" s="500" t="s">
        <v>825</v>
      </c>
      <c r="B73" s="501" t="s">
        <v>826</v>
      </c>
      <c r="C73" s="502">
        <v>-21888.52</v>
      </c>
      <c r="D73" s="502">
        <v>-30000</v>
      </c>
      <c r="E73" s="502">
        <v>-46000</v>
      </c>
      <c r="F73" s="502">
        <v>-46000</v>
      </c>
      <c r="G73" s="501">
        <v>0</v>
      </c>
    </row>
    <row r="74" spans="1:7" ht="15.75" customHeight="1" x14ac:dyDescent="0.2">
      <c r="A74" s="500" t="s">
        <v>829</v>
      </c>
      <c r="B74" s="501" t="s">
        <v>830</v>
      </c>
      <c r="C74" s="502">
        <v>-235372.6</v>
      </c>
      <c r="D74" s="502">
        <v>-339378</v>
      </c>
      <c r="E74" s="502">
        <v>-408700</v>
      </c>
      <c r="F74" s="502">
        <v>-408700</v>
      </c>
      <c r="G74" s="501">
        <v>0</v>
      </c>
    </row>
    <row r="75" spans="1:7" ht="15.75" customHeight="1" x14ac:dyDescent="0.2">
      <c r="A75" s="500" t="s">
        <v>827</v>
      </c>
      <c r="B75" s="501" t="s">
        <v>828</v>
      </c>
      <c r="C75" s="502">
        <v>-3112.5</v>
      </c>
      <c r="D75" s="502">
        <v>-2500</v>
      </c>
      <c r="E75" s="502">
        <v>-3500</v>
      </c>
      <c r="F75" s="502">
        <v>-3500</v>
      </c>
      <c r="G75" s="501">
        <v>0</v>
      </c>
    </row>
    <row r="76" spans="1:7" ht="15.75" customHeight="1" x14ac:dyDescent="0.2">
      <c r="A76" s="500" t="s">
        <v>1029</v>
      </c>
      <c r="B76" s="501" t="s">
        <v>1998</v>
      </c>
      <c r="C76" s="502">
        <v>-24605.33</v>
      </c>
      <c r="D76" s="502">
        <v>-60000</v>
      </c>
      <c r="E76" s="502">
        <v>-60000</v>
      </c>
      <c r="F76" s="502">
        <v>-60000</v>
      </c>
      <c r="G76" s="501">
        <v>0</v>
      </c>
    </row>
    <row r="77" spans="1:7" ht="15.75" customHeight="1" x14ac:dyDescent="0.2">
      <c r="A77" s="500" t="s">
        <v>1031</v>
      </c>
      <c r="B77" s="501" t="s">
        <v>1032</v>
      </c>
      <c r="C77" s="502">
        <v>-6895</v>
      </c>
      <c r="D77" s="502">
        <v>-2000</v>
      </c>
      <c r="E77" s="502">
        <v>-3000</v>
      </c>
      <c r="F77" s="502">
        <v>-3000</v>
      </c>
      <c r="G77" s="501">
        <v>0</v>
      </c>
    </row>
    <row r="78" spans="1:7" ht="15.75" customHeight="1" x14ac:dyDescent="0.2">
      <c r="A78" s="500" t="s">
        <v>1033</v>
      </c>
      <c r="B78" s="501" t="s">
        <v>1034</v>
      </c>
      <c r="C78" s="502">
        <v>-386031.26</v>
      </c>
      <c r="D78" s="502">
        <v>-178000</v>
      </c>
      <c r="E78" s="502">
        <v>-125000</v>
      </c>
      <c r="F78" s="502">
        <v>-125000</v>
      </c>
      <c r="G78" s="501">
        <v>0</v>
      </c>
    </row>
    <row r="79" spans="1:7" ht="15.75" customHeight="1" x14ac:dyDescent="0.2">
      <c r="A79" s="500" t="s">
        <v>1035</v>
      </c>
      <c r="B79" s="501" t="s">
        <v>1036</v>
      </c>
      <c r="C79" s="502">
        <v>-1158409.82</v>
      </c>
      <c r="D79" s="502">
        <v>-1350000</v>
      </c>
      <c r="E79" s="502">
        <v>-1650000</v>
      </c>
      <c r="F79" s="502">
        <v>-1650000</v>
      </c>
      <c r="G79" s="501">
        <v>0</v>
      </c>
    </row>
    <row r="80" spans="1:7" ht="15.75" customHeight="1" x14ac:dyDescent="0.2">
      <c r="A80" s="500" t="s">
        <v>1039</v>
      </c>
      <c r="B80" s="501" t="s">
        <v>1040</v>
      </c>
      <c r="C80" s="502">
        <v>-37041.949999999997</v>
      </c>
      <c r="D80" s="502">
        <v>-50000</v>
      </c>
      <c r="E80" s="502">
        <v>-50000</v>
      </c>
      <c r="F80" s="502">
        <v>-50000</v>
      </c>
      <c r="G80" s="501">
        <v>0</v>
      </c>
    </row>
    <row r="81" spans="1:7" ht="15.75" customHeight="1" x14ac:dyDescent="0.2">
      <c r="A81" s="500" t="s">
        <v>1041</v>
      </c>
      <c r="B81" s="501" t="s">
        <v>1042</v>
      </c>
      <c r="C81" s="502">
        <v>499260.79</v>
      </c>
      <c r="D81" s="502">
        <v>600000</v>
      </c>
      <c r="E81" s="502">
        <v>780000</v>
      </c>
      <c r="F81" s="502">
        <v>780000</v>
      </c>
      <c r="G81" s="501">
        <v>0</v>
      </c>
    </row>
    <row r="82" spans="1:7" ht="15.75" customHeight="1" x14ac:dyDescent="0.2">
      <c r="A82" s="500" t="s">
        <v>1043</v>
      </c>
      <c r="B82" s="501" t="s">
        <v>1044</v>
      </c>
      <c r="C82" s="502">
        <v>91049.600000000006</v>
      </c>
      <c r="D82" s="502">
        <v>100000</v>
      </c>
      <c r="E82" s="502">
        <v>120000</v>
      </c>
      <c r="F82" s="502">
        <v>120000</v>
      </c>
      <c r="G82" s="501">
        <v>0</v>
      </c>
    </row>
    <row r="83" spans="1:7" ht="15.75" customHeight="1" x14ac:dyDescent="0.2">
      <c r="A83" s="500" t="s">
        <v>1045</v>
      </c>
      <c r="B83" s="501" t="s">
        <v>1046</v>
      </c>
      <c r="C83" s="501">
        <v>0</v>
      </c>
      <c r="D83" s="502">
        <v>26000</v>
      </c>
      <c r="E83" s="501">
        <v>0</v>
      </c>
      <c r="F83" s="501">
        <v>0</v>
      </c>
      <c r="G83" s="501">
        <v>0</v>
      </c>
    </row>
    <row r="84" spans="1:7" ht="15.75" customHeight="1" x14ac:dyDescent="0.2">
      <c r="A84" s="500" t="s">
        <v>1047</v>
      </c>
      <c r="B84" s="501" t="s">
        <v>1048</v>
      </c>
      <c r="C84" s="502">
        <v>-244024.71</v>
      </c>
      <c r="D84" s="502">
        <v>-448800</v>
      </c>
      <c r="E84" s="502">
        <v>-450000</v>
      </c>
      <c r="F84" s="502">
        <v>-450000</v>
      </c>
      <c r="G84" s="501">
        <v>0</v>
      </c>
    </row>
    <row r="85" spans="1:7" ht="15.75" customHeight="1" x14ac:dyDescent="0.2">
      <c r="A85" s="500" t="s">
        <v>1410</v>
      </c>
      <c r="B85" s="501" t="s">
        <v>1411</v>
      </c>
      <c r="C85" s="502">
        <v>-1236620</v>
      </c>
      <c r="D85" s="502">
        <v>-530000</v>
      </c>
      <c r="E85" s="502">
        <v>-530000</v>
      </c>
      <c r="F85" s="502">
        <v>-700000</v>
      </c>
      <c r="G85" s="502">
        <v>-170000</v>
      </c>
    </row>
    <row r="86" spans="1:7" ht="15.75" customHeight="1" x14ac:dyDescent="0.2">
      <c r="A86" s="500" t="s">
        <v>1413</v>
      </c>
      <c r="B86" s="501" t="s">
        <v>1414</v>
      </c>
      <c r="C86" s="501">
        <v>0</v>
      </c>
      <c r="D86" s="502">
        <v>-10000</v>
      </c>
      <c r="E86" s="502">
        <v>-10000</v>
      </c>
      <c r="F86" s="502">
        <v>-10000</v>
      </c>
      <c r="G86" s="501">
        <v>0</v>
      </c>
    </row>
    <row r="87" spans="1:7" ht="15.75" customHeight="1" x14ac:dyDescent="0.2">
      <c r="A87" s="500" t="s">
        <v>1497</v>
      </c>
      <c r="B87" s="501" t="s">
        <v>1498</v>
      </c>
      <c r="C87" s="502">
        <v>-21311.279999999999</v>
      </c>
      <c r="D87" s="502">
        <v>-23000</v>
      </c>
      <c r="E87" s="502">
        <v>-25000</v>
      </c>
      <c r="F87" s="502">
        <v>-30000</v>
      </c>
      <c r="G87" s="502">
        <v>-5000</v>
      </c>
    </row>
    <row r="88" spans="1:7" ht="15.75" customHeight="1" x14ac:dyDescent="0.2">
      <c r="A88" s="500" t="s">
        <v>1502</v>
      </c>
      <c r="B88" s="501" t="s">
        <v>1501</v>
      </c>
      <c r="C88" s="502">
        <v>-45618.7</v>
      </c>
      <c r="D88" s="502">
        <v>-45000</v>
      </c>
      <c r="E88" s="502">
        <v>-45000</v>
      </c>
      <c r="F88" s="502">
        <v>-45000</v>
      </c>
      <c r="G88" s="501">
        <v>0</v>
      </c>
    </row>
    <row r="89" spans="1:7" ht="15.75" customHeight="1" x14ac:dyDescent="0.2">
      <c r="A89" s="500" t="s">
        <v>1999</v>
      </c>
      <c r="B89" s="501" t="s">
        <v>2000</v>
      </c>
      <c r="C89" s="502">
        <v>-79629.399999999994</v>
      </c>
      <c r="D89" s="502">
        <v>-100000</v>
      </c>
      <c r="E89" s="502">
        <v>-95000</v>
      </c>
      <c r="F89" s="502">
        <v>-95000</v>
      </c>
      <c r="G89" s="501">
        <v>0</v>
      </c>
    </row>
    <row r="90" spans="1:7" ht="15.75" customHeight="1" x14ac:dyDescent="0.2">
      <c r="A90" s="500" t="s">
        <v>187</v>
      </c>
      <c r="B90" s="501" t="s">
        <v>2001</v>
      </c>
      <c r="C90" s="501">
        <v>-169.11</v>
      </c>
      <c r="D90" s="501">
        <v>0</v>
      </c>
      <c r="E90" s="501">
        <v>0</v>
      </c>
      <c r="F90" s="501">
        <v>0</v>
      </c>
      <c r="G90" s="501">
        <v>0</v>
      </c>
    </row>
    <row r="91" spans="1:7" ht="15.75" customHeight="1" x14ac:dyDescent="0.2">
      <c r="A91" s="500" t="s">
        <v>1617</v>
      </c>
      <c r="B91" s="501" t="s">
        <v>1618</v>
      </c>
      <c r="C91" s="502">
        <v>-2305</v>
      </c>
      <c r="D91" s="502">
        <v>-5800</v>
      </c>
      <c r="E91" s="502">
        <v>-5400</v>
      </c>
      <c r="F91" s="502">
        <v>-5400</v>
      </c>
      <c r="G91" s="501">
        <v>0</v>
      </c>
    </row>
    <row r="92" spans="1:7" ht="15.75" customHeight="1" x14ac:dyDescent="0.2">
      <c r="A92" s="500" t="s">
        <v>1619</v>
      </c>
      <c r="B92" s="501" t="s">
        <v>1620</v>
      </c>
      <c r="C92" s="502">
        <v>-19506.150000000001</v>
      </c>
      <c r="D92" s="502">
        <v>-28700</v>
      </c>
      <c r="E92" s="502">
        <v>-30000</v>
      </c>
      <c r="F92" s="502">
        <v>-30000</v>
      </c>
      <c r="G92" s="501">
        <v>0</v>
      </c>
    </row>
    <row r="93" spans="1:7" ht="15.75" customHeight="1" x14ac:dyDescent="0.2">
      <c r="A93" s="500" t="s">
        <v>1621</v>
      </c>
      <c r="B93" s="501" t="s">
        <v>1622</v>
      </c>
      <c r="C93" s="502">
        <v>-4537</v>
      </c>
      <c r="D93" s="502">
        <v>-7500</v>
      </c>
      <c r="E93" s="502">
        <v>-8000</v>
      </c>
      <c r="F93" s="502">
        <v>-8000</v>
      </c>
      <c r="G93" s="501">
        <v>0</v>
      </c>
    </row>
    <row r="94" spans="1:7" ht="15.75" customHeight="1" x14ac:dyDescent="0.2">
      <c r="A94" s="500" t="s">
        <v>1623</v>
      </c>
      <c r="B94" s="501" t="s">
        <v>1624</v>
      </c>
      <c r="C94" s="502">
        <v>-3115</v>
      </c>
      <c r="D94" s="502">
        <v>-1200</v>
      </c>
      <c r="E94" s="502">
        <v>-1500</v>
      </c>
      <c r="F94" s="502">
        <v>-1500</v>
      </c>
      <c r="G94" s="501">
        <v>0</v>
      </c>
    </row>
    <row r="95" spans="1:7" ht="15.75" customHeight="1" x14ac:dyDescent="0.2">
      <c r="A95" s="500" t="s">
        <v>1625</v>
      </c>
      <c r="B95" s="501" t="s">
        <v>1626</v>
      </c>
      <c r="C95" s="502">
        <v>-24348.880000000001</v>
      </c>
      <c r="D95" s="502">
        <v>-34500</v>
      </c>
      <c r="E95" s="502">
        <v>-35000</v>
      </c>
      <c r="F95" s="502">
        <v>-35000</v>
      </c>
      <c r="G95" s="501">
        <v>0</v>
      </c>
    </row>
    <row r="96" spans="1:7" ht="15.75" customHeight="1" x14ac:dyDescent="0.2">
      <c r="A96" s="500" t="s">
        <v>1627</v>
      </c>
      <c r="B96" s="501" t="s">
        <v>1628</v>
      </c>
      <c r="C96" s="502">
        <v>-27583.82</v>
      </c>
      <c r="D96" s="502">
        <v>-35000</v>
      </c>
      <c r="E96" s="502">
        <v>-45000</v>
      </c>
      <c r="F96" s="502">
        <v>-45000</v>
      </c>
      <c r="G96" s="501">
        <v>0</v>
      </c>
    </row>
    <row r="97" spans="1:7" ht="15.75" customHeight="1" x14ac:dyDescent="0.2">
      <c r="A97" s="500" t="s">
        <v>1629</v>
      </c>
      <c r="B97" s="501" t="s">
        <v>1630</v>
      </c>
      <c r="C97" s="502">
        <v>-24871.21</v>
      </c>
      <c r="D97" s="502">
        <v>-23000</v>
      </c>
      <c r="E97" s="502">
        <v>-26000</v>
      </c>
      <c r="F97" s="502">
        <v>-26000</v>
      </c>
      <c r="G97" s="501">
        <v>0</v>
      </c>
    </row>
    <row r="98" spans="1:7" ht="15.75" customHeight="1" x14ac:dyDescent="0.2">
      <c r="A98" s="500" t="s">
        <v>1631</v>
      </c>
      <c r="B98" s="501" t="s">
        <v>1632</v>
      </c>
      <c r="C98" s="502">
        <v>-114396.34</v>
      </c>
      <c r="D98" s="502">
        <v>-231000</v>
      </c>
      <c r="E98" s="502">
        <v>-180000</v>
      </c>
      <c r="F98" s="502">
        <v>-180000</v>
      </c>
      <c r="G98" s="501">
        <v>0</v>
      </c>
    </row>
    <row r="99" spans="1:7" ht="15.75" customHeight="1" x14ac:dyDescent="0.2">
      <c r="A99" s="500" t="s">
        <v>1787</v>
      </c>
      <c r="B99" s="501" t="s">
        <v>1788</v>
      </c>
      <c r="C99" s="502">
        <v>-1458.6</v>
      </c>
      <c r="D99" s="501">
        <v>0</v>
      </c>
      <c r="E99" s="502">
        <v>-1600</v>
      </c>
      <c r="F99" s="501">
        <v>0</v>
      </c>
      <c r="G99" s="502">
        <v>1600</v>
      </c>
    </row>
    <row r="100" spans="1:7" ht="15.75" customHeight="1" x14ac:dyDescent="0.2">
      <c r="A100" s="500" t="s">
        <v>428</v>
      </c>
      <c r="B100" s="501" t="s">
        <v>429</v>
      </c>
      <c r="C100" s="502">
        <v>-8428.1299999999992</v>
      </c>
      <c r="D100" s="502">
        <v>-15000</v>
      </c>
      <c r="E100" s="502">
        <v>-15000</v>
      </c>
      <c r="F100" s="502">
        <v>-15000</v>
      </c>
      <c r="G100" s="501">
        <v>0</v>
      </c>
    </row>
    <row r="101" spans="1:7" ht="15.75" customHeight="1" x14ac:dyDescent="0.2">
      <c r="A101" s="500" t="s">
        <v>430</v>
      </c>
      <c r="B101" s="501" t="s">
        <v>431</v>
      </c>
      <c r="C101" s="502">
        <v>-116885.07</v>
      </c>
      <c r="D101" s="502">
        <v>-70000</v>
      </c>
      <c r="E101" s="502">
        <v>-120000</v>
      </c>
      <c r="F101" s="502">
        <v>-120000</v>
      </c>
      <c r="G101" s="501">
        <v>0</v>
      </c>
    </row>
    <row r="102" spans="1:7" ht="15.75" customHeight="1" x14ac:dyDescent="0.2">
      <c r="A102" s="500" t="s">
        <v>570</v>
      </c>
      <c r="B102" s="501" t="s">
        <v>2002</v>
      </c>
      <c r="C102" s="501">
        <v>-253.63</v>
      </c>
      <c r="D102" s="502">
        <v>-7000</v>
      </c>
      <c r="E102" s="502">
        <v>-1500</v>
      </c>
      <c r="F102" s="502">
        <v>-1500</v>
      </c>
      <c r="G102" s="501">
        <v>0</v>
      </c>
    </row>
    <row r="103" spans="1:7" ht="15.75" customHeight="1" x14ac:dyDescent="0.2">
      <c r="A103" s="500" t="s">
        <v>432</v>
      </c>
      <c r="B103" s="501" t="s">
        <v>433</v>
      </c>
      <c r="C103" s="501">
        <v>0</v>
      </c>
      <c r="D103" s="502">
        <v>-5000</v>
      </c>
      <c r="E103" s="502">
        <v>-2500</v>
      </c>
      <c r="F103" s="502">
        <v>-2500</v>
      </c>
      <c r="G103" s="501">
        <v>0</v>
      </c>
    </row>
    <row r="104" spans="1:7" ht="15.75" customHeight="1" x14ac:dyDescent="0.2">
      <c r="A104" s="500" t="s">
        <v>831</v>
      </c>
      <c r="B104" s="501" t="s">
        <v>832</v>
      </c>
      <c r="C104" s="502">
        <v>-61524.51</v>
      </c>
      <c r="D104" s="502">
        <v>-60000</v>
      </c>
      <c r="E104" s="502">
        <v>-90000</v>
      </c>
      <c r="F104" s="502">
        <v>-90000</v>
      </c>
      <c r="G104" s="501">
        <v>0</v>
      </c>
    </row>
    <row r="105" spans="1:7" ht="15.75" customHeight="1" x14ac:dyDescent="0.2">
      <c r="A105" s="500" t="s">
        <v>2003</v>
      </c>
      <c r="B105" s="501" t="s">
        <v>1752</v>
      </c>
      <c r="C105" s="502">
        <v>-1877646.61</v>
      </c>
      <c r="D105" s="502">
        <v>-1800000</v>
      </c>
      <c r="E105" s="502">
        <v>-1800000</v>
      </c>
      <c r="F105" s="502">
        <v>-1800000</v>
      </c>
      <c r="G105" s="501">
        <v>0</v>
      </c>
    </row>
    <row r="106" spans="1:7" ht="15.75" customHeight="1" x14ac:dyDescent="0.2">
      <c r="A106" s="500" t="s">
        <v>2004</v>
      </c>
      <c r="B106" s="501" t="s">
        <v>2005</v>
      </c>
      <c r="C106" s="502">
        <v>-363932.4</v>
      </c>
      <c r="D106" s="502">
        <v>-300000</v>
      </c>
      <c r="E106" s="502">
        <v>-300000</v>
      </c>
      <c r="F106" s="502">
        <v>-300000</v>
      </c>
      <c r="G106" s="501">
        <v>0</v>
      </c>
    </row>
    <row r="107" spans="1:7" ht="15.75" customHeight="1" x14ac:dyDescent="0.2">
      <c r="A107" s="500" t="s">
        <v>2006</v>
      </c>
      <c r="B107" s="501" t="s">
        <v>2007</v>
      </c>
      <c r="C107" s="502">
        <v>-30522.42</v>
      </c>
      <c r="D107" s="501">
        <v>0</v>
      </c>
      <c r="E107" s="501">
        <v>0</v>
      </c>
      <c r="F107" s="501">
        <v>0</v>
      </c>
      <c r="G107" s="501">
        <v>0</v>
      </c>
    </row>
    <row r="108" spans="1:7" ht="15.75" customHeight="1" x14ac:dyDescent="0.2">
      <c r="A108" s="500" t="s">
        <v>2008</v>
      </c>
      <c r="B108" s="501" t="s">
        <v>2009</v>
      </c>
      <c r="C108" s="502">
        <v>-317955.98</v>
      </c>
      <c r="D108" s="502">
        <v>-300000</v>
      </c>
      <c r="E108" s="502">
        <v>-300000</v>
      </c>
      <c r="F108" s="502">
        <v>-300000</v>
      </c>
      <c r="G108" s="501">
        <v>0</v>
      </c>
    </row>
    <row r="109" spans="1:7" ht="15.75" customHeight="1" x14ac:dyDescent="0.2">
      <c r="A109" s="500" t="s">
        <v>2010</v>
      </c>
      <c r="B109" s="501" t="s">
        <v>2011</v>
      </c>
      <c r="C109" s="502">
        <v>-63185.51</v>
      </c>
      <c r="D109" s="501">
        <v>0</v>
      </c>
      <c r="E109" s="501">
        <v>0</v>
      </c>
      <c r="F109" s="501">
        <v>0</v>
      </c>
      <c r="G109" s="501">
        <v>0</v>
      </c>
    </row>
    <row r="110" spans="1:7" ht="15.75" customHeight="1" x14ac:dyDescent="0.2">
      <c r="A110" s="500" t="s">
        <v>2012</v>
      </c>
      <c r="B110" s="501" t="s">
        <v>2013</v>
      </c>
      <c r="C110" s="502">
        <v>-120893.42</v>
      </c>
      <c r="D110" s="501">
        <v>0</v>
      </c>
      <c r="E110" s="501">
        <v>0</v>
      </c>
      <c r="F110" s="501">
        <v>0</v>
      </c>
      <c r="G110" s="501">
        <v>0</v>
      </c>
    </row>
    <row r="111" spans="1:7" ht="15.75" customHeight="1" x14ac:dyDescent="0.2">
      <c r="A111" s="500" t="s">
        <v>2014</v>
      </c>
      <c r="B111" s="501" t="s">
        <v>2015</v>
      </c>
      <c r="C111" s="502">
        <v>-4789.7700000000004</v>
      </c>
      <c r="D111" s="501">
        <v>0</v>
      </c>
      <c r="E111" s="501">
        <v>0</v>
      </c>
      <c r="F111" s="501">
        <v>0</v>
      </c>
      <c r="G111" s="501">
        <v>0</v>
      </c>
    </row>
    <row r="112" spans="1:7" ht="15.75" customHeight="1" x14ac:dyDescent="0.2">
      <c r="A112" s="500" t="s">
        <v>2016</v>
      </c>
      <c r="B112" s="501" t="s">
        <v>2017</v>
      </c>
      <c r="C112" s="501">
        <v>0</v>
      </c>
      <c r="D112" s="502">
        <v>-5400</v>
      </c>
      <c r="E112" s="502">
        <v>-5000</v>
      </c>
      <c r="F112" s="502">
        <v>-5000</v>
      </c>
      <c r="G112" s="501">
        <v>0</v>
      </c>
    </row>
    <row r="113" spans="1:7" ht="15.75" customHeight="1" x14ac:dyDescent="0.2">
      <c r="A113" s="500" t="s">
        <v>2018</v>
      </c>
      <c r="B113" s="501" t="s">
        <v>2019</v>
      </c>
      <c r="C113" s="502">
        <v>-21764.22</v>
      </c>
      <c r="D113" s="502">
        <v>-69000</v>
      </c>
      <c r="E113" s="502">
        <v>-40000</v>
      </c>
      <c r="F113" s="502">
        <v>-40000</v>
      </c>
      <c r="G113" s="501">
        <v>0</v>
      </c>
    </row>
    <row r="114" spans="1:7" ht="15.75" customHeight="1" x14ac:dyDescent="0.2">
      <c r="A114" s="500" t="s">
        <v>1419</v>
      </c>
      <c r="B114" s="501" t="s">
        <v>1420</v>
      </c>
      <c r="C114" s="501">
        <v>0</v>
      </c>
      <c r="D114" s="501">
        <v>0</v>
      </c>
      <c r="E114" s="501">
        <v>0</v>
      </c>
      <c r="F114" s="501">
        <v>0</v>
      </c>
      <c r="G114" s="501">
        <v>0</v>
      </c>
    </row>
    <row r="115" spans="1:7" ht="15.75" customHeight="1" x14ac:dyDescent="0.2">
      <c r="A115" s="500" t="s">
        <v>2020</v>
      </c>
      <c r="B115" s="501" t="s">
        <v>1945</v>
      </c>
      <c r="C115" s="501">
        <v>0</v>
      </c>
      <c r="D115" s="501">
        <v>0</v>
      </c>
      <c r="E115" s="501">
        <v>0</v>
      </c>
      <c r="F115" s="501">
        <v>0</v>
      </c>
      <c r="G115" s="501">
        <v>0</v>
      </c>
    </row>
    <row r="116" spans="1:7" ht="15.75" customHeight="1" x14ac:dyDescent="0.2">
      <c r="A116" s="500" t="s">
        <v>1669</v>
      </c>
      <c r="B116" s="501" t="s">
        <v>1670</v>
      </c>
      <c r="C116" s="502">
        <v>-142921.06</v>
      </c>
      <c r="D116" s="502">
        <v>-138000</v>
      </c>
      <c r="E116" s="502">
        <v>-135000</v>
      </c>
      <c r="F116" s="502">
        <v>-135000</v>
      </c>
      <c r="G116" s="501">
        <v>0</v>
      </c>
    </row>
    <row r="117" spans="1:7" ht="15.75" customHeight="1" x14ac:dyDescent="0.2">
      <c r="A117" s="500" t="s">
        <v>1699</v>
      </c>
      <c r="B117" s="501" t="s">
        <v>1700</v>
      </c>
      <c r="C117" s="502">
        <v>-127675</v>
      </c>
      <c r="D117" s="502">
        <v>-97000</v>
      </c>
      <c r="E117" s="502">
        <v>-120000</v>
      </c>
      <c r="F117" s="502">
        <v>-120000</v>
      </c>
      <c r="G117" s="501">
        <v>0</v>
      </c>
    </row>
    <row r="118" spans="1:7" ht="15.75" customHeight="1" x14ac:dyDescent="0.2">
      <c r="A118" s="500" t="s">
        <v>1701</v>
      </c>
      <c r="B118" s="501" t="s">
        <v>1702</v>
      </c>
      <c r="C118" s="502">
        <v>-256263.96</v>
      </c>
      <c r="D118" s="502">
        <v>-285000</v>
      </c>
      <c r="E118" s="502">
        <v>-250000</v>
      </c>
      <c r="F118" s="502">
        <v>-250000</v>
      </c>
      <c r="G118" s="501">
        <v>0</v>
      </c>
    </row>
    <row r="119" spans="1:7" ht="15.75" customHeight="1" x14ac:dyDescent="0.2">
      <c r="A119" s="500" t="s">
        <v>1703</v>
      </c>
      <c r="B119" s="501" t="s">
        <v>2021</v>
      </c>
      <c r="C119" s="501">
        <v>-919.9</v>
      </c>
      <c r="D119" s="502">
        <v>-15500</v>
      </c>
      <c r="E119" s="501">
        <v>-800</v>
      </c>
      <c r="F119" s="501">
        <v>-800</v>
      </c>
      <c r="G119" s="501">
        <v>0</v>
      </c>
    </row>
    <row r="120" spans="1:7" ht="15.75" customHeight="1" x14ac:dyDescent="0.2">
      <c r="A120" s="500" t="s">
        <v>2022</v>
      </c>
      <c r="B120" s="501" t="s">
        <v>2023</v>
      </c>
      <c r="C120" s="502">
        <v>-613201.87</v>
      </c>
      <c r="D120" s="502">
        <v>-430000</v>
      </c>
      <c r="E120" s="502">
        <v>-326700</v>
      </c>
      <c r="F120" s="502">
        <v>-326700</v>
      </c>
      <c r="G120" s="501">
        <v>0</v>
      </c>
    </row>
    <row r="121" spans="1:7" ht="15.75" customHeight="1" x14ac:dyDescent="0.2">
      <c r="A121" s="500" t="s">
        <v>2024</v>
      </c>
      <c r="B121" s="501" t="s">
        <v>1761</v>
      </c>
      <c r="C121" s="502">
        <v>-216030.53</v>
      </c>
      <c r="D121" s="502">
        <v>-11700</v>
      </c>
      <c r="E121" s="502">
        <v>-50000</v>
      </c>
      <c r="F121" s="502">
        <v>-50000</v>
      </c>
      <c r="G121" s="501">
        <v>0</v>
      </c>
    </row>
    <row r="122" spans="1:7" ht="15.75" customHeight="1" x14ac:dyDescent="0.2">
      <c r="A122" s="500" t="s">
        <v>1416</v>
      </c>
      <c r="B122" s="501" t="s">
        <v>1417</v>
      </c>
      <c r="C122" s="502">
        <v>-4620</v>
      </c>
      <c r="D122" s="502">
        <v>-2000</v>
      </c>
      <c r="E122" s="502">
        <v>-2000</v>
      </c>
      <c r="F122" s="502">
        <v>-2000</v>
      </c>
      <c r="G122" s="501">
        <v>0</v>
      </c>
    </row>
    <row r="123" spans="1:7" ht="15.75" customHeight="1" x14ac:dyDescent="0.2">
      <c r="A123" s="500" t="s">
        <v>2025</v>
      </c>
      <c r="B123" s="501" t="s">
        <v>2026</v>
      </c>
      <c r="C123" s="501">
        <v>0</v>
      </c>
      <c r="D123" s="501">
        <v>0</v>
      </c>
      <c r="E123" s="501">
        <v>0</v>
      </c>
      <c r="F123" s="501">
        <v>0</v>
      </c>
      <c r="G123" s="501">
        <v>0</v>
      </c>
    </row>
    <row r="124" spans="1:7" ht="15.75" customHeight="1" x14ac:dyDescent="0.2">
      <c r="A124" s="500" t="s">
        <v>2027</v>
      </c>
      <c r="B124" s="501" t="s">
        <v>2028</v>
      </c>
      <c r="C124" s="501">
        <v>0</v>
      </c>
      <c r="D124" s="502">
        <v>-175400</v>
      </c>
      <c r="E124" s="501">
        <v>0</v>
      </c>
      <c r="F124" s="501">
        <v>0</v>
      </c>
      <c r="G124" s="501">
        <v>0</v>
      </c>
    </row>
    <row r="125" spans="1:7" ht="15.75" customHeight="1" x14ac:dyDescent="0.2">
      <c r="A125" s="500" t="s">
        <v>2029</v>
      </c>
      <c r="B125" s="501" t="s">
        <v>2030</v>
      </c>
      <c r="C125" s="501">
        <v>0</v>
      </c>
      <c r="D125" s="502">
        <v>-12500</v>
      </c>
      <c r="E125" s="502">
        <v>-13400</v>
      </c>
      <c r="F125" s="502">
        <v>-13400</v>
      </c>
      <c r="G125" s="501">
        <v>0</v>
      </c>
    </row>
    <row r="126" spans="1:7" ht="15.75" customHeight="1" x14ac:dyDescent="0.2">
      <c r="A126" s="500" t="s">
        <v>2031</v>
      </c>
      <c r="B126" s="501" t="s">
        <v>2032</v>
      </c>
      <c r="C126" s="501">
        <v>0</v>
      </c>
      <c r="D126" s="502">
        <v>-7500</v>
      </c>
      <c r="E126" s="501">
        <v>0</v>
      </c>
      <c r="F126" s="501">
        <v>0</v>
      </c>
      <c r="G126" s="501">
        <v>0</v>
      </c>
    </row>
    <row r="127" spans="1:7" ht="15.75" customHeight="1" x14ac:dyDescent="0.2">
      <c r="A127" s="500" t="s">
        <v>2033</v>
      </c>
      <c r="B127" s="501" t="s">
        <v>2034</v>
      </c>
      <c r="C127" s="501">
        <v>0</v>
      </c>
      <c r="D127" s="502">
        <v>-349557</v>
      </c>
      <c r="E127" s="501">
        <v>0</v>
      </c>
      <c r="F127" s="501">
        <v>0</v>
      </c>
      <c r="G127" s="501">
        <v>0</v>
      </c>
    </row>
    <row r="128" spans="1:7" ht="15.75" customHeight="1" x14ac:dyDescent="0.2">
      <c r="A128" s="500" t="s">
        <v>2035</v>
      </c>
      <c r="B128" s="501" t="s">
        <v>2036</v>
      </c>
      <c r="C128" s="501">
        <v>0</v>
      </c>
      <c r="D128" s="502">
        <v>-197100</v>
      </c>
      <c r="E128" s="502">
        <v>-42450</v>
      </c>
      <c r="F128" s="502">
        <v>-42450</v>
      </c>
      <c r="G128" s="501">
        <v>0</v>
      </c>
    </row>
    <row r="129" spans="1:7" ht="15.75" customHeight="1" x14ac:dyDescent="0.2">
      <c r="A129" s="500" t="s">
        <v>2037</v>
      </c>
      <c r="B129" s="501" t="s">
        <v>1310</v>
      </c>
      <c r="C129" s="501">
        <v>0</v>
      </c>
      <c r="D129" s="502">
        <v>-113900</v>
      </c>
      <c r="E129" s="502">
        <v>-99300</v>
      </c>
      <c r="F129" s="502">
        <v>-99300</v>
      </c>
      <c r="G129" s="501">
        <v>0</v>
      </c>
    </row>
    <row r="130" spans="1:7" ht="15.75" customHeight="1" x14ac:dyDescent="0.2">
      <c r="A130" s="500" t="s">
        <v>2038</v>
      </c>
      <c r="B130" s="501" t="s">
        <v>2039</v>
      </c>
      <c r="C130" s="501">
        <v>0</v>
      </c>
      <c r="D130" s="502">
        <v>-3000000</v>
      </c>
      <c r="E130" s="501">
        <v>0</v>
      </c>
      <c r="F130" s="501">
        <v>0</v>
      </c>
      <c r="G130" s="501">
        <v>0</v>
      </c>
    </row>
    <row r="131" spans="1:7" ht="15.75" customHeight="1" x14ac:dyDescent="0.2">
      <c r="A131" s="500" t="s">
        <v>2040</v>
      </c>
      <c r="B131" s="501" t="s">
        <v>2041</v>
      </c>
      <c r="C131" s="501">
        <v>0</v>
      </c>
      <c r="D131" s="502">
        <v>-120000</v>
      </c>
      <c r="E131" s="502">
        <v>-217400</v>
      </c>
      <c r="F131" s="502">
        <v>-217400</v>
      </c>
      <c r="G131" s="501">
        <v>0</v>
      </c>
    </row>
    <row r="132" spans="1:7" ht="15.75" customHeight="1" x14ac:dyDescent="0.2">
      <c r="A132" s="500" t="s">
        <v>1428</v>
      </c>
      <c r="B132" s="501" t="s">
        <v>1427</v>
      </c>
      <c r="C132" s="501">
        <v>0</v>
      </c>
      <c r="D132" s="502">
        <v>-121000</v>
      </c>
      <c r="E132" s="502">
        <v>-121000</v>
      </c>
      <c r="F132" s="502">
        <v>-121000</v>
      </c>
      <c r="G132" s="501">
        <v>0</v>
      </c>
    </row>
    <row r="133" spans="1:7" ht="15.75" customHeight="1" x14ac:dyDescent="0.2">
      <c r="A133" s="500" t="s">
        <v>2042</v>
      </c>
      <c r="B133" s="501" t="s">
        <v>2043</v>
      </c>
      <c r="C133" s="501">
        <v>0</v>
      </c>
      <c r="D133" s="502">
        <v>-42500</v>
      </c>
      <c r="E133" s="502">
        <v>-42500</v>
      </c>
      <c r="F133" s="502">
        <v>-42500</v>
      </c>
      <c r="G133" s="501">
        <v>0</v>
      </c>
    </row>
    <row r="134" spans="1:7" ht="15.75" customHeight="1" x14ac:dyDescent="0.2">
      <c r="A134" s="500" t="s">
        <v>1423</v>
      </c>
      <c r="B134" s="501" t="s">
        <v>1424</v>
      </c>
      <c r="C134" s="501">
        <v>0</v>
      </c>
      <c r="D134" s="502">
        <v>-6000</v>
      </c>
      <c r="E134" s="502">
        <v>-6000</v>
      </c>
      <c r="F134" s="502">
        <v>-6000</v>
      </c>
      <c r="G134" s="501">
        <v>0</v>
      </c>
    </row>
    <row r="135" spans="1:7" ht="15.75" customHeight="1" x14ac:dyDescent="0.2">
      <c r="A135" s="500" t="s">
        <v>1104</v>
      </c>
      <c r="B135" s="501" t="s">
        <v>1105</v>
      </c>
      <c r="C135" s="501">
        <v>0</v>
      </c>
      <c r="D135" s="502">
        <v>-1000</v>
      </c>
      <c r="E135" s="502">
        <v>-1000</v>
      </c>
      <c r="F135" s="502">
        <v>-1000</v>
      </c>
      <c r="G135" s="501">
        <v>0</v>
      </c>
    </row>
    <row r="136" spans="1:7" ht="15.75" customHeight="1" x14ac:dyDescent="0.2">
      <c r="A136" s="500" t="s">
        <v>2044</v>
      </c>
      <c r="B136" s="501" t="s">
        <v>2045</v>
      </c>
      <c r="C136" s="501">
        <v>0</v>
      </c>
      <c r="D136" s="501">
        <v>0</v>
      </c>
      <c r="E136" s="501">
        <v>0</v>
      </c>
      <c r="F136" s="501">
        <v>0</v>
      </c>
      <c r="G136" s="501">
        <v>0</v>
      </c>
    </row>
    <row r="137" spans="1:7" ht="15.75" customHeight="1" x14ac:dyDescent="0.2">
      <c r="A137" s="500" t="s">
        <v>650</v>
      </c>
      <c r="B137" s="501" t="s">
        <v>651</v>
      </c>
      <c r="C137" s="501">
        <v>-138.04</v>
      </c>
      <c r="D137" s="502">
        <v>-2500</v>
      </c>
      <c r="E137" s="501">
        <v>0</v>
      </c>
      <c r="F137" s="501">
        <v>0</v>
      </c>
      <c r="G137" s="501">
        <v>0</v>
      </c>
    </row>
    <row r="138" spans="1:7" ht="15.75" customHeight="1" x14ac:dyDescent="0.2">
      <c r="A138" s="500" t="s">
        <v>661</v>
      </c>
      <c r="B138" s="501" t="s">
        <v>662</v>
      </c>
      <c r="C138" s="502">
        <v>-32673.89</v>
      </c>
      <c r="D138" s="502">
        <v>-18000</v>
      </c>
      <c r="E138" s="502">
        <v>-18000</v>
      </c>
      <c r="F138" s="502">
        <v>-18000</v>
      </c>
      <c r="G138" s="501">
        <v>0</v>
      </c>
    </row>
    <row r="139" spans="1:7" ht="15.75" customHeight="1" x14ac:dyDescent="0.2">
      <c r="A139" s="500" t="s">
        <v>2046</v>
      </c>
      <c r="B139" s="501" t="s">
        <v>1766</v>
      </c>
      <c r="C139" s="501">
        <v>0</v>
      </c>
      <c r="D139" s="502">
        <v>-5451272.1699999999</v>
      </c>
      <c r="E139" s="502">
        <v>-7643016.1699999999</v>
      </c>
      <c r="F139" s="502">
        <v>-4293372.17</v>
      </c>
      <c r="G139" s="502">
        <v>3349644</v>
      </c>
    </row>
    <row r="140" spans="1:7" ht="15.75" customHeight="1" x14ac:dyDescent="0.2">
      <c r="A140" s="500" t="s">
        <v>2047</v>
      </c>
      <c r="B140" s="501" t="s">
        <v>2048</v>
      </c>
      <c r="C140" s="501">
        <v>0</v>
      </c>
      <c r="D140" s="502">
        <v>-27000</v>
      </c>
      <c r="E140" s="501">
        <v>0</v>
      </c>
      <c r="F140" s="501">
        <v>0</v>
      </c>
      <c r="G140" s="501">
        <v>0</v>
      </c>
    </row>
    <row r="141" spans="1:7" ht="15.75" customHeight="1" x14ac:dyDescent="0.2">
      <c r="A141" s="500" t="s">
        <v>67</v>
      </c>
      <c r="B141" s="501" t="s">
        <v>68</v>
      </c>
      <c r="C141" s="502">
        <v>186942.43</v>
      </c>
      <c r="D141" s="502">
        <v>248581.5</v>
      </c>
      <c r="E141" s="502">
        <v>402800</v>
      </c>
      <c r="F141" s="502">
        <v>402800</v>
      </c>
      <c r="G141" s="501">
        <v>0</v>
      </c>
    </row>
    <row r="142" spans="1:7" ht="15.75" customHeight="1" x14ac:dyDescent="0.2">
      <c r="A142" s="500" t="s">
        <v>69</v>
      </c>
      <c r="B142" s="501" t="s">
        <v>70</v>
      </c>
      <c r="C142" s="502">
        <v>2292.5</v>
      </c>
      <c r="D142" s="501">
        <v>0</v>
      </c>
      <c r="E142" s="502">
        <v>4500</v>
      </c>
      <c r="F142" s="502">
        <v>2000</v>
      </c>
      <c r="G142" s="502">
        <v>-2500</v>
      </c>
    </row>
    <row r="143" spans="1:7" ht="15.75" customHeight="1" x14ac:dyDescent="0.2">
      <c r="A143" s="500" t="s">
        <v>71</v>
      </c>
      <c r="B143" s="501" t="s">
        <v>72</v>
      </c>
      <c r="C143" s="502">
        <v>32003.1</v>
      </c>
      <c r="D143" s="502">
        <v>54286</v>
      </c>
      <c r="E143" s="502">
        <v>69800</v>
      </c>
      <c r="F143" s="502">
        <v>69800</v>
      </c>
      <c r="G143" s="501">
        <v>0</v>
      </c>
    </row>
    <row r="144" spans="1:7" ht="15.75" customHeight="1" x14ac:dyDescent="0.2">
      <c r="A144" s="500" t="s">
        <v>73</v>
      </c>
      <c r="B144" s="501" t="s">
        <v>74</v>
      </c>
      <c r="C144" s="502">
        <v>23288.57</v>
      </c>
      <c r="D144" s="502">
        <v>24200</v>
      </c>
      <c r="E144" s="502">
        <v>24200</v>
      </c>
      <c r="F144" s="502">
        <v>24200</v>
      </c>
      <c r="G144" s="501">
        <v>0</v>
      </c>
    </row>
    <row r="145" spans="1:7" ht="15.75" customHeight="1" x14ac:dyDescent="0.2">
      <c r="A145" s="500" t="s">
        <v>75</v>
      </c>
      <c r="B145" s="501" t="s">
        <v>76</v>
      </c>
      <c r="C145" s="502">
        <v>5918.69</v>
      </c>
      <c r="D145" s="502">
        <v>19000</v>
      </c>
      <c r="E145" s="502">
        <v>19570</v>
      </c>
      <c r="F145" s="502">
        <v>19570</v>
      </c>
      <c r="G145" s="501">
        <v>0</v>
      </c>
    </row>
    <row r="146" spans="1:7" ht="15.75" customHeight="1" x14ac:dyDescent="0.2">
      <c r="A146" s="500" t="s">
        <v>77</v>
      </c>
      <c r="B146" s="501" t="s">
        <v>78</v>
      </c>
      <c r="C146" s="501">
        <v>0</v>
      </c>
      <c r="D146" s="501">
        <v>0</v>
      </c>
      <c r="E146" s="501">
        <v>0</v>
      </c>
      <c r="F146" s="501">
        <v>0</v>
      </c>
      <c r="G146" s="501">
        <v>0</v>
      </c>
    </row>
    <row r="147" spans="1:7" ht="15.75" customHeight="1" x14ac:dyDescent="0.2">
      <c r="A147" s="500" t="s">
        <v>79</v>
      </c>
      <c r="B147" s="501" t="s">
        <v>80</v>
      </c>
      <c r="C147" s="502">
        <v>1664.48</v>
      </c>
      <c r="D147" s="502">
        <v>2500</v>
      </c>
      <c r="E147" s="502">
        <v>2500</v>
      </c>
      <c r="F147" s="502">
        <v>2500</v>
      </c>
      <c r="G147" s="501">
        <v>0</v>
      </c>
    </row>
    <row r="148" spans="1:7" ht="15.75" customHeight="1" x14ac:dyDescent="0.2">
      <c r="A148" s="500" t="s">
        <v>81</v>
      </c>
      <c r="B148" s="501" t="s">
        <v>82</v>
      </c>
      <c r="C148" s="501">
        <v>85.39</v>
      </c>
      <c r="D148" s="502">
        <v>1400</v>
      </c>
      <c r="E148" s="501">
        <v>500</v>
      </c>
      <c r="F148" s="501">
        <v>500</v>
      </c>
      <c r="G148" s="501">
        <v>0</v>
      </c>
    </row>
    <row r="149" spans="1:7" ht="15.75" customHeight="1" x14ac:dyDescent="0.2">
      <c r="A149" s="500" t="s">
        <v>83</v>
      </c>
      <c r="B149" s="501" t="s">
        <v>84</v>
      </c>
      <c r="C149" s="501">
        <v>211.33</v>
      </c>
      <c r="D149" s="501">
        <v>300</v>
      </c>
      <c r="E149" s="501">
        <v>600</v>
      </c>
      <c r="F149" s="502">
        <v>3540</v>
      </c>
      <c r="G149" s="502">
        <v>2940</v>
      </c>
    </row>
    <row r="150" spans="1:7" ht="15.75" customHeight="1" x14ac:dyDescent="0.2">
      <c r="A150" s="500" t="s">
        <v>85</v>
      </c>
      <c r="B150" s="501" t="s">
        <v>86</v>
      </c>
      <c r="C150" s="502">
        <v>54355</v>
      </c>
      <c r="D150" s="502">
        <v>61500</v>
      </c>
      <c r="E150" s="502">
        <v>67800</v>
      </c>
      <c r="F150" s="502">
        <v>67800</v>
      </c>
      <c r="G150" s="501">
        <v>0</v>
      </c>
    </row>
    <row r="151" spans="1:7" ht="15.75" customHeight="1" x14ac:dyDescent="0.2">
      <c r="A151" s="500" t="s">
        <v>87</v>
      </c>
      <c r="B151" s="501" t="s">
        <v>88</v>
      </c>
      <c r="C151" s="501">
        <v>0</v>
      </c>
      <c r="D151" s="501">
        <v>0</v>
      </c>
      <c r="E151" s="502">
        <v>1000</v>
      </c>
      <c r="F151" s="502">
        <v>1000</v>
      </c>
      <c r="G151" s="501">
        <v>0</v>
      </c>
    </row>
    <row r="152" spans="1:7" ht="15.75" customHeight="1" x14ac:dyDescent="0.2">
      <c r="A152" s="500" t="s">
        <v>89</v>
      </c>
      <c r="B152" s="501" t="s">
        <v>90</v>
      </c>
      <c r="C152" s="502">
        <v>5730.57</v>
      </c>
      <c r="D152" s="502">
        <v>6000</v>
      </c>
      <c r="E152" s="502">
        <v>7600</v>
      </c>
      <c r="F152" s="502">
        <v>7600</v>
      </c>
      <c r="G152" s="501">
        <v>0</v>
      </c>
    </row>
    <row r="153" spans="1:7" ht="15.75" customHeight="1" x14ac:dyDescent="0.2">
      <c r="A153" s="500" t="s">
        <v>91</v>
      </c>
      <c r="B153" s="501" t="s">
        <v>92</v>
      </c>
      <c r="C153" s="502">
        <v>1923.2</v>
      </c>
      <c r="D153" s="502">
        <v>2400</v>
      </c>
      <c r="E153" s="502">
        <v>2400</v>
      </c>
      <c r="F153" s="502">
        <v>2400</v>
      </c>
      <c r="G153" s="501">
        <v>0</v>
      </c>
    </row>
    <row r="154" spans="1:7" ht="15.75" customHeight="1" x14ac:dyDescent="0.2">
      <c r="A154" s="500" t="s">
        <v>93</v>
      </c>
      <c r="B154" s="501" t="s">
        <v>94</v>
      </c>
      <c r="C154" s="501">
        <v>167.88</v>
      </c>
      <c r="D154" s="502">
        <v>2500</v>
      </c>
      <c r="E154" s="502">
        <v>2500</v>
      </c>
      <c r="F154" s="502">
        <v>2500</v>
      </c>
      <c r="G154" s="501">
        <v>0</v>
      </c>
    </row>
    <row r="155" spans="1:7" ht="15.75" customHeight="1" x14ac:dyDescent="0.2">
      <c r="A155" s="500" t="s">
        <v>95</v>
      </c>
      <c r="B155" s="501" t="s">
        <v>96</v>
      </c>
      <c r="C155" s="502">
        <v>-30220.17</v>
      </c>
      <c r="D155" s="502">
        <v>-42300.35</v>
      </c>
      <c r="E155" s="502">
        <v>-60577</v>
      </c>
      <c r="F155" s="502">
        <v>-60621</v>
      </c>
      <c r="G155" s="501">
        <v>-44</v>
      </c>
    </row>
    <row r="156" spans="1:7" ht="15.75" customHeight="1" x14ac:dyDescent="0.2">
      <c r="A156" s="500" t="s">
        <v>544</v>
      </c>
      <c r="B156" s="501" t="s">
        <v>68</v>
      </c>
      <c r="C156" s="502">
        <v>194218</v>
      </c>
      <c r="D156" s="502">
        <v>255692</v>
      </c>
      <c r="E156" s="502">
        <v>267500</v>
      </c>
      <c r="F156" s="502">
        <v>233200</v>
      </c>
      <c r="G156" s="502">
        <v>-34300</v>
      </c>
    </row>
    <row r="157" spans="1:7" ht="15.75" customHeight="1" x14ac:dyDescent="0.2">
      <c r="A157" s="500" t="s">
        <v>545</v>
      </c>
      <c r="B157" s="501" t="s">
        <v>70</v>
      </c>
      <c r="C157" s="501">
        <v>22.68</v>
      </c>
      <c r="D157" s="502">
        <v>1000</v>
      </c>
      <c r="E157" s="502">
        <v>1000</v>
      </c>
      <c r="F157" s="502">
        <v>1000</v>
      </c>
      <c r="G157" s="501">
        <v>0</v>
      </c>
    </row>
    <row r="158" spans="1:7" ht="15.75" customHeight="1" x14ac:dyDescent="0.2">
      <c r="A158" s="500" t="s">
        <v>546</v>
      </c>
      <c r="B158" s="501" t="s">
        <v>108</v>
      </c>
      <c r="C158" s="501">
        <v>0</v>
      </c>
      <c r="D158" s="501">
        <v>0</v>
      </c>
      <c r="E158" s="501">
        <v>0</v>
      </c>
      <c r="F158" s="501">
        <v>0</v>
      </c>
      <c r="G158" s="501">
        <v>0</v>
      </c>
    </row>
    <row r="159" spans="1:7" ht="15.75" customHeight="1" x14ac:dyDescent="0.2">
      <c r="A159" s="500" t="s">
        <v>547</v>
      </c>
      <c r="B159" s="501" t="s">
        <v>72</v>
      </c>
      <c r="C159" s="502">
        <v>81453.55</v>
      </c>
      <c r="D159" s="502">
        <v>111809</v>
      </c>
      <c r="E159" s="502">
        <v>112400</v>
      </c>
      <c r="F159" s="502">
        <v>103200</v>
      </c>
      <c r="G159" s="502">
        <v>-9200</v>
      </c>
    </row>
    <row r="160" spans="1:7" ht="15.75" customHeight="1" x14ac:dyDescent="0.2">
      <c r="A160" s="500" t="s">
        <v>548</v>
      </c>
      <c r="B160" s="501" t="s">
        <v>549</v>
      </c>
      <c r="C160" s="502">
        <v>66033.429999999993</v>
      </c>
      <c r="D160" s="502">
        <v>68100</v>
      </c>
      <c r="E160" s="502">
        <v>70143</v>
      </c>
      <c r="F160" s="502">
        <v>70143</v>
      </c>
      <c r="G160" s="501">
        <v>0</v>
      </c>
    </row>
    <row r="161" spans="1:7" ht="15.75" customHeight="1" x14ac:dyDescent="0.2">
      <c r="A161" s="500" t="s">
        <v>550</v>
      </c>
      <c r="B161" s="501" t="s">
        <v>74</v>
      </c>
      <c r="C161" s="501">
        <v>0</v>
      </c>
      <c r="D161" s="502">
        <v>4500</v>
      </c>
      <c r="E161" s="502">
        <v>3000</v>
      </c>
      <c r="F161" s="501">
        <v>0</v>
      </c>
      <c r="G161" s="502">
        <v>-3000</v>
      </c>
    </row>
    <row r="162" spans="1:7" ht="15.75" customHeight="1" x14ac:dyDescent="0.2">
      <c r="A162" s="500" t="s">
        <v>551</v>
      </c>
      <c r="B162" s="501" t="s">
        <v>76</v>
      </c>
      <c r="C162" s="501">
        <v>23.08</v>
      </c>
      <c r="D162" s="502">
        <v>2000</v>
      </c>
      <c r="E162" s="502">
        <v>2000</v>
      </c>
      <c r="F162" s="501">
        <v>0</v>
      </c>
      <c r="G162" s="502">
        <v>-2000</v>
      </c>
    </row>
    <row r="163" spans="1:7" ht="15.75" customHeight="1" x14ac:dyDescent="0.2">
      <c r="A163" s="500" t="s">
        <v>552</v>
      </c>
      <c r="B163" s="501" t="s">
        <v>80</v>
      </c>
      <c r="C163" s="502">
        <v>1472.45</v>
      </c>
      <c r="D163" s="502">
        <v>1300</v>
      </c>
      <c r="E163" s="502">
        <v>2250</v>
      </c>
      <c r="F163" s="502">
        <v>1000</v>
      </c>
      <c r="G163" s="502">
        <v>-1250</v>
      </c>
    </row>
    <row r="164" spans="1:7" ht="15.75" customHeight="1" x14ac:dyDescent="0.2">
      <c r="A164" s="500" t="s">
        <v>553</v>
      </c>
      <c r="B164" s="501" t="s">
        <v>115</v>
      </c>
      <c r="C164" s="502">
        <v>5256.61</v>
      </c>
      <c r="D164" s="502">
        <v>6800</v>
      </c>
      <c r="E164" s="502">
        <v>3500</v>
      </c>
      <c r="F164" s="502">
        <v>1500</v>
      </c>
      <c r="G164" s="502">
        <v>-2000</v>
      </c>
    </row>
    <row r="165" spans="1:7" ht="15.75" customHeight="1" x14ac:dyDescent="0.2">
      <c r="A165" s="500" t="s">
        <v>556</v>
      </c>
      <c r="B165" s="501" t="s">
        <v>84</v>
      </c>
      <c r="C165" s="501">
        <v>765</v>
      </c>
      <c r="D165" s="502">
        <v>1700</v>
      </c>
      <c r="E165" s="502">
        <v>1700</v>
      </c>
      <c r="F165" s="502">
        <v>1700</v>
      </c>
      <c r="G165" s="501">
        <v>0</v>
      </c>
    </row>
    <row r="166" spans="1:7" ht="15.75" customHeight="1" x14ac:dyDescent="0.2">
      <c r="A166" s="500" t="s">
        <v>557</v>
      </c>
      <c r="B166" s="501" t="s">
        <v>210</v>
      </c>
      <c r="C166" s="501">
        <v>0</v>
      </c>
      <c r="D166" s="501">
        <v>0</v>
      </c>
      <c r="E166" s="501">
        <v>500</v>
      </c>
      <c r="F166" s="501">
        <v>500</v>
      </c>
      <c r="G166" s="501">
        <v>0</v>
      </c>
    </row>
    <row r="167" spans="1:7" ht="15.75" customHeight="1" x14ac:dyDescent="0.2">
      <c r="A167" s="500" t="s">
        <v>558</v>
      </c>
      <c r="B167" s="501" t="s">
        <v>559</v>
      </c>
      <c r="C167" s="502">
        <v>16200</v>
      </c>
      <c r="D167" s="502">
        <v>21600</v>
      </c>
      <c r="E167" s="502">
        <v>22248</v>
      </c>
      <c r="F167" s="502">
        <v>21648</v>
      </c>
      <c r="G167" s="501">
        <v>-600</v>
      </c>
    </row>
    <row r="168" spans="1:7" ht="15.75" customHeight="1" x14ac:dyDescent="0.2">
      <c r="A168" s="500" t="s">
        <v>560</v>
      </c>
      <c r="B168" s="501" t="s">
        <v>86</v>
      </c>
      <c r="C168" s="502">
        <v>909639.2</v>
      </c>
      <c r="D168" s="502">
        <v>1231900</v>
      </c>
      <c r="E168" s="502">
        <v>1263479.96</v>
      </c>
      <c r="F168" s="502">
        <v>1008999.96</v>
      </c>
      <c r="G168" s="502">
        <v>-254480</v>
      </c>
    </row>
    <row r="169" spans="1:7" ht="15.75" customHeight="1" x14ac:dyDescent="0.2">
      <c r="A169" s="500" t="s">
        <v>561</v>
      </c>
      <c r="B169" s="501" t="s">
        <v>88</v>
      </c>
      <c r="C169" s="502">
        <v>7622</v>
      </c>
      <c r="D169" s="502">
        <v>14000</v>
      </c>
      <c r="E169" s="502">
        <v>14000</v>
      </c>
      <c r="F169" s="502">
        <v>14000</v>
      </c>
      <c r="G169" s="501">
        <v>0</v>
      </c>
    </row>
    <row r="170" spans="1:7" ht="15.75" customHeight="1" x14ac:dyDescent="0.2">
      <c r="A170" s="500" t="s">
        <v>562</v>
      </c>
      <c r="B170" s="501" t="s">
        <v>90</v>
      </c>
      <c r="C170" s="502">
        <v>4261.57</v>
      </c>
      <c r="D170" s="502">
        <v>6000</v>
      </c>
      <c r="E170" s="502">
        <v>6200</v>
      </c>
      <c r="F170" s="501">
        <v>0</v>
      </c>
      <c r="G170" s="502">
        <v>-6200</v>
      </c>
    </row>
    <row r="171" spans="1:7" ht="15.75" customHeight="1" x14ac:dyDescent="0.2">
      <c r="A171" s="500" t="s">
        <v>563</v>
      </c>
      <c r="B171" s="501" t="s">
        <v>564</v>
      </c>
      <c r="C171" s="501">
        <v>0</v>
      </c>
      <c r="D171" s="502">
        <v>1000</v>
      </c>
      <c r="E171" s="502">
        <v>5000</v>
      </c>
      <c r="F171" s="501">
        <v>0</v>
      </c>
      <c r="G171" s="502">
        <v>-5000</v>
      </c>
    </row>
    <row r="172" spans="1:7" ht="15.75" customHeight="1" x14ac:dyDescent="0.2">
      <c r="A172" s="500" t="s">
        <v>565</v>
      </c>
      <c r="B172" s="501" t="s">
        <v>92</v>
      </c>
      <c r="C172" s="502">
        <v>2339.9699999999998</v>
      </c>
      <c r="D172" s="502">
        <v>1800</v>
      </c>
      <c r="E172" s="502">
        <v>1800</v>
      </c>
      <c r="F172" s="501">
        <v>0</v>
      </c>
      <c r="G172" s="502">
        <v>-1800</v>
      </c>
    </row>
    <row r="173" spans="1:7" ht="15.75" customHeight="1" x14ac:dyDescent="0.2">
      <c r="A173" s="500" t="s">
        <v>566</v>
      </c>
      <c r="B173" s="501" t="s">
        <v>94</v>
      </c>
      <c r="C173" s="501">
        <v>540</v>
      </c>
      <c r="D173" s="501">
        <v>0</v>
      </c>
      <c r="E173" s="501">
        <v>0</v>
      </c>
      <c r="F173" s="501">
        <v>0</v>
      </c>
      <c r="G173" s="501">
        <v>0</v>
      </c>
    </row>
    <row r="174" spans="1:7" ht="15.75" customHeight="1" x14ac:dyDescent="0.2">
      <c r="A174" s="500" t="s">
        <v>105</v>
      </c>
      <c r="B174" s="501" t="s">
        <v>68</v>
      </c>
      <c r="C174" s="502">
        <v>360337.03</v>
      </c>
      <c r="D174" s="502">
        <v>421881.5</v>
      </c>
      <c r="E174" s="502">
        <v>492000</v>
      </c>
      <c r="F174" s="502">
        <v>355320</v>
      </c>
      <c r="G174" s="502">
        <v>-136680</v>
      </c>
    </row>
    <row r="175" spans="1:7" ht="15.75" customHeight="1" x14ac:dyDescent="0.2">
      <c r="A175" s="500" t="s">
        <v>106</v>
      </c>
      <c r="B175" s="501" t="s">
        <v>70</v>
      </c>
      <c r="C175" s="501">
        <v>225.56</v>
      </c>
      <c r="D175" s="502">
        <v>1000</v>
      </c>
      <c r="E175" s="502">
        <v>1000</v>
      </c>
      <c r="F175" s="501">
        <v>0</v>
      </c>
      <c r="G175" s="502">
        <v>-1000</v>
      </c>
    </row>
    <row r="176" spans="1:7" ht="15.75" customHeight="1" x14ac:dyDescent="0.2">
      <c r="A176" s="500" t="s">
        <v>107</v>
      </c>
      <c r="B176" s="501" t="s">
        <v>108</v>
      </c>
      <c r="C176" s="501">
        <v>0</v>
      </c>
      <c r="D176" s="501">
        <v>0</v>
      </c>
      <c r="E176" s="501">
        <v>0</v>
      </c>
      <c r="F176" s="501">
        <v>0</v>
      </c>
      <c r="G176" s="501">
        <v>0</v>
      </c>
    </row>
    <row r="177" spans="1:7" ht="15.75" customHeight="1" x14ac:dyDescent="0.2">
      <c r="A177" s="500" t="s">
        <v>109</v>
      </c>
      <c r="B177" s="501" t="s">
        <v>72</v>
      </c>
      <c r="C177" s="502">
        <v>136859.1</v>
      </c>
      <c r="D177" s="502">
        <v>214515</v>
      </c>
      <c r="E177" s="502">
        <v>211500</v>
      </c>
      <c r="F177" s="502">
        <v>128580</v>
      </c>
      <c r="G177" s="502">
        <v>-82920</v>
      </c>
    </row>
    <row r="178" spans="1:7" ht="15.75" customHeight="1" x14ac:dyDescent="0.2">
      <c r="A178" s="500" t="s">
        <v>110</v>
      </c>
      <c r="B178" s="501" t="s">
        <v>74</v>
      </c>
      <c r="C178" s="502">
        <v>4291.37</v>
      </c>
      <c r="D178" s="502">
        <v>4350</v>
      </c>
      <c r="E178" s="502">
        <v>4350</v>
      </c>
      <c r="F178" s="502">
        <v>4350</v>
      </c>
      <c r="G178" s="501">
        <v>0</v>
      </c>
    </row>
    <row r="179" spans="1:7" ht="15.75" customHeight="1" x14ac:dyDescent="0.2">
      <c r="A179" s="500" t="s">
        <v>111</v>
      </c>
      <c r="B179" s="501" t="s">
        <v>76</v>
      </c>
      <c r="C179" s="501">
        <v>889.13</v>
      </c>
      <c r="D179" s="502">
        <v>4000</v>
      </c>
      <c r="E179" s="502">
        <v>4000</v>
      </c>
      <c r="F179" s="502">
        <v>4000</v>
      </c>
      <c r="G179" s="501">
        <v>0</v>
      </c>
    </row>
    <row r="180" spans="1:7" ht="15.75" customHeight="1" x14ac:dyDescent="0.2">
      <c r="A180" s="500" t="s">
        <v>112</v>
      </c>
      <c r="B180" s="501" t="s">
        <v>80</v>
      </c>
      <c r="C180" s="502">
        <v>2139.62</v>
      </c>
      <c r="D180" s="502">
        <v>2400</v>
      </c>
      <c r="E180" s="502">
        <v>2400</v>
      </c>
      <c r="F180" s="502">
        <v>2400</v>
      </c>
      <c r="G180" s="501">
        <v>0</v>
      </c>
    </row>
    <row r="181" spans="1:7" ht="15.75" customHeight="1" x14ac:dyDescent="0.2">
      <c r="A181" s="500" t="s">
        <v>113</v>
      </c>
      <c r="B181" s="501" t="s">
        <v>82</v>
      </c>
      <c r="C181" s="502">
        <v>2707.66</v>
      </c>
      <c r="D181" s="502">
        <v>3000</v>
      </c>
      <c r="E181" s="502">
        <v>3000</v>
      </c>
      <c r="F181" s="502">
        <v>3000</v>
      </c>
      <c r="G181" s="501">
        <v>0</v>
      </c>
    </row>
    <row r="182" spans="1:7" ht="15.75" customHeight="1" x14ac:dyDescent="0.2">
      <c r="A182" s="500" t="s">
        <v>114</v>
      </c>
      <c r="B182" s="501" t="s">
        <v>115</v>
      </c>
      <c r="C182" s="501">
        <v>0</v>
      </c>
      <c r="D182" s="501">
        <v>800</v>
      </c>
      <c r="E182" s="501">
        <v>800</v>
      </c>
      <c r="F182" s="501">
        <v>800</v>
      </c>
      <c r="G182" s="501">
        <v>0</v>
      </c>
    </row>
    <row r="183" spans="1:7" ht="15.75" customHeight="1" x14ac:dyDescent="0.2">
      <c r="A183" s="500" t="s">
        <v>116</v>
      </c>
      <c r="B183" s="501" t="s">
        <v>84</v>
      </c>
      <c r="C183" s="502">
        <v>2247.02</v>
      </c>
      <c r="D183" s="502">
        <v>3750</v>
      </c>
      <c r="E183" s="502">
        <v>3750</v>
      </c>
      <c r="F183" s="502">
        <v>3750</v>
      </c>
      <c r="G183" s="501">
        <v>0</v>
      </c>
    </row>
    <row r="184" spans="1:7" ht="15.75" customHeight="1" x14ac:dyDescent="0.2">
      <c r="A184" s="500" t="s">
        <v>117</v>
      </c>
      <c r="B184" s="501" t="s">
        <v>86</v>
      </c>
      <c r="C184" s="501">
        <v>36.270000000000003</v>
      </c>
      <c r="D184" s="502">
        <v>5000</v>
      </c>
      <c r="E184" s="502">
        <v>5000</v>
      </c>
      <c r="F184" s="502">
        <v>5000</v>
      </c>
      <c r="G184" s="501">
        <v>0</v>
      </c>
    </row>
    <row r="185" spans="1:7" ht="15.75" customHeight="1" x14ac:dyDescent="0.2">
      <c r="A185" s="500" t="s">
        <v>118</v>
      </c>
      <c r="B185" s="501" t="s">
        <v>90</v>
      </c>
      <c r="C185" s="501">
        <v>372.93</v>
      </c>
      <c r="D185" s="502">
        <v>2100</v>
      </c>
      <c r="E185" s="502">
        <v>2100</v>
      </c>
      <c r="F185" s="502">
        <v>2100</v>
      </c>
      <c r="G185" s="501">
        <v>0</v>
      </c>
    </row>
    <row r="186" spans="1:7" ht="15.75" customHeight="1" x14ac:dyDescent="0.2">
      <c r="A186" s="500" t="s">
        <v>119</v>
      </c>
      <c r="B186" s="501" t="s">
        <v>92</v>
      </c>
      <c r="C186" s="502">
        <v>5951.48</v>
      </c>
      <c r="D186" s="502">
        <v>4600</v>
      </c>
      <c r="E186" s="502">
        <v>4600</v>
      </c>
      <c r="F186" s="502">
        <v>4600</v>
      </c>
      <c r="G186" s="501">
        <v>0</v>
      </c>
    </row>
    <row r="187" spans="1:7" ht="15.75" customHeight="1" x14ac:dyDescent="0.2">
      <c r="A187" s="500" t="s">
        <v>120</v>
      </c>
      <c r="B187" s="501" t="s">
        <v>94</v>
      </c>
      <c r="C187" s="502">
        <v>2187.48</v>
      </c>
      <c r="D187" s="502">
        <v>1000</v>
      </c>
      <c r="E187" s="502">
        <v>1000</v>
      </c>
      <c r="F187" s="502">
        <v>1000</v>
      </c>
      <c r="G187" s="501">
        <v>0</v>
      </c>
    </row>
    <row r="188" spans="1:7" ht="15.75" customHeight="1" x14ac:dyDescent="0.2">
      <c r="A188" s="500" t="s">
        <v>121</v>
      </c>
      <c r="B188" s="501" t="s">
        <v>122</v>
      </c>
      <c r="C188" s="502">
        <v>2017.61</v>
      </c>
      <c r="D188" s="502">
        <v>3200</v>
      </c>
      <c r="E188" s="502">
        <v>3200</v>
      </c>
      <c r="F188" s="502">
        <v>3200</v>
      </c>
      <c r="G188" s="501">
        <v>0</v>
      </c>
    </row>
    <row r="189" spans="1:7" ht="15.75" customHeight="1" x14ac:dyDescent="0.2">
      <c r="A189" s="500" t="s">
        <v>126</v>
      </c>
      <c r="B189" s="501" t="s">
        <v>99</v>
      </c>
      <c r="C189" s="501">
        <v>0</v>
      </c>
      <c r="D189" s="501">
        <v>0</v>
      </c>
      <c r="E189" s="501">
        <v>0</v>
      </c>
      <c r="F189" s="501">
        <v>0</v>
      </c>
      <c r="G189" s="501">
        <v>0</v>
      </c>
    </row>
    <row r="190" spans="1:7" ht="15.75" customHeight="1" x14ac:dyDescent="0.2">
      <c r="A190" s="500" t="s">
        <v>123</v>
      </c>
      <c r="B190" s="501" t="s">
        <v>124</v>
      </c>
      <c r="C190" s="502">
        <v>-75695.3</v>
      </c>
      <c r="D190" s="502">
        <v>-100799.58</v>
      </c>
      <c r="E190" s="502">
        <v>-110805</v>
      </c>
      <c r="F190" s="502">
        <v>-77715</v>
      </c>
      <c r="G190" s="502">
        <v>33090</v>
      </c>
    </row>
    <row r="191" spans="1:7" ht="15.75" customHeight="1" x14ac:dyDescent="0.2">
      <c r="A191" s="500" t="s">
        <v>159</v>
      </c>
      <c r="B191" s="501" t="s">
        <v>68</v>
      </c>
      <c r="C191" s="502">
        <v>422206.53</v>
      </c>
      <c r="D191" s="502">
        <v>589172.5</v>
      </c>
      <c r="E191" s="502">
        <v>706500</v>
      </c>
      <c r="F191" s="502">
        <v>606500</v>
      </c>
      <c r="G191" s="502">
        <v>-100000</v>
      </c>
    </row>
    <row r="192" spans="1:7" ht="15.75" customHeight="1" x14ac:dyDescent="0.2">
      <c r="A192" s="500" t="s">
        <v>160</v>
      </c>
      <c r="B192" s="501" t="s">
        <v>70</v>
      </c>
      <c r="C192" s="502">
        <v>6304.22</v>
      </c>
      <c r="D192" s="502">
        <v>6500</v>
      </c>
      <c r="E192" s="502">
        <v>6500</v>
      </c>
      <c r="F192" s="502">
        <v>6500</v>
      </c>
      <c r="G192" s="501">
        <v>0</v>
      </c>
    </row>
    <row r="193" spans="1:7" ht="15.75" customHeight="1" x14ac:dyDescent="0.2">
      <c r="A193" s="500" t="s">
        <v>161</v>
      </c>
      <c r="B193" s="501" t="s">
        <v>132</v>
      </c>
      <c r="C193" s="502">
        <v>9938.4</v>
      </c>
      <c r="D193" s="502">
        <v>24088.5</v>
      </c>
      <c r="E193" s="502">
        <v>21400</v>
      </c>
      <c r="F193" s="502">
        <v>11400</v>
      </c>
      <c r="G193" s="502">
        <v>-10000</v>
      </c>
    </row>
    <row r="194" spans="1:7" ht="15.75" customHeight="1" x14ac:dyDescent="0.2">
      <c r="A194" s="500" t="s">
        <v>162</v>
      </c>
      <c r="B194" s="501" t="s">
        <v>72</v>
      </c>
      <c r="C194" s="502">
        <v>195359.43</v>
      </c>
      <c r="D194" s="502">
        <v>305863</v>
      </c>
      <c r="E194" s="502">
        <v>360800</v>
      </c>
      <c r="F194" s="502">
        <v>330800</v>
      </c>
      <c r="G194" s="502">
        <v>-30000</v>
      </c>
    </row>
    <row r="195" spans="1:7" ht="15.75" customHeight="1" x14ac:dyDescent="0.2">
      <c r="A195" s="500" t="s">
        <v>163</v>
      </c>
      <c r="B195" s="501" t="s">
        <v>74</v>
      </c>
      <c r="C195" s="501">
        <v>930.25</v>
      </c>
      <c r="D195" s="502">
        <v>1800</v>
      </c>
      <c r="E195" s="502">
        <v>2140</v>
      </c>
      <c r="F195" s="502">
        <v>2140</v>
      </c>
      <c r="G195" s="501">
        <v>0</v>
      </c>
    </row>
    <row r="196" spans="1:7" ht="15.75" customHeight="1" x14ac:dyDescent="0.2">
      <c r="A196" s="500" t="s">
        <v>164</v>
      </c>
      <c r="B196" s="501" t="s">
        <v>76</v>
      </c>
      <c r="C196" s="502">
        <v>4383.5</v>
      </c>
      <c r="D196" s="502">
        <v>9000</v>
      </c>
      <c r="E196" s="502">
        <v>8500</v>
      </c>
      <c r="F196" s="502">
        <v>5000</v>
      </c>
      <c r="G196" s="502">
        <v>-3500</v>
      </c>
    </row>
    <row r="197" spans="1:7" ht="15.75" customHeight="1" x14ac:dyDescent="0.2">
      <c r="A197" s="500" t="s">
        <v>165</v>
      </c>
      <c r="B197" s="501" t="s">
        <v>80</v>
      </c>
      <c r="C197" s="502">
        <v>12883.46</v>
      </c>
      <c r="D197" s="502">
        <v>25000</v>
      </c>
      <c r="E197" s="502">
        <v>22180</v>
      </c>
      <c r="F197" s="502">
        <v>17180</v>
      </c>
      <c r="G197" s="502">
        <v>-5000</v>
      </c>
    </row>
    <row r="198" spans="1:7" ht="15.75" customHeight="1" x14ac:dyDescent="0.2">
      <c r="A198" s="500" t="s">
        <v>166</v>
      </c>
      <c r="B198" s="501" t="s">
        <v>115</v>
      </c>
      <c r="C198" s="501">
        <v>0</v>
      </c>
      <c r="D198" s="502">
        <v>2000</v>
      </c>
      <c r="E198" s="502">
        <v>5000</v>
      </c>
      <c r="F198" s="502">
        <v>5000</v>
      </c>
      <c r="G198" s="501">
        <v>0</v>
      </c>
    </row>
    <row r="199" spans="1:7" ht="15.75" customHeight="1" x14ac:dyDescent="0.2">
      <c r="A199" s="500" t="s">
        <v>167</v>
      </c>
      <c r="B199" s="501" t="s">
        <v>84</v>
      </c>
      <c r="C199" s="502">
        <v>1204.27</v>
      </c>
      <c r="D199" s="502">
        <v>1900</v>
      </c>
      <c r="E199" s="502">
        <v>2860</v>
      </c>
      <c r="F199" s="502">
        <v>2860</v>
      </c>
      <c r="G199" s="501">
        <v>0</v>
      </c>
    </row>
    <row r="200" spans="1:7" ht="15.75" customHeight="1" x14ac:dyDescent="0.2">
      <c r="A200" s="500" t="s">
        <v>168</v>
      </c>
      <c r="B200" s="501" t="s">
        <v>86</v>
      </c>
      <c r="C200" s="502">
        <v>2814.5</v>
      </c>
      <c r="D200" s="502">
        <v>9000</v>
      </c>
      <c r="E200" s="502">
        <v>10000</v>
      </c>
      <c r="F200" s="502">
        <v>10000</v>
      </c>
      <c r="G200" s="501">
        <v>0</v>
      </c>
    </row>
    <row r="201" spans="1:7" ht="15.75" customHeight="1" x14ac:dyDescent="0.2">
      <c r="A201" s="500" t="s">
        <v>169</v>
      </c>
      <c r="B201" s="501" t="s">
        <v>88</v>
      </c>
      <c r="C201" s="502">
        <v>36689.06</v>
      </c>
      <c r="D201" s="502">
        <v>101000</v>
      </c>
      <c r="E201" s="502">
        <v>103500</v>
      </c>
      <c r="F201" s="502">
        <v>103500</v>
      </c>
      <c r="G201" s="501">
        <v>0</v>
      </c>
    </row>
    <row r="202" spans="1:7" ht="15.75" customHeight="1" x14ac:dyDescent="0.2">
      <c r="A202" s="500" t="s">
        <v>170</v>
      </c>
      <c r="B202" s="501" t="s">
        <v>90</v>
      </c>
      <c r="C202" s="502">
        <v>1565.01</v>
      </c>
      <c r="D202" s="502">
        <v>8639.81</v>
      </c>
      <c r="E202" s="502">
        <v>10815</v>
      </c>
      <c r="F202" s="502">
        <v>10815</v>
      </c>
      <c r="G202" s="501">
        <v>0</v>
      </c>
    </row>
    <row r="203" spans="1:7" ht="15.75" customHeight="1" x14ac:dyDescent="0.2">
      <c r="A203" s="500" t="s">
        <v>171</v>
      </c>
      <c r="B203" s="501" t="s">
        <v>92</v>
      </c>
      <c r="C203" s="502">
        <v>6673.16</v>
      </c>
      <c r="D203" s="502">
        <v>5500</v>
      </c>
      <c r="E203" s="502">
        <v>5665</v>
      </c>
      <c r="F203" s="502">
        <v>5665</v>
      </c>
      <c r="G203" s="501">
        <v>0</v>
      </c>
    </row>
    <row r="204" spans="1:7" ht="15.75" customHeight="1" x14ac:dyDescent="0.2">
      <c r="A204" s="500" t="s">
        <v>172</v>
      </c>
      <c r="B204" s="501" t="s">
        <v>173</v>
      </c>
      <c r="C204" s="502">
        <v>22542.81</v>
      </c>
      <c r="D204" s="502">
        <v>28800</v>
      </c>
      <c r="E204" s="502">
        <v>29664</v>
      </c>
      <c r="F204" s="502">
        <v>29664</v>
      </c>
      <c r="G204" s="501">
        <v>0</v>
      </c>
    </row>
    <row r="205" spans="1:7" ht="15.75" customHeight="1" x14ac:dyDescent="0.2">
      <c r="A205" s="500" t="s">
        <v>175</v>
      </c>
      <c r="B205" s="501" t="s">
        <v>176</v>
      </c>
      <c r="C205" s="502">
        <v>-69256.09</v>
      </c>
      <c r="D205" s="502">
        <v>-112100.3</v>
      </c>
      <c r="E205" s="502">
        <v>-129553</v>
      </c>
      <c r="F205" s="502">
        <v>-114702</v>
      </c>
      <c r="G205" s="502">
        <v>14851</v>
      </c>
    </row>
    <row r="206" spans="1:7" ht="15.75" customHeight="1" x14ac:dyDescent="0.2">
      <c r="A206" s="500" t="s">
        <v>129</v>
      </c>
      <c r="B206" s="501" t="s">
        <v>68</v>
      </c>
      <c r="C206" s="502">
        <v>227437.11</v>
      </c>
      <c r="D206" s="502">
        <v>338830.5</v>
      </c>
      <c r="E206" s="502">
        <v>377200</v>
      </c>
      <c r="F206" s="502">
        <v>377200</v>
      </c>
      <c r="G206" s="501">
        <v>0</v>
      </c>
    </row>
    <row r="207" spans="1:7" ht="15.75" customHeight="1" x14ac:dyDescent="0.2">
      <c r="A207" s="500" t="s">
        <v>130</v>
      </c>
      <c r="B207" s="501" t="s">
        <v>70</v>
      </c>
      <c r="C207" s="501">
        <v>0</v>
      </c>
      <c r="D207" s="502">
        <v>1000</v>
      </c>
      <c r="E207" s="502">
        <v>1000</v>
      </c>
      <c r="F207" s="501">
        <v>0</v>
      </c>
      <c r="G207" s="502">
        <v>-1000</v>
      </c>
    </row>
    <row r="208" spans="1:7" ht="15.75" customHeight="1" x14ac:dyDescent="0.2">
      <c r="A208" s="500" t="s">
        <v>131</v>
      </c>
      <c r="B208" s="501" t="s">
        <v>132</v>
      </c>
      <c r="C208" s="501">
        <v>0</v>
      </c>
      <c r="D208" s="502">
        <v>21000</v>
      </c>
      <c r="E208" s="502">
        <v>21000</v>
      </c>
      <c r="F208" s="501">
        <v>0</v>
      </c>
      <c r="G208" s="502">
        <v>-21000</v>
      </c>
    </row>
    <row r="209" spans="1:7" ht="15.75" customHeight="1" x14ac:dyDescent="0.2">
      <c r="A209" s="500" t="s">
        <v>133</v>
      </c>
      <c r="B209" s="501" t="s">
        <v>72</v>
      </c>
      <c r="C209" s="502">
        <v>110401.36</v>
      </c>
      <c r="D209" s="502">
        <v>200572.5</v>
      </c>
      <c r="E209" s="502">
        <v>176000</v>
      </c>
      <c r="F209" s="502">
        <v>176000</v>
      </c>
      <c r="G209" s="501">
        <v>0</v>
      </c>
    </row>
    <row r="210" spans="1:7" ht="15.75" customHeight="1" x14ac:dyDescent="0.2">
      <c r="A210" s="500" t="s">
        <v>134</v>
      </c>
      <c r="B210" s="501" t="s">
        <v>74</v>
      </c>
      <c r="C210" s="502">
        <v>2514.16</v>
      </c>
      <c r="D210" s="502">
        <v>3012</v>
      </c>
      <c r="E210" s="502">
        <v>2467</v>
      </c>
      <c r="F210" s="502">
        <v>2467</v>
      </c>
      <c r="G210" s="501">
        <v>0</v>
      </c>
    </row>
    <row r="211" spans="1:7" ht="15.75" customHeight="1" x14ac:dyDescent="0.2">
      <c r="A211" s="500" t="s">
        <v>135</v>
      </c>
      <c r="B211" s="501" t="s">
        <v>76</v>
      </c>
      <c r="C211" s="502">
        <v>4491.53</v>
      </c>
      <c r="D211" s="502">
        <v>6000</v>
      </c>
      <c r="E211" s="502">
        <v>6000</v>
      </c>
      <c r="F211" s="502">
        <v>6000</v>
      </c>
      <c r="G211" s="501">
        <v>0</v>
      </c>
    </row>
    <row r="212" spans="1:7" ht="15.75" customHeight="1" x14ac:dyDescent="0.2">
      <c r="A212" s="500" t="s">
        <v>136</v>
      </c>
      <c r="B212" s="501" t="s">
        <v>80</v>
      </c>
      <c r="C212" s="501">
        <v>926.44</v>
      </c>
      <c r="D212" s="502">
        <v>3400</v>
      </c>
      <c r="E212" s="502">
        <v>3000</v>
      </c>
      <c r="F212" s="502">
        <v>3000</v>
      </c>
      <c r="G212" s="501">
        <v>0</v>
      </c>
    </row>
    <row r="213" spans="1:7" ht="15.75" customHeight="1" x14ac:dyDescent="0.2">
      <c r="A213" s="500" t="s">
        <v>137</v>
      </c>
      <c r="B213" s="501" t="s">
        <v>82</v>
      </c>
      <c r="C213" s="502">
        <v>2081.9299999999998</v>
      </c>
      <c r="D213" s="502">
        <v>6000</v>
      </c>
      <c r="E213" s="502">
        <v>9500</v>
      </c>
      <c r="F213" s="502">
        <v>2500</v>
      </c>
      <c r="G213" s="502">
        <v>-7000</v>
      </c>
    </row>
    <row r="214" spans="1:7" ht="15.75" customHeight="1" x14ac:dyDescent="0.2">
      <c r="A214" s="500" t="s">
        <v>138</v>
      </c>
      <c r="B214" s="501" t="s">
        <v>115</v>
      </c>
      <c r="C214" s="501">
        <v>0</v>
      </c>
      <c r="D214" s="501">
        <v>0</v>
      </c>
      <c r="E214" s="501">
        <v>0</v>
      </c>
      <c r="F214" s="501">
        <v>0</v>
      </c>
      <c r="G214" s="501">
        <v>0</v>
      </c>
    </row>
    <row r="215" spans="1:7" ht="15.75" customHeight="1" x14ac:dyDescent="0.2">
      <c r="A215" s="500" t="s">
        <v>139</v>
      </c>
      <c r="B215" s="501" t="s">
        <v>84</v>
      </c>
      <c r="C215" s="502">
        <v>1225.3</v>
      </c>
      <c r="D215" s="502">
        <v>2227</v>
      </c>
      <c r="E215" s="502">
        <v>2227</v>
      </c>
      <c r="F215" s="502">
        <v>2227</v>
      </c>
      <c r="G215" s="501">
        <v>0</v>
      </c>
    </row>
    <row r="216" spans="1:7" ht="15.75" customHeight="1" x14ac:dyDescent="0.2">
      <c r="A216" s="500" t="s">
        <v>140</v>
      </c>
      <c r="B216" s="501" t="s">
        <v>86</v>
      </c>
      <c r="C216" s="502">
        <v>49149.5</v>
      </c>
      <c r="D216" s="502">
        <v>183600</v>
      </c>
      <c r="E216" s="502">
        <v>81500</v>
      </c>
      <c r="F216" s="502">
        <v>63500</v>
      </c>
      <c r="G216" s="502">
        <v>-18000</v>
      </c>
    </row>
    <row r="217" spans="1:7" ht="15.75" customHeight="1" x14ac:dyDescent="0.2">
      <c r="A217" s="500" t="s">
        <v>141</v>
      </c>
      <c r="B217" s="501" t="s">
        <v>88</v>
      </c>
      <c r="C217" s="502">
        <v>25871.87</v>
      </c>
      <c r="D217" s="502">
        <v>50700</v>
      </c>
      <c r="E217" s="502">
        <v>109000</v>
      </c>
      <c r="F217" s="502">
        <v>109000</v>
      </c>
      <c r="G217" s="501">
        <v>0</v>
      </c>
    </row>
    <row r="218" spans="1:7" ht="15.75" customHeight="1" x14ac:dyDescent="0.2">
      <c r="A218" s="500" t="s">
        <v>142</v>
      </c>
      <c r="B218" s="501" t="s">
        <v>90</v>
      </c>
      <c r="C218" s="502">
        <v>1094.81</v>
      </c>
      <c r="D218" s="502">
        <v>8000</v>
      </c>
      <c r="E218" s="502">
        <v>11020</v>
      </c>
      <c r="F218" s="502">
        <v>10920</v>
      </c>
      <c r="G218" s="501">
        <v>-100</v>
      </c>
    </row>
    <row r="219" spans="1:7" ht="15.75" customHeight="1" x14ac:dyDescent="0.2">
      <c r="A219" s="500" t="s">
        <v>143</v>
      </c>
      <c r="B219" s="501" t="s">
        <v>144</v>
      </c>
      <c r="C219" s="502">
        <v>10994.22</v>
      </c>
      <c r="D219" s="502">
        <v>56400</v>
      </c>
      <c r="E219" s="502">
        <v>73075</v>
      </c>
      <c r="F219" s="502">
        <v>73075</v>
      </c>
      <c r="G219" s="501">
        <v>0</v>
      </c>
    </row>
    <row r="220" spans="1:7" ht="15.75" customHeight="1" x14ac:dyDescent="0.2">
      <c r="A220" s="500" t="s">
        <v>145</v>
      </c>
      <c r="B220" s="501" t="s">
        <v>92</v>
      </c>
      <c r="C220" s="502">
        <v>4404.1000000000004</v>
      </c>
      <c r="D220" s="502">
        <v>5700</v>
      </c>
      <c r="E220" s="502">
        <v>5700</v>
      </c>
      <c r="F220" s="502">
        <v>5700</v>
      </c>
      <c r="G220" s="501">
        <v>0</v>
      </c>
    </row>
    <row r="221" spans="1:7" ht="15.75" customHeight="1" x14ac:dyDescent="0.2">
      <c r="A221" s="500" t="s">
        <v>146</v>
      </c>
      <c r="B221" s="501" t="s">
        <v>147</v>
      </c>
      <c r="C221" s="502">
        <v>7990</v>
      </c>
      <c r="D221" s="502">
        <v>20000</v>
      </c>
      <c r="E221" s="502">
        <v>112000</v>
      </c>
      <c r="F221" s="502">
        <v>112000</v>
      </c>
      <c r="G221" s="501">
        <v>0</v>
      </c>
    </row>
    <row r="222" spans="1:7" ht="15.75" customHeight="1" x14ac:dyDescent="0.2">
      <c r="A222" s="500" t="s">
        <v>148</v>
      </c>
      <c r="B222" s="501" t="s">
        <v>149</v>
      </c>
      <c r="C222" s="502">
        <v>17690</v>
      </c>
      <c r="D222" s="502">
        <v>48000</v>
      </c>
      <c r="E222" s="502">
        <v>54000</v>
      </c>
      <c r="F222" s="502">
        <v>54000</v>
      </c>
      <c r="G222" s="501">
        <v>0</v>
      </c>
    </row>
    <row r="223" spans="1:7" ht="15.75" customHeight="1" x14ac:dyDescent="0.2">
      <c r="A223" s="500" t="s">
        <v>150</v>
      </c>
      <c r="B223" s="501" t="s">
        <v>94</v>
      </c>
      <c r="C223" s="502">
        <v>21230</v>
      </c>
      <c r="D223" s="502">
        <v>45000</v>
      </c>
      <c r="E223" s="501">
        <v>0</v>
      </c>
      <c r="F223" s="501">
        <v>0</v>
      </c>
      <c r="G223" s="501">
        <v>0</v>
      </c>
    </row>
    <row r="224" spans="1:7" ht="15.75" customHeight="1" x14ac:dyDescent="0.2">
      <c r="A224" s="500" t="s">
        <v>151</v>
      </c>
      <c r="B224" s="501" t="s">
        <v>152</v>
      </c>
      <c r="C224" s="502">
        <v>4485.8999999999996</v>
      </c>
      <c r="D224" s="502">
        <v>10350</v>
      </c>
      <c r="E224" s="502">
        <v>6700</v>
      </c>
      <c r="F224" s="502">
        <v>6700</v>
      </c>
      <c r="G224" s="501">
        <v>0</v>
      </c>
    </row>
    <row r="225" spans="1:7" ht="15.75" customHeight="1" x14ac:dyDescent="0.2">
      <c r="A225" s="500" t="s">
        <v>153</v>
      </c>
      <c r="B225" s="501" t="s">
        <v>154</v>
      </c>
      <c r="C225" s="502">
        <v>-70384.92</v>
      </c>
      <c r="D225" s="502">
        <v>-151500.1</v>
      </c>
      <c r="E225" s="502">
        <v>-157709</v>
      </c>
      <c r="F225" s="502">
        <v>-150644</v>
      </c>
      <c r="G225" s="502">
        <v>7065</v>
      </c>
    </row>
    <row r="226" spans="1:7" ht="15.75" customHeight="1" x14ac:dyDescent="0.2">
      <c r="A226" s="500" t="s">
        <v>1131</v>
      </c>
      <c r="B226" s="501" t="s">
        <v>68</v>
      </c>
      <c r="C226" s="502">
        <v>230334.78</v>
      </c>
      <c r="D226" s="502">
        <v>302534</v>
      </c>
      <c r="E226" s="502">
        <v>331200</v>
      </c>
      <c r="F226" s="502">
        <v>331200</v>
      </c>
      <c r="G226" s="501">
        <v>0</v>
      </c>
    </row>
    <row r="227" spans="1:7" ht="15.75" customHeight="1" x14ac:dyDescent="0.2">
      <c r="A227" s="500" t="s">
        <v>1132</v>
      </c>
      <c r="B227" s="501" t="s">
        <v>70</v>
      </c>
      <c r="C227" s="501">
        <v>228.23</v>
      </c>
      <c r="D227" s="502">
        <v>1000</v>
      </c>
      <c r="E227" s="502">
        <v>1000</v>
      </c>
      <c r="F227" s="502">
        <v>1000</v>
      </c>
      <c r="G227" s="501">
        <v>0</v>
      </c>
    </row>
    <row r="228" spans="1:7" ht="15.75" customHeight="1" x14ac:dyDescent="0.2">
      <c r="A228" s="500" t="s">
        <v>1133</v>
      </c>
      <c r="B228" s="501" t="s">
        <v>72</v>
      </c>
      <c r="C228" s="502">
        <v>93571.32</v>
      </c>
      <c r="D228" s="502">
        <v>162344.5</v>
      </c>
      <c r="E228" s="502">
        <v>135900</v>
      </c>
      <c r="F228" s="502">
        <v>135900</v>
      </c>
      <c r="G228" s="501">
        <v>0</v>
      </c>
    </row>
    <row r="229" spans="1:7" ht="15.75" customHeight="1" x14ac:dyDescent="0.2">
      <c r="A229" s="500" t="s">
        <v>1134</v>
      </c>
      <c r="B229" s="501" t="s">
        <v>76</v>
      </c>
      <c r="C229" s="502">
        <v>6408.09</v>
      </c>
      <c r="D229" s="502">
        <v>8000</v>
      </c>
      <c r="E229" s="502">
        <v>8500</v>
      </c>
      <c r="F229" s="502">
        <v>8500</v>
      </c>
      <c r="G229" s="501">
        <v>0</v>
      </c>
    </row>
    <row r="230" spans="1:7" ht="15.75" customHeight="1" x14ac:dyDescent="0.2">
      <c r="A230" s="500" t="s">
        <v>1135</v>
      </c>
      <c r="B230" s="501" t="s">
        <v>80</v>
      </c>
      <c r="C230" s="501">
        <v>0</v>
      </c>
      <c r="D230" s="501">
        <v>300</v>
      </c>
      <c r="E230" s="502">
        <v>2000</v>
      </c>
      <c r="F230" s="502">
        <v>2000</v>
      </c>
      <c r="G230" s="501">
        <v>0</v>
      </c>
    </row>
    <row r="231" spans="1:7" ht="15.75" customHeight="1" x14ac:dyDescent="0.2">
      <c r="A231" s="500" t="s">
        <v>1136</v>
      </c>
      <c r="B231" s="501" t="s">
        <v>82</v>
      </c>
      <c r="C231" s="501">
        <v>454</v>
      </c>
      <c r="D231" s="502">
        <v>1400</v>
      </c>
      <c r="E231" s="502">
        <v>3000</v>
      </c>
      <c r="F231" s="502">
        <v>2550</v>
      </c>
      <c r="G231" s="501">
        <v>-450</v>
      </c>
    </row>
    <row r="232" spans="1:7" ht="15.75" customHeight="1" x14ac:dyDescent="0.2">
      <c r="A232" s="500" t="s">
        <v>1137</v>
      </c>
      <c r="B232" s="501" t="s">
        <v>84</v>
      </c>
      <c r="C232" s="501">
        <v>549.13</v>
      </c>
      <c r="D232" s="502">
        <v>1000</v>
      </c>
      <c r="E232" s="502">
        <v>1120</v>
      </c>
      <c r="F232" s="501">
        <v>500</v>
      </c>
      <c r="G232" s="501">
        <v>-620</v>
      </c>
    </row>
    <row r="233" spans="1:7" ht="15.75" customHeight="1" x14ac:dyDescent="0.2">
      <c r="A233" s="500" t="s">
        <v>1139</v>
      </c>
      <c r="B233" s="501" t="s">
        <v>88</v>
      </c>
      <c r="C233" s="501">
        <v>233.25</v>
      </c>
      <c r="D233" s="502">
        <v>42500</v>
      </c>
      <c r="E233" s="502">
        <v>36000</v>
      </c>
      <c r="F233" s="502">
        <v>36000</v>
      </c>
      <c r="G233" s="501">
        <v>0</v>
      </c>
    </row>
    <row r="234" spans="1:7" ht="15.75" customHeight="1" x14ac:dyDescent="0.2">
      <c r="A234" s="500" t="s">
        <v>1140</v>
      </c>
      <c r="B234" s="501" t="s">
        <v>90</v>
      </c>
      <c r="C234" s="501">
        <v>0</v>
      </c>
      <c r="D234" s="501">
        <v>500</v>
      </c>
      <c r="E234" s="501">
        <v>500</v>
      </c>
      <c r="F234" s="501">
        <v>500</v>
      </c>
      <c r="G234" s="501">
        <v>0</v>
      </c>
    </row>
    <row r="235" spans="1:7" ht="15.75" customHeight="1" x14ac:dyDescent="0.2">
      <c r="A235" s="500" t="s">
        <v>1141</v>
      </c>
      <c r="B235" s="501" t="s">
        <v>92</v>
      </c>
      <c r="C235" s="502">
        <v>2958.31</v>
      </c>
      <c r="D235" s="502">
        <v>2000</v>
      </c>
      <c r="E235" s="502">
        <v>2500</v>
      </c>
      <c r="F235" s="502">
        <v>2500</v>
      </c>
      <c r="G235" s="501">
        <v>0</v>
      </c>
    </row>
    <row r="236" spans="1:7" ht="15.75" customHeight="1" x14ac:dyDescent="0.2">
      <c r="A236" s="500" t="s">
        <v>1142</v>
      </c>
      <c r="B236" s="501" t="s">
        <v>1143</v>
      </c>
      <c r="C236" s="502">
        <v>-190108.76</v>
      </c>
      <c r="D236" s="502">
        <v>-312999.90000000002</v>
      </c>
      <c r="E236" s="502">
        <v>-313032</v>
      </c>
      <c r="F236" s="502">
        <v>-312390</v>
      </c>
      <c r="G236" s="501">
        <v>642</v>
      </c>
    </row>
    <row r="237" spans="1:7" ht="15.75" customHeight="1" x14ac:dyDescent="0.2">
      <c r="A237" s="500" t="s">
        <v>1506</v>
      </c>
      <c r="B237" s="501" t="s">
        <v>68</v>
      </c>
      <c r="C237" s="502">
        <v>706160</v>
      </c>
      <c r="D237" s="502">
        <v>932941</v>
      </c>
      <c r="E237" s="502">
        <v>1113100</v>
      </c>
      <c r="F237" s="502">
        <v>1020100</v>
      </c>
      <c r="G237" s="502">
        <v>-93000</v>
      </c>
    </row>
    <row r="238" spans="1:7" ht="15.75" customHeight="1" x14ac:dyDescent="0.2">
      <c r="A238" s="500" t="s">
        <v>1507</v>
      </c>
      <c r="B238" s="501" t="s">
        <v>70</v>
      </c>
      <c r="C238" s="501">
        <v>0</v>
      </c>
      <c r="D238" s="502">
        <v>1000</v>
      </c>
      <c r="E238" s="502">
        <v>1000</v>
      </c>
      <c r="F238" s="502">
        <v>1000</v>
      </c>
      <c r="G238" s="501">
        <v>0</v>
      </c>
    </row>
    <row r="239" spans="1:7" ht="15.75" customHeight="1" x14ac:dyDescent="0.2">
      <c r="A239" s="500" t="s">
        <v>1508</v>
      </c>
      <c r="B239" s="501" t="s">
        <v>108</v>
      </c>
      <c r="C239" s="502">
        <v>4953</v>
      </c>
      <c r="D239" s="502">
        <v>20800</v>
      </c>
      <c r="E239" s="502">
        <v>20800</v>
      </c>
      <c r="F239" s="502">
        <v>20800</v>
      </c>
      <c r="G239" s="501">
        <v>0</v>
      </c>
    </row>
    <row r="240" spans="1:7" ht="15.75" customHeight="1" x14ac:dyDescent="0.2">
      <c r="A240" s="500" t="s">
        <v>1509</v>
      </c>
      <c r="B240" s="501" t="s">
        <v>72</v>
      </c>
      <c r="C240" s="502">
        <v>296090.36</v>
      </c>
      <c r="D240" s="502">
        <v>482175</v>
      </c>
      <c r="E240" s="502">
        <v>482900</v>
      </c>
      <c r="F240" s="502">
        <v>431900</v>
      </c>
      <c r="G240" s="502">
        <v>-51000</v>
      </c>
    </row>
    <row r="241" spans="1:7" ht="15.75" customHeight="1" x14ac:dyDescent="0.2">
      <c r="A241" s="500" t="s">
        <v>1510</v>
      </c>
      <c r="B241" s="501" t="s">
        <v>74</v>
      </c>
      <c r="C241" s="502">
        <v>78781.679999999993</v>
      </c>
      <c r="D241" s="502">
        <v>102100</v>
      </c>
      <c r="E241" s="502">
        <v>107700</v>
      </c>
      <c r="F241" s="502">
        <v>107700</v>
      </c>
      <c r="G241" s="501">
        <v>0</v>
      </c>
    </row>
    <row r="242" spans="1:7" ht="15.75" customHeight="1" x14ac:dyDescent="0.2">
      <c r="A242" s="500" t="s">
        <v>1511</v>
      </c>
      <c r="B242" s="501" t="s">
        <v>1512</v>
      </c>
      <c r="C242" s="501">
        <v>0</v>
      </c>
      <c r="D242" s="501">
        <v>0</v>
      </c>
      <c r="E242" s="501">
        <v>0</v>
      </c>
      <c r="F242" s="501">
        <v>0</v>
      </c>
      <c r="G242" s="501">
        <v>0</v>
      </c>
    </row>
    <row r="243" spans="1:7" ht="15.75" customHeight="1" x14ac:dyDescent="0.2">
      <c r="A243" s="500" t="s">
        <v>1513</v>
      </c>
      <c r="B243" s="501" t="s">
        <v>76</v>
      </c>
      <c r="C243" s="502">
        <v>1688.66</v>
      </c>
      <c r="D243" s="502">
        <v>16500</v>
      </c>
      <c r="E243" s="502">
        <v>16500</v>
      </c>
      <c r="F243" s="502">
        <v>16500</v>
      </c>
      <c r="G243" s="501">
        <v>0</v>
      </c>
    </row>
    <row r="244" spans="1:7" ht="15.75" customHeight="1" x14ac:dyDescent="0.2">
      <c r="A244" s="500" t="s">
        <v>1514</v>
      </c>
      <c r="B244" s="501" t="s">
        <v>80</v>
      </c>
      <c r="C244" s="501">
        <v>826.31</v>
      </c>
      <c r="D244" s="502">
        <v>2500</v>
      </c>
      <c r="E244" s="502">
        <v>2500</v>
      </c>
      <c r="F244" s="502">
        <v>2500</v>
      </c>
      <c r="G244" s="501">
        <v>0</v>
      </c>
    </row>
    <row r="245" spans="1:7" ht="15.75" customHeight="1" x14ac:dyDescent="0.2">
      <c r="A245" s="500" t="s">
        <v>1515</v>
      </c>
      <c r="B245" s="501" t="s">
        <v>82</v>
      </c>
      <c r="C245" s="502">
        <v>38752.720000000001</v>
      </c>
      <c r="D245" s="502">
        <v>59500</v>
      </c>
      <c r="E245" s="502">
        <v>42000</v>
      </c>
      <c r="F245" s="502">
        <v>42000</v>
      </c>
      <c r="G245" s="501">
        <v>0</v>
      </c>
    </row>
    <row r="246" spans="1:7" ht="15.75" customHeight="1" x14ac:dyDescent="0.2">
      <c r="A246" s="500" t="s">
        <v>1516</v>
      </c>
      <c r="B246" s="501" t="s">
        <v>115</v>
      </c>
      <c r="C246" s="502">
        <v>135300.85</v>
      </c>
      <c r="D246" s="502">
        <v>200400</v>
      </c>
      <c r="E246" s="502">
        <v>211400</v>
      </c>
      <c r="F246" s="502">
        <v>211400</v>
      </c>
      <c r="G246" s="501">
        <v>0</v>
      </c>
    </row>
    <row r="247" spans="1:7" ht="15.75" customHeight="1" x14ac:dyDescent="0.2">
      <c r="A247" s="500" t="s">
        <v>1517</v>
      </c>
      <c r="B247" s="501" t="s">
        <v>84</v>
      </c>
      <c r="C247" s="502">
        <v>28046.04</v>
      </c>
      <c r="D247" s="502">
        <v>39200</v>
      </c>
      <c r="E247" s="502">
        <v>38700</v>
      </c>
      <c r="F247" s="502">
        <v>38700</v>
      </c>
      <c r="G247" s="501">
        <v>0</v>
      </c>
    </row>
    <row r="248" spans="1:7" ht="15.75" customHeight="1" x14ac:dyDescent="0.2">
      <c r="A248" s="500" t="s">
        <v>1518</v>
      </c>
      <c r="B248" s="501" t="s">
        <v>86</v>
      </c>
      <c r="C248" s="501">
        <v>213</v>
      </c>
      <c r="D248" s="502">
        <v>5000</v>
      </c>
      <c r="E248" s="502">
        <v>5000</v>
      </c>
      <c r="F248" s="502">
        <v>5000</v>
      </c>
      <c r="G248" s="501">
        <v>0</v>
      </c>
    </row>
    <row r="249" spans="1:7" ht="15.75" customHeight="1" x14ac:dyDescent="0.2">
      <c r="A249" s="500" t="s">
        <v>1519</v>
      </c>
      <c r="B249" s="501" t="s">
        <v>88</v>
      </c>
      <c r="C249" s="502">
        <v>6382.27</v>
      </c>
      <c r="D249" s="502">
        <v>15500</v>
      </c>
      <c r="E249" s="502">
        <v>7500</v>
      </c>
      <c r="F249" s="502">
        <v>7500</v>
      </c>
      <c r="G249" s="501">
        <v>0</v>
      </c>
    </row>
    <row r="250" spans="1:7" ht="15.75" customHeight="1" x14ac:dyDescent="0.2">
      <c r="A250" s="500" t="s">
        <v>1520</v>
      </c>
      <c r="B250" s="501" t="s">
        <v>90</v>
      </c>
      <c r="C250" s="502">
        <v>4174.1499999999996</v>
      </c>
      <c r="D250" s="502">
        <v>14100</v>
      </c>
      <c r="E250" s="502">
        <v>14400</v>
      </c>
      <c r="F250" s="502">
        <v>14400</v>
      </c>
      <c r="G250" s="501">
        <v>0</v>
      </c>
    </row>
    <row r="251" spans="1:7" ht="15.75" customHeight="1" x14ac:dyDescent="0.2">
      <c r="A251" s="500" t="s">
        <v>1521</v>
      </c>
      <c r="B251" s="501" t="s">
        <v>92</v>
      </c>
      <c r="C251" s="502">
        <v>9384.27</v>
      </c>
      <c r="D251" s="502">
        <v>9000</v>
      </c>
      <c r="E251" s="502">
        <v>9000</v>
      </c>
      <c r="F251" s="502">
        <v>9000</v>
      </c>
      <c r="G251" s="501">
        <v>0</v>
      </c>
    </row>
    <row r="252" spans="1:7" ht="15.75" customHeight="1" x14ac:dyDescent="0.2">
      <c r="A252" s="500" t="s">
        <v>1522</v>
      </c>
      <c r="B252" s="501" t="s">
        <v>94</v>
      </c>
      <c r="C252" s="501">
        <v>703.39</v>
      </c>
      <c r="D252" s="502">
        <v>2750</v>
      </c>
      <c r="E252" s="502">
        <v>2750</v>
      </c>
      <c r="F252" s="502">
        <v>2750</v>
      </c>
      <c r="G252" s="501">
        <v>0</v>
      </c>
    </row>
    <row r="253" spans="1:7" ht="15.75" customHeight="1" x14ac:dyDescent="0.2">
      <c r="A253" s="500" t="s">
        <v>1523</v>
      </c>
      <c r="B253" s="501" t="s">
        <v>1524</v>
      </c>
      <c r="C253" s="502">
        <v>28662.61</v>
      </c>
      <c r="D253" s="502">
        <v>47200</v>
      </c>
      <c r="E253" s="502">
        <v>49700</v>
      </c>
      <c r="F253" s="502">
        <v>49700</v>
      </c>
      <c r="G253" s="501">
        <v>0</v>
      </c>
    </row>
    <row r="254" spans="1:7" ht="15.75" customHeight="1" x14ac:dyDescent="0.2">
      <c r="A254" s="500" t="s">
        <v>2049</v>
      </c>
      <c r="B254" s="501" t="s">
        <v>1531</v>
      </c>
      <c r="C254" s="501">
        <v>0</v>
      </c>
      <c r="D254" s="501">
        <v>0</v>
      </c>
      <c r="E254" s="501">
        <v>0</v>
      </c>
      <c r="F254" s="501">
        <v>0</v>
      </c>
      <c r="G254" s="501">
        <v>0</v>
      </c>
    </row>
    <row r="255" spans="1:7" ht="15.75" customHeight="1" x14ac:dyDescent="0.2">
      <c r="A255" s="500" t="s">
        <v>1525</v>
      </c>
      <c r="B255" s="501" t="s">
        <v>1526</v>
      </c>
      <c r="C255" s="502">
        <v>-384389.46</v>
      </c>
      <c r="D255" s="502">
        <v>-585199.5</v>
      </c>
      <c r="E255" s="502">
        <v>-637485</v>
      </c>
      <c r="F255" s="502">
        <v>-594285</v>
      </c>
      <c r="G255" s="502">
        <v>43200</v>
      </c>
    </row>
    <row r="256" spans="1:7" ht="15.75" customHeight="1" x14ac:dyDescent="0.2">
      <c r="A256" s="500" t="s">
        <v>193</v>
      </c>
      <c r="B256" s="501" t="s">
        <v>68</v>
      </c>
      <c r="C256" s="502">
        <v>145464.51</v>
      </c>
      <c r="D256" s="502">
        <v>193339.5</v>
      </c>
      <c r="E256" s="502">
        <v>149900</v>
      </c>
      <c r="F256" s="502">
        <v>149900</v>
      </c>
      <c r="G256" s="501">
        <v>0</v>
      </c>
    </row>
    <row r="257" spans="1:7" ht="15.75" customHeight="1" x14ac:dyDescent="0.2">
      <c r="A257" s="500" t="s">
        <v>194</v>
      </c>
      <c r="B257" s="501" t="s">
        <v>70</v>
      </c>
      <c r="C257" s="502">
        <v>4463.2700000000004</v>
      </c>
      <c r="D257" s="502">
        <v>1000</v>
      </c>
      <c r="E257" s="502">
        <v>5700</v>
      </c>
      <c r="F257" s="502">
        <v>5700</v>
      </c>
      <c r="G257" s="501">
        <v>0</v>
      </c>
    </row>
    <row r="258" spans="1:7" ht="15.75" customHeight="1" x14ac:dyDescent="0.2">
      <c r="A258" s="500" t="s">
        <v>195</v>
      </c>
      <c r="B258" s="501" t="s">
        <v>132</v>
      </c>
      <c r="C258" s="502">
        <v>22048.17</v>
      </c>
      <c r="D258" s="502">
        <v>30886</v>
      </c>
      <c r="E258" s="502">
        <v>36500</v>
      </c>
      <c r="F258" s="502">
        <v>36500</v>
      </c>
      <c r="G258" s="501">
        <v>0</v>
      </c>
    </row>
    <row r="259" spans="1:7" ht="15.75" customHeight="1" x14ac:dyDescent="0.2">
      <c r="A259" s="500" t="s">
        <v>196</v>
      </c>
      <c r="B259" s="501" t="s">
        <v>108</v>
      </c>
      <c r="C259" s="502">
        <v>11910.11</v>
      </c>
      <c r="D259" s="502">
        <v>23500</v>
      </c>
      <c r="E259" s="502">
        <v>23500</v>
      </c>
      <c r="F259" s="502">
        <v>23500</v>
      </c>
      <c r="G259" s="501">
        <v>0</v>
      </c>
    </row>
    <row r="260" spans="1:7" ht="15.75" customHeight="1" x14ac:dyDescent="0.2">
      <c r="A260" s="500" t="s">
        <v>197</v>
      </c>
      <c r="B260" s="501" t="s">
        <v>72</v>
      </c>
      <c r="C260" s="502">
        <v>73589.8</v>
      </c>
      <c r="D260" s="502">
        <v>105949</v>
      </c>
      <c r="E260" s="502">
        <v>79500</v>
      </c>
      <c r="F260" s="502">
        <v>79500</v>
      </c>
      <c r="G260" s="501">
        <v>0</v>
      </c>
    </row>
    <row r="261" spans="1:7" ht="15.75" customHeight="1" x14ac:dyDescent="0.2">
      <c r="A261" s="500" t="s">
        <v>198</v>
      </c>
      <c r="B261" s="501" t="s">
        <v>74</v>
      </c>
      <c r="C261" s="502">
        <v>5228.68</v>
      </c>
      <c r="D261" s="502">
        <v>4700</v>
      </c>
      <c r="E261" s="502">
        <v>7475</v>
      </c>
      <c r="F261" s="502">
        <v>7475</v>
      </c>
      <c r="G261" s="501">
        <v>0</v>
      </c>
    </row>
    <row r="262" spans="1:7" ht="15.75" customHeight="1" x14ac:dyDescent="0.2">
      <c r="A262" s="500" t="s">
        <v>199</v>
      </c>
      <c r="B262" s="501" t="s">
        <v>200</v>
      </c>
      <c r="C262" s="501">
        <v>0.03</v>
      </c>
      <c r="D262" s="501">
        <v>0</v>
      </c>
      <c r="E262" s="501">
        <v>0</v>
      </c>
      <c r="F262" s="501">
        <v>0</v>
      </c>
      <c r="G262" s="501">
        <v>0</v>
      </c>
    </row>
    <row r="263" spans="1:7" ht="15.75" customHeight="1" x14ac:dyDescent="0.2">
      <c r="A263" s="500" t="s">
        <v>201</v>
      </c>
      <c r="B263" s="501" t="s">
        <v>76</v>
      </c>
      <c r="C263" s="502">
        <v>5467.01</v>
      </c>
      <c r="D263" s="502">
        <v>7100</v>
      </c>
      <c r="E263" s="502">
        <v>16370</v>
      </c>
      <c r="F263" s="502">
        <v>10370</v>
      </c>
      <c r="G263" s="502">
        <v>-6000</v>
      </c>
    </row>
    <row r="264" spans="1:7" ht="15.75" customHeight="1" x14ac:dyDescent="0.2">
      <c r="A264" s="500" t="s">
        <v>202</v>
      </c>
      <c r="B264" s="501" t="s">
        <v>80</v>
      </c>
      <c r="C264" s="502">
        <v>33927.5</v>
      </c>
      <c r="D264" s="502">
        <v>41400</v>
      </c>
      <c r="E264" s="502">
        <v>8100</v>
      </c>
      <c r="F264" s="502">
        <v>8100</v>
      </c>
      <c r="G264" s="501">
        <v>0</v>
      </c>
    </row>
    <row r="265" spans="1:7" ht="15.75" customHeight="1" x14ac:dyDescent="0.2">
      <c r="A265" s="500" t="s">
        <v>203</v>
      </c>
      <c r="B265" s="501" t="s">
        <v>204</v>
      </c>
      <c r="C265" s="501">
        <v>0</v>
      </c>
      <c r="D265" s="501">
        <v>0</v>
      </c>
      <c r="E265" s="502">
        <v>36000</v>
      </c>
      <c r="F265" s="502">
        <v>36000</v>
      </c>
      <c r="G265" s="501">
        <v>0</v>
      </c>
    </row>
    <row r="266" spans="1:7" ht="15.75" customHeight="1" x14ac:dyDescent="0.2">
      <c r="A266" s="500" t="s">
        <v>205</v>
      </c>
      <c r="B266" s="501" t="s">
        <v>206</v>
      </c>
      <c r="C266" s="502">
        <v>1236.5899999999999</v>
      </c>
      <c r="D266" s="502">
        <v>2000</v>
      </c>
      <c r="E266" s="502">
        <v>4000</v>
      </c>
      <c r="F266" s="502">
        <v>4000</v>
      </c>
      <c r="G266" s="501">
        <v>0</v>
      </c>
    </row>
    <row r="267" spans="1:7" ht="15.75" customHeight="1" x14ac:dyDescent="0.2">
      <c r="A267" s="500" t="s">
        <v>207</v>
      </c>
      <c r="B267" s="501" t="s">
        <v>115</v>
      </c>
      <c r="C267" s="502">
        <v>2655</v>
      </c>
      <c r="D267" s="502">
        <v>2400</v>
      </c>
      <c r="E267" s="502">
        <v>2400</v>
      </c>
      <c r="F267" s="502">
        <v>2400</v>
      </c>
      <c r="G267" s="501">
        <v>0</v>
      </c>
    </row>
    <row r="268" spans="1:7" ht="15.75" customHeight="1" x14ac:dyDescent="0.2">
      <c r="A268" s="500" t="s">
        <v>208</v>
      </c>
      <c r="B268" s="501" t="s">
        <v>84</v>
      </c>
      <c r="C268" s="501">
        <v>108.97</v>
      </c>
      <c r="D268" s="502">
        <v>1100</v>
      </c>
      <c r="E268" s="502">
        <v>1420</v>
      </c>
      <c r="F268" s="502">
        <v>1420</v>
      </c>
      <c r="G268" s="501">
        <v>0</v>
      </c>
    </row>
    <row r="269" spans="1:7" ht="15.75" customHeight="1" x14ac:dyDescent="0.2">
      <c r="A269" s="500" t="s">
        <v>209</v>
      </c>
      <c r="B269" s="501" t="s">
        <v>210</v>
      </c>
      <c r="C269" s="501">
        <v>0</v>
      </c>
      <c r="D269" s="501">
        <v>400</v>
      </c>
      <c r="E269" s="501">
        <v>0</v>
      </c>
      <c r="F269" s="501">
        <v>0</v>
      </c>
      <c r="G269" s="501">
        <v>0</v>
      </c>
    </row>
    <row r="270" spans="1:7" ht="15.75" customHeight="1" x14ac:dyDescent="0.2">
      <c r="A270" s="500" t="s">
        <v>211</v>
      </c>
      <c r="B270" s="501" t="s">
        <v>86</v>
      </c>
      <c r="C270" s="501">
        <v>355</v>
      </c>
      <c r="D270" s="502">
        <v>32000</v>
      </c>
      <c r="E270" s="502">
        <v>32000</v>
      </c>
      <c r="F270" s="502">
        <v>22000</v>
      </c>
      <c r="G270" s="502">
        <v>-10000</v>
      </c>
    </row>
    <row r="271" spans="1:7" ht="15.75" customHeight="1" x14ac:dyDescent="0.2">
      <c r="A271" s="500" t="s">
        <v>212</v>
      </c>
      <c r="B271" s="501" t="s">
        <v>88</v>
      </c>
      <c r="C271" s="502">
        <v>92245.01</v>
      </c>
      <c r="D271" s="502">
        <v>96500</v>
      </c>
      <c r="E271" s="502">
        <v>5320</v>
      </c>
      <c r="F271" s="502">
        <v>55320</v>
      </c>
      <c r="G271" s="502">
        <v>50000</v>
      </c>
    </row>
    <row r="272" spans="1:7" ht="15.75" customHeight="1" x14ac:dyDescent="0.2">
      <c r="A272" s="500" t="s">
        <v>213</v>
      </c>
      <c r="B272" s="501" t="s">
        <v>90</v>
      </c>
      <c r="C272" s="501">
        <v>675</v>
      </c>
      <c r="D272" s="502">
        <v>5700</v>
      </c>
      <c r="E272" s="502">
        <v>5700</v>
      </c>
      <c r="F272" s="502">
        <v>5700</v>
      </c>
      <c r="G272" s="501">
        <v>0</v>
      </c>
    </row>
    <row r="273" spans="1:7" ht="15.75" customHeight="1" x14ac:dyDescent="0.2">
      <c r="A273" s="500" t="s">
        <v>214</v>
      </c>
      <c r="B273" s="501" t="s">
        <v>92</v>
      </c>
      <c r="C273" s="502">
        <v>2252.17</v>
      </c>
      <c r="D273" s="502">
        <v>1400</v>
      </c>
      <c r="E273" s="502">
        <v>1400</v>
      </c>
      <c r="F273" s="502">
        <v>1400</v>
      </c>
      <c r="G273" s="501">
        <v>0</v>
      </c>
    </row>
    <row r="274" spans="1:7" ht="15.75" customHeight="1" x14ac:dyDescent="0.2">
      <c r="A274" s="500" t="s">
        <v>215</v>
      </c>
      <c r="B274" s="501" t="s">
        <v>173</v>
      </c>
      <c r="C274" s="501">
        <v>0</v>
      </c>
      <c r="D274" s="502">
        <v>2000</v>
      </c>
      <c r="E274" s="502">
        <v>2000</v>
      </c>
      <c r="F274" s="502">
        <v>2000</v>
      </c>
      <c r="G274" s="501">
        <v>0</v>
      </c>
    </row>
    <row r="275" spans="1:7" ht="15.75" customHeight="1" x14ac:dyDescent="0.2">
      <c r="A275" s="500" t="s">
        <v>216</v>
      </c>
      <c r="B275" s="501" t="s">
        <v>94</v>
      </c>
      <c r="C275" s="501">
        <v>0</v>
      </c>
      <c r="D275" s="501">
        <v>0</v>
      </c>
      <c r="E275" s="501">
        <v>0</v>
      </c>
      <c r="F275" s="501">
        <v>0</v>
      </c>
      <c r="G275" s="501">
        <v>0</v>
      </c>
    </row>
    <row r="276" spans="1:7" ht="15.75" customHeight="1" x14ac:dyDescent="0.2">
      <c r="A276" s="500" t="s">
        <v>217</v>
      </c>
      <c r="B276" s="501" t="s">
        <v>94</v>
      </c>
      <c r="C276" s="501">
        <v>583.01</v>
      </c>
      <c r="D276" s="501">
        <v>0</v>
      </c>
      <c r="E276" s="501">
        <v>0</v>
      </c>
      <c r="F276" s="501">
        <v>0</v>
      </c>
      <c r="G276" s="501">
        <v>0</v>
      </c>
    </row>
    <row r="277" spans="1:7" ht="15.75" customHeight="1" x14ac:dyDescent="0.2">
      <c r="A277" s="500" t="s">
        <v>218</v>
      </c>
      <c r="B277" s="501" t="s">
        <v>219</v>
      </c>
      <c r="C277" s="502">
        <v>-328827.59999999998</v>
      </c>
      <c r="D277" s="502">
        <v>-474199.55</v>
      </c>
      <c r="E277" s="502">
        <v>-358866</v>
      </c>
      <c r="F277" s="502">
        <v>-388106</v>
      </c>
      <c r="G277" s="502">
        <v>-29240</v>
      </c>
    </row>
    <row r="278" spans="1:7" ht="15.75" customHeight="1" x14ac:dyDescent="0.2">
      <c r="A278" s="500" t="s">
        <v>238</v>
      </c>
      <c r="B278" s="501" t="s">
        <v>68</v>
      </c>
      <c r="C278" s="502">
        <v>164449.04</v>
      </c>
      <c r="D278" s="502">
        <v>197591.5</v>
      </c>
      <c r="E278" s="502">
        <v>246900</v>
      </c>
      <c r="F278" s="502">
        <v>187900</v>
      </c>
      <c r="G278" s="502">
        <v>-59000</v>
      </c>
    </row>
    <row r="279" spans="1:7" ht="15.75" customHeight="1" x14ac:dyDescent="0.2">
      <c r="A279" s="500" t="s">
        <v>239</v>
      </c>
      <c r="B279" s="501" t="s">
        <v>70</v>
      </c>
      <c r="C279" s="501">
        <v>494.94</v>
      </c>
      <c r="D279" s="502">
        <v>5000</v>
      </c>
      <c r="E279" s="502">
        <v>5000</v>
      </c>
      <c r="F279" s="502">
        <v>5000</v>
      </c>
      <c r="G279" s="501">
        <v>0</v>
      </c>
    </row>
    <row r="280" spans="1:7" ht="15.75" customHeight="1" x14ac:dyDescent="0.2">
      <c r="A280" s="500" t="s">
        <v>240</v>
      </c>
      <c r="B280" s="501" t="s">
        <v>132</v>
      </c>
      <c r="C280" s="502">
        <v>48079.31</v>
      </c>
      <c r="D280" s="502">
        <v>58826</v>
      </c>
      <c r="E280" s="502">
        <v>73600</v>
      </c>
      <c r="F280" s="502">
        <v>53100</v>
      </c>
      <c r="G280" s="502">
        <v>-20500</v>
      </c>
    </row>
    <row r="281" spans="1:7" ht="15.75" customHeight="1" x14ac:dyDescent="0.2">
      <c r="A281" s="500" t="s">
        <v>241</v>
      </c>
      <c r="B281" s="501" t="s">
        <v>108</v>
      </c>
      <c r="C281" s="501">
        <v>0</v>
      </c>
      <c r="D281" s="502">
        <v>20000</v>
      </c>
      <c r="E281" s="502">
        <v>20000</v>
      </c>
      <c r="F281" s="501">
        <v>0</v>
      </c>
      <c r="G281" s="502">
        <v>-20000</v>
      </c>
    </row>
    <row r="282" spans="1:7" ht="15.75" customHeight="1" x14ac:dyDescent="0.2">
      <c r="A282" s="500" t="s">
        <v>242</v>
      </c>
      <c r="B282" s="501" t="s">
        <v>72</v>
      </c>
      <c r="C282" s="502">
        <v>79550.850000000006</v>
      </c>
      <c r="D282" s="502">
        <v>106672</v>
      </c>
      <c r="E282" s="502">
        <v>115300</v>
      </c>
      <c r="F282" s="502">
        <v>85300</v>
      </c>
      <c r="G282" s="502">
        <v>-30000</v>
      </c>
    </row>
    <row r="283" spans="1:7" ht="15.75" customHeight="1" x14ac:dyDescent="0.2">
      <c r="A283" s="500" t="s">
        <v>243</v>
      </c>
      <c r="B283" s="501" t="s">
        <v>74</v>
      </c>
      <c r="C283" s="502">
        <v>4847.9399999999996</v>
      </c>
      <c r="D283" s="502">
        <v>7600</v>
      </c>
      <c r="E283" s="502">
        <v>4225</v>
      </c>
      <c r="F283" s="502">
        <v>4225</v>
      </c>
      <c r="G283" s="501">
        <v>0</v>
      </c>
    </row>
    <row r="284" spans="1:7" ht="15.75" customHeight="1" x14ac:dyDescent="0.2">
      <c r="A284" s="500" t="s">
        <v>244</v>
      </c>
      <c r="B284" s="501" t="s">
        <v>76</v>
      </c>
      <c r="C284" s="502">
        <v>2249.73</v>
      </c>
      <c r="D284" s="502">
        <v>4500</v>
      </c>
      <c r="E284" s="502">
        <v>4500</v>
      </c>
      <c r="F284" s="502">
        <v>4500</v>
      </c>
      <c r="G284" s="501">
        <v>0</v>
      </c>
    </row>
    <row r="285" spans="1:7" ht="15.75" customHeight="1" x14ac:dyDescent="0.2">
      <c r="A285" s="500" t="s">
        <v>245</v>
      </c>
      <c r="B285" s="501" t="s">
        <v>80</v>
      </c>
      <c r="C285" s="502">
        <v>4462.8999999999996</v>
      </c>
      <c r="D285" s="502">
        <v>5000</v>
      </c>
      <c r="E285" s="502">
        <v>5000</v>
      </c>
      <c r="F285" s="502">
        <v>5000</v>
      </c>
      <c r="G285" s="501">
        <v>0</v>
      </c>
    </row>
    <row r="286" spans="1:7" ht="15.75" customHeight="1" x14ac:dyDescent="0.2">
      <c r="A286" s="500" t="s">
        <v>246</v>
      </c>
      <c r="B286" s="501" t="s">
        <v>82</v>
      </c>
      <c r="C286" s="502">
        <v>1480.31</v>
      </c>
      <c r="D286" s="502">
        <v>3000</v>
      </c>
      <c r="E286" s="502">
        <v>3000</v>
      </c>
      <c r="F286" s="502">
        <v>3000</v>
      </c>
      <c r="G286" s="501">
        <v>0</v>
      </c>
    </row>
    <row r="287" spans="1:7" ht="15.75" customHeight="1" x14ac:dyDescent="0.2">
      <c r="A287" s="500" t="s">
        <v>247</v>
      </c>
      <c r="B287" s="501" t="s">
        <v>115</v>
      </c>
      <c r="C287" s="501">
        <v>588.49</v>
      </c>
      <c r="D287" s="502">
        <v>1000</v>
      </c>
      <c r="E287" s="502">
        <v>1000</v>
      </c>
      <c r="F287" s="502">
        <v>1000</v>
      </c>
      <c r="G287" s="501">
        <v>0</v>
      </c>
    </row>
    <row r="288" spans="1:7" ht="15.75" customHeight="1" x14ac:dyDescent="0.2">
      <c r="A288" s="500" t="s">
        <v>2050</v>
      </c>
      <c r="B288" s="501" t="s">
        <v>277</v>
      </c>
      <c r="C288" s="501">
        <v>0</v>
      </c>
      <c r="D288" s="501">
        <v>0</v>
      </c>
      <c r="E288" s="501">
        <v>0</v>
      </c>
      <c r="F288" s="501">
        <v>0</v>
      </c>
      <c r="G288" s="501">
        <v>0</v>
      </c>
    </row>
    <row r="289" spans="1:7" ht="15.75" customHeight="1" x14ac:dyDescent="0.2">
      <c r="A289" s="500" t="s">
        <v>248</v>
      </c>
      <c r="B289" s="501" t="s">
        <v>84</v>
      </c>
      <c r="C289" s="501">
        <v>671.92</v>
      </c>
      <c r="D289" s="502">
        <v>1000</v>
      </c>
      <c r="E289" s="502">
        <v>1200</v>
      </c>
      <c r="F289" s="502">
        <v>1200</v>
      </c>
      <c r="G289" s="501">
        <v>0</v>
      </c>
    </row>
    <row r="290" spans="1:7" ht="15.75" customHeight="1" x14ac:dyDescent="0.2">
      <c r="A290" s="500" t="s">
        <v>250</v>
      </c>
      <c r="B290" s="501" t="s">
        <v>88</v>
      </c>
      <c r="C290" s="502">
        <v>8840</v>
      </c>
      <c r="D290" s="502">
        <v>14300</v>
      </c>
      <c r="E290" s="502">
        <v>16000</v>
      </c>
      <c r="F290" s="502">
        <v>16000</v>
      </c>
      <c r="G290" s="501">
        <v>0</v>
      </c>
    </row>
    <row r="291" spans="1:7" ht="15.75" customHeight="1" x14ac:dyDescent="0.2">
      <c r="A291" s="500" t="s">
        <v>251</v>
      </c>
      <c r="B291" s="501" t="s">
        <v>252</v>
      </c>
      <c r="C291" s="501">
        <v>0</v>
      </c>
      <c r="D291" s="501">
        <v>800</v>
      </c>
      <c r="E291" s="501">
        <v>0</v>
      </c>
      <c r="F291" s="501">
        <v>0</v>
      </c>
      <c r="G291" s="501">
        <v>0</v>
      </c>
    </row>
    <row r="292" spans="1:7" ht="15.75" customHeight="1" x14ac:dyDescent="0.2">
      <c r="A292" s="500" t="s">
        <v>253</v>
      </c>
      <c r="B292" s="501" t="s">
        <v>92</v>
      </c>
      <c r="C292" s="502">
        <v>2464.36</v>
      </c>
      <c r="D292" s="502">
        <v>1500</v>
      </c>
      <c r="E292" s="502">
        <v>1500</v>
      </c>
      <c r="F292" s="502">
        <v>1500</v>
      </c>
      <c r="G292" s="501">
        <v>0</v>
      </c>
    </row>
    <row r="293" spans="1:7" ht="15.75" customHeight="1" x14ac:dyDescent="0.2">
      <c r="A293" s="500" t="s">
        <v>254</v>
      </c>
      <c r="B293" s="501" t="s">
        <v>94</v>
      </c>
      <c r="C293" s="501">
        <v>0</v>
      </c>
      <c r="D293" s="501">
        <v>0</v>
      </c>
      <c r="E293" s="501">
        <v>0</v>
      </c>
      <c r="F293" s="501">
        <v>0</v>
      </c>
      <c r="G293" s="501">
        <v>0</v>
      </c>
    </row>
    <row r="294" spans="1:7" ht="15.75" customHeight="1" x14ac:dyDescent="0.2">
      <c r="A294" s="500" t="s">
        <v>256</v>
      </c>
      <c r="B294" s="501" t="s">
        <v>99</v>
      </c>
      <c r="C294" s="501">
        <v>0</v>
      </c>
      <c r="D294" s="501">
        <v>0</v>
      </c>
      <c r="E294" s="501">
        <v>0</v>
      </c>
      <c r="F294" s="501">
        <v>0</v>
      </c>
      <c r="G294" s="501">
        <v>0</v>
      </c>
    </row>
    <row r="295" spans="1:7" ht="15.75" customHeight="1" x14ac:dyDescent="0.2">
      <c r="A295" s="500" t="s">
        <v>297</v>
      </c>
      <c r="B295" s="501" t="s">
        <v>68</v>
      </c>
      <c r="C295" s="502">
        <v>323963.99</v>
      </c>
      <c r="D295" s="502">
        <v>437889</v>
      </c>
      <c r="E295" s="502">
        <v>482200</v>
      </c>
      <c r="F295" s="502">
        <v>433500</v>
      </c>
      <c r="G295" s="502">
        <v>-48700</v>
      </c>
    </row>
    <row r="296" spans="1:7" ht="15.75" customHeight="1" x14ac:dyDescent="0.2">
      <c r="A296" s="500" t="s">
        <v>298</v>
      </c>
      <c r="B296" s="501" t="s">
        <v>70</v>
      </c>
      <c r="C296" s="501">
        <v>264.42</v>
      </c>
      <c r="D296" s="501">
        <v>500</v>
      </c>
      <c r="E296" s="501">
        <v>500</v>
      </c>
      <c r="F296" s="501">
        <v>500</v>
      </c>
      <c r="G296" s="501">
        <v>0</v>
      </c>
    </row>
    <row r="297" spans="1:7" ht="15.75" customHeight="1" x14ac:dyDescent="0.2">
      <c r="A297" s="500" t="s">
        <v>299</v>
      </c>
      <c r="B297" s="501" t="s">
        <v>132</v>
      </c>
      <c r="C297" s="502">
        <v>34186.42</v>
      </c>
      <c r="D297" s="502">
        <v>66839.5</v>
      </c>
      <c r="E297" s="502">
        <v>75800</v>
      </c>
      <c r="F297" s="502">
        <v>76100</v>
      </c>
      <c r="G297" s="501">
        <v>300</v>
      </c>
    </row>
    <row r="298" spans="1:7" ht="15.75" customHeight="1" x14ac:dyDescent="0.2">
      <c r="A298" s="500" t="s">
        <v>300</v>
      </c>
      <c r="B298" s="501" t="s">
        <v>108</v>
      </c>
      <c r="C298" s="502">
        <v>44192.86</v>
      </c>
      <c r="D298" s="502">
        <v>110000</v>
      </c>
      <c r="E298" s="502">
        <v>112300</v>
      </c>
      <c r="F298" s="501">
        <v>0</v>
      </c>
      <c r="G298" s="502">
        <v>-112300</v>
      </c>
    </row>
    <row r="299" spans="1:7" ht="15.75" customHeight="1" x14ac:dyDescent="0.2">
      <c r="A299" s="500" t="s">
        <v>301</v>
      </c>
      <c r="B299" s="501" t="s">
        <v>72</v>
      </c>
      <c r="C299" s="502">
        <v>142383.82</v>
      </c>
      <c r="D299" s="502">
        <v>259669</v>
      </c>
      <c r="E299" s="502">
        <v>228600</v>
      </c>
      <c r="F299" s="502">
        <v>198400</v>
      </c>
      <c r="G299" s="502">
        <v>-30200</v>
      </c>
    </row>
    <row r="300" spans="1:7" ht="15.75" customHeight="1" x14ac:dyDescent="0.2">
      <c r="A300" s="500" t="s">
        <v>302</v>
      </c>
      <c r="B300" s="501" t="s">
        <v>74</v>
      </c>
      <c r="C300" s="502">
        <v>3392.72</v>
      </c>
      <c r="D300" s="502">
        <v>3900</v>
      </c>
      <c r="E300" s="502">
        <v>3900</v>
      </c>
      <c r="F300" s="502">
        <v>3900</v>
      </c>
      <c r="G300" s="501">
        <v>0</v>
      </c>
    </row>
    <row r="301" spans="1:7" ht="15.75" customHeight="1" x14ac:dyDescent="0.2">
      <c r="A301" s="500" t="s">
        <v>303</v>
      </c>
      <c r="B301" s="501" t="s">
        <v>76</v>
      </c>
      <c r="C301" s="502">
        <v>2241.58</v>
      </c>
      <c r="D301" s="502">
        <v>5500</v>
      </c>
      <c r="E301" s="502">
        <v>5500</v>
      </c>
      <c r="F301" s="502">
        <v>5500</v>
      </c>
      <c r="G301" s="501">
        <v>0</v>
      </c>
    </row>
    <row r="302" spans="1:7" ht="15.75" customHeight="1" x14ac:dyDescent="0.2">
      <c r="A302" s="500" t="s">
        <v>304</v>
      </c>
      <c r="B302" s="501" t="s">
        <v>80</v>
      </c>
      <c r="C302" s="502">
        <v>1199.8599999999999</v>
      </c>
      <c r="D302" s="502">
        <v>2500</v>
      </c>
      <c r="E302" s="502">
        <v>2500</v>
      </c>
      <c r="F302" s="502">
        <v>2500</v>
      </c>
      <c r="G302" s="501">
        <v>0</v>
      </c>
    </row>
    <row r="303" spans="1:7" ht="15.75" customHeight="1" x14ac:dyDescent="0.2">
      <c r="A303" s="500" t="s">
        <v>305</v>
      </c>
      <c r="B303" s="501" t="s">
        <v>82</v>
      </c>
      <c r="C303" s="502">
        <v>1898.41</v>
      </c>
      <c r="D303" s="502">
        <v>6600</v>
      </c>
      <c r="E303" s="502">
        <v>6600</v>
      </c>
      <c r="F303" s="502">
        <v>6600</v>
      </c>
      <c r="G303" s="501">
        <v>0</v>
      </c>
    </row>
    <row r="304" spans="1:7" ht="15.75" customHeight="1" x14ac:dyDescent="0.2">
      <c r="A304" s="500" t="s">
        <v>306</v>
      </c>
      <c r="B304" s="501" t="s">
        <v>115</v>
      </c>
      <c r="C304" s="502">
        <v>1670</v>
      </c>
      <c r="D304" s="502">
        <v>1500</v>
      </c>
      <c r="E304" s="501">
        <v>0</v>
      </c>
      <c r="F304" s="501">
        <v>0</v>
      </c>
      <c r="G304" s="501">
        <v>0</v>
      </c>
    </row>
    <row r="305" spans="1:7" ht="15.75" customHeight="1" x14ac:dyDescent="0.2">
      <c r="A305" s="500" t="s">
        <v>307</v>
      </c>
      <c r="B305" s="501" t="s">
        <v>84</v>
      </c>
      <c r="C305" s="501">
        <v>618.26</v>
      </c>
      <c r="D305" s="502">
        <v>2900</v>
      </c>
      <c r="E305" s="502">
        <v>2000</v>
      </c>
      <c r="F305" s="502">
        <v>2000</v>
      </c>
      <c r="G305" s="501">
        <v>0</v>
      </c>
    </row>
    <row r="306" spans="1:7" ht="15.75" customHeight="1" x14ac:dyDescent="0.2">
      <c r="A306" s="500" t="s">
        <v>308</v>
      </c>
      <c r="B306" s="501" t="s">
        <v>86</v>
      </c>
      <c r="C306" s="501">
        <v>0</v>
      </c>
      <c r="D306" s="502">
        <v>12500</v>
      </c>
      <c r="E306" s="502">
        <v>12500</v>
      </c>
      <c r="F306" s="502">
        <v>12500</v>
      </c>
      <c r="G306" s="501">
        <v>0</v>
      </c>
    </row>
    <row r="307" spans="1:7" ht="15.75" customHeight="1" x14ac:dyDescent="0.2">
      <c r="A307" s="500" t="s">
        <v>309</v>
      </c>
      <c r="B307" s="501" t="s">
        <v>88</v>
      </c>
      <c r="C307" s="502">
        <v>8498.16</v>
      </c>
      <c r="D307" s="502">
        <v>29200</v>
      </c>
      <c r="E307" s="502">
        <v>30450</v>
      </c>
      <c r="F307" s="502">
        <v>17000</v>
      </c>
      <c r="G307" s="502">
        <v>-13450</v>
      </c>
    </row>
    <row r="308" spans="1:7" ht="15.75" customHeight="1" x14ac:dyDescent="0.2">
      <c r="A308" s="500" t="s">
        <v>310</v>
      </c>
      <c r="B308" s="501" t="s">
        <v>90</v>
      </c>
      <c r="C308" s="502">
        <v>1865.29</v>
      </c>
      <c r="D308" s="502">
        <v>2400</v>
      </c>
      <c r="E308" s="502">
        <v>2400</v>
      </c>
      <c r="F308" s="502">
        <v>2400</v>
      </c>
      <c r="G308" s="501">
        <v>0</v>
      </c>
    </row>
    <row r="309" spans="1:7" ht="15.75" customHeight="1" x14ac:dyDescent="0.2">
      <c r="A309" s="500" t="s">
        <v>311</v>
      </c>
      <c r="B309" s="501" t="s">
        <v>92</v>
      </c>
      <c r="C309" s="502">
        <v>5555.57</v>
      </c>
      <c r="D309" s="502">
        <v>6000</v>
      </c>
      <c r="E309" s="502">
        <v>6000</v>
      </c>
      <c r="F309" s="502">
        <v>6000</v>
      </c>
      <c r="G309" s="501">
        <v>0</v>
      </c>
    </row>
    <row r="310" spans="1:7" ht="15.75" customHeight="1" x14ac:dyDescent="0.2">
      <c r="A310" s="500" t="s">
        <v>312</v>
      </c>
      <c r="B310" s="501" t="s">
        <v>94</v>
      </c>
      <c r="C310" s="501">
        <v>0</v>
      </c>
      <c r="D310" s="501">
        <v>0</v>
      </c>
      <c r="E310" s="501">
        <v>0</v>
      </c>
      <c r="F310" s="501">
        <v>0</v>
      </c>
      <c r="G310" s="501">
        <v>0</v>
      </c>
    </row>
    <row r="311" spans="1:7" ht="15.75" customHeight="1" x14ac:dyDescent="0.2">
      <c r="A311" s="500" t="s">
        <v>313</v>
      </c>
      <c r="B311" s="501" t="s">
        <v>314</v>
      </c>
      <c r="C311" s="501">
        <v>0</v>
      </c>
      <c r="D311" s="501">
        <v>0</v>
      </c>
      <c r="E311" s="502">
        <v>-485625</v>
      </c>
      <c r="F311" s="501">
        <v>0</v>
      </c>
      <c r="G311" s="502">
        <v>485625</v>
      </c>
    </row>
    <row r="312" spans="1:7" ht="15.75" customHeight="1" x14ac:dyDescent="0.2">
      <c r="A312" s="500" t="s">
        <v>373</v>
      </c>
      <c r="B312" s="501" t="s">
        <v>68</v>
      </c>
      <c r="C312" s="502">
        <v>1845059.4</v>
      </c>
      <c r="D312" s="502">
        <v>2455623</v>
      </c>
      <c r="E312" s="502">
        <v>2617500</v>
      </c>
      <c r="F312" s="502">
        <v>2414300</v>
      </c>
      <c r="G312" s="502">
        <v>-203200</v>
      </c>
    </row>
    <row r="313" spans="1:7" ht="15.75" customHeight="1" x14ac:dyDescent="0.2">
      <c r="A313" s="500" t="s">
        <v>374</v>
      </c>
      <c r="B313" s="501" t="s">
        <v>70</v>
      </c>
      <c r="C313" s="502">
        <v>12092.71</v>
      </c>
      <c r="D313" s="502">
        <v>12500</v>
      </c>
      <c r="E313" s="502">
        <v>15000</v>
      </c>
      <c r="F313" s="502">
        <v>15000</v>
      </c>
      <c r="G313" s="501">
        <v>0</v>
      </c>
    </row>
    <row r="314" spans="1:7" ht="15.75" customHeight="1" x14ac:dyDescent="0.2">
      <c r="A314" s="500" t="s">
        <v>375</v>
      </c>
      <c r="B314" s="501" t="s">
        <v>132</v>
      </c>
      <c r="C314" s="502">
        <v>3960.6</v>
      </c>
      <c r="D314" s="501">
        <v>75</v>
      </c>
      <c r="E314" s="502">
        <v>13000</v>
      </c>
      <c r="F314" s="502">
        <v>13000</v>
      </c>
      <c r="G314" s="501">
        <v>0</v>
      </c>
    </row>
    <row r="315" spans="1:7" ht="15.75" customHeight="1" x14ac:dyDescent="0.2">
      <c r="A315" s="500" t="s">
        <v>376</v>
      </c>
      <c r="B315" s="501" t="s">
        <v>72</v>
      </c>
      <c r="C315" s="502">
        <v>800663.48</v>
      </c>
      <c r="D315" s="502">
        <v>1129506</v>
      </c>
      <c r="E315" s="502">
        <v>1121200</v>
      </c>
      <c r="F315" s="502">
        <v>1040200</v>
      </c>
      <c r="G315" s="502">
        <v>-81000</v>
      </c>
    </row>
    <row r="316" spans="1:7" ht="15.75" customHeight="1" x14ac:dyDescent="0.2">
      <c r="A316" s="500" t="s">
        <v>377</v>
      </c>
      <c r="B316" s="501" t="s">
        <v>378</v>
      </c>
      <c r="C316" s="502">
        <v>17168.11</v>
      </c>
      <c r="D316" s="502">
        <v>18000</v>
      </c>
      <c r="E316" s="502">
        <v>19500</v>
      </c>
      <c r="F316" s="502">
        <v>19500</v>
      </c>
      <c r="G316" s="501">
        <v>0</v>
      </c>
    </row>
    <row r="317" spans="1:7" ht="15.75" customHeight="1" x14ac:dyDescent="0.2">
      <c r="A317" s="500" t="s">
        <v>379</v>
      </c>
      <c r="B317" s="501" t="s">
        <v>74</v>
      </c>
      <c r="C317" s="502">
        <v>12120.6</v>
      </c>
      <c r="D317" s="502">
        <v>13100</v>
      </c>
      <c r="E317" s="502">
        <v>13100</v>
      </c>
      <c r="F317" s="502">
        <v>13100</v>
      </c>
      <c r="G317" s="501">
        <v>0</v>
      </c>
    </row>
    <row r="318" spans="1:7" ht="15.75" customHeight="1" x14ac:dyDescent="0.2">
      <c r="A318" s="500" t="s">
        <v>380</v>
      </c>
      <c r="B318" s="501" t="s">
        <v>76</v>
      </c>
      <c r="C318" s="502">
        <v>18758.61</v>
      </c>
      <c r="D318" s="502">
        <v>22000</v>
      </c>
      <c r="E318" s="502">
        <v>23000</v>
      </c>
      <c r="F318" s="502">
        <v>23000</v>
      </c>
      <c r="G318" s="501">
        <v>0</v>
      </c>
    </row>
    <row r="319" spans="1:7" ht="15.75" customHeight="1" x14ac:dyDescent="0.2">
      <c r="A319" s="500" t="s">
        <v>381</v>
      </c>
      <c r="B319" s="501" t="s">
        <v>80</v>
      </c>
      <c r="C319" s="502">
        <v>9151.6</v>
      </c>
      <c r="D319" s="502">
        <v>13800</v>
      </c>
      <c r="E319" s="502">
        <v>14200</v>
      </c>
      <c r="F319" s="502">
        <v>14200</v>
      </c>
      <c r="G319" s="501">
        <v>0</v>
      </c>
    </row>
    <row r="320" spans="1:7" ht="15.75" customHeight="1" x14ac:dyDescent="0.2">
      <c r="A320" s="500" t="s">
        <v>382</v>
      </c>
      <c r="B320" s="501" t="s">
        <v>82</v>
      </c>
      <c r="C320" s="502">
        <v>8390.2099999999991</v>
      </c>
      <c r="D320" s="502">
        <v>12000</v>
      </c>
      <c r="E320" s="502">
        <v>17300</v>
      </c>
      <c r="F320" s="502">
        <v>12800</v>
      </c>
      <c r="G320" s="502">
        <v>-4500</v>
      </c>
    </row>
    <row r="321" spans="1:7" ht="15.75" customHeight="1" x14ac:dyDescent="0.2">
      <c r="A321" s="500" t="s">
        <v>383</v>
      </c>
      <c r="B321" s="501" t="s">
        <v>115</v>
      </c>
      <c r="C321" s="502">
        <v>2477.4</v>
      </c>
      <c r="D321" s="502">
        <v>32300</v>
      </c>
      <c r="E321" s="502">
        <v>20000</v>
      </c>
      <c r="F321" s="502">
        <v>12000</v>
      </c>
      <c r="G321" s="502">
        <v>-8000</v>
      </c>
    </row>
    <row r="322" spans="1:7" ht="15.75" customHeight="1" x14ac:dyDescent="0.2">
      <c r="A322" s="500" t="s">
        <v>384</v>
      </c>
      <c r="B322" s="501" t="s">
        <v>84</v>
      </c>
      <c r="C322" s="502">
        <v>17239.77</v>
      </c>
      <c r="D322" s="502">
        <v>23940</v>
      </c>
      <c r="E322" s="502">
        <v>23940</v>
      </c>
      <c r="F322" s="502">
        <v>23940</v>
      </c>
      <c r="G322" s="501">
        <v>0</v>
      </c>
    </row>
    <row r="323" spans="1:7" ht="15.75" customHeight="1" x14ac:dyDescent="0.2">
      <c r="A323" s="500" t="s">
        <v>385</v>
      </c>
      <c r="B323" s="501" t="s">
        <v>86</v>
      </c>
      <c r="C323" s="502">
        <v>23484.27</v>
      </c>
      <c r="D323" s="502">
        <v>100000</v>
      </c>
      <c r="E323" s="502">
        <v>100000</v>
      </c>
      <c r="F323" s="502">
        <v>50000</v>
      </c>
      <c r="G323" s="502">
        <v>-50000</v>
      </c>
    </row>
    <row r="324" spans="1:7" ht="15.75" customHeight="1" x14ac:dyDescent="0.2">
      <c r="A324" s="500" t="s">
        <v>386</v>
      </c>
      <c r="B324" s="501" t="s">
        <v>88</v>
      </c>
      <c r="C324" s="502">
        <v>94052.99</v>
      </c>
      <c r="D324" s="502">
        <v>110000</v>
      </c>
      <c r="E324" s="502">
        <v>115000</v>
      </c>
      <c r="F324" s="502">
        <v>115000</v>
      </c>
      <c r="G324" s="501">
        <v>0</v>
      </c>
    </row>
    <row r="325" spans="1:7" ht="15.75" customHeight="1" x14ac:dyDescent="0.2">
      <c r="A325" s="500" t="s">
        <v>387</v>
      </c>
      <c r="B325" s="501" t="s">
        <v>388</v>
      </c>
      <c r="C325" s="501">
        <v>256.29000000000002</v>
      </c>
      <c r="D325" s="502">
        <v>20000</v>
      </c>
      <c r="E325" s="502">
        <v>21000</v>
      </c>
      <c r="F325" s="502">
        <v>16000</v>
      </c>
      <c r="G325" s="502">
        <v>-5000</v>
      </c>
    </row>
    <row r="326" spans="1:7" ht="15.75" customHeight="1" x14ac:dyDescent="0.2">
      <c r="A326" s="500" t="s">
        <v>389</v>
      </c>
      <c r="B326" s="501" t="s">
        <v>90</v>
      </c>
      <c r="C326" s="502">
        <v>13337.72</v>
      </c>
      <c r="D326" s="502">
        <v>26800</v>
      </c>
      <c r="E326" s="502">
        <v>27000</v>
      </c>
      <c r="F326" s="502">
        <v>27000</v>
      </c>
      <c r="G326" s="501">
        <v>0</v>
      </c>
    </row>
    <row r="327" spans="1:7" ht="15.75" customHeight="1" x14ac:dyDescent="0.2">
      <c r="A327" s="500" t="s">
        <v>390</v>
      </c>
      <c r="B327" s="501" t="s">
        <v>391</v>
      </c>
      <c r="C327" s="501">
        <v>0</v>
      </c>
      <c r="D327" s="502">
        <v>1000</v>
      </c>
      <c r="E327" s="501">
        <v>0</v>
      </c>
      <c r="F327" s="501">
        <v>0</v>
      </c>
      <c r="G327" s="501">
        <v>0</v>
      </c>
    </row>
    <row r="328" spans="1:7" ht="15.75" customHeight="1" x14ac:dyDescent="0.2">
      <c r="A328" s="500" t="s">
        <v>392</v>
      </c>
      <c r="B328" s="501" t="s">
        <v>393</v>
      </c>
      <c r="C328" s="501">
        <v>0</v>
      </c>
      <c r="D328" s="501">
        <v>0</v>
      </c>
      <c r="E328" s="501">
        <v>0</v>
      </c>
      <c r="F328" s="501">
        <v>0</v>
      </c>
      <c r="G328" s="501">
        <v>0</v>
      </c>
    </row>
    <row r="329" spans="1:7" ht="15.75" customHeight="1" x14ac:dyDescent="0.2">
      <c r="A329" s="500" t="s">
        <v>394</v>
      </c>
      <c r="B329" s="501" t="s">
        <v>92</v>
      </c>
      <c r="C329" s="502">
        <v>23165.4</v>
      </c>
      <c r="D329" s="502">
        <v>14000</v>
      </c>
      <c r="E329" s="502">
        <v>15000</v>
      </c>
      <c r="F329" s="502">
        <v>15000</v>
      </c>
      <c r="G329" s="501">
        <v>0</v>
      </c>
    </row>
    <row r="330" spans="1:7" ht="15.75" customHeight="1" x14ac:dyDescent="0.2">
      <c r="A330" s="500" t="s">
        <v>395</v>
      </c>
      <c r="B330" s="501" t="s">
        <v>94</v>
      </c>
      <c r="C330" s="501">
        <v>0</v>
      </c>
      <c r="D330" s="501">
        <v>0</v>
      </c>
      <c r="E330" s="501">
        <v>0</v>
      </c>
      <c r="F330" s="501">
        <v>0</v>
      </c>
      <c r="G330" s="501">
        <v>0</v>
      </c>
    </row>
    <row r="331" spans="1:7" ht="15.75" customHeight="1" x14ac:dyDescent="0.2">
      <c r="A331" s="500" t="s">
        <v>399</v>
      </c>
      <c r="B331" s="501" t="s">
        <v>180</v>
      </c>
      <c r="C331" s="501">
        <v>0</v>
      </c>
      <c r="D331" s="501">
        <v>0</v>
      </c>
      <c r="E331" s="501">
        <v>0</v>
      </c>
      <c r="F331" s="501">
        <v>0</v>
      </c>
      <c r="G331" s="501">
        <v>0</v>
      </c>
    </row>
    <row r="332" spans="1:7" ht="15.75" customHeight="1" x14ac:dyDescent="0.2">
      <c r="A332" s="500" t="s">
        <v>400</v>
      </c>
      <c r="B332" s="501" t="s">
        <v>99</v>
      </c>
      <c r="C332" s="501">
        <v>0</v>
      </c>
      <c r="D332" s="501">
        <v>0</v>
      </c>
      <c r="E332" s="501">
        <v>0</v>
      </c>
      <c r="F332" s="501">
        <v>0</v>
      </c>
      <c r="G332" s="501">
        <v>0</v>
      </c>
    </row>
    <row r="333" spans="1:7" ht="15.75" customHeight="1" x14ac:dyDescent="0.2">
      <c r="A333" s="500" t="s">
        <v>396</v>
      </c>
      <c r="B333" s="501" t="s">
        <v>397</v>
      </c>
      <c r="C333" s="502">
        <v>-246666.83</v>
      </c>
      <c r="D333" s="502">
        <v>-360499.7</v>
      </c>
      <c r="E333" s="502">
        <v>-375817</v>
      </c>
      <c r="F333" s="502">
        <v>-344164</v>
      </c>
      <c r="G333" s="502">
        <v>31653</v>
      </c>
    </row>
    <row r="334" spans="1:7" ht="15.75" customHeight="1" x14ac:dyDescent="0.2">
      <c r="A334" s="500" t="s">
        <v>472</v>
      </c>
      <c r="B334" s="501" t="s">
        <v>68</v>
      </c>
      <c r="C334" s="501">
        <v>0</v>
      </c>
      <c r="D334" s="501">
        <v>0</v>
      </c>
      <c r="E334" s="501">
        <v>0</v>
      </c>
      <c r="F334" s="501">
        <v>0</v>
      </c>
      <c r="G334" s="501">
        <v>0</v>
      </c>
    </row>
    <row r="335" spans="1:7" ht="15.75" customHeight="1" x14ac:dyDescent="0.2">
      <c r="A335" s="500" t="s">
        <v>475</v>
      </c>
      <c r="B335" s="501" t="s">
        <v>72</v>
      </c>
      <c r="C335" s="501">
        <v>0</v>
      </c>
      <c r="D335" s="501">
        <v>0</v>
      </c>
      <c r="E335" s="501">
        <v>0</v>
      </c>
      <c r="F335" s="501">
        <v>0</v>
      </c>
      <c r="G335" s="501">
        <v>0</v>
      </c>
    </row>
    <row r="336" spans="1:7" ht="15.75" customHeight="1" x14ac:dyDescent="0.2">
      <c r="A336" s="500" t="s">
        <v>445</v>
      </c>
      <c r="B336" s="501" t="s">
        <v>68</v>
      </c>
      <c r="C336" s="502">
        <v>300692.13</v>
      </c>
      <c r="D336" s="502">
        <v>461800.5</v>
      </c>
      <c r="E336" s="502">
        <v>492200</v>
      </c>
      <c r="F336" s="502">
        <v>492200</v>
      </c>
      <c r="G336" s="501">
        <v>0</v>
      </c>
    </row>
    <row r="337" spans="1:7" ht="15.75" customHeight="1" x14ac:dyDescent="0.2">
      <c r="A337" s="500" t="s">
        <v>446</v>
      </c>
      <c r="B337" s="501" t="s">
        <v>70</v>
      </c>
      <c r="C337" s="501">
        <v>365.36</v>
      </c>
      <c r="D337" s="501">
        <v>0</v>
      </c>
      <c r="E337" s="502">
        <v>2000</v>
      </c>
      <c r="F337" s="501">
        <v>0</v>
      </c>
      <c r="G337" s="502">
        <v>-2000</v>
      </c>
    </row>
    <row r="338" spans="1:7" ht="15.75" customHeight="1" x14ac:dyDescent="0.2">
      <c r="A338" s="500" t="s">
        <v>447</v>
      </c>
      <c r="B338" s="501" t="s">
        <v>132</v>
      </c>
      <c r="C338" s="501">
        <v>0</v>
      </c>
      <c r="D338" s="501">
        <v>0</v>
      </c>
      <c r="E338" s="501">
        <v>0</v>
      </c>
      <c r="F338" s="501">
        <v>0</v>
      </c>
      <c r="G338" s="501">
        <v>0</v>
      </c>
    </row>
    <row r="339" spans="1:7" ht="15.75" customHeight="1" x14ac:dyDescent="0.2">
      <c r="A339" s="500" t="s">
        <v>448</v>
      </c>
      <c r="B339" s="501" t="s">
        <v>108</v>
      </c>
      <c r="C339" s="501">
        <v>0</v>
      </c>
      <c r="D339" s="501">
        <v>0</v>
      </c>
      <c r="E339" s="501">
        <v>0</v>
      </c>
      <c r="F339" s="501">
        <v>0</v>
      </c>
      <c r="G339" s="501">
        <v>0</v>
      </c>
    </row>
    <row r="340" spans="1:7" ht="15.75" customHeight="1" x14ac:dyDescent="0.2">
      <c r="A340" s="500" t="s">
        <v>449</v>
      </c>
      <c r="B340" s="501" t="s">
        <v>72</v>
      </c>
      <c r="C340" s="502">
        <v>152697.76999999999</v>
      </c>
      <c r="D340" s="502">
        <v>248512.5</v>
      </c>
      <c r="E340" s="502">
        <v>256700</v>
      </c>
      <c r="F340" s="502">
        <v>256700</v>
      </c>
      <c r="G340" s="501">
        <v>0</v>
      </c>
    </row>
    <row r="341" spans="1:7" ht="15.75" customHeight="1" x14ac:dyDescent="0.2">
      <c r="A341" s="500" t="s">
        <v>450</v>
      </c>
      <c r="B341" s="501" t="s">
        <v>451</v>
      </c>
      <c r="C341" s="502">
        <v>23514</v>
      </c>
      <c r="D341" s="502">
        <v>32500</v>
      </c>
      <c r="E341" s="502">
        <v>33000</v>
      </c>
      <c r="F341" s="502">
        <v>33000</v>
      </c>
      <c r="G341" s="501">
        <v>0</v>
      </c>
    </row>
    <row r="342" spans="1:7" ht="15.75" customHeight="1" x14ac:dyDescent="0.2">
      <c r="A342" s="500" t="s">
        <v>452</v>
      </c>
      <c r="B342" s="501" t="s">
        <v>76</v>
      </c>
      <c r="C342" s="501">
        <v>139.44999999999999</v>
      </c>
      <c r="D342" s="502">
        <v>5000</v>
      </c>
      <c r="E342" s="502">
        <v>5000</v>
      </c>
      <c r="F342" s="502">
        <v>5000</v>
      </c>
      <c r="G342" s="501">
        <v>0</v>
      </c>
    </row>
    <row r="343" spans="1:7" ht="15.75" customHeight="1" x14ac:dyDescent="0.2">
      <c r="A343" s="500" t="s">
        <v>453</v>
      </c>
      <c r="B343" s="501" t="s">
        <v>80</v>
      </c>
      <c r="C343" s="502">
        <v>4489.71</v>
      </c>
      <c r="D343" s="502">
        <v>6300</v>
      </c>
      <c r="E343" s="502">
        <v>6300</v>
      </c>
      <c r="F343" s="502">
        <v>6300</v>
      </c>
      <c r="G343" s="501">
        <v>0</v>
      </c>
    </row>
    <row r="344" spans="1:7" ht="15.75" customHeight="1" x14ac:dyDescent="0.2">
      <c r="A344" s="500" t="s">
        <v>454</v>
      </c>
      <c r="B344" s="501" t="s">
        <v>82</v>
      </c>
      <c r="C344" s="501">
        <v>958.99</v>
      </c>
      <c r="D344" s="502">
        <v>5600</v>
      </c>
      <c r="E344" s="502">
        <v>5000</v>
      </c>
      <c r="F344" s="502">
        <v>5000</v>
      </c>
      <c r="G344" s="501">
        <v>0</v>
      </c>
    </row>
    <row r="345" spans="1:7" ht="15.75" customHeight="1" x14ac:dyDescent="0.2">
      <c r="A345" s="500" t="s">
        <v>455</v>
      </c>
      <c r="B345" s="501" t="s">
        <v>115</v>
      </c>
      <c r="C345" s="501">
        <v>414.76</v>
      </c>
      <c r="D345" s="501">
        <v>0</v>
      </c>
      <c r="E345" s="502">
        <v>15000</v>
      </c>
      <c r="F345" s="502">
        <v>15000</v>
      </c>
      <c r="G345" s="501">
        <v>0</v>
      </c>
    </row>
    <row r="346" spans="1:7" ht="15.75" customHeight="1" x14ac:dyDescent="0.2">
      <c r="A346" s="500" t="s">
        <v>456</v>
      </c>
      <c r="B346" s="501" t="s">
        <v>277</v>
      </c>
      <c r="C346" s="501">
        <v>0</v>
      </c>
      <c r="D346" s="501">
        <v>0</v>
      </c>
      <c r="E346" s="501">
        <v>0</v>
      </c>
      <c r="F346" s="501">
        <v>0</v>
      </c>
      <c r="G346" s="501">
        <v>0</v>
      </c>
    </row>
    <row r="347" spans="1:7" ht="15.75" customHeight="1" x14ac:dyDescent="0.2">
      <c r="A347" s="500" t="s">
        <v>457</v>
      </c>
      <c r="B347" s="501" t="s">
        <v>84</v>
      </c>
      <c r="C347" s="502">
        <v>4655.71</v>
      </c>
      <c r="D347" s="502">
        <v>7700</v>
      </c>
      <c r="E347" s="502">
        <v>7940</v>
      </c>
      <c r="F347" s="502">
        <v>7940</v>
      </c>
      <c r="G347" s="501">
        <v>0</v>
      </c>
    </row>
    <row r="348" spans="1:7" ht="15.75" customHeight="1" x14ac:dyDescent="0.2">
      <c r="A348" s="500" t="s">
        <v>458</v>
      </c>
      <c r="B348" s="501" t="s">
        <v>210</v>
      </c>
      <c r="C348" s="502">
        <v>1269.99</v>
      </c>
      <c r="D348" s="502">
        <v>6000</v>
      </c>
      <c r="E348" s="502">
        <v>4000</v>
      </c>
      <c r="F348" s="502">
        <v>4000</v>
      </c>
      <c r="G348" s="501">
        <v>0</v>
      </c>
    </row>
    <row r="349" spans="1:7" ht="15.75" customHeight="1" x14ac:dyDescent="0.2">
      <c r="A349" s="500" t="s">
        <v>459</v>
      </c>
      <c r="B349" s="501" t="s">
        <v>86</v>
      </c>
      <c r="C349" s="501">
        <v>0</v>
      </c>
      <c r="D349" s="501">
        <v>0</v>
      </c>
      <c r="E349" s="501">
        <v>0</v>
      </c>
      <c r="F349" s="501">
        <v>0</v>
      </c>
      <c r="G349" s="501">
        <v>0</v>
      </c>
    </row>
    <row r="350" spans="1:7" ht="15.75" customHeight="1" x14ac:dyDescent="0.2">
      <c r="A350" s="500" t="s">
        <v>460</v>
      </c>
      <c r="B350" s="501" t="s">
        <v>90</v>
      </c>
      <c r="C350" s="502">
        <v>4430.47</v>
      </c>
      <c r="D350" s="502">
        <v>4500</v>
      </c>
      <c r="E350" s="502">
        <v>5000</v>
      </c>
      <c r="F350" s="502">
        <v>5000</v>
      </c>
      <c r="G350" s="501">
        <v>0</v>
      </c>
    </row>
    <row r="351" spans="1:7" ht="15.75" customHeight="1" x14ac:dyDescent="0.2">
      <c r="A351" s="500" t="s">
        <v>461</v>
      </c>
      <c r="B351" s="501" t="s">
        <v>462</v>
      </c>
      <c r="C351" s="501">
        <v>953.9</v>
      </c>
      <c r="D351" s="502">
        <v>3000</v>
      </c>
      <c r="E351" s="502">
        <v>3000</v>
      </c>
      <c r="F351" s="502">
        <v>3000</v>
      </c>
      <c r="G351" s="501">
        <v>0</v>
      </c>
    </row>
    <row r="352" spans="1:7" ht="15.75" customHeight="1" x14ac:dyDescent="0.2">
      <c r="A352" s="500" t="s">
        <v>463</v>
      </c>
      <c r="B352" s="501" t="s">
        <v>464</v>
      </c>
      <c r="C352" s="501">
        <v>0</v>
      </c>
      <c r="D352" s="501">
        <v>0</v>
      </c>
      <c r="E352" s="501">
        <v>0</v>
      </c>
      <c r="F352" s="501">
        <v>0</v>
      </c>
      <c r="G352" s="501">
        <v>0</v>
      </c>
    </row>
    <row r="353" spans="1:7" ht="15.75" customHeight="1" x14ac:dyDescent="0.2">
      <c r="A353" s="500" t="s">
        <v>465</v>
      </c>
      <c r="B353" s="501" t="s">
        <v>466</v>
      </c>
      <c r="C353" s="502">
        <v>-2560</v>
      </c>
      <c r="D353" s="501">
        <v>0</v>
      </c>
      <c r="E353" s="501">
        <v>0</v>
      </c>
      <c r="F353" s="501">
        <v>0</v>
      </c>
      <c r="G353" s="501">
        <v>0</v>
      </c>
    </row>
    <row r="354" spans="1:7" ht="15.75" customHeight="1" x14ac:dyDescent="0.2">
      <c r="A354" s="500" t="s">
        <v>467</v>
      </c>
      <c r="B354" s="501" t="s">
        <v>468</v>
      </c>
      <c r="C354" s="501">
        <v>0</v>
      </c>
      <c r="D354" s="502">
        <v>1000</v>
      </c>
      <c r="E354" s="501">
        <v>500</v>
      </c>
      <c r="F354" s="501">
        <v>500</v>
      </c>
      <c r="G354" s="501">
        <v>0</v>
      </c>
    </row>
    <row r="355" spans="1:7" ht="15.75" customHeight="1" x14ac:dyDescent="0.2">
      <c r="A355" s="500" t="s">
        <v>469</v>
      </c>
      <c r="B355" s="501" t="s">
        <v>92</v>
      </c>
      <c r="C355" s="502">
        <v>4510.47</v>
      </c>
      <c r="D355" s="502">
        <v>6000</v>
      </c>
      <c r="E355" s="502">
        <v>6180</v>
      </c>
      <c r="F355" s="502">
        <v>6180</v>
      </c>
      <c r="G355" s="501">
        <v>0</v>
      </c>
    </row>
    <row r="356" spans="1:7" ht="15.75" customHeight="1" x14ac:dyDescent="0.2">
      <c r="A356" s="500" t="s">
        <v>2051</v>
      </c>
      <c r="B356" s="501" t="s">
        <v>2052</v>
      </c>
      <c r="C356" s="502">
        <v>72522.289999999994</v>
      </c>
      <c r="D356" s="502">
        <v>288000</v>
      </c>
      <c r="E356" s="502">
        <v>297000</v>
      </c>
      <c r="F356" s="502">
        <v>297000</v>
      </c>
      <c r="G356" s="501">
        <v>0</v>
      </c>
    </row>
    <row r="357" spans="1:7" ht="15.75" customHeight="1" x14ac:dyDescent="0.2">
      <c r="A357" s="500" t="s">
        <v>2053</v>
      </c>
      <c r="B357" s="501" t="s">
        <v>2054</v>
      </c>
      <c r="C357" s="501">
        <v>0</v>
      </c>
      <c r="D357" s="502">
        <v>2500</v>
      </c>
      <c r="E357" s="502">
        <v>2500</v>
      </c>
      <c r="F357" s="502">
        <v>2500</v>
      </c>
      <c r="G357" s="501">
        <v>0</v>
      </c>
    </row>
    <row r="358" spans="1:7" ht="15.75" customHeight="1" x14ac:dyDescent="0.2">
      <c r="A358" s="500" t="s">
        <v>2055</v>
      </c>
      <c r="B358" s="501" t="s">
        <v>2056</v>
      </c>
      <c r="C358" s="501">
        <v>0</v>
      </c>
      <c r="D358" s="502">
        <v>6000</v>
      </c>
      <c r="E358" s="502">
        <v>6000</v>
      </c>
      <c r="F358" s="502">
        <v>6000</v>
      </c>
      <c r="G358" s="501">
        <v>0</v>
      </c>
    </row>
    <row r="359" spans="1:7" ht="15.75" customHeight="1" x14ac:dyDescent="0.2">
      <c r="A359" s="500" t="s">
        <v>2057</v>
      </c>
      <c r="B359" s="501" t="s">
        <v>2058</v>
      </c>
      <c r="C359" s="501">
        <v>0</v>
      </c>
      <c r="D359" s="502">
        <v>10000</v>
      </c>
      <c r="E359" s="502">
        <v>10000</v>
      </c>
      <c r="F359" s="502">
        <v>10000</v>
      </c>
      <c r="G359" s="501">
        <v>0</v>
      </c>
    </row>
    <row r="360" spans="1:7" ht="15.75" customHeight="1" x14ac:dyDescent="0.2">
      <c r="A360" s="500" t="s">
        <v>2059</v>
      </c>
      <c r="B360" s="501" t="s">
        <v>92</v>
      </c>
      <c r="C360" s="501">
        <v>0.01</v>
      </c>
      <c r="D360" s="501">
        <v>0</v>
      </c>
      <c r="E360" s="501">
        <v>0</v>
      </c>
      <c r="F360" s="501">
        <v>0</v>
      </c>
      <c r="G360" s="501">
        <v>0</v>
      </c>
    </row>
    <row r="361" spans="1:7" ht="15.75" customHeight="1" x14ac:dyDescent="0.2">
      <c r="A361" s="500" t="s">
        <v>2060</v>
      </c>
      <c r="B361" s="501" t="s">
        <v>2061</v>
      </c>
      <c r="C361" s="501">
        <v>0</v>
      </c>
      <c r="D361" s="501">
        <v>0</v>
      </c>
      <c r="E361" s="501">
        <v>0</v>
      </c>
      <c r="F361" s="501">
        <v>0</v>
      </c>
      <c r="G361" s="501">
        <v>0</v>
      </c>
    </row>
    <row r="362" spans="1:7" ht="15.75" customHeight="1" x14ac:dyDescent="0.2">
      <c r="A362" s="500" t="s">
        <v>2062</v>
      </c>
      <c r="B362" s="501" t="s">
        <v>2063</v>
      </c>
      <c r="C362" s="501">
        <v>0</v>
      </c>
      <c r="D362" s="501">
        <v>0</v>
      </c>
      <c r="E362" s="501">
        <v>0</v>
      </c>
      <c r="F362" s="501">
        <v>0</v>
      </c>
      <c r="G362" s="501">
        <v>0</v>
      </c>
    </row>
    <row r="363" spans="1:7" ht="15.75" customHeight="1" x14ac:dyDescent="0.2">
      <c r="A363" s="500" t="s">
        <v>2064</v>
      </c>
      <c r="B363" s="501" t="s">
        <v>2065</v>
      </c>
      <c r="C363" s="502">
        <v>5874.78</v>
      </c>
      <c r="D363" s="501">
        <v>0</v>
      </c>
      <c r="E363" s="501">
        <v>0</v>
      </c>
      <c r="F363" s="501">
        <v>0</v>
      </c>
      <c r="G363" s="501">
        <v>0</v>
      </c>
    </row>
    <row r="364" spans="1:7" ht="15.75" customHeight="1" x14ac:dyDescent="0.2">
      <c r="A364" s="500" t="s">
        <v>2066</v>
      </c>
      <c r="B364" s="501" t="s">
        <v>94</v>
      </c>
      <c r="C364" s="502">
        <v>8102.69</v>
      </c>
      <c r="D364" s="502">
        <v>15900</v>
      </c>
      <c r="E364" s="502">
        <v>19900</v>
      </c>
      <c r="F364" s="502">
        <v>19900</v>
      </c>
      <c r="G364" s="501">
        <v>0</v>
      </c>
    </row>
    <row r="365" spans="1:7" ht="15.75" customHeight="1" x14ac:dyDescent="0.2">
      <c r="A365" s="500" t="s">
        <v>2067</v>
      </c>
      <c r="B365" s="501" t="s">
        <v>2068</v>
      </c>
      <c r="C365" s="502">
        <v>2839</v>
      </c>
      <c r="D365" s="502">
        <v>3000</v>
      </c>
      <c r="E365" s="502">
        <v>3000</v>
      </c>
      <c r="F365" s="502">
        <v>3000</v>
      </c>
      <c r="G365" s="501">
        <v>0</v>
      </c>
    </row>
    <row r="366" spans="1:7" ht="15.75" customHeight="1" x14ac:dyDescent="0.2">
      <c r="A366" s="500" t="s">
        <v>2069</v>
      </c>
      <c r="B366" s="501" t="s">
        <v>2070</v>
      </c>
      <c r="C366" s="502">
        <v>-23838.18</v>
      </c>
      <c r="D366" s="502">
        <v>-33000</v>
      </c>
      <c r="E366" s="502">
        <v>-33840</v>
      </c>
      <c r="F366" s="502">
        <v>-33840</v>
      </c>
      <c r="G366" s="501">
        <v>0</v>
      </c>
    </row>
    <row r="367" spans="1:7" ht="15.75" customHeight="1" x14ac:dyDescent="0.2">
      <c r="A367" s="500" t="s">
        <v>1539</v>
      </c>
      <c r="B367" s="501" t="s">
        <v>68</v>
      </c>
      <c r="C367" s="502">
        <v>134375.29</v>
      </c>
      <c r="D367" s="502">
        <v>177261.5</v>
      </c>
      <c r="E367" s="502">
        <v>191000</v>
      </c>
      <c r="F367" s="502">
        <v>191000</v>
      </c>
      <c r="G367" s="501">
        <v>0</v>
      </c>
    </row>
    <row r="368" spans="1:7" ht="15.75" customHeight="1" x14ac:dyDescent="0.2">
      <c r="A368" s="500" t="s">
        <v>1540</v>
      </c>
      <c r="B368" s="501" t="s">
        <v>70</v>
      </c>
      <c r="C368" s="502">
        <v>1152.83</v>
      </c>
      <c r="D368" s="502">
        <v>5000</v>
      </c>
      <c r="E368" s="502">
        <v>5000</v>
      </c>
      <c r="F368" s="502">
        <v>5000</v>
      </c>
      <c r="G368" s="501">
        <v>0</v>
      </c>
    </row>
    <row r="369" spans="1:7" ht="15.75" customHeight="1" x14ac:dyDescent="0.2">
      <c r="A369" s="500" t="s">
        <v>1541</v>
      </c>
      <c r="B369" s="501" t="s">
        <v>132</v>
      </c>
      <c r="C369" s="502">
        <v>77380.23</v>
      </c>
      <c r="D369" s="502">
        <v>97787.5</v>
      </c>
      <c r="E369" s="502">
        <v>131100</v>
      </c>
      <c r="F369" s="502">
        <v>131100</v>
      </c>
      <c r="G369" s="501">
        <v>0</v>
      </c>
    </row>
    <row r="370" spans="1:7" ht="15.75" customHeight="1" x14ac:dyDescent="0.2">
      <c r="A370" s="500" t="s">
        <v>1542</v>
      </c>
      <c r="B370" s="501" t="s">
        <v>108</v>
      </c>
      <c r="C370" s="501">
        <v>0</v>
      </c>
      <c r="D370" s="502">
        <v>2000</v>
      </c>
      <c r="E370" s="502">
        <v>2000</v>
      </c>
      <c r="F370" s="501">
        <v>0</v>
      </c>
      <c r="G370" s="502">
        <v>-2000</v>
      </c>
    </row>
    <row r="371" spans="1:7" ht="15.75" customHeight="1" x14ac:dyDescent="0.2">
      <c r="A371" s="500" t="s">
        <v>1543</v>
      </c>
      <c r="B371" s="501" t="s">
        <v>72</v>
      </c>
      <c r="C371" s="502">
        <v>68565.25</v>
      </c>
      <c r="D371" s="502">
        <v>104093</v>
      </c>
      <c r="E371" s="502">
        <v>111400</v>
      </c>
      <c r="F371" s="502">
        <v>111400</v>
      </c>
      <c r="G371" s="501">
        <v>0</v>
      </c>
    </row>
    <row r="372" spans="1:7" ht="15.75" customHeight="1" x14ac:dyDescent="0.2">
      <c r="A372" s="500" t="s">
        <v>1544</v>
      </c>
      <c r="B372" s="501" t="s">
        <v>80</v>
      </c>
      <c r="C372" s="502">
        <v>4043.35</v>
      </c>
      <c r="D372" s="502">
        <v>6000</v>
      </c>
      <c r="E372" s="502">
        <v>6180</v>
      </c>
      <c r="F372" s="502">
        <v>6180</v>
      </c>
      <c r="G372" s="501">
        <v>0</v>
      </c>
    </row>
    <row r="373" spans="1:7" ht="15.75" customHeight="1" x14ac:dyDescent="0.2">
      <c r="A373" s="500" t="s">
        <v>1545</v>
      </c>
      <c r="B373" s="501" t="s">
        <v>115</v>
      </c>
      <c r="C373" s="502">
        <v>2741.47</v>
      </c>
      <c r="D373" s="502">
        <v>8000</v>
      </c>
      <c r="E373" s="502">
        <v>10300</v>
      </c>
      <c r="F373" s="502">
        <v>2300</v>
      </c>
      <c r="G373" s="502">
        <v>-8000</v>
      </c>
    </row>
    <row r="374" spans="1:7" ht="15.75" customHeight="1" x14ac:dyDescent="0.2">
      <c r="A374" s="500" t="s">
        <v>1546</v>
      </c>
      <c r="B374" s="501" t="s">
        <v>523</v>
      </c>
      <c r="C374" s="502">
        <v>37720.54</v>
      </c>
      <c r="D374" s="502">
        <v>61740</v>
      </c>
      <c r="E374" s="502">
        <v>69065</v>
      </c>
      <c r="F374" s="502">
        <v>64265</v>
      </c>
      <c r="G374" s="502">
        <v>-4800</v>
      </c>
    </row>
    <row r="375" spans="1:7" ht="15.75" customHeight="1" x14ac:dyDescent="0.2">
      <c r="A375" s="500" t="s">
        <v>1547</v>
      </c>
      <c r="B375" s="501" t="s">
        <v>277</v>
      </c>
      <c r="C375" s="502">
        <v>76381.94</v>
      </c>
      <c r="D375" s="502">
        <v>97850</v>
      </c>
      <c r="E375" s="502">
        <v>97823</v>
      </c>
      <c r="F375" s="502">
        <v>97823</v>
      </c>
      <c r="G375" s="501">
        <v>0</v>
      </c>
    </row>
    <row r="376" spans="1:7" ht="15.75" customHeight="1" x14ac:dyDescent="0.2">
      <c r="A376" s="500" t="s">
        <v>1548</v>
      </c>
      <c r="B376" s="501" t="s">
        <v>84</v>
      </c>
      <c r="C376" s="502">
        <v>-1150.23</v>
      </c>
      <c r="D376" s="502">
        <v>4280</v>
      </c>
      <c r="E376" s="502">
        <v>4720</v>
      </c>
      <c r="F376" s="502">
        <v>4720</v>
      </c>
      <c r="G376" s="501">
        <v>0</v>
      </c>
    </row>
    <row r="377" spans="1:7" ht="15.75" customHeight="1" x14ac:dyDescent="0.2">
      <c r="A377" s="500" t="s">
        <v>1549</v>
      </c>
      <c r="B377" s="501" t="s">
        <v>86</v>
      </c>
      <c r="C377" s="501">
        <v>0</v>
      </c>
      <c r="D377" s="502">
        <v>5000</v>
      </c>
      <c r="E377" s="502">
        <v>5000</v>
      </c>
      <c r="F377" s="501">
        <v>0</v>
      </c>
      <c r="G377" s="502">
        <v>-5000</v>
      </c>
    </row>
    <row r="378" spans="1:7" ht="15.75" customHeight="1" x14ac:dyDescent="0.2">
      <c r="A378" s="500" t="s">
        <v>1550</v>
      </c>
      <c r="B378" s="501" t="s">
        <v>90</v>
      </c>
      <c r="C378" s="501">
        <v>0</v>
      </c>
      <c r="D378" s="502">
        <v>1500</v>
      </c>
      <c r="E378" s="502">
        <v>1500</v>
      </c>
      <c r="F378" s="501">
        <v>500</v>
      </c>
      <c r="G378" s="502">
        <v>-1000</v>
      </c>
    </row>
    <row r="379" spans="1:7" ht="15.75" customHeight="1" x14ac:dyDescent="0.2">
      <c r="A379" s="500" t="s">
        <v>1551</v>
      </c>
      <c r="B379" s="501" t="s">
        <v>92</v>
      </c>
      <c r="C379" s="502">
        <v>3443.49</v>
      </c>
      <c r="D379" s="502">
        <v>2800</v>
      </c>
      <c r="E379" s="502">
        <v>2800</v>
      </c>
      <c r="F379" s="502">
        <v>2800</v>
      </c>
      <c r="G379" s="501">
        <v>0</v>
      </c>
    </row>
    <row r="380" spans="1:7" ht="15.75" customHeight="1" x14ac:dyDescent="0.2">
      <c r="A380" s="500" t="s">
        <v>1552</v>
      </c>
      <c r="B380" s="501" t="s">
        <v>94</v>
      </c>
      <c r="C380" s="501">
        <v>0</v>
      </c>
      <c r="D380" s="501">
        <v>0</v>
      </c>
      <c r="E380" s="501">
        <v>0</v>
      </c>
      <c r="F380" s="501">
        <v>0</v>
      </c>
      <c r="G380" s="501">
        <v>0</v>
      </c>
    </row>
    <row r="381" spans="1:7" ht="15.75" customHeight="1" x14ac:dyDescent="0.2">
      <c r="A381" s="500" t="s">
        <v>1556</v>
      </c>
      <c r="B381" s="501" t="s">
        <v>180</v>
      </c>
      <c r="C381" s="501">
        <v>0</v>
      </c>
      <c r="D381" s="501">
        <v>0</v>
      </c>
      <c r="E381" s="501">
        <v>0</v>
      </c>
      <c r="F381" s="501">
        <v>0</v>
      </c>
      <c r="G381" s="501">
        <v>0</v>
      </c>
    </row>
    <row r="382" spans="1:7" ht="15.75" customHeight="1" x14ac:dyDescent="0.2">
      <c r="A382" s="500" t="s">
        <v>1557</v>
      </c>
      <c r="B382" s="501" t="s">
        <v>532</v>
      </c>
      <c r="C382" s="501">
        <v>0</v>
      </c>
      <c r="D382" s="501">
        <v>0</v>
      </c>
      <c r="E382" s="501">
        <v>0</v>
      </c>
      <c r="F382" s="501">
        <v>0</v>
      </c>
      <c r="G382" s="501">
        <v>0</v>
      </c>
    </row>
    <row r="383" spans="1:7" ht="15.75" customHeight="1" x14ac:dyDescent="0.2">
      <c r="A383" s="500" t="s">
        <v>2071</v>
      </c>
      <c r="B383" s="501" t="s">
        <v>99</v>
      </c>
      <c r="C383" s="502">
        <v>54374</v>
      </c>
      <c r="D383" s="501">
        <v>0</v>
      </c>
      <c r="E383" s="501">
        <v>0</v>
      </c>
      <c r="F383" s="501">
        <v>0</v>
      </c>
      <c r="G383" s="501">
        <v>0</v>
      </c>
    </row>
    <row r="384" spans="1:7" ht="15.75" customHeight="1" x14ac:dyDescent="0.2">
      <c r="A384" s="500" t="s">
        <v>1553</v>
      </c>
      <c r="B384" s="501" t="s">
        <v>1554</v>
      </c>
      <c r="C384" s="502">
        <v>-133904.39000000001</v>
      </c>
      <c r="D384" s="502">
        <v>-177800.35</v>
      </c>
      <c r="E384" s="502">
        <v>-197746</v>
      </c>
      <c r="F384" s="502">
        <v>-191297</v>
      </c>
      <c r="G384" s="502">
        <v>6449</v>
      </c>
    </row>
    <row r="385" spans="1:7" ht="15.75" customHeight="1" x14ac:dyDescent="0.2">
      <c r="A385" s="500" t="s">
        <v>264</v>
      </c>
      <c r="B385" s="501" t="s">
        <v>68</v>
      </c>
      <c r="C385" s="502">
        <v>100659.57</v>
      </c>
      <c r="D385" s="502">
        <v>155567</v>
      </c>
      <c r="E385" s="502">
        <v>172600</v>
      </c>
      <c r="F385" s="502">
        <v>172600</v>
      </c>
      <c r="G385" s="501">
        <v>0</v>
      </c>
    </row>
    <row r="386" spans="1:7" ht="15.75" customHeight="1" x14ac:dyDescent="0.2">
      <c r="A386" s="500" t="s">
        <v>265</v>
      </c>
      <c r="B386" s="501" t="s">
        <v>70</v>
      </c>
      <c r="C386" s="502">
        <v>4565.9399999999996</v>
      </c>
      <c r="D386" s="502">
        <v>4500</v>
      </c>
      <c r="E386" s="502">
        <v>10000</v>
      </c>
      <c r="F386" s="502">
        <v>10000</v>
      </c>
      <c r="G386" s="501">
        <v>0</v>
      </c>
    </row>
    <row r="387" spans="1:7" ht="15.75" customHeight="1" x14ac:dyDescent="0.2">
      <c r="A387" s="500" t="s">
        <v>266</v>
      </c>
      <c r="B387" s="501" t="s">
        <v>132</v>
      </c>
      <c r="C387" s="502">
        <v>29408.880000000001</v>
      </c>
      <c r="D387" s="502">
        <v>52865.5</v>
      </c>
      <c r="E387" s="502">
        <v>68000</v>
      </c>
      <c r="F387" s="502">
        <v>38000</v>
      </c>
      <c r="G387" s="502">
        <v>-30000</v>
      </c>
    </row>
    <row r="388" spans="1:7" ht="15.75" customHeight="1" x14ac:dyDescent="0.2">
      <c r="A388" s="500" t="s">
        <v>267</v>
      </c>
      <c r="B388" s="501" t="s">
        <v>108</v>
      </c>
      <c r="C388" s="502">
        <v>19590.29</v>
      </c>
      <c r="D388" s="502">
        <v>37000</v>
      </c>
      <c r="E388" s="502">
        <v>80000</v>
      </c>
      <c r="F388" s="502">
        <v>80000</v>
      </c>
      <c r="G388" s="501">
        <v>0</v>
      </c>
    </row>
    <row r="389" spans="1:7" ht="15.75" customHeight="1" x14ac:dyDescent="0.2">
      <c r="A389" s="500" t="s">
        <v>268</v>
      </c>
      <c r="B389" s="501" t="s">
        <v>72</v>
      </c>
      <c r="C389" s="502">
        <v>43137.85</v>
      </c>
      <c r="D389" s="502">
        <v>109096.5</v>
      </c>
      <c r="E389" s="502">
        <v>104000</v>
      </c>
      <c r="F389" s="502">
        <v>100500</v>
      </c>
      <c r="G389" s="502">
        <v>-3500</v>
      </c>
    </row>
    <row r="390" spans="1:7" ht="15.75" customHeight="1" x14ac:dyDescent="0.2">
      <c r="A390" s="500" t="s">
        <v>269</v>
      </c>
      <c r="B390" s="501" t="s">
        <v>270</v>
      </c>
      <c r="C390" s="502">
        <v>179433.82</v>
      </c>
      <c r="D390" s="502">
        <v>210700</v>
      </c>
      <c r="E390" s="502">
        <v>501000</v>
      </c>
      <c r="F390" s="502">
        <v>501000</v>
      </c>
      <c r="G390" s="501">
        <v>0</v>
      </c>
    </row>
    <row r="391" spans="1:7" ht="15.75" customHeight="1" x14ac:dyDescent="0.2">
      <c r="A391" s="500" t="s">
        <v>271</v>
      </c>
      <c r="B391" s="501" t="s">
        <v>74</v>
      </c>
      <c r="C391" s="502">
        <v>5008.6899999999996</v>
      </c>
      <c r="D391" s="502">
        <v>8000</v>
      </c>
      <c r="E391" s="502">
        <v>8000</v>
      </c>
      <c r="F391" s="502">
        <v>8000</v>
      </c>
      <c r="G391" s="501">
        <v>0</v>
      </c>
    </row>
    <row r="392" spans="1:7" ht="15.75" customHeight="1" x14ac:dyDescent="0.2">
      <c r="A392" s="500" t="s">
        <v>272</v>
      </c>
      <c r="B392" s="501" t="s">
        <v>76</v>
      </c>
      <c r="C392" s="502">
        <v>5260.69</v>
      </c>
      <c r="D392" s="502">
        <v>6000</v>
      </c>
      <c r="E392" s="502">
        <v>6000</v>
      </c>
      <c r="F392" s="502">
        <v>6000</v>
      </c>
      <c r="G392" s="501">
        <v>0</v>
      </c>
    </row>
    <row r="393" spans="1:7" ht="15.75" customHeight="1" x14ac:dyDescent="0.2">
      <c r="A393" s="500" t="s">
        <v>273</v>
      </c>
      <c r="B393" s="501" t="s">
        <v>80</v>
      </c>
      <c r="C393" s="502">
        <v>1043.51</v>
      </c>
      <c r="D393" s="501">
        <v>500</v>
      </c>
      <c r="E393" s="501">
        <v>0</v>
      </c>
      <c r="F393" s="501">
        <v>0</v>
      </c>
      <c r="G393" s="501">
        <v>0</v>
      </c>
    </row>
    <row r="394" spans="1:7" ht="15.75" customHeight="1" x14ac:dyDescent="0.2">
      <c r="A394" s="500" t="s">
        <v>2072</v>
      </c>
      <c r="B394" s="501" t="s">
        <v>1802</v>
      </c>
      <c r="C394" s="501">
        <v>0</v>
      </c>
      <c r="D394" s="501">
        <v>0</v>
      </c>
      <c r="E394" s="501">
        <v>0</v>
      </c>
      <c r="F394" s="501">
        <v>0</v>
      </c>
      <c r="G394" s="501">
        <v>0</v>
      </c>
    </row>
    <row r="395" spans="1:7" ht="15.75" customHeight="1" x14ac:dyDescent="0.2">
      <c r="A395" s="500" t="s">
        <v>274</v>
      </c>
      <c r="B395" s="501" t="s">
        <v>82</v>
      </c>
      <c r="C395" s="501">
        <v>0</v>
      </c>
      <c r="D395" s="502">
        <v>1500</v>
      </c>
      <c r="E395" s="502">
        <v>1500</v>
      </c>
      <c r="F395" s="502">
        <v>1500</v>
      </c>
      <c r="G395" s="501">
        <v>0</v>
      </c>
    </row>
    <row r="396" spans="1:7" ht="15.75" customHeight="1" x14ac:dyDescent="0.2">
      <c r="A396" s="500" t="s">
        <v>275</v>
      </c>
      <c r="B396" s="501" t="s">
        <v>115</v>
      </c>
      <c r="C396" s="501">
        <v>960</v>
      </c>
      <c r="D396" s="502">
        <v>2000</v>
      </c>
      <c r="E396" s="502">
        <v>2000</v>
      </c>
      <c r="F396" s="502">
        <v>2000</v>
      </c>
      <c r="G396" s="501">
        <v>0</v>
      </c>
    </row>
    <row r="397" spans="1:7" ht="15.75" customHeight="1" x14ac:dyDescent="0.2">
      <c r="A397" s="500" t="s">
        <v>276</v>
      </c>
      <c r="B397" s="501" t="s">
        <v>277</v>
      </c>
      <c r="C397" s="502">
        <v>3206.01</v>
      </c>
      <c r="D397" s="502">
        <v>4000</v>
      </c>
      <c r="E397" s="502">
        <v>5000</v>
      </c>
      <c r="F397" s="502">
        <v>5000</v>
      </c>
      <c r="G397" s="501">
        <v>0</v>
      </c>
    </row>
    <row r="398" spans="1:7" ht="15.75" customHeight="1" x14ac:dyDescent="0.2">
      <c r="A398" s="500" t="s">
        <v>278</v>
      </c>
      <c r="B398" s="501" t="s">
        <v>84</v>
      </c>
      <c r="C398" s="501">
        <v>526.63</v>
      </c>
      <c r="D398" s="502">
        <v>5000</v>
      </c>
      <c r="E398" s="502">
        <v>5000</v>
      </c>
      <c r="F398" s="502">
        <v>5000</v>
      </c>
      <c r="G398" s="501">
        <v>0</v>
      </c>
    </row>
    <row r="399" spans="1:7" ht="15.75" customHeight="1" x14ac:dyDescent="0.2">
      <c r="A399" s="500" t="s">
        <v>279</v>
      </c>
      <c r="B399" s="501" t="s">
        <v>210</v>
      </c>
      <c r="C399" s="501">
        <v>286.14</v>
      </c>
      <c r="D399" s="502">
        <v>2500</v>
      </c>
      <c r="E399" s="502">
        <v>2500</v>
      </c>
      <c r="F399" s="502">
        <v>2500</v>
      </c>
      <c r="G399" s="501">
        <v>0</v>
      </c>
    </row>
    <row r="400" spans="1:7" ht="15.75" customHeight="1" x14ac:dyDescent="0.2">
      <c r="A400" s="500" t="s">
        <v>280</v>
      </c>
      <c r="B400" s="501" t="s">
        <v>88</v>
      </c>
      <c r="C400" s="501">
        <v>0</v>
      </c>
      <c r="D400" s="502">
        <v>148500</v>
      </c>
      <c r="E400" s="502">
        <v>2000</v>
      </c>
      <c r="F400" s="502">
        <v>2000</v>
      </c>
      <c r="G400" s="501">
        <v>0</v>
      </c>
    </row>
    <row r="401" spans="1:7" ht="15.75" customHeight="1" x14ac:dyDescent="0.2">
      <c r="A401" s="500" t="s">
        <v>281</v>
      </c>
      <c r="B401" s="501" t="s">
        <v>282</v>
      </c>
      <c r="C401" s="501">
        <v>0</v>
      </c>
      <c r="D401" s="501">
        <v>0</v>
      </c>
      <c r="E401" s="501">
        <v>0</v>
      </c>
      <c r="F401" s="501">
        <v>0</v>
      </c>
      <c r="G401" s="501">
        <v>0</v>
      </c>
    </row>
    <row r="402" spans="1:7" ht="15.75" customHeight="1" x14ac:dyDescent="0.2">
      <c r="A402" s="500" t="s">
        <v>283</v>
      </c>
      <c r="B402" s="501" t="s">
        <v>92</v>
      </c>
      <c r="C402" s="502">
        <v>2644.83</v>
      </c>
      <c r="D402" s="502">
        <v>2700</v>
      </c>
      <c r="E402" s="502">
        <v>2700</v>
      </c>
      <c r="F402" s="502">
        <v>2700</v>
      </c>
      <c r="G402" s="501">
        <v>0</v>
      </c>
    </row>
    <row r="403" spans="1:7" ht="15.75" customHeight="1" x14ac:dyDescent="0.2">
      <c r="A403" s="500" t="s">
        <v>284</v>
      </c>
      <c r="B403" s="501" t="s">
        <v>94</v>
      </c>
      <c r="C403" s="501">
        <v>210.54</v>
      </c>
      <c r="D403" s="502">
        <v>1000</v>
      </c>
      <c r="E403" s="502">
        <v>1000</v>
      </c>
      <c r="F403" s="502">
        <v>1000</v>
      </c>
      <c r="G403" s="501">
        <v>0</v>
      </c>
    </row>
    <row r="404" spans="1:7" ht="15.75" customHeight="1" x14ac:dyDescent="0.2">
      <c r="A404" s="500" t="s">
        <v>287</v>
      </c>
      <c r="B404" s="501" t="s">
        <v>99</v>
      </c>
      <c r="C404" s="501">
        <v>0</v>
      </c>
      <c r="D404" s="501">
        <v>0</v>
      </c>
      <c r="E404" s="501">
        <v>0</v>
      </c>
      <c r="F404" s="501">
        <v>0</v>
      </c>
      <c r="G404" s="501">
        <v>0</v>
      </c>
    </row>
    <row r="405" spans="1:7" ht="15.75" customHeight="1" x14ac:dyDescent="0.2">
      <c r="A405" s="500" t="s">
        <v>2073</v>
      </c>
      <c r="B405" s="501" t="s">
        <v>82</v>
      </c>
      <c r="C405" s="501">
        <v>0</v>
      </c>
      <c r="D405" s="501">
        <v>0</v>
      </c>
      <c r="E405" s="501">
        <v>0</v>
      </c>
      <c r="F405" s="501">
        <v>0</v>
      </c>
      <c r="G405" s="501">
        <v>0</v>
      </c>
    </row>
    <row r="406" spans="1:7" ht="15.75" customHeight="1" x14ac:dyDescent="0.2">
      <c r="A406" s="500" t="s">
        <v>2074</v>
      </c>
      <c r="B406" s="501" t="s">
        <v>84</v>
      </c>
      <c r="C406" s="501">
        <v>0</v>
      </c>
      <c r="D406" s="501">
        <v>0</v>
      </c>
      <c r="E406" s="501">
        <v>0</v>
      </c>
      <c r="F406" s="501">
        <v>0</v>
      </c>
      <c r="G406" s="501">
        <v>0</v>
      </c>
    </row>
    <row r="407" spans="1:7" ht="15.75" customHeight="1" x14ac:dyDescent="0.2">
      <c r="A407" s="500" t="s">
        <v>2075</v>
      </c>
      <c r="B407" s="501" t="s">
        <v>2076</v>
      </c>
      <c r="C407" s="502">
        <v>161477.19</v>
      </c>
      <c r="D407" s="502">
        <v>165000</v>
      </c>
      <c r="E407" s="502">
        <v>165000</v>
      </c>
      <c r="F407" s="502">
        <v>165000</v>
      </c>
      <c r="G407" s="501">
        <v>0</v>
      </c>
    </row>
    <row r="408" spans="1:7" ht="15.75" customHeight="1" x14ac:dyDescent="0.2">
      <c r="A408" s="500" t="s">
        <v>2077</v>
      </c>
      <c r="B408" s="501" t="s">
        <v>2078</v>
      </c>
      <c r="C408" s="502">
        <v>31000</v>
      </c>
      <c r="D408" s="502">
        <v>133000</v>
      </c>
      <c r="E408" s="502">
        <v>133000</v>
      </c>
      <c r="F408" s="502">
        <v>133000</v>
      </c>
      <c r="G408" s="501">
        <v>0</v>
      </c>
    </row>
    <row r="409" spans="1:7" ht="15.75" customHeight="1" x14ac:dyDescent="0.2">
      <c r="A409" s="500" t="s">
        <v>2079</v>
      </c>
      <c r="B409" s="501" t="s">
        <v>94</v>
      </c>
      <c r="C409" s="501">
        <v>0</v>
      </c>
      <c r="D409" s="502">
        <v>10000</v>
      </c>
      <c r="E409" s="502">
        <v>10000</v>
      </c>
      <c r="F409" s="502">
        <v>10000</v>
      </c>
      <c r="G409" s="501">
        <v>0</v>
      </c>
    </row>
    <row r="410" spans="1:7" ht="15.75" customHeight="1" x14ac:dyDescent="0.2">
      <c r="A410" s="500" t="s">
        <v>834</v>
      </c>
      <c r="B410" s="501" t="s">
        <v>68</v>
      </c>
      <c r="C410" s="502">
        <v>1932868.22</v>
      </c>
      <c r="D410" s="502">
        <v>2485143</v>
      </c>
      <c r="E410" s="502">
        <v>2860000</v>
      </c>
      <c r="F410" s="502">
        <v>2860000</v>
      </c>
      <c r="G410" s="501">
        <v>0</v>
      </c>
    </row>
    <row r="411" spans="1:7" ht="15.75" customHeight="1" x14ac:dyDescent="0.2">
      <c r="A411" s="500" t="s">
        <v>835</v>
      </c>
      <c r="B411" s="501" t="s">
        <v>70</v>
      </c>
      <c r="C411" s="502">
        <v>159214.01</v>
      </c>
      <c r="D411" s="502">
        <v>145000</v>
      </c>
      <c r="E411" s="502">
        <v>145000</v>
      </c>
      <c r="F411" s="502">
        <v>145000</v>
      </c>
      <c r="G411" s="501">
        <v>0</v>
      </c>
    </row>
    <row r="412" spans="1:7" ht="15.75" customHeight="1" x14ac:dyDescent="0.2">
      <c r="A412" s="500" t="s">
        <v>836</v>
      </c>
      <c r="B412" s="501" t="s">
        <v>132</v>
      </c>
      <c r="C412" s="502">
        <v>1567.98</v>
      </c>
      <c r="D412" s="501">
        <v>0</v>
      </c>
      <c r="E412" s="502">
        <v>31700</v>
      </c>
      <c r="F412" s="502">
        <v>31700</v>
      </c>
      <c r="G412" s="501">
        <v>0</v>
      </c>
    </row>
    <row r="413" spans="1:7" ht="15.75" customHeight="1" x14ac:dyDescent="0.2">
      <c r="A413" s="500" t="s">
        <v>837</v>
      </c>
      <c r="B413" s="501" t="s">
        <v>72</v>
      </c>
      <c r="C413" s="502">
        <v>1254923.0900000001</v>
      </c>
      <c r="D413" s="502">
        <v>1950604</v>
      </c>
      <c r="E413" s="502">
        <v>1880000</v>
      </c>
      <c r="F413" s="502">
        <v>1880000</v>
      </c>
      <c r="G413" s="501">
        <v>0</v>
      </c>
    </row>
    <row r="414" spans="1:7" ht="15.75" customHeight="1" x14ac:dyDescent="0.2">
      <c r="A414" s="500" t="s">
        <v>838</v>
      </c>
      <c r="B414" s="501" t="s">
        <v>451</v>
      </c>
      <c r="C414" s="502">
        <v>14457.6</v>
      </c>
      <c r="D414" s="502">
        <v>15900</v>
      </c>
      <c r="E414" s="502">
        <v>15900</v>
      </c>
      <c r="F414" s="502">
        <v>15900</v>
      </c>
      <c r="G414" s="501">
        <v>0</v>
      </c>
    </row>
    <row r="415" spans="1:7" ht="15.75" customHeight="1" x14ac:dyDescent="0.2">
      <c r="A415" s="500" t="s">
        <v>839</v>
      </c>
      <c r="B415" s="501" t="s">
        <v>74</v>
      </c>
      <c r="C415" s="501">
        <v>523.73</v>
      </c>
      <c r="D415" s="502">
        <v>1500</v>
      </c>
      <c r="E415" s="502">
        <v>1800</v>
      </c>
      <c r="F415" s="502">
        <v>1800</v>
      </c>
      <c r="G415" s="501">
        <v>0</v>
      </c>
    </row>
    <row r="416" spans="1:7" ht="15.75" customHeight="1" x14ac:dyDescent="0.2">
      <c r="A416" s="500" t="s">
        <v>840</v>
      </c>
      <c r="B416" s="501" t="s">
        <v>76</v>
      </c>
      <c r="C416" s="502">
        <v>26577.68</v>
      </c>
      <c r="D416" s="502">
        <v>32000</v>
      </c>
      <c r="E416" s="502">
        <v>20000</v>
      </c>
      <c r="F416" s="502">
        <v>20000</v>
      </c>
      <c r="G416" s="501">
        <v>0</v>
      </c>
    </row>
    <row r="417" spans="1:7" ht="15.75" customHeight="1" x14ac:dyDescent="0.2">
      <c r="A417" s="500" t="s">
        <v>841</v>
      </c>
      <c r="B417" s="501" t="s">
        <v>80</v>
      </c>
      <c r="C417" s="502">
        <v>3205.53</v>
      </c>
      <c r="D417" s="502">
        <v>1500</v>
      </c>
      <c r="E417" s="502">
        <v>2000</v>
      </c>
      <c r="F417" s="502">
        <v>2000</v>
      </c>
      <c r="G417" s="501">
        <v>0</v>
      </c>
    </row>
    <row r="418" spans="1:7" ht="15.75" customHeight="1" x14ac:dyDescent="0.2">
      <c r="A418" s="500" t="s">
        <v>2080</v>
      </c>
      <c r="B418" s="501" t="s">
        <v>82</v>
      </c>
      <c r="C418" s="502">
        <v>6587.03</v>
      </c>
      <c r="D418" s="501">
        <v>0</v>
      </c>
      <c r="E418" s="501">
        <v>0</v>
      </c>
      <c r="F418" s="501">
        <v>0</v>
      </c>
      <c r="G418" s="501">
        <v>0</v>
      </c>
    </row>
    <row r="419" spans="1:7" ht="15.75" customHeight="1" x14ac:dyDescent="0.2">
      <c r="A419" s="500" t="s">
        <v>842</v>
      </c>
      <c r="B419" s="501" t="s">
        <v>115</v>
      </c>
      <c r="C419" s="502">
        <v>38323.9</v>
      </c>
      <c r="D419" s="502">
        <v>57500</v>
      </c>
      <c r="E419" s="502">
        <v>29500</v>
      </c>
      <c r="F419" s="502">
        <v>29500</v>
      </c>
      <c r="G419" s="501">
        <v>0</v>
      </c>
    </row>
    <row r="420" spans="1:7" ht="15.75" customHeight="1" x14ac:dyDescent="0.2">
      <c r="A420" s="500" t="s">
        <v>843</v>
      </c>
      <c r="B420" s="501" t="s">
        <v>90</v>
      </c>
      <c r="C420" s="502">
        <v>26921.1</v>
      </c>
      <c r="D420" s="502">
        <v>35000</v>
      </c>
      <c r="E420" s="502">
        <v>25000</v>
      </c>
      <c r="F420" s="502">
        <v>25000</v>
      </c>
      <c r="G420" s="501">
        <v>0</v>
      </c>
    </row>
    <row r="421" spans="1:7" ht="15.75" customHeight="1" x14ac:dyDescent="0.2">
      <c r="A421" s="500" t="s">
        <v>844</v>
      </c>
      <c r="B421" s="501" t="s">
        <v>252</v>
      </c>
      <c r="C421" s="502">
        <v>39407</v>
      </c>
      <c r="D421" s="502">
        <v>62000</v>
      </c>
      <c r="E421" s="502">
        <v>35000</v>
      </c>
      <c r="F421" s="502">
        <v>35000</v>
      </c>
      <c r="G421" s="501">
        <v>0</v>
      </c>
    </row>
    <row r="422" spans="1:7" ht="15.75" customHeight="1" x14ac:dyDescent="0.2">
      <c r="A422" s="500" t="s">
        <v>845</v>
      </c>
      <c r="B422" s="501" t="s">
        <v>468</v>
      </c>
      <c r="C422" s="502">
        <v>8463.9599999999991</v>
      </c>
      <c r="D422" s="502">
        <v>12000</v>
      </c>
      <c r="E422" s="502">
        <v>16500</v>
      </c>
      <c r="F422" s="502">
        <v>16500</v>
      </c>
      <c r="G422" s="501">
        <v>0</v>
      </c>
    </row>
    <row r="423" spans="1:7" ht="15.75" customHeight="1" x14ac:dyDescent="0.2">
      <c r="A423" s="500" t="s">
        <v>855</v>
      </c>
      <c r="B423" s="501" t="s">
        <v>68</v>
      </c>
      <c r="C423" s="502">
        <v>1435487.37</v>
      </c>
      <c r="D423" s="502">
        <v>1941786.5</v>
      </c>
      <c r="E423" s="502">
        <v>2219900</v>
      </c>
      <c r="F423" s="502">
        <v>2219900</v>
      </c>
      <c r="G423" s="501">
        <v>0</v>
      </c>
    </row>
    <row r="424" spans="1:7" ht="15.75" customHeight="1" x14ac:dyDescent="0.2">
      <c r="A424" s="500" t="s">
        <v>856</v>
      </c>
      <c r="B424" s="501" t="s">
        <v>70</v>
      </c>
      <c r="C424" s="502">
        <v>176184.81</v>
      </c>
      <c r="D424" s="502">
        <v>195000</v>
      </c>
      <c r="E424" s="502">
        <v>195000</v>
      </c>
      <c r="F424" s="502">
        <v>195000</v>
      </c>
      <c r="G424" s="501">
        <v>0</v>
      </c>
    </row>
    <row r="425" spans="1:7" ht="15.75" customHeight="1" x14ac:dyDescent="0.2">
      <c r="A425" s="500" t="s">
        <v>857</v>
      </c>
      <c r="B425" s="501" t="s">
        <v>132</v>
      </c>
      <c r="C425" s="502">
        <v>4489.93</v>
      </c>
      <c r="D425" s="502">
        <v>74157</v>
      </c>
      <c r="E425" s="501">
        <v>0</v>
      </c>
      <c r="F425" s="501">
        <v>0</v>
      </c>
      <c r="G425" s="501">
        <v>0</v>
      </c>
    </row>
    <row r="426" spans="1:7" ht="15.75" customHeight="1" x14ac:dyDescent="0.2">
      <c r="A426" s="500" t="s">
        <v>858</v>
      </c>
      <c r="B426" s="501" t="s">
        <v>72</v>
      </c>
      <c r="C426" s="502">
        <v>928210.6</v>
      </c>
      <c r="D426" s="502">
        <v>1482497.5</v>
      </c>
      <c r="E426" s="502">
        <v>1438600</v>
      </c>
      <c r="F426" s="502">
        <v>1438600</v>
      </c>
      <c r="G426" s="501">
        <v>0</v>
      </c>
    </row>
    <row r="427" spans="1:7" ht="15.75" customHeight="1" x14ac:dyDescent="0.2">
      <c r="A427" s="500" t="s">
        <v>859</v>
      </c>
      <c r="B427" s="501" t="s">
        <v>451</v>
      </c>
      <c r="C427" s="502">
        <v>17642.07</v>
      </c>
      <c r="D427" s="502">
        <v>30000</v>
      </c>
      <c r="E427" s="502">
        <v>30000</v>
      </c>
      <c r="F427" s="502">
        <v>30000</v>
      </c>
      <c r="G427" s="501">
        <v>0</v>
      </c>
    </row>
    <row r="428" spans="1:7" ht="15.75" customHeight="1" x14ac:dyDescent="0.2">
      <c r="A428" s="500" t="s">
        <v>860</v>
      </c>
      <c r="B428" s="501" t="s">
        <v>74</v>
      </c>
      <c r="C428" s="502">
        <v>9312.5499999999993</v>
      </c>
      <c r="D428" s="502">
        <v>44000</v>
      </c>
      <c r="E428" s="502">
        <v>41700</v>
      </c>
      <c r="F428" s="502">
        <v>41700</v>
      </c>
      <c r="G428" s="501">
        <v>0</v>
      </c>
    </row>
    <row r="429" spans="1:7" ht="15.75" customHeight="1" x14ac:dyDescent="0.2">
      <c r="A429" s="500" t="s">
        <v>861</v>
      </c>
      <c r="B429" s="501" t="s">
        <v>76</v>
      </c>
      <c r="C429" s="502">
        <v>25500.41</v>
      </c>
      <c r="D429" s="502">
        <v>83000</v>
      </c>
      <c r="E429" s="502">
        <v>50000</v>
      </c>
      <c r="F429" s="502">
        <v>50000</v>
      </c>
      <c r="G429" s="501">
        <v>0</v>
      </c>
    </row>
    <row r="430" spans="1:7" ht="15.75" customHeight="1" x14ac:dyDescent="0.2">
      <c r="A430" s="500" t="s">
        <v>862</v>
      </c>
      <c r="B430" s="501" t="s">
        <v>80</v>
      </c>
      <c r="C430" s="502">
        <v>2401.29</v>
      </c>
      <c r="D430" s="502">
        <v>2500</v>
      </c>
      <c r="E430" s="502">
        <v>4400</v>
      </c>
      <c r="F430" s="502">
        <v>4400</v>
      </c>
      <c r="G430" s="501">
        <v>0</v>
      </c>
    </row>
    <row r="431" spans="1:7" ht="15.75" customHeight="1" x14ac:dyDescent="0.2">
      <c r="A431" s="500" t="s">
        <v>863</v>
      </c>
      <c r="B431" s="501" t="s">
        <v>82</v>
      </c>
      <c r="C431" s="501">
        <v>89.86</v>
      </c>
      <c r="D431" s="501">
        <v>0</v>
      </c>
      <c r="E431" s="501">
        <v>0</v>
      </c>
      <c r="F431" s="501">
        <v>0</v>
      </c>
      <c r="G431" s="501">
        <v>0</v>
      </c>
    </row>
    <row r="432" spans="1:7" ht="15.75" customHeight="1" x14ac:dyDescent="0.2">
      <c r="A432" s="500" t="s">
        <v>864</v>
      </c>
      <c r="B432" s="501" t="s">
        <v>115</v>
      </c>
      <c r="C432" s="502">
        <v>39734.410000000003</v>
      </c>
      <c r="D432" s="502">
        <v>93000</v>
      </c>
      <c r="E432" s="502">
        <v>69000</v>
      </c>
      <c r="F432" s="502">
        <v>69000</v>
      </c>
      <c r="G432" s="501">
        <v>0</v>
      </c>
    </row>
    <row r="433" spans="1:7" ht="15.75" customHeight="1" x14ac:dyDescent="0.2">
      <c r="A433" s="500" t="s">
        <v>865</v>
      </c>
      <c r="B433" s="501" t="s">
        <v>84</v>
      </c>
      <c r="C433" s="501">
        <v>635.19000000000005</v>
      </c>
      <c r="D433" s="501">
        <v>0</v>
      </c>
      <c r="E433" s="501">
        <v>0</v>
      </c>
      <c r="F433" s="501">
        <v>0</v>
      </c>
      <c r="G433" s="501">
        <v>0</v>
      </c>
    </row>
    <row r="434" spans="1:7" ht="15.75" customHeight="1" x14ac:dyDescent="0.2">
      <c r="A434" s="500" t="s">
        <v>866</v>
      </c>
      <c r="B434" s="501" t="s">
        <v>210</v>
      </c>
      <c r="C434" s="501">
        <v>0</v>
      </c>
      <c r="D434" s="501">
        <v>0</v>
      </c>
      <c r="E434" s="501">
        <v>0</v>
      </c>
      <c r="F434" s="501">
        <v>0</v>
      </c>
      <c r="G434" s="501">
        <v>0</v>
      </c>
    </row>
    <row r="435" spans="1:7" ht="15.75" customHeight="1" x14ac:dyDescent="0.2">
      <c r="A435" s="500" t="s">
        <v>867</v>
      </c>
      <c r="B435" s="501" t="s">
        <v>86</v>
      </c>
      <c r="C435" s="501">
        <v>194.77</v>
      </c>
      <c r="D435" s="502">
        <v>7500</v>
      </c>
      <c r="E435" s="502">
        <v>19000</v>
      </c>
      <c r="F435" s="502">
        <v>19000</v>
      </c>
      <c r="G435" s="501">
        <v>0</v>
      </c>
    </row>
    <row r="436" spans="1:7" ht="15.75" customHeight="1" x14ac:dyDescent="0.2">
      <c r="A436" s="500" t="s">
        <v>868</v>
      </c>
      <c r="B436" s="501" t="s">
        <v>90</v>
      </c>
      <c r="C436" s="502">
        <v>23979.040000000001</v>
      </c>
      <c r="D436" s="502">
        <v>47000</v>
      </c>
      <c r="E436" s="502">
        <v>35000</v>
      </c>
      <c r="F436" s="502">
        <v>35000</v>
      </c>
      <c r="G436" s="501">
        <v>0</v>
      </c>
    </row>
    <row r="437" spans="1:7" ht="15.75" customHeight="1" x14ac:dyDescent="0.2">
      <c r="A437" s="500" t="s">
        <v>869</v>
      </c>
      <c r="B437" s="501" t="s">
        <v>252</v>
      </c>
      <c r="C437" s="501">
        <v>0</v>
      </c>
      <c r="D437" s="501">
        <v>0</v>
      </c>
      <c r="E437" s="501">
        <v>0</v>
      </c>
      <c r="F437" s="501">
        <v>0</v>
      </c>
      <c r="G437" s="501">
        <v>0</v>
      </c>
    </row>
    <row r="438" spans="1:7" ht="15.75" customHeight="1" x14ac:dyDescent="0.2">
      <c r="A438" s="500" t="s">
        <v>870</v>
      </c>
      <c r="B438" s="501" t="s">
        <v>871</v>
      </c>
      <c r="C438" s="501">
        <v>0</v>
      </c>
      <c r="D438" s="502">
        <v>9100</v>
      </c>
      <c r="E438" s="502">
        <v>9100</v>
      </c>
      <c r="F438" s="502">
        <v>9100</v>
      </c>
      <c r="G438" s="501">
        <v>0</v>
      </c>
    </row>
    <row r="439" spans="1:7" ht="15.75" customHeight="1" x14ac:dyDescent="0.2">
      <c r="A439" s="500" t="s">
        <v>872</v>
      </c>
      <c r="B439" s="501" t="s">
        <v>502</v>
      </c>
      <c r="C439" s="502">
        <v>8396.98</v>
      </c>
      <c r="D439" s="502">
        <v>16500</v>
      </c>
      <c r="E439" s="502">
        <v>16600</v>
      </c>
      <c r="F439" s="502">
        <v>16600</v>
      </c>
      <c r="G439" s="501">
        <v>0</v>
      </c>
    </row>
    <row r="440" spans="1:7" ht="15.75" customHeight="1" x14ac:dyDescent="0.2">
      <c r="A440" s="500" t="s">
        <v>873</v>
      </c>
      <c r="B440" s="501" t="s">
        <v>92</v>
      </c>
      <c r="C440" s="501">
        <v>51.53</v>
      </c>
      <c r="D440" s="501">
        <v>0</v>
      </c>
      <c r="E440" s="501">
        <v>0</v>
      </c>
      <c r="F440" s="501">
        <v>0</v>
      </c>
      <c r="G440" s="501">
        <v>0</v>
      </c>
    </row>
    <row r="441" spans="1:7" ht="15.75" customHeight="1" x14ac:dyDescent="0.2">
      <c r="A441" s="500" t="s">
        <v>875</v>
      </c>
      <c r="B441" s="501" t="s">
        <v>99</v>
      </c>
      <c r="C441" s="501">
        <v>0</v>
      </c>
      <c r="D441" s="501">
        <v>0</v>
      </c>
      <c r="E441" s="501">
        <v>0</v>
      </c>
      <c r="F441" s="501">
        <v>0</v>
      </c>
      <c r="G441" s="501">
        <v>0</v>
      </c>
    </row>
    <row r="442" spans="1:7" ht="15.75" customHeight="1" x14ac:dyDescent="0.2">
      <c r="A442" s="500" t="s">
        <v>802</v>
      </c>
      <c r="B442" s="501" t="s">
        <v>68</v>
      </c>
      <c r="C442" s="502">
        <v>1176079.8600000001</v>
      </c>
      <c r="D442" s="502">
        <v>1508277</v>
      </c>
      <c r="E442" s="502">
        <v>1758300</v>
      </c>
      <c r="F442" s="502">
        <v>1758300</v>
      </c>
      <c r="G442" s="501">
        <v>0</v>
      </c>
    </row>
    <row r="443" spans="1:7" ht="15.75" customHeight="1" x14ac:dyDescent="0.2">
      <c r="A443" s="500" t="s">
        <v>803</v>
      </c>
      <c r="B443" s="501" t="s">
        <v>70</v>
      </c>
      <c r="C443" s="502">
        <v>21444.49</v>
      </c>
      <c r="D443" s="502">
        <v>105000</v>
      </c>
      <c r="E443" s="502">
        <v>85000</v>
      </c>
      <c r="F443" s="502">
        <v>85000</v>
      </c>
      <c r="G443" s="501">
        <v>0</v>
      </c>
    </row>
    <row r="444" spans="1:7" ht="15.75" customHeight="1" x14ac:dyDescent="0.2">
      <c r="A444" s="500" t="s">
        <v>804</v>
      </c>
      <c r="B444" s="501" t="s">
        <v>132</v>
      </c>
      <c r="C444" s="502">
        <v>135189.01</v>
      </c>
      <c r="D444" s="502">
        <v>151429.5</v>
      </c>
      <c r="E444" s="502">
        <v>307300</v>
      </c>
      <c r="F444" s="502">
        <v>307300</v>
      </c>
      <c r="G444" s="501">
        <v>0</v>
      </c>
    </row>
    <row r="445" spans="1:7" ht="15.75" customHeight="1" x14ac:dyDescent="0.2">
      <c r="A445" s="500" t="s">
        <v>805</v>
      </c>
      <c r="B445" s="501" t="s">
        <v>72</v>
      </c>
      <c r="C445" s="502">
        <v>723384.09</v>
      </c>
      <c r="D445" s="502">
        <v>1108182</v>
      </c>
      <c r="E445" s="502">
        <v>1151900</v>
      </c>
      <c r="F445" s="502">
        <v>1151900</v>
      </c>
      <c r="G445" s="501">
        <v>0</v>
      </c>
    </row>
    <row r="446" spans="1:7" ht="15.75" customHeight="1" x14ac:dyDescent="0.2">
      <c r="A446" s="500" t="s">
        <v>806</v>
      </c>
      <c r="B446" s="501" t="s">
        <v>451</v>
      </c>
      <c r="C446" s="502">
        <v>13459.7</v>
      </c>
      <c r="D446" s="502">
        <v>20000</v>
      </c>
      <c r="E446" s="502">
        <v>20000</v>
      </c>
      <c r="F446" s="502">
        <v>20000</v>
      </c>
      <c r="G446" s="501">
        <v>0</v>
      </c>
    </row>
    <row r="447" spans="1:7" ht="15.75" customHeight="1" x14ac:dyDescent="0.2">
      <c r="A447" s="500" t="s">
        <v>807</v>
      </c>
      <c r="B447" s="501" t="s">
        <v>74</v>
      </c>
      <c r="C447" s="501">
        <v>940.18</v>
      </c>
      <c r="D447" s="502">
        <v>6300</v>
      </c>
      <c r="E447" s="502">
        <v>5050</v>
      </c>
      <c r="F447" s="502">
        <v>5050</v>
      </c>
      <c r="G447" s="501">
        <v>0</v>
      </c>
    </row>
    <row r="448" spans="1:7" ht="15.75" customHeight="1" x14ac:dyDescent="0.2">
      <c r="A448" s="500" t="s">
        <v>808</v>
      </c>
      <c r="B448" s="501" t="s">
        <v>76</v>
      </c>
      <c r="C448" s="502">
        <v>7936.49</v>
      </c>
      <c r="D448" s="502">
        <v>24000</v>
      </c>
      <c r="E448" s="502">
        <v>15000</v>
      </c>
      <c r="F448" s="502">
        <v>15000</v>
      </c>
      <c r="G448" s="501">
        <v>0</v>
      </c>
    </row>
    <row r="449" spans="1:7" ht="15.75" customHeight="1" x14ac:dyDescent="0.2">
      <c r="A449" s="500" t="s">
        <v>809</v>
      </c>
      <c r="B449" s="501" t="s">
        <v>80</v>
      </c>
      <c r="C449" s="501">
        <v>351.78</v>
      </c>
      <c r="D449" s="502">
        <v>1500</v>
      </c>
      <c r="E449" s="502">
        <v>1500</v>
      </c>
      <c r="F449" s="502">
        <v>1500</v>
      </c>
      <c r="G449" s="501">
        <v>0</v>
      </c>
    </row>
    <row r="450" spans="1:7" ht="15.75" customHeight="1" x14ac:dyDescent="0.2">
      <c r="A450" s="500" t="s">
        <v>810</v>
      </c>
      <c r="B450" s="501" t="s">
        <v>82</v>
      </c>
      <c r="C450" s="501">
        <v>93</v>
      </c>
      <c r="D450" s="502">
        <v>2000</v>
      </c>
      <c r="E450" s="502">
        <v>2000</v>
      </c>
      <c r="F450" s="502">
        <v>2000</v>
      </c>
      <c r="G450" s="501">
        <v>0</v>
      </c>
    </row>
    <row r="451" spans="1:7" ht="15.75" customHeight="1" x14ac:dyDescent="0.2">
      <c r="A451" s="500" t="s">
        <v>811</v>
      </c>
      <c r="B451" s="501" t="s">
        <v>115</v>
      </c>
      <c r="C451" s="502">
        <v>12435.16</v>
      </c>
      <c r="D451" s="502">
        <v>65000</v>
      </c>
      <c r="E451" s="502">
        <v>48500</v>
      </c>
      <c r="F451" s="502">
        <v>48500</v>
      </c>
      <c r="G451" s="501">
        <v>0</v>
      </c>
    </row>
    <row r="452" spans="1:7" ht="15.75" customHeight="1" x14ac:dyDescent="0.2">
      <c r="A452" s="500" t="s">
        <v>812</v>
      </c>
      <c r="B452" s="501" t="s">
        <v>813</v>
      </c>
      <c r="C452" s="502">
        <v>6504.16</v>
      </c>
      <c r="D452" s="502">
        <v>24000</v>
      </c>
      <c r="E452" s="502">
        <v>24000</v>
      </c>
      <c r="F452" s="502">
        <v>24000</v>
      </c>
      <c r="G452" s="501">
        <v>0</v>
      </c>
    </row>
    <row r="453" spans="1:7" ht="15.75" customHeight="1" x14ac:dyDescent="0.2">
      <c r="A453" s="500" t="s">
        <v>814</v>
      </c>
      <c r="B453" s="501" t="s">
        <v>84</v>
      </c>
      <c r="C453" s="502">
        <v>5847.07</v>
      </c>
      <c r="D453" s="501">
        <v>0</v>
      </c>
      <c r="E453" s="501">
        <v>0</v>
      </c>
      <c r="F453" s="501">
        <v>0</v>
      </c>
      <c r="G453" s="501">
        <v>0</v>
      </c>
    </row>
    <row r="454" spans="1:7" ht="15.75" customHeight="1" x14ac:dyDescent="0.2">
      <c r="A454" s="500" t="s">
        <v>815</v>
      </c>
      <c r="B454" s="501" t="s">
        <v>210</v>
      </c>
      <c r="C454" s="501">
        <v>0</v>
      </c>
      <c r="D454" s="501">
        <v>0</v>
      </c>
      <c r="E454" s="501">
        <v>0</v>
      </c>
      <c r="F454" s="501">
        <v>0</v>
      </c>
      <c r="G454" s="501">
        <v>0</v>
      </c>
    </row>
    <row r="455" spans="1:7" ht="15.75" customHeight="1" x14ac:dyDescent="0.2">
      <c r="A455" s="500" t="s">
        <v>816</v>
      </c>
      <c r="B455" s="501" t="s">
        <v>88</v>
      </c>
      <c r="C455" s="502">
        <v>18430</v>
      </c>
      <c r="D455" s="502">
        <v>24900</v>
      </c>
      <c r="E455" s="502">
        <v>12000</v>
      </c>
      <c r="F455" s="502">
        <v>12000</v>
      </c>
      <c r="G455" s="501">
        <v>0</v>
      </c>
    </row>
    <row r="456" spans="1:7" ht="15.75" customHeight="1" x14ac:dyDescent="0.2">
      <c r="A456" s="500" t="s">
        <v>817</v>
      </c>
      <c r="B456" s="501" t="s">
        <v>90</v>
      </c>
      <c r="C456" s="502">
        <v>3841.91</v>
      </c>
      <c r="D456" s="502">
        <v>23000</v>
      </c>
      <c r="E456" s="502">
        <v>15000</v>
      </c>
      <c r="F456" s="502">
        <v>15000</v>
      </c>
      <c r="G456" s="501">
        <v>0</v>
      </c>
    </row>
    <row r="457" spans="1:7" ht="15.75" customHeight="1" x14ac:dyDescent="0.2">
      <c r="A457" s="500" t="s">
        <v>818</v>
      </c>
      <c r="B457" s="501" t="s">
        <v>610</v>
      </c>
      <c r="C457" s="501">
        <v>0</v>
      </c>
      <c r="D457" s="501">
        <v>0</v>
      </c>
      <c r="E457" s="501">
        <v>0</v>
      </c>
      <c r="F457" s="501">
        <v>0</v>
      </c>
      <c r="G457" s="501">
        <v>0</v>
      </c>
    </row>
    <row r="458" spans="1:7" ht="15.75" customHeight="1" x14ac:dyDescent="0.2">
      <c r="A458" s="500" t="s">
        <v>819</v>
      </c>
      <c r="B458" s="501" t="s">
        <v>252</v>
      </c>
      <c r="C458" s="502">
        <v>4074.03</v>
      </c>
      <c r="D458" s="502">
        <v>15000</v>
      </c>
      <c r="E458" s="502">
        <v>15000</v>
      </c>
      <c r="F458" s="502">
        <v>15000</v>
      </c>
      <c r="G458" s="501">
        <v>0</v>
      </c>
    </row>
    <row r="459" spans="1:7" ht="15.75" customHeight="1" x14ac:dyDescent="0.2">
      <c r="A459" s="500" t="s">
        <v>820</v>
      </c>
      <c r="B459" s="501" t="s">
        <v>502</v>
      </c>
      <c r="C459" s="502">
        <v>1523.6</v>
      </c>
      <c r="D459" s="502">
        <v>16700</v>
      </c>
      <c r="E459" s="502">
        <v>16700</v>
      </c>
      <c r="F459" s="502">
        <v>16700</v>
      </c>
      <c r="G459" s="501">
        <v>0</v>
      </c>
    </row>
    <row r="460" spans="1:7" ht="15.75" customHeight="1" x14ac:dyDescent="0.2">
      <c r="A460" s="500" t="s">
        <v>821</v>
      </c>
      <c r="B460" s="501" t="s">
        <v>92</v>
      </c>
      <c r="C460" s="501">
        <v>0</v>
      </c>
      <c r="D460" s="501">
        <v>0</v>
      </c>
      <c r="E460" s="501">
        <v>0</v>
      </c>
      <c r="F460" s="501">
        <v>0</v>
      </c>
      <c r="G460" s="501">
        <v>0</v>
      </c>
    </row>
    <row r="461" spans="1:7" ht="15.75" customHeight="1" x14ac:dyDescent="0.2">
      <c r="A461" s="500" t="s">
        <v>575</v>
      </c>
      <c r="B461" s="501" t="s">
        <v>68</v>
      </c>
      <c r="C461" s="502">
        <v>266373.12</v>
      </c>
      <c r="D461" s="502">
        <v>293583</v>
      </c>
      <c r="E461" s="502">
        <v>335600</v>
      </c>
      <c r="F461" s="502">
        <v>335600</v>
      </c>
      <c r="G461" s="501">
        <v>0</v>
      </c>
    </row>
    <row r="462" spans="1:7" ht="15.75" customHeight="1" x14ac:dyDescent="0.2">
      <c r="A462" s="500" t="s">
        <v>576</v>
      </c>
      <c r="B462" s="501" t="s">
        <v>70</v>
      </c>
      <c r="C462" s="502">
        <v>3496.82</v>
      </c>
      <c r="D462" s="502">
        <v>5000</v>
      </c>
      <c r="E462" s="502">
        <v>2500</v>
      </c>
      <c r="F462" s="502">
        <v>2500</v>
      </c>
      <c r="G462" s="501">
        <v>0</v>
      </c>
    </row>
    <row r="463" spans="1:7" ht="15.75" customHeight="1" x14ac:dyDescent="0.2">
      <c r="A463" s="500" t="s">
        <v>577</v>
      </c>
      <c r="B463" s="501" t="s">
        <v>132</v>
      </c>
      <c r="C463" s="502">
        <v>38164.769999999997</v>
      </c>
      <c r="D463" s="502">
        <v>47611</v>
      </c>
      <c r="E463" s="502">
        <v>75400</v>
      </c>
      <c r="F463" s="502">
        <v>75400</v>
      </c>
      <c r="G463" s="501">
        <v>0</v>
      </c>
    </row>
    <row r="464" spans="1:7" ht="15.75" customHeight="1" x14ac:dyDescent="0.2">
      <c r="A464" s="500" t="s">
        <v>578</v>
      </c>
      <c r="B464" s="501" t="s">
        <v>72</v>
      </c>
      <c r="C464" s="502">
        <v>167473.51999999999</v>
      </c>
      <c r="D464" s="502">
        <v>222605</v>
      </c>
      <c r="E464" s="502">
        <v>213500</v>
      </c>
      <c r="F464" s="502">
        <v>213500</v>
      </c>
      <c r="G464" s="501">
        <v>0</v>
      </c>
    </row>
    <row r="465" spans="1:7" ht="15.75" customHeight="1" x14ac:dyDescent="0.2">
      <c r="A465" s="500" t="s">
        <v>579</v>
      </c>
      <c r="B465" s="501" t="s">
        <v>76</v>
      </c>
      <c r="C465" s="502">
        <v>3227.79</v>
      </c>
      <c r="D465" s="502">
        <v>3500</v>
      </c>
      <c r="E465" s="502">
        <v>3500</v>
      </c>
      <c r="F465" s="502">
        <v>3500</v>
      </c>
      <c r="G465" s="501">
        <v>0</v>
      </c>
    </row>
    <row r="466" spans="1:7" ht="15.75" customHeight="1" x14ac:dyDescent="0.2">
      <c r="A466" s="500" t="s">
        <v>580</v>
      </c>
      <c r="B466" s="501" t="s">
        <v>80</v>
      </c>
      <c r="C466" s="502">
        <v>1667.03</v>
      </c>
      <c r="D466" s="502">
        <v>8000</v>
      </c>
      <c r="E466" s="502">
        <v>5000</v>
      </c>
      <c r="F466" s="502">
        <v>5000</v>
      </c>
      <c r="G466" s="501">
        <v>0</v>
      </c>
    </row>
    <row r="467" spans="1:7" ht="15.75" customHeight="1" x14ac:dyDescent="0.2">
      <c r="A467" s="500" t="s">
        <v>581</v>
      </c>
      <c r="B467" s="501" t="s">
        <v>90</v>
      </c>
      <c r="C467" s="502">
        <v>1469.94</v>
      </c>
      <c r="D467" s="502">
        <v>5000</v>
      </c>
      <c r="E467" s="502">
        <v>3000</v>
      </c>
      <c r="F467" s="502">
        <v>3000</v>
      </c>
      <c r="G467" s="501">
        <v>0</v>
      </c>
    </row>
    <row r="468" spans="1:7" ht="15.75" customHeight="1" x14ac:dyDescent="0.2">
      <c r="A468" s="500" t="s">
        <v>582</v>
      </c>
      <c r="B468" s="501" t="s">
        <v>583</v>
      </c>
      <c r="C468" s="502">
        <v>5837.4</v>
      </c>
      <c r="D468" s="502">
        <v>5000</v>
      </c>
      <c r="E468" s="502">
        <v>13050</v>
      </c>
      <c r="F468" s="502">
        <v>13050</v>
      </c>
      <c r="G468" s="501">
        <v>0</v>
      </c>
    </row>
    <row r="469" spans="1:7" ht="15.75" customHeight="1" x14ac:dyDescent="0.2">
      <c r="A469" s="500" t="s">
        <v>584</v>
      </c>
      <c r="B469" s="501" t="s">
        <v>502</v>
      </c>
      <c r="C469" s="502">
        <v>1020.86</v>
      </c>
      <c r="D469" s="502">
        <v>1600</v>
      </c>
      <c r="E469" s="502">
        <v>1600</v>
      </c>
      <c r="F469" s="502">
        <v>1600</v>
      </c>
      <c r="G469" s="501">
        <v>0</v>
      </c>
    </row>
    <row r="470" spans="1:7" ht="15.75" customHeight="1" x14ac:dyDescent="0.2">
      <c r="A470" s="500" t="s">
        <v>588</v>
      </c>
      <c r="B470" s="501" t="s">
        <v>68</v>
      </c>
      <c r="C470" s="502">
        <v>575485.72</v>
      </c>
      <c r="D470" s="502">
        <v>848139.5</v>
      </c>
      <c r="E470" s="502">
        <v>847100</v>
      </c>
      <c r="F470" s="502">
        <v>847100</v>
      </c>
      <c r="G470" s="501">
        <v>0</v>
      </c>
    </row>
    <row r="471" spans="1:7" ht="15.75" customHeight="1" x14ac:dyDescent="0.2">
      <c r="A471" s="500" t="s">
        <v>589</v>
      </c>
      <c r="B471" s="501" t="s">
        <v>70</v>
      </c>
      <c r="C471" s="502">
        <v>10383.83</v>
      </c>
      <c r="D471" s="502">
        <v>15000</v>
      </c>
      <c r="E471" s="502">
        <v>15000</v>
      </c>
      <c r="F471" s="502">
        <v>15000</v>
      </c>
      <c r="G471" s="501">
        <v>0</v>
      </c>
    </row>
    <row r="472" spans="1:7" ht="15.75" customHeight="1" x14ac:dyDescent="0.2">
      <c r="A472" s="500" t="s">
        <v>590</v>
      </c>
      <c r="B472" s="501" t="s">
        <v>132</v>
      </c>
      <c r="C472" s="502">
        <v>29053.4</v>
      </c>
      <c r="D472" s="502">
        <v>36904</v>
      </c>
      <c r="E472" s="502">
        <v>70800</v>
      </c>
      <c r="F472" s="502">
        <v>70800</v>
      </c>
      <c r="G472" s="501">
        <v>0</v>
      </c>
    </row>
    <row r="473" spans="1:7" ht="15.75" customHeight="1" x14ac:dyDescent="0.2">
      <c r="A473" s="500" t="s">
        <v>591</v>
      </c>
      <c r="B473" s="501" t="s">
        <v>72</v>
      </c>
      <c r="C473" s="502">
        <v>325224.90000000002</v>
      </c>
      <c r="D473" s="502">
        <v>507086</v>
      </c>
      <c r="E473" s="502">
        <v>499100</v>
      </c>
      <c r="F473" s="502">
        <v>499100</v>
      </c>
      <c r="G473" s="501">
        <v>0</v>
      </c>
    </row>
    <row r="474" spans="1:7" ht="15.75" customHeight="1" x14ac:dyDescent="0.2">
      <c r="A474" s="500" t="s">
        <v>592</v>
      </c>
      <c r="B474" s="501" t="s">
        <v>74</v>
      </c>
      <c r="C474" s="502">
        <v>28534.35</v>
      </c>
      <c r="D474" s="502">
        <v>74600</v>
      </c>
      <c r="E474" s="502">
        <v>212835.24</v>
      </c>
      <c r="F474" s="502">
        <v>212835.24</v>
      </c>
      <c r="G474" s="501">
        <v>0</v>
      </c>
    </row>
    <row r="475" spans="1:7" ht="15.75" customHeight="1" x14ac:dyDescent="0.2">
      <c r="A475" s="500" t="s">
        <v>593</v>
      </c>
      <c r="B475" s="501" t="s">
        <v>76</v>
      </c>
      <c r="C475" s="502">
        <v>6252.74</v>
      </c>
      <c r="D475" s="502">
        <v>10000</v>
      </c>
      <c r="E475" s="502">
        <v>5500</v>
      </c>
      <c r="F475" s="502">
        <v>5500</v>
      </c>
      <c r="G475" s="501">
        <v>0</v>
      </c>
    </row>
    <row r="476" spans="1:7" ht="15.75" customHeight="1" x14ac:dyDescent="0.2">
      <c r="A476" s="500" t="s">
        <v>594</v>
      </c>
      <c r="B476" s="501" t="s">
        <v>80</v>
      </c>
      <c r="C476" s="502">
        <v>53615.1</v>
      </c>
      <c r="D476" s="502">
        <v>75000</v>
      </c>
      <c r="E476" s="502">
        <v>83250</v>
      </c>
      <c r="F476" s="502">
        <v>83250</v>
      </c>
      <c r="G476" s="501">
        <v>0</v>
      </c>
    </row>
    <row r="477" spans="1:7" ht="15.75" customHeight="1" x14ac:dyDescent="0.2">
      <c r="A477" s="500" t="s">
        <v>595</v>
      </c>
      <c r="B477" s="501" t="s">
        <v>596</v>
      </c>
      <c r="C477" s="502">
        <v>125965.79</v>
      </c>
      <c r="D477" s="502">
        <v>75500</v>
      </c>
      <c r="E477" s="502">
        <v>63500</v>
      </c>
      <c r="F477" s="502">
        <v>63500</v>
      </c>
      <c r="G477" s="501">
        <v>0</v>
      </c>
    </row>
    <row r="478" spans="1:7" ht="15.75" customHeight="1" x14ac:dyDescent="0.2">
      <c r="A478" s="500" t="s">
        <v>597</v>
      </c>
      <c r="B478" s="501" t="s">
        <v>115</v>
      </c>
      <c r="C478" s="502">
        <v>47019.79</v>
      </c>
      <c r="D478" s="502">
        <v>66000</v>
      </c>
      <c r="E478" s="502">
        <v>86100</v>
      </c>
      <c r="F478" s="502">
        <v>86100</v>
      </c>
      <c r="G478" s="501">
        <v>0</v>
      </c>
    </row>
    <row r="479" spans="1:7" ht="15.75" customHeight="1" x14ac:dyDescent="0.2">
      <c r="A479" s="500" t="s">
        <v>598</v>
      </c>
      <c r="B479" s="501" t="s">
        <v>555</v>
      </c>
      <c r="C479" s="502">
        <v>168253.26</v>
      </c>
      <c r="D479" s="502">
        <v>160500</v>
      </c>
      <c r="E479" s="502">
        <v>168500</v>
      </c>
      <c r="F479" s="502">
        <v>168500</v>
      </c>
      <c r="G479" s="501">
        <v>0</v>
      </c>
    </row>
    <row r="480" spans="1:7" ht="15.75" customHeight="1" x14ac:dyDescent="0.2">
      <c r="A480" s="500" t="s">
        <v>599</v>
      </c>
      <c r="B480" s="501" t="s">
        <v>277</v>
      </c>
      <c r="C480" s="502">
        <v>220596.22</v>
      </c>
      <c r="D480" s="502">
        <v>315500</v>
      </c>
      <c r="E480" s="502">
        <v>315000</v>
      </c>
      <c r="F480" s="502">
        <v>315000</v>
      </c>
      <c r="G480" s="501">
        <v>0</v>
      </c>
    </row>
    <row r="481" spans="1:7" ht="15.75" customHeight="1" x14ac:dyDescent="0.2">
      <c r="A481" s="500" t="s">
        <v>600</v>
      </c>
      <c r="B481" s="501" t="s">
        <v>84</v>
      </c>
      <c r="C481" s="501">
        <v>255</v>
      </c>
      <c r="D481" s="501">
        <v>0</v>
      </c>
      <c r="E481" s="501">
        <v>0</v>
      </c>
      <c r="F481" s="501">
        <v>0</v>
      </c>
      <c r="G481" s="501">
        <v>0</v>
      </c>
    </row>
    <row r="482" spans="1:7" ht="15.75" customHeight="1" x14ac:dyDescent="0.2">
      <c r="A482" s="500" t="s">
        <v>601</v>
      </c>
      <c r="B482" s="501" t="s">
        <v>210</v>
      </c>
      <c r="C482" s="502">
        <v>160605.81</v>
      </c>
      <c r="D482" s="502">
        <v>198500</v>
      </c>
      <c r="E482" s="502">
        <v>198500</v>
      </c>
      <c r="F482" s="502">
        <v>198500</v>
      </c>
      <c r="G482" s="501">
        <v>0</v>
      </c>
    </row>
    <row r="483" spans="1:7" ht="15.75" customHeight="1" x14ac:dyDescent="0.2">
      <c r="A483" s="500" t="s">
        <v>602</v>
      </c>
      <c r="B483" s="501" t="s">
        <v>86</v>
      </c>
      <c r="C483" s="502">
        <v>52273.62</v>
      </c>
      <c r="D483" s="502">
        <v>77000</v>
      </c>
      <c r="E483" s="502">
        <v>80800</v>
      </c>
      <c r="F483" s="502">
        <v>80800</v>
      </c>
      <c r="G483" s="501">
        <v>0</v>
      </c>
    </row>
    <row r="484" spans="1:7" ht="15.75" customHeight="1" x14ac:dyDescent="0.2">
      <c r="A484" s="500" t="s">
        <v>603</v>
      </c>
      <c r="B484" s="501" t="s">
        <v>88</v>
      </c>
      <c r="C484" s="502">
        <v>258451.8</v>
      </c>
      <c r="D484" s="502">
        <v>244200</v>
      </c>
      <c r="E484" s="502">
        <v>114108</v>
      </c>
      <c r="F484" s="502">
        <v>114108</v>
      </c>
      <c r="G484" s="501">
        <v>0</v>
      </c>
    </row>
    <row r="485" spans="1:7" ht="15.75" customHeight="1" x14ac:dyDescent="0.2">
      <c r="A485" s="500" t="s">
        <v>604</v>
      </c>
      <c r="B485" s="501" t="s">
        <v>90</v>
      </c>
      <c r="C485" s="502">
        <v>2791.65</v>
      </c>
      <c r="D485" s="502">
        <v>10000</v>
      </c>
      <c r="E485" s="502">
        <v>6000</v>
      </c>
      <c r="F485" s="502">
        <v>6000</v>
      </c>
      <c r="G485" s="501">
        <v>0</v>
      </c>
    </row>
    <row r="486" spans="1:7" ht="15.75" customHeight="1" x14ac:dyDescent="0.2">
      <c r="A486" s="500" t="s">
        <v>605</v>
      </c>
      <c r="B486" s="501" t="s">
        <v>606</v>
      </c>
      <c r="C486" s="501">
        <v>0</v>
      </c>
      <c r="D486" s="501">
        <v>0</v>
      </c>
      <c r="E486" s="502">
        <v>10500</v>
      </c>
      <c r="F486" s="502">
        <v>10500</v>
      </c>
      <c r="G486" s="501">
        <v>0</v>
      </c>
    </row>
    <row r="487" spans="1:7" ht="15.75" customHeight="1" x14ac:dyDescent="0.2">
      <c r="A487" s="500" t="s">
        <v>607</v>
      </c>
      <c r="B487" s="501" t="s">
        <v>608</v>
      </c>
      <c r="C487" s="501">
        <v>0</v>
      </c>
      <c r="D487" s="501">
        <v>0</v>
      </c>
      <c r="E487" s="501">
        <v>0</v>
      </c>
      <c r="F487" s="501">
        <v>0</v>
      </c>
      <c r="G487" s="501">
        <v>0</v>
      </c>
    </row>
    <row r="488" spans="1:7" ht="15.75" customHeight="1" x14ac:dyDescent="0.2">
      <c r="A488" s="500" t="s">
        <v>609</v>
      </c>
      <c r="B488" s="501" t="s">
        <v>610</v>
      </c>
      <c r="C488" s="502">
        <v>1600.46</v>
      </c>
      <c r="D488" s="502">
        <v>7500</v>
      </c>
      <c r="E488" s="502">
        <v>4000</v>
      </c>
      <c r="F488" s="502">
        <v>4000</v>
      </c>
      <c r="G488" s="501">
        <v>0</v>
      </c>
    </row>
    <row r="489" spans="1:7" ht="15.75" customHeight="1" x14ac:dyDescent="0.2">
      <c r="A489" s="500" t="s">
        <v>611</v>
      </c>
      <c r="B489" s="501" t="s">
        <v>583</v>
      </c>
      <c r="C489" s="502">
        <v>88824.14</v>
      </c>
      <c r="D489" s="502">
        <v>89100</v>
      </c>
      <c r="E489" s="502">
        <v>80000</v>
      </c>
      <c r="F489" s="502">
        <v>80000</v>
      </c>
      <c r="G489" s="501">
        <v>0</v>
      </c>
    </row>
    <row r="490" spans="1:7" ht="15.75" customHeight="1" x14ac:dyDescent="0.2">
      <c r="A490" s="500" t="s">
        <v>612</v>
      </c>
      <c r="B490" s="501" t="s">
        <v>502</v>
      </c>
      <c r="C490" s="502">
        <v>130862.44</v>
      </c>
      <c r="D490" s="502">
        <v>173000</v>
      </c>
      <c r="E490" s="502">
        <v>210100</v>
      </c>
      <c r="F490" s="502">
        <v>210100</v>
      </c>
      <c r="G490" s="501">
        <v>0</v>
      </c>
    </row>
    <row r="491" spans="1:7" ht="15.75" customHeight="1" x14ac:dyDescent="0.2">
      <c r="A491" s="500" t="s">
        <v>613</v>
      </c>
      <c r="B491" s="501" t="s">
        <v>92</v>
      </c>
      <c r="C491" s="502">
        <v>205879.08</v>
      </c>
      <c r="D491" s="502">
        <v>165900</v>
      </c>
      <c r="E491" s="502">
        <v>165900</v>
      </c>
      <c r="F491" s="502">
        <v>165900</v>
      </c>
      <c r="G491" s="501">
        <v>0</v>
      </c>
    </row>
    <row r="492" spans="1:7" ht="15.75" customHeight="1" x14ac:dyDescent="0.2">
      <c r="A492" s="500" t="s">
        <v>2081</v>
      </c>
      <c r="B492" s="501" t="s">
        <v>617</v>
      </c>
      <c r="C492" s="501">
        <v>0</v>
      </c>
      <c r="D492" s="501">
        <v>0</v>
      </c>
      <c r="E492" s="501">
        <v>0</v>
      </c>
      <c r="F492" s="501">
        <v>0</v>
      </c>
      <c r="G492" s="501">
        <v>0</v>
      </c>
    </row>
    <row r="493" spans="1:7" ht="15.75" customHeight="1" x14ac:dyDescent="0.2">
      <c r="A493" s="500" t="s">
        <v>2082</v>
      </c>
      <c r="B493" s="501" t="s">
        <v>99</v>
      </c>
      <c r="C493" s="501">
        <v>0</v>
      </c>
      <c r="D493" s="501">
        <v>0</v>
      </c>
      <c r="E493" s="501">
        <v>0</v>
      </c>
      <c r="F493" s="501">
        <v>0</v>
      </c>
      <c r="G493" s="501">
        <v>0</v>
      </c>
    </row>
    <row r="494" spans="1:7" ht="15.75" customHeight="1" x14ac:dyDescent="0.2">
      <c r="A494" s="500" t="s">
        <v>628</v>
      </c>
      <c r="B494" s="501" t="s">
        <v>74</v>
      </c>
      <c r="C494" s="501">
        <v>787.14</v>
      </c>
      <c r="D494" s="502">
        <v>5600</v>
      </c>
      <c r="E494" s="502">
        <v>6000</v>
      </c>
      <c r="F494" s="502">
        <v>6000</v>
      </c>
      <c r="G494" s="501">
        <v>0</v>
      </c>
    </row>
    <row r="495" spans="1:7" ht="15.75" customHeight="1" x14ac:dyDescent="0.2">
      <c r="A495" s="500" t="s">
        <v>629</v>
      </c>
      <c r="B495" s="501" t="s">
        <v>76</v>
      </c>
      <c r="C495" s="502">
        <v>4536.21</v>
      </c>
      <c r="D495" s="502">
        <v>6000</v>
      </c>
      <c r="E495" s="502">
        <v>6000</v>
      </c>
      <c r="F495" s="502">
        <v>6000</v>
      </c>
      <c r="G495" s="501">
        <v>0</v>
      </c>
    </row>
    <row r="496" spans="1:7" ht="15.75" customHeight="1" x14ac:dyDescent="0.2">
      <c r="A496" s="500" t="s">
        <v>630</v>
      </c>
      <c r="B496" s="501" t="s">
        <v>80</v>
      </c>
      <c r="C496" s="501">
        <v>0</v>
      </c>
      <c r="D496" s="501">
        <v>500</v>
      </c>
      <c r="E496" s="501">
        <v>750</v>
      </c>
      <c r="F496" s="501">
        <v>750</v>
      </c>
      <c r="G496" s="501">
        <v>0</v>
      </c>
    </row>
    <row r="497" spans="1:7" ht="15.75" customHeight="1" x14ac:dyDescent="0.2">
      <c r="A497" s="500" t="s">
        <v>631</v>
      </c>
      <c r="B497" s="501" t="s">
        <v>82</v>
      </c>
      <c r="C497" s="502">
        <v>9370.16</v>
      </c>
      <c r="D497" s="502">
        <v>12000</v>
      </c>
      <c r="E497" s="502">
        <v>14000</v>
      </c>
      <c r="F497" s="502">
        <v>14000</v>
      </c>
      <c r="G497" s="501">
        <v>0</v>
      </c>
    </row>
    <row r="498" spans="1:7" ht="15.75" customHeight="1" x14ac:dyDescent="0.2">
      <c r="A498" s="500" t="s">
        <v>632</v>
      </c>
      <c r="B498" s="501" t="s">
        <v>115</v>
      </c>
      <c r="C498" s="502">
        <v>9211.3799999999992</v>
      </c>
      <c r="D498" s="502">
        <v>30500</v>
      </c>
      <c r="E498" s="502">
        <v>29000</v>
      </c>
      <c r="F498" s="502">
        <v>29000</v>
      </c>
      <c r="G498" s="501">
        <v>0</v>
      </c>
    </row>
    <row r="499" spans="1:7" ht="15.75" customHeight="1" x14ac:dyDescent="0.2">
      <c r="A499" s="500" t="s">
        <v>633</v>
      </c>
      <c r="B499" s="501" t="s">
        <v>277</v>
      </c>
      <c r="C499" s="501">
        <v>0</v>
      </c>
      <c r="D499" s="501">
        <v>0</v>
      </c>
      <c r="E499" s="501">
        <v>0</v>
      </c>
      <c r="F499" s="501">
        <v>0</v>
      </c>
      <c r="G499" s="501">
        <v>0</v>
      </c>
    </row>
    <row r="500" spans="1:7" ht="15.75" customHeight="1" x14ac:dyDescent="0.2">
      <c r="A500" s="500" t="s">
        <v>634</v>
      </c>
      <c r="B500" s="501" t="s">
        <v>84</v>
      </c>
      <c r="C500" s="501">
        <v>305.73</v>
      </c>
      <c r="D500" s="502">
        <v>2500</v>
      </c>
      <c r="E500" s="501">
        <v>0</v>
      </c>
      <c r="F500" s="501">
        <v>0</v>
      </c>
      <c r="G500" s="501">
        <v>0</v>
      </c>
    </row>
    <row r="501" spans="1:7" ht="15.75" customHeight="1" x14ac:dyDescent="0.2">
      <c r="A501" s="500" t="s">
        <v>635</v>
      </c>
      <c r="B501" s="501" t="s">
        <v>90</v>
      </c>
      <c r="C501" s="502">
        <v>3775.36</v>
      </c>
      <c r="D501" s="502">
        <v>10000</v>
      </c>
      <c r="E501" s="502">
        <v>12000</v>
      </c>
      <c r="F501" s="502">
        <v>12000</v>
      </c>
      <c r="G501" s="501">
        <v>0</v>
      </c>
    </row>
    <row r="502" spans="1:7" ht="15.75" customHeight="1" x14ac:dyDescent="0.2">
      <c r="A502" s="500" t="s">
        <v>636</v>
      </c>
      <c r="B502" s="501" t="s">
        <v>252</v>
      </c>
      <c r="C502" s="502">
        <v>1388.31</v>
      </c>
      <c r="D502" s="502">
        <v>5500</v>
      </c>
      <c r="E502" s="502">
        <v>5500</v>
      </c>
      <c r="F502" s="502">
        <v>5500</v>
      </c>
      <c r="G502" s="501">
        <v>0</v>
      </c>
    </row>
    <row r="503" spans="1:7" ht="15.75" customHeight="1" x14ac:dyDescent="0.2">
      <c r="A503" s="500" t="s">
        <v>637</v>
      </c>
      <c r="B503" s="501" t="s">
        <v>638</v>
      </c>
      <c r="C503" s="501">
        <v>0</v>
      </c>
      <c r="D503" s="502">
        <v>1000</v>
      </c>
      <c r="E503" s="501">
        <v>0</v>
      </c>
      <c r="F503" s="501">
        <v>0</v>
      </c>
      <c r="G503" s="501">
        <v>0</v>
      </c>
    </row>
    <row r="504" spans="1:7" ht="15.75" customHeight="1" x14ac:dyDescent="0.2">
      <c r="A504" s="500" t="s">
        <v>639</v>
      </c>
      <c r="B504" s="501" t="s">
        <v>502</v>
      </c>
      <c r="C504" s="501">
        <v>285.8</v>
      </c>
      <c r="D504" s="502">
        <v>3500</v>
      </c>
      <c r="E504" s="502">
        <v>3500</v>
      </c>
      <c r="F504" s="502">
        <v>3500</v>
      </c>
      <c r="G504" s="501">
        <v>0</v>
      </c>
    </row>
    <row r="505" spans="1:7" ht="15.75" customHeight="1" x14ac:dyDescent="0.2">
      <c r="A505" s="500" t="s">
        <v>640</v>
      </c>
      <c r="B505" s="501" t="s">
        <v>92</v>
      </c>
      <c r="C505" s="501">
        <v>0</v>
      </c>
      <c r="D505" s="501">
        <v>0</v>
      </c>
      <c r="E505" s="501">
        <v>0</v>
      </c>
      <c r="F505" s="501">
        <v>0</v>
      </c>
      <c r="G505" s="501">
        <v>0</v>
      </c>
    </row>
    <row r="506" spans="1:7" ht="15.75" customHeight="1" x14ac:dyDescent="0.2">
      <c r="A506" s="500" t="s">
        <v>641</v>
      </c>
      <c r="B506" s="501" t="s">
        <v>180</v>
      </c>
      <c r="C506" s="501">
        <v>0</v>
      </c>
      <c r="D506" s="501">
        <v>0</v>
      </c>
      <c r="E506" s="501">
        <v>0</v>
      </c>
      <c r="F506" s="501">
        <v>0</v>
      </c>
      <c r="G506" s="501">
        <v>0</v>
      </c>
    </row>
    <row r="507" spans="1:7" ht="15.75" customHeight="1" x14ac:dyDescent="0.2">
      <c r="A507" s="500" t="s">
        <v>642</v>
      </c>
      <c r="B507" s="501" t="s">
        <v>99</v>
      </c>
      <c r="C507" s="501">
        <v>0</v>
      </c>
      <c r="D507" s="501">
        <v>0</v>
      </c>
      <c r="E507" s="501">
        <v>0</v>
      </c>
      <c r="F507" s="501">
        <v>0</v>
      </c>
      <c r="G507" s="501">
        <v>0</v>
      </c>
    </row>
    <row r="508" spans="1:7" ht="15.75" customHeight="1" x14ac:dyDescent="0.2">
      <c r="A508" s="500" t="s">
        <v>653</v>
      </c>
      <c r="B508" s="501" t="s">
        <v>74</v>
      </c>
      <c r="C508" s="501">
        <v>-205</v>
      </c>
      <c r="D508" s="502">
        <v>1200</v>
      </c>
      <c r="E508" s="502">
        <v>1500</v>
      </c>
      <c r="F508" s="502">
        <v>1500</v>
      </c>
      <c r="G508" s="501">
        <v>0</v>
      </c>
    </row>
    <row r="509" spans="1:7" ht="15.75" customHeight="1" x14ac:dyDescent="0.2">
      <c r="A509" s="500" t="s">
        <v>654</v>
      </c>
      <c r="B509" s="501" t="s">
        <v>82</v>
      </c>
      <c r="C509" s="501">
        <v>0</v>
      </c>
      <c r="D509" s="502">
        <v>2000</v>
      </c>
      <c r="E509" s="501">
        <v>0</v>
      </c>
      <c r="F509" s="501">
        <v>0</v>
      </c>
      <c r="G509" s="501">
        <v>0</v>
      </c>
    </row>
    <row r="510" spans="1:7" ht="15.75" customHeight="1" x14ac:dyDescent="0.2">
      <c r="A510" s="500" t="s">
        <v>655</v>
      </c>
      <c r="B510" s="501" t="s">
        <v>115</v>
      </c>
      <c r="C510" s="501">
        <v>0</v>
      </c>
      <c r="D510" s="502">
        <v>5000</v>
      </c>
      <c r="E510" s="502">
        <v>5000</v>
      </c>
      <c r="F510" s="502">
        <v>5000</v>
      </c>
      <c r="G510" s="501">
        <v>0</v>
      </c>
    </row>
    <row r="511" spans="1:7" ht="15.75" customHeight="1" x14ac:dyDescent="0.2">
      <c r="A511" s="500" t="s">
        <v>656</v>
      </c>
      <c r="B511" s="501" t="s">
        <v>90</v>
      </c>
      <c r="C511" s="501">
        <v>0</v>
      </c>
      <c r="D511" s="502">
        <v>1000</v>
      </c>
      <c r="E511" s="502">
        <v>1200</v>
      </c>
      <c r="F511" s="502">
        <v>1200</v>
      </c>
      <c r="G511" s="501">
        <v>0</v>
      </c>
    </row>
    <row r="512" spans="1:7" ht="15.75" customHeight="1" x14ac:dyDescent="0.2">
      <c r="A512" s="500" t="s">
        <v>657</v>
      </c>
      <c r="B512" s="501" t="s">
        <v>502</v>
      </c>
      <c r="C512" s="501">
        <v>964</v>
      </c>
      <c r="D512" s="502">
        <v>4500</v>
      </c>
      <c r="E512" s="502">
        <v>4500</v>
      </c>
      <c r="F512" s="502">
        <v>4500</v>
      </c>
      <c r="G512" s="501">
        <v>0</v>
      </c>
    </row>
    <row r="513" spans="1:7" ht="15.75" customHeight="1" x14ac:dyDescent="0.2">
      <c r="A513" s="500" t="s">
        <v>658</v>
      </c>
      <c r="B513" s="501" t="s">
        <v>659</v>
      </c>
      <c r="C513" s="502">
        <v>15158.23</v>
      </c>
      <c r="D513" s="502">
        <v>18000</v>
      </c>
      <c r="E513" s="502">
        <v>18000</v>
      </c>
      <c r="F513" s="502">
        <v>18000</v>
      </c>
      <c r="G513" s="501">
        <v>0</v>
      </c>
    </row>
    <row r="514" spans="1:7" ht="15.75" customHeight="1" x14ac:dyDescent="0.2">
      <c r="A514" s="500" t="s">
        <v>664</v>
      </c>
      <c r="B514" s="501" t="s">
        <v>68</v>
      </c>
      <c r="C514" s="502">
        <v>3644863.85</v>
      </c>
      <c r="D514" s="502">
        <v>4899000.5</v>
      </c>
      <c r="E514" s="502">
        <v>5672600</v>
      </c>
      <c r="F514" s="502">
        <v>5672600</v>
      </c>
      <c r="G514" s="501">
        <v>0</v>
      </c>
    </row>
    <row r="515" spans="1:7" ht="15.75" customHeight="1" x14ac:dyDescent="0.2">
      <c r="A515" s="500" t="s">
        <v>665</v>
      </c>
      <c r="B515" s="501" t="s">
        <v>70</v>
      </c>
      <c r="C515" s="502">
        <v>123782.65</v>
      </c>
      <c r="D515" s="502">
        <v>300000</v>
      </c>
      <c r="E515" s="502">
        <v>150000</v>
      </c>
      <c r="F515" s="502">
        <v>150000</v>
      </c>
      <c r="G515" s="501">
        <v>0</v>
      </c>
    </row>
    <row r="516" spans="1:7" ht="15.75" customHeight="1" x14ac:dyDescent="0.2">
      <c r="A516" s="500" t="s">
        <v>666</v>
      </c>
      <c r="B516" s="501" t="s">
        <v>132</v>
      </c>
      <c r="C516" s="501">
        <v>0</v>
      </c>
      <c r="D516" s="501">
        <v>0</v>
      </c>
      <c r="E516" s="501">
        <v>0</v>
      </c>
      <c r="F516" s="501">
        <v>0</v>
      </c>
      <c r="G516" s="501">
        <v>0</v>
      </c>
    </row>
    <row r="517" spans="1:7" ht="15.75" customHeight="1" x14ac:dyDescent="0.2">
      <c r="A517" s="500" t="s">
        <v>667</v>
      </c>
      <c r="B517" s="501" t="s">
        <v>72</v>
      </c>
      <c r="C517" s="502">
        <v>2209623.5299999998</v>
      </c>
      <c r="D517" s="502">
        <v>3628142</v>
      </c>
      <c r="E517" s="502">
        <v>3450500</v>
      </c>
      <c r="F517" s="502">
        <v>3450500</v>
      </c>
      <c r="G517" s="501">
        <v>0</v>
      </c>
    </row>
    <row r="518" spans="1:7" ht="15.75" customHeight="1" x14ac:dyDescent="0.2">
      <c r="A518" s="500" t="s">
        <v>668</v>
      </c>
      <c r="B518" s="501" t="s">
        <v>451</v>
      </c>
      <c r="C518" s="502">
        <v>21031.32</v>
      </c>
      <c r="D518" s="502">
        <v>16000</v>
      </c>
      <c r="E518" s="502">
        <v>28000</v>
      </c>
      <c r="F518" s="502">
        <v>28000</v>
      </c>
      <c r="G518" s="501">
        <v>0</v>
      </c>
    </row>
    <row r="519" spans="1:7" ht="15.75" customHeight="1" x14ac:dyDescent="0.2">
      <c r="A519" s="500" t="s">
        <v>669</v>
      </c>
      <c r="B519" s="501" t="s">
        <v>670</v>
      </c>
      <c r="C519" s="502">
        <v>185075.11</v>
      </c>
      <c r="D519" s="502">
        <v>268900</v>
      </c>
      <c r="E519" s="502">
        <v>259400</v>
      </c>
      <c r="F519" s="502">
        <v>259400</v>
      </c>
      <c r="G519" s="501">
        <v>0</v>
      </c>
    </row>
    <row r="520" spans="1:7" ht="15.75" customHeight="1" x14ac:dyDescent="0.2">
      <c r="A520" s="500" t="s">
        <v>671</v>
      </c>
      <c r="B520" s="501" t="s">
        <v>74</v>
      </c>
      <c r="C520" s="501">
        <v>0</v>
      </c>
      <c r="D520" s="501">
        <v>0</v>
      </c>
      <c r="E520" s="501">
        <v>0</v>
      </c>
      <c r="F520" s="501">
        <v>0</v>
      </c>
      <c r="G520" s="501">
        <v>0</v>
      </c>
    </row>
    <row r="521" spans="1:7" ht="15.75" customHeight="1" x14ac:dyDescent="0.2">
      <c r="A521" s="500" t="s">
        <v>672</v>
      </c>
      <c r="B521" s="501" t="s">
        <v>76</v>
      </c>
      <c r="C521" s="502">
        <v>27084.23</v>
      </c>
      <c r="D521" s="502">
        <v>30000</v>
      </c>
      <c r="E521" s="502">
        <v>30000</v>
      </c>
      <c r="F521" s="502">
        <v>30000</v>
      </c>
      <c r="G521" s="501">
        <v>0</v>
      </c>
    </row>
    <row r="522" spans="1:7" ht="15.75" customHeight="1" x14ac:dyDescent="0.2">
      <c r="A522" s="500" t="s">
        <v>673</v>
      </c>
      <c r="B522" s="501" t="s">
        <v>674</v>
      </c>
      <c r="C522" s="501">
        <v>-440.59</v>
      </c>
      <c r="D522" s="502">
        <v>4100</v>
      </c>
      <c r="E522" s="502">
        <v>4100</v>
      </c>
      <c r="F522" s="502">
        <v>4100</v>
      </c>
      <c r="G522" s="501">
        <v>0</v>
      </c>
    </row>
    <row r="523" spans="1:7" ht="15.75" customHeight="1" x14ac:dyDescent="0.2">
      <c r="A523" s="500" t="s">
        <v>675</v>
      </c>
      <c r="B523" s="501" t="s">
        <v>80</v>
      </c>
      <c r="C523" s="501">
        <v>8.69</v>
      </c>
      <c r="D523" s="501">
        <v>0</v>
      </c>
      <c r="E523" s="501">
        <v>0</v>
      </c>
      <c r="F523" s="501">
        <v>0</v>
      </c>
      <c r="G523" s="501">
        <v>0</v>
      </c>
    </row>
    <row r="524" spans="1:7" ht="15.75" customHeight="1" x14ac:dyDescent="0.2">
      <c r="A524" s="500" t="s">
        <v>676</v>
      </c>
      <c r="B524" s="501" t="s">
        <v>82</v>
      </c>
      <c r="C524" s="501">
        <v>0</v>
      </c>
      <c r="D524" s="501">
        <v>0</v>
      </c>
      <c r="E524" s="501">
        <v>0</v>
      </c>
      <c r="F524" s="501">
        <v>0</v>
      </c>
      <c r="G524" s="501">
        <v>0</v>
      </c>
    </row>
    <row r="525" spans="1:7" ht="15.75" customHeight="1" x14ac:dyDescent="0.2">
      <c r="A525" s="500" t="s">
        <v>677</v>
      </c>
      <c r="B525" s="501" t="s">
        <v>115</v>
      </c>
      <c r="C525" s="502">
        <v>21055.02</v>
      </c>
      <c r="D525" s="502">
        <v>50000</v>
      </c>
      <c r="E525" s="502">
        <v>38500</v>
      </c>
      <c r="F525" s="502">
        <v>38500</v>
      </c>
      <c r="G525" s="501">
        <v>0</v>
      </c>
    </row>
    <row r="526" spans="1:7" ht="15.75" customHeight="1" x14ac:dyDescent="0.2">
      <c r="A526" s="500" t="s">
        <v>678</v>
      </c>
      <c r="B526" s="501" t="s">
        <v>679</v>
      </c>
      <c r="C526" s="501">
        <v>748.49</v>
      </c>
      <c r="D526" s="502">
        <v>5400</v>
      </c>
      <c r="E526" s="502">
        <v>5400</v>
      </c>
      <c r="F526" s="502">
        <v>5400</v>
      </c>
      <c r="G526" s="501">
        <v>0</v>
      </c>
    </row>
    <row r="527" spans="1:7" ht="15.75" customHeight="1" x14ac:dyDescent="0.2">
      <c r="A527" s="500" t="s">
        <v>680</v>
      </c>
      <c r="B527" s="501" t="s">
        <v>277</v>
      </c>
      <c r="C527" s="501">
        <v>0</v>
      </c>
      <c r="D527" s="501">
        <v>0</v>
      </c>
      <c r="E527" s="501">
        <v>0</v>
      </c>
      <c r="F527" s="501">
        <v>0</v>
      </c>
      <c r="G527" s="501">
        <v>0</v>
      </c>
    </row>
    <row r="528" spans="1:7" ht="15.75" customHeight="1" x14ac:dyDescent="0.2">
      <c r="A528" s="500" t="s">
        <v>681</v>
      </c>
      <c r="B528" s="501" t="s">
        <v>84</v>
      </c>
      <c r="C528" s="501">
        <v>492.82</v>
      </c>
      <c r="D528" s="501">
        <v>0</v>
      </c>
      <c r="E528" s="501">
        <v>0</v>
      </c>
      <c r="F528" s="501">
        <v>0</v>
      </c>
      <c r="G528" s="501">
        <v>0</v>
      </c>
    </row>
    <row r="529" spans="1:7" ht="15.75" customHeight="1" x14ac:dyDescent="0.2">
      <c r="A529" s="500" t="s">
        <v>682</v>
      </c>
      <c r="B529" s="501" t="s">
        <v>210</v>
      </c>
      <c r="C529" s="501">
        <v>0</v>
      </c>
      <c r="D529" s="501">
        <v>0</v>
      </c>
      <c r="E529" s="501">
        <v>0</v>
      </c>
      <c r="F529" s="501">
        <v>0</v>
      </c>
      <c r="G529" s="501">
        <v>0</v>
      </c>
    </row>
    <row r="530" spans="1:7" ht="15.75" customHeight="1" x14ac:dyDescent="0.2">
      <c r="A530" s="500" t="s">
        <v>683</v>
      </c>
      <c r="B530" s="501" t="s">
        <v>86</v>
      </c>
      <c r="C530" s="502">
        <v>1237637.5</v>
      </c>
      <c r="D530" s="502">
        <v>1552645</v>
      </c>
      <c r="E530" s="502">
        <v>1601224</v>
      </c>
      <c r="F530" s="502">
        <v>1601224</v>
      </c>
      <c r="G530" s="501">
        <v>0</v>
      </c>
    </row>
    <row r="531" spans="1:7" ht="15.75" customHeight="1" x14ac:dyDescent="0.2">
      <c r="A531" s="500" t="s">
        <v>684</v>
      </c>
      <c r="B531" s="501" t="s">
        <v>88</v>
      </c>
      <c r="C531" s="501">
        <v>0</v>
      </c>
      <c r="D531" s="501">
        <v>0</v>
      </c>
      <c r="E531" s="501">
        <v>0</v>
      </c>
      <c r="F531" s="501">
        <v>0</v>
      </c>
      <c r="G531" s="501">
        <v>0</v>
      </c>
    </row>
    <row r="532" spans="1:7" ht="15.75" customHeight="1" x14ac:dyDescent="0.2">
      <c r="A532" s="500" t="s">
        <v>685</v>
      </c>
      <c r="B532" s="501" t="s">
        <v>686</v>
      </c>
      <c r="C532" s="502">
        <v>160305.60000000001</v>
      </c>
      <c r="D532" s="502">
        <v>241000</v>
      </c>
      <c r="E532" s="502">
        <v>250040</v>
      </c>
      <c r="F532" s="502">
        <v>250040</v>
      </c>
      <c r="G532" s="501">
        <v>0</v>
      </c>
    </row>
    <row r="533" spans="1:7" ht="15.75" customHeight="1" x14ac:dyDescent="0.2">
      <c r="A533" s="500" t="s">
        <v>687</v>
      </c>
      <c r="B533" s="501" t="s">
        <v>688</v>
      </c>
      <c r="C533" s="502">
        <v>11277.05</v>
      </c>
      <c r="D533" s="502">
        <v>36100</v>
      </c>
      <c r="E533" s="502">
        <v>36100</v>
      </c>
      <c r="F533" s="502">
        <v>36100</v>
      </c>
      <c r="G533" s="501">
        <v>0</v>
      </c>
    </row>
    <row r="534" spans="1:7" ht="15.75" customHeight="1" x14ac:dyDescent="0.2">
      <c r="A534" s="500" t="s">
        <v>689</v>
      </c>
      <c r="B534" s="501" t="s">
        <v>90</v>
      </c>
      <c r="C534" s="502">
        <v>13921.06</v>
      </c>
      <c r="D534" s="502">
        <v>45000</v>
      </c>
      <c r="E534" s="502">
        <v>25000</v>
      </c>
      <c r="F534" s="502">
        <v>25000</v>
      </c>
      <c r="G534" s="501">
        <v>0</v>
      </c>
    </row>
    <row r="535" spans="1:7" ht="15.75" customHeight="1" x14ac:dyDescent="0.2">
      <c r="A535" s="500" t="s">
        <v>690</v>
      </c>
      <c r="B535" s="501" t="s">
        <v>606</v>
      </c>
      <c r="C535" s="502">
        <v>10418.41</v>
      </c>
      <c r="D535" s="502">
        <v>8300</v>
      </c>
      <c r="E535" s="501">
        <v>0</v>
      </c>
      <c r="F535" s="501">
        <v>0</v>
      </c>
      <c r="G535" s="501">
        <v>0</v>
      </c>
    </row>
    <row r="536" spans="1:7" ht="15.75" customHeight="1" x14ac:dyDescent="0.2">
      <c r="A536" s="500" t="s">
        <v>691</v>
      </c>
      <c r="B536" s="501" t="s">
        <v>608</v>
      </c>
      <c r="C536" s="502">
        <v>387408.2</v>
      </c>
      <c r="D536" s="502">
        <v>496460</v>
      </c>
      <c r="E536" s="502">
        <v>511354</v>
      </c>
      <c r="F536" s="502">
        <v>511354</v>
      </c>
      <c r="G536" s="501">
        <v>0</v>
      </c>
    </row>
    <row r="537" spans="1:7" ht="15.75" customHeight="1" x14ac:dyDescent="0.2">
      <c r="A537" s="500" t="s">
        <v>692</v>
      </c>
      <c r="B537" s="501" t="s">
        <v>693</v>
      </c>
      <c r="C537" s="502">
        <v>4018.73</v>
      </c>
      <c r="D537" s="502">
        <v>10900</v>
      </c>
      <c r="E537" s="502">
        <v>10000</v>
      </c>
      <c r="F537" s="502">
        <v>10000</v>
      </c>
      <c r="G537" s="501">
        <v>0</v>
      </c>
    </row>
    <row r="538" spans="1:7" ht="15.75" customHeight="1" x14ac:dyDescent="0.2">
      <c r="A538" s="500" t="s">
        <v>694</v>
      </c>
      <c r="B538" s="501" t="s">
        <v>502</v>
      </c>
      <c r="C538" s="501">
        <v>642</v>
      </c>
      <c r="D538" s="501">
        <v>0</v>
      </c>
      <c r="E538" s="502">
        <v>5000</v>
      </c>
      <c r="F538" s="502">
        <v>5000</v>
      </c>
      <c r="G538" s="501">
        <v>0</v>
      </c>
    </row>
    <row r="539" spans="1:7" ht="15.75" customHeight="1" x14ac:dyDescent="0.2">
      <c r="A539" s="500" t="s">
        <v>695</v>
      </c>
      <c r="B539" s="501" t="s">
        <v>92</v>
      </c>
      <c r="C539" s="501">
        <v>0</v>
      </c>
      <c r="D539" s="501">
        <v>0</v>
      </c>
      <c r="E539" s="501">
        <v>0</v>
      </c>
      <c r="F539" s="501">
        <v>0</v>
      </c>
      <c r="G539" s="501">
        <v>0</v>
      </c>
    </row>
    <row r="540" spans="1:7" ht="15.75" customHeight="1" x14ac:dyDescent="0.2">
      <c r="A540" s="500" t="s">
        <v>697</v>
      </c>
      <c r="B540" s="501" t="s">
        <v>180</v>
      </c>
      <c r="C540" s="501">
        <v>0</v>
      </c>
      <c r="D540" s="501">
        <v>0</v>
      </c>
      <c r="E540" s="501">
        <v>0</v>
      </c>
      <c r="F540" s="501">
        <v>0</v>
      </c>
      <c r="G540" s="501">
        <v>0</v>
      </c>
    </row>
    <row r="541" spans="1:7" ht="15.75" customHeight="1" x14ac:dyDescent="0.2">
      <c r="A541" s="500" t="s">
        <v>698</v>
      </c>
      <c r="B541" s="501" t="s">
        <v>99</v>
      </c>
      <c r="C541" s="501">
        <v>0</v>
      </c>
      <c r="D541" s="501">
        <v>0</v>
      </c>
      <c r="E541" s="501">
        <v>0</v>
      </c>
      <c r="F541" s="501">
        <v>0</v>
      </c>
      <c r="G541" s="501">
        <v>0</v>
      </c>
    </row>
    <row r="542" spans="1:7" ht="15.75" customHeight="1" x14ac:dyDescent="0.2">
      <c r="A542" s="500" t="s">
        <v>731</v>
      </c>
      <c r="B542" s="501" t="s">
        <v>115</v>
      </c>
      <c r="C542" s="502">
        <v>19221.04</v>
      </c>
      <c r="D542" s="502">
        <v>30000</v>
      </c>
      <c r="E542" s="502">
        <v>43000</v>
      </c>
      <c r="F542" s="502">
        <v>43000</v>
      </c>
      <c r="G542" s="501">
        <v>0</v>
      </c>
    </row>
    <row r="543" spans="1:7" ht="15.75" customHeight="1" x14ac:dyDescent="0.2">
      <c r="A543" s="500" t="s">
        <v>732</v>
      </c>
      <c r="B543" s="501" t="s">
        <v>84</v>
      </c>
      <c r="C543" s="502">
        <v>78090.03</v>
      </c>
      <c r="D543" s="502">
        <v>153120</v>
      </c>
      <c r="E543" s="502">
        <v>153120</v>
      </c>
      <c r="F543" s="502">
        <v>153120</v>
      </c>
      <c r="G543" s="501">
        <v>0</v>
      </c>
    </row>
    <row r="544" spans="1:7" ht="15.75" customHeight="1" x14ac:dyDescent="0.2">
      <c r="A544" s="500" t="s">
        <v>733</v>
      </c>
      <c r="B544" s="501" t="s">
        <v>88</v>
      </c>
      <c r="C544" s="502">
        <v>5346.5</v>
      </c>
      <c r="D544" s="502">
        <v>37500</v>
      </c>
      <c r="E544" s="502">
        <v>24300</v>
      </c>
      <c r="F544" s="502">
        <v>24300</v>
      </c>
      <c r="G544" s="501">
        <v>0</v>
      </c>
    </row>
    <row r="545" spans="1:7" ht="15.75" customHeight="1" x14ac:dyDescent="0.2">
      <c r="A545" s="500" t="s">
        <v>734</v>
      </c>
      <c r="B545" s="501" t="s">
        <v>90</v>
      </c>
      <c r="C545" s="501">
        <v>642.79999999999995</v>
      </c>
      <c r="D545" s="502">
        <v>8300</v>
      </c>
      <c r="E545" s="502">
        <v>6500</v>
      </c>
      <c r="F545" s="502">
        <v>6500</v>
      </c>
      <c r="G545" s="501">
        <v>0</v>
      </c>
    </row>
    <row r="546" spans="1:7" ht="15.75" customHeight="1" x14ac:dyDescent="0.2">
      <c r="A546" s="500" t="s">
        <v>737</v>
      </c>
      <c r="B546" s="501" t="s">
        <v>68</v>
      </c>
      <c r="C546" s="502">
        <v>192571.31</v>
      </c>
      <c r="D546" s="502">
        <v>290930.5</v>
      </c>
      <c r="E546" s="502">
        <v>313000</v>
      </c>
      <c r="F546" s="502">
        <v>313000</v>
      </c>
      <c r="G546" s="501">
        <v>0</v>
      </c>
    </row>
    <row r="547" spans="1:7" ht="15.75" customHeight="1" x14ac:dyDescent="0.2">
      <c r="A547" s="500" t="s">
        <v>738</v>
      </c>
      <c r="B547" s="501" t="s">
        <v>70</v>
      </c>
      <c r="C547" s="502">
        <v>7421.51</v>
      </c>
      <c r="D547" s="502">
        <v>6500</v>
      </c>
      <c r="E547" s="502">
        <v>8800</v>
      </c>
      <c r="F547" s="502">
        <v>8800</v>
      </c>
      <c r="G547" s="501">
        <v>0</v>
      </c>
    </row>
    <row r="548" spans="1:7" ht="15.75" customHeight="1" x14ac:dyDescent="0.2">
      <c r="A548" s="500" t="s">
        <v>739</v>
      </c>
      <c r="B548" s="501" t="s">
        <v>72</v>
      </c>
      <c r="C548" s="502">
        <v>95391.6</v>
      </c>
      <c r="D548" s="502">
        <v>166400</v>
      </c>
      <c r="E548" s="502">
        <v>157800</v>
      </c>
      <c r="F548" s="502">
        <v>157800</v>
      </c>
      <c r="G548" s="501">
        <v>0</v>
      </c>
    </row>
    <row r="549" spans="1:7" ht="15.75" customHeight="1" x14ac:dyDescent="0.2">
      <c r="A549" s="500" t="s">
        <v>740</v>
      </c>
      <c r="B549" s="501" t="s">
        <v>451</v>
      </c>
      <c r="C549" s="501">
        <v>278.91000000000003</v>
      </c>
      <c r="D549" s="502">
        <v>2800</v>
      </c>
      <c r="E549" s="502">
        <v>2800</v>
      </c>
      <c r="F549" s="502">
        <v>2800</v>
      </c>
      <c r="G549" s="501">
        <v>0</v>
      </c>
    </row>
    <row r="550" spans="1:7" ht="15.75" customHeight="1" x14ac:dyDescent="0.2">
      <c r="A550" s="500" t="s">
        <v>741</v>
      </c>
      <c r="B550" s="501" t="s">
        <v>742</v>
      </c>
      <c r="C550" s="502">
        <v>1144.4100000000001</v>
      </c>
      <c r="D550" s="502">
        <v>19000</v>
      </c>
      <c r="E550" s="502">
        <v>7500</v>
      </c>
      <c r="F550" s="502">
        <v>7500</v>
      </c>
      <c r="G550" s="501">
        <v>0</v>
      </c>
    </row>
    <row r="551" spans="1:7" ht="15.75" customHeight="1" x14ac:dyDescent="0.2">
      <c r="A551" s="500" t="s">
        <v>743</v>
      </c>
      <c r="B551" s="501" t="s">
        <v>76</v>
      </c>
      <c r="C551" s="502">
        <v>1557.2</v>
      </c>
      <c r="D551" s="502">
        <v>1500</v>
      </c>
      <c r="E551" s="502">
        <v>2000</v>
      </c>
      <c r="F551" s="502">
        <v>2000</v>
      </c>
      <c r="G551" s="501">
        <v>0</v>
      </c>
    </row>
    <row r="552" spans="1:7" ht="15.75" customHeight="1" x14ac:dyDescent="0.2">
      <c r="A552" s="500" t="s">
        <v>744</v>
      </c>
      <c r="B552" s="501" t="s">
        <v>115</v>
      </c>
      <c r="C552" s="501">
        <v>931.1</v>
      </c>
      <c r="D552" s="502">
        <v>2500</v>
      </c>
      <c r="E552" s="502">
        <v>9000</v>
      </c>
      <c r="F552" s="502">
        <v>9000</v>
      </c>
      <c r="G552" s="501">
        <v>0</v>
      </c>
    </row>
    <row r="553" spans="1:7" ht="15.75" customHeight="1" x14ac:dyDescent="0.2">
      <c r="A553" s="500" t="s">
        <v>745</v>
      </c>
      <c r="B553" s="501" t="s">
        <v>210</v>
      </c>
      <c r="C553" s="501">
        <v>0</v>
      </c>
      <c r="D553" s="501">
        <v>0</v>
      </c>
      <c r="E553" s="501">
        <v>0</v>
      </c>
      <c r="F553" s="501">
        <v>0</v>
      </c>
      <c r="G553" s="501">
        <v>0</v>
      </c>
    </row>
    <row r="554" spans="1:7" ht="15.75" customHeight="1" x14ac:dyDescent="0.2">
      <c r="A554" s="500" t="s">
        <v>746</v>
      </c>
      <c r="B554" s="501" t="s">
        <v>90</v>
      </c>
      <c r="C554" s="501">
        <v>310</v>
      </c>
      <c r="D554" s="502">
        <v>2500</v>
      </c>
      <c r="E554" s="502">
        <v>2500</v>
      </c>
      <c r="F554" s="502">
        <v>2500</v>
      </c>
      <c r="G554" s="501">
        <v>0</v>
      </c>
    </row>
    <row r="555" spans="1:7" ht="15.75" customHeight="1" x14ac:dyDescent="0.2">
      <c r="A555" s="500" t="s">
        <v>747</v>
      </c>
      <c r="B555" s="501" t="s">
        <v>502</v>
      </c>
      <c r="C555" s="501">
        <v>0</v>
      </c>
      <c r="D555" s="501">
        <v>0</v>
      </c>
      <c r="E555" s="501">
        <v>0</v>
      </c>
      <c r="F555" s="501">
        <v>0</v>
      </c>
      <c r="G555" s="501">
        <v>0</v>
      </c>
    </row>
    <row r="556" spans="1:7" ht="15.75" customHeight="1" x14ac:dyDescent="0.2">
      <c r="A556" s="500" t="s">
        <v>748</v>
      </c>
      <c r="B556" s="501" t="s">
        <v>92</v>
      </c>
      <c r="C556" s="501">
        <v>0</v>
      </c>
      <c r="D556" s="501">
        <v>0</v>
      </c>
      <c r="E556" s="501">
        <v>0</v>
      </c>
      <c r="F556" s="501">
        <v>0</v>
      </c>
      <c r="G556" s="501">
        <v>0</v>
      </c>
    </row>
    <row r="557" spans="1:7" ht="15.75" customHeight="1" x14ac:dyDescent="0.2">
      <c r="A557" s="500" t="s">
        <v>753</v>
      </c>
      <c r="B557" s="501" t="s">
        <v>68</v>
      </c>
      <c r="C557" s="502">
        <v>145154.47</v>
      </c>
      <c r="D557" s="502">
        <v>204829.5</v>
      </c>
      <c r="E557" s="502">
        <v>219200</v>
      </c>
      <c r="F557" s="502">
        <v>219200</v>
      </c>
      <c r="G557" s="501">
        <v>0</v>
      </c>
    </row>
    <row r="558" spans="1:7" ht="15.75" customHeight="1" x14ac:dyDescent="0.2">
      <c r="A558" s="500" t="s">
        <v>754</v>
      </c>
      <c r="B558" s="501" t="s">
        <v>70</v>
      </c>
      <c r="C558" s="502">
        <v>3562.59</v>
      </c>
      <c r="D558" s="502">
        <v>6500</v>
      </c>
      <c r="E558" s="502">
        <v>6500</v>
      </c>
      <c r="F558" s="502">
        <v>6500</v>
      </c>
      <c r="G558" s="501">
        <v>0</v>
      </c>
    </row>
    <row r="559" spans="1:7" ht="15.75" customHeight="1" x14ac:dyDescent="0.2">
      <c r="A559" s="500" t="s">
        <v>755</v>
      </c>
      <c r="B559" s="501" t="s">
        <v>132</v>
      </c>
      <c r="C559" s="502">
        <v>49197.13</v>
      </c>
      <c r="D559" s="502">
        <v>64498</v>
      </c>
      <c r="E559" s="502">
        <v>86000</v>
      </c>
      <c r="F559" s="502">
        <v>86000</v>
      </c>
      <c r="G559" s="501">
        <v>0</v>
      </c>
    </row>
    <row r="560" spans="1:7" ht="15.75" customHeight="1" x14ac:dyDescent="0.2">
      <c r="A560" s="500" t="s">
        <v>757</v>
      </c>
      <c r="B560" s="501" t="s">
        <v>72</v>
      </c>
      <c r="C560" s="502">
        <v>70541.740000000005</v>
      </c>
      <c r="D560" s="502">
        <v>99907.5</v>
      </c>
      <c r="E560" s="502">
        <v>109600</v>
      </c>
      <c r="F560" s="502">
        <v>109600</v>
      </c>
      <c r="G560" s="501">
        <v>0</v>
      </c>
    </row>
    <row r="561" spans="1:7" ht="15.75" customHeight="1" x14ac:dyDescent="0.2">
      <c r="A561" s="500" t="s">
        <v>758</v>
      </c>
      <c r="B561" s="501" t="s">
        <v>74</v>
      </c>
      <c r="C561" s="501">
        <v>0</v>
      </c>
      <c r="D561" s="501">
        <v>500</v>
      </c>
      <c r="E561" s="501">
        <v>500</v>
      </c>
      <c r="F561" s="501">
        <v>500</v>
      </c>
      <c r="G561" s="501">
        <v>0</v>
      </c>
    </row>
    <row r="562" spans="1:7" ht="15.75" customHeight="1" x14ac:dyDescent="0.2">
      <c r="A562" s="500" t="s">
        <v>759</v>
      </c>
      <c r="B562" s="501" t="s">
        <v>76</v>
      </c>
      <c r="C562" s="501">
        <v>0</v>
      </c>
      <c r="D562" s="502">
        <v>1000</v>
      </c>
      <c r="E562" s="501">
        <v>500</v>
      </c>
      <c r="F562" s="501">
        <v>500</v>
      </c>
      <c r="G562" s="501">
        <v>0</v>
      </c>
    </row>
    <row r="563" spans="1:7" ht="15.75" customHeight="1" x14ac:dyDescent="0.2">
      <c r="A563" s="500" t="s">
        <v>760</v>
      </c>
      <c r="B563" s="501" t="s">
        <v>80</v>
      </c>
      <c r="C563" s="502">
        <v>2074.5</v>
      </c>
      <c r="D563" s="502">
        <v>3000</v>
      </c>
      <c r="E563" s="502">
        <v>3010</v>
      </c>
      <c r="F563" s="502">
        <v>3010</v>
      </c>
      <c r="G563" s="501">
        <v>0</v>
      </c>
    </row>
    <row r="564" spans="1:7" ht="15.75" customHeight="1" x14ac:dyDescent="0.2">
      <c r="A564" s="500" t="s">
        <v>761</v>
      </c>
      <c r="B564" s="501" t="s">
        <v>82</v>
      </c>
      <c r="C564" s="502">
        <v>25390.87</v>
      </c>
      <c r="D564" s="502">
        <v>64000</v>
      </c>
      <c r="E564" s="502">
        <v>30000</v>
      </c>
      <c r="F564" s="502">
        <v>30000</v>
      </c>
      <c r="G564" s="501">
        <v>0</v>
      </c>
    </row>
    <row r="565" spans="1:7" ht="15.75" customHeight="1" x14ac:dyDescent="0.2">
      <c r="A565" s="500" t="s">
        <v>762</v>
      </c>
      <c r="B565" s="501" t="s">
        <v>115</v>
      </c>
      <c r="C565" s="502">
        <v>16637.16</v>
      </c>
      <c r="D565" s="502">
        <v>35225</v>
      </c>
      <c r="E565" s="502">
        <v>15388.51</v>
      </c>
      <c r="F565" s="502">
        <v>15388.51</v>
      </c>
      <c r="G565" s="501">
        <v>0</v>
      </c>
    </row>
    <row r="566" spans="1:7" ht="15.75" customHeight="1" x14ac:dyDescent="0.2">
      <c r="A566" s="500" t="s">
        <v>763</v>
      </c>
      <c r="B566" s="501" t="s">
        <v>84</v>
      </c>
      <c r="C566" s="501">
        <v>0</v>
      </c>
      <c r="D566" s="501">
        <v>0</v>
      </c>
      <c r="E566" s="501">
        <v>0</v>
      </c>
      <c r="F566" s="501">
        <v>0</v>
      </c>
      <c r="G566" s="501">
        <v>0</v>
      </c>
    </row>
    <row r="567" spans="1:7" ht="15.75" customHeight="1" x14ac:dyDescent="0.2">
      <c r="A567" s="500" t="s">
        <v>764</v>
      </c>
      <c r="B567" s="501" t="s">
        <v>210</v>
      </c>
      <c r="C567" s="501">
        <v>0</v>
      </c>
      <c r="D567" s="501">
        <v>0</v>
      </c>
      <c r="E567" s="501">
        <v>0</v>
      </c>
      <c r="F567" s="501">
        <v>0</v>
      </c>
      <c r="G567" s="501">
        <v>0</v>
      </c>
    </row>
    <row r="568" spans="1:7" ht="15.75" customHeight="1" x14ac:dyDescent="0.2">
      <c r="A568" s="500" t="s">
        <v>765</v>
      </c>
      <c r="B568" s="501" t="s">
        <v>86</v>
      </c>
      <c r="C568" s="502">
        <v>29194</v>
      </c>
      <c r="D568" s="502">
        <v>80000</v>
      </c>
      <c r="E568" s="502">
        <v>45040</v>
      </c>
      <c r="F568" s="502">
        <v>45040</v>
      </c>
      <c r="G568" s="501">
        <v>0</v>
      </c>
    </row>
    <row r="569" spans="1:7" ht="15.75" customHeight="1" x14ac:dyDescent="0.2">
      <c r="A569" s="500" t="s">
        <v>766</v>
      </c>
      <c r="B569" s="501" t="s">
        <v>88</v>
      </c>
      <c r="C569" s="501">
        <v>402</v>
      </c>
      <c r="D569" s="502">
        <v>2000</v>
      </c>
      <c r="E569" s="502">
        <v>1000</v>
      </c>
      <c r="F569" s="502">
        <v>1000</v>
      </c>
      <c r="G569" s="501">
        <v>0</v>
      </c>
    </row>
    <row r="570" spans="1:7" ht="15.75" customHeight="1" x14ac:dyDescent="0.2">
      <c r="A570" s="500" t="s">
        <v>767</v>
      </c>
      <c r="B570" s="501" t="s">
        <v>90</v>
      </c>
      <c r="C570" s="501">
        <v>0</v>
      </c>
      <c r="D570" s="502">
        <v>3000</v>
      </c>
      <c r="E570" s="502">
        <v>3000</v>
      </c>
      <c r="F570" s="502">
        <v>3000</v>
      </c>
      <c r="G570" s="501">
        <v>0</v>
      </c>
    </row>
    <row r="571" spans="1:7" ht="15.75" customHeight="1" x14ac:dyDescent="0.2">
      <c r="A571" s="500" t="s">
        <v>768</v>
      </c>
      <c r="B571" s="501" t="s">
        <v>252</v>
      </c>
      <c r="C571" s="502">
        <v>19418.7</v>
      </c>
      <c r="D571" s="502">
        <v>25000</v>
      </c>
      <c r="E571" s="502">
        <v>34900</v>
      </c>
      <c r="F571" s="502">
        <v>34900</v>
      </c>
      <c r="G571" s="501">
        <v>0</v>
      </c>
    </row>
    <row r="572" spans="1:7" ht="15.75" customHeight="1" x14ac:dyDescent="0.2">
      <c r="A572" s="500" t="s">
        <v>769</v>
      </c>
      <c r="B572" s="501" t="s">
        <v>502</v>
      </c>
      <c r="C572" s="502">
        <v>2312.7600000000002</v>
      </c>
      <c r="D572" s="502">
        <v>6000</v>
      </c>
      <c r="E572" s="502">
        <v>5400</v>
      </c>
      <c r="F572" s="502">
        <v>5400</v>
      </c>
      <c r="G572" s="501">
        <v>0</v>
      </c>
    </row>
    <row r="573" spans="1:7" ht="15.75" customHeight="1" x14ac:dyDescent="0.2">
      <c r="A573" s="500" t="s">
        <v>770</v>
      </c>
      <c r="B573" s="501" t="s">
        <v>92</v>
      </c>
      <c r="C573" s="501">
        <v>0</v>
      </c>
      <c r="D573" s="501">
        <v>0</v>
      </c>
      <c r="E573" s="501">
        <v>0</v>
      </c>
      <c r="F573" s="501">
        <v>0</v>
      </c>
      <c r="G573" s="501">
        <v>0</v>
      </c>
    </row>
    <row r="574" spans="1:7" ht="15.75" customHeight="1" x14ac:dyDescent="0.2">
      <c r="A574" s="500" t="s">
        <v>772</v>
      </c>
      <c r="B574" s="501" t="s">
        <v>99</v>
      </c>
      <c r="C574" s="501">
        <v>0</v>
      </c>
      <c r="D574" s="501">
        <v>0</v>
      </c>
      <c r="E574" s="501">
        <v>0</v>
      </c>
      <c r="F574" s="501">
        <v>0</v>
      </c>
      <c r="G574" s="501">
        <v>0</v>
      </c>
    </row>
    <row r="575" spans="1:7" ht="15.75" customHeight="1" x14ac:dyDescent="0.2">
      <c r="A575" s="500" t="s">
        <v>777</v>
      </c>
      <c r="B575" s="501" t="s">
        <v>68</v>
      </c>
      <c r="C575" s="502">
        <v>59240.800000000003</v>
      </c>
      <c r="D575" s="502">
        <v>78301.5</v>
      </c>
      <c r="E575" s="502">
        <v>85200</v>
      </c>
      <c r="F575" s="502">
        <v>85200</v>
      </c>
      <c r="G575" s="501">
        <v>0</v>
      </c>
    </row>
    <row r="576" spans="1:7" ht="15.75" customHeight="1" x14ac:dyDescent="0.2">
      <c r="A576" s="500" t="s">
        <v>778</v>
      </c>
      <c r="B576" s="501" t="s">
        <v>70</v>
      </c>
      <c r="C576" s="501">
        <v>0</v>
      </c>
      <c r="D576" s="502">
        <v>4000</v>
      </c>
      <c r="E576" s="502">
        <v>4000</v>
      </c>
      <c r="F576" s="502">
        <v>4000</v>
      </c>
      <c r="G576" s="501">
        <v>0</v>
      </c>
    </row>
    <row r="577" spans="1:7" ht="15.75" customHeight="1" x14ac:dyDescent="0.2">
      <c r="A577" s="500" t="s">
        <v>779</v>
      </c>
      <c r="B577" s="501" t="s">
        <v>132</v>
      </c>
      <c r="C577" s="502">
        <v>1430</v>
      </c>
      <c r="D577" s="502">
        <v>24370.5</v>
      </c>
      <c r="E577" s="502">
        <v>26000</v>
      </c>
      <c r="F577" s="502">
        <v>26000</v>
      </c>
      <c r="G577" s="501">
        <v>0</v>
      </c>
    </row>
    <row r="578" spans="1:7" ht="15.75" customHeight="1" x14ac:dyDescent="0.2">
      <c r="A578" s="500" t="s">
        <v>780</v>
      </c>
      <c r="B578" s="501" t="s">
        <v>72</v>
      </c>
      <c r="C578" s="502">
        <v>33161.879999999997</v>
      </c>
      <c r="D578" s="502">
        <v>55320.5</v>
      </c>
      <c r="E578" s="502">
        <v>50300</v>
      </c>
      <c r="F578" s="502">
        <v>50300</v>
      </c>
      <c r="G578" s="501">
        <v>0</v>
      </c>
    </row>
    <row r="579" spans="1:7" ht="15.75" customHeight="1" x14ac:dyDescent="0.2">
      <c r="A579" s="500" t="s">
        <v>781</v>
      </c>
      <c r="B579" s="501" t="s">
        <v>74</v>
      </c>
      <c r="C579" s="501">
        <v>80</v>
      </c>
      <c r="D579" s="502">
        <v>2500</v>
      </c>
      <c r="E579" s="502">
        <v>1000</v>
      </c>
      <c r="F579" s="502">
        <v>1000</v>
      </c>
      <c r="G579" s="501">
        <v>0</v>
      </c>
    </row>
    <row r="580" spans="1:7" ht="15.75" customHeight="1" x14ac:dyDescent="0.2">
      <c r="A580" s="500" t="s">
        <v>782</v>
      </c>
      <c r="B580" s="501" t="s">
        <v>76</v>
      </c>
      <c r="C580" s="501">
        <v>143.81</v>
      </c>
      <c r="D580" s="502">
        <v>3500</v>
      </c>
      <c r="E580" s="502">
        <v>3500</v>
      </c>
      <c r="F580" s="502">
        <v>3500</v>
      </c>
      <c r="G580" s="501">
        <v>0</v>
      </c>
    </row>
    <row r="581" spans="1:7" ht="15.75" customHeight="1" x14ac:dyDescent="0.2">
      <c r="A581" s="500" t="s">
        <v>783</v>
      </c>
      <c r="B581" s="501" t="s">
        <v>80</v>
      </c>
      <c r="C581" s="502">
        <v>1146.07</v>
      </c>
      <c r="D581" s="502">
        <v>1000</v>
      </c>
      <c r="E581" s="502">
        <v>1500</v>
      </c>
      <c r="F581" s="502">
        <v>1500</v>
      </c>
      <c r="G581" s="501">
        <v>0</v>
      </c>
    </row>
    <row r="582" spans="1:7" ht="15.75" customHeight="1" x14ac:dyDescent="0.2">
      <c r="A582" s="500" t="s">
        <v>784</v>
      </c>
      <c r="B582" s="501" t="s">
        <v>82</v>
      </c>
      <c r="C582" s="502">
        <v>1332.57</v>
      </c>
      <c r="D582" s="502">
        <v>3500</v>
      </c>
      <c r="E582" s="502">
        <v>3500</v>
      </c>
      <c r="F582" s="502">
        <v>3500</v>
      </c>
      <c r="G582" s="501">
        <v>0</v>
      </c>
    </row>
    <row r="583" spans="1:7" ht="15.75" customHeight="1" x14ac:dyDescent="0.2">
      <c r="A583" s="500" t="s">
        <v>785</v>
      </c>
      <c r="B583" s="501" t="s">
        <v>115</v>
      </c>
      <c r="C583" s="502">
        <v>2144.17</v>
      </c>
      <c r="D583" s="502">
        <v>29000</v>
      </c>
      <c r="E583" s="502">
        <v>29000</v>
      </c>
      <c r="F583" s="502">
        <v>29000</v>
      </c>
      <c r="G583" s="501">
        <v>0</v>
      </c>
    </row>
    <row r="584" spans="1:7" ht="15.75" customHeight="1" x14ac:dyDescent="0.2">
      <c r="A584" s="500" t="s">
        <v>788</v>
      </c>
      <c r="B584" s="501" t="s">
        <v>84</v>
      </c>
      <c r="C584" s="502">
        <v>9329.19</v>
      </c>
      <c r="D584" s="502">
        <v>12000</v>
      </c>
      <c r="E584" s="502">
        <v>13000</v>
      </c>
      <c r="F584" s="502">
        <v>13000</v>
      </c>
      <c r="G584" s="501">
        <v>0</v>
      </c>
    </row>
    <row r="585" spans="1:7" ht="15.75" customHeight="1" x14ac:dyDescent="0.2">
      <c r="A585" s="500" t="s">
        <v>789</v>
      </c>
      <c r="B585" s="501" t="s">
        <v>210</v>
      </c>
      <c r="C585" s="501">
        <v>0</v>
      </c>
      <c r="D585" s="501">
        <v>0</v>
      </c>
      <c r="E585" s="501">
        <v>0</v>
      </c>
      <c r="F585" s="501">
        <v>0</v>
      </c>
      <c r="G585" s="501">
        <v>0</v>
      </c>
    </row>
    <row r="586" spans="1:7" ht="15.75" customHeight="1" x14ac:dyDescent="0.2">
      <c r="A586" s="500" t="s">
        <v>790</v>
      </c>
      <c r="B586" s="501" t="s">
        <v>88</v>
      </c>
      <c r="C586" s="501">
        <v>0</v>
      </c>
      <c r="D586" s="502">
        <v>1500</v>
      </c>
      <c r="E586" s="502">
        <v>2500</v>
      </c>
      <c r="F586" s="502">
        <v>2500</v>
      </c>
      <c r="G586" s="501">
        <v>0</v>
      </c>
    </row>
    <row r="587" spans="1:7" ht="15.75" customHeight="1" x14ac:dyDescent="0.2">
      <c r="A587" s="500" t="s">
        <v>791</v>
      </c>
      <c r="B587" s="501" t="s">
        <v>90</v>
      </c>
      <c r="C587" s="502">
        <v>3116.11</v>
      </c>
      <c r="D587" s="502">
        <v>2800</v>
      </c>
      <c r="E587" s="502">
        <v>2800</v>
      </c>
      <c r="F587" s="502">
        <v>2800</v>
      </c>
      <c r="G587" s="501">
        <v>0</v>
      </c>
    </row>
    <row r="588" spans="1:7" ht="15.75" customHeight="1" x14ac:dyDescent="0.2">
      <c r="A588" s="500" t="s">
        <v>792</v>
      </c>
      <c r="B588" s="501" t="s">
        <v>252</v>
      </c>
      <c r="C588" s="501">
        <v>69</v>
      </c>
      <c r="D588" s="502">
        <v>1000</v>
      </c>
      <c r="E588" s="502">
        <v>1000</v>
      </c>
      <c r="F588" s="502">
        <v>1000</v>
      </c>
      <c r="G588" s="501">
        <v>0</v>
      </c>
    </row>
    <row r="589" spans="1:7" ht="15.75" customHeight="1" x14ac:dyDescent="0.2">
      <c r="A589" s="500" t="s">
        <v>793</v>
      </c>
      <c r="B589" s="501" t="s">
        <v>466</v>
      </c>
      <c r="C589" s="501">
        <v>0</v>
      </c>
      <c r="D589" s="501">
        <v>0</v>
      </c>
      <c r="E589" s="501">
        <v>0</v>
      </c>
      <c r="F589" s="501">
        <v>0</v>
      </c>
      <c r="G589" s="501">
        <v>0</v>
      </c>
    </row>
    <row r="590" spans="1:7" ht="15.75" customHeight="1" x14ac:dyDescent="0.2">
      <c r="A590" s="500" t="s">
        <v>794</v>
      </c>
      <c r="B590" s="501" t="s">
        <v>502</v>
      </c>
      <c r="C590" s="501">
        <v>232.96</v>
      </c>
      <c r="D590" s="502">
        <v>1000</v>
      </c>
      <c r="E590" s="502">
        <v>1000</v>
      </c>
      <c r="F590" s="502">
        <v>1000</v>
      </c>
      <c r="G590" s="501">
        <v>0</v>
      </c>
    </row>
    <row r="591" spans="1:7" ht="15.75" customHeight="1" x14ac:dyDescent="0.2">
      <c r="A591" s="500" t="s">
        <v>795</v>
      </c>
      <c r="B591" s="501" t="s">
        <v>92</v>
      </c>
      <c r="C591" s="501">
        <v>0</v>
      </c>
      <c r="D591" s="501">
        <v>700</v>
      </c>
      <c r="E591" s="502">
        <v>1000</v>
      </c>
      <c r="F591" s="502">
        <v>1000</v>
      </c>
      <c r="G591" s="501">
        <v>0</v>
      </c>
    </row>
    <row r="592" spans="1:7" ht="15.75" customHeight="1" x14ac:dyDescent="0.2">
      <c r="A592" s="500" t="s">
        <v>796</v>
      </c>
      <c r="B592" s="501" t="s">
        <v>797</v>
      </c>
      <c r="C592" s="502">
        <v>4490.03</v>
      </c>
      <c r="D592" s="502">
        <v>8000</v>
      </c>
      <c r="E592" s="502">
        <v>8000</v>
      </c>
      <c r="F592" s="502">
        <v>8000</v>
      </c>
      <c r="G592" s="501">
        <v>0</v>
      </c>
    </row>
    <row r="593" spans="1:7" ht="15.75" customHeight="1" x14ac:dyDescent="0.2">
      <c r="A593" s="500" t="s">
        <v>958</v>
      </c>
      <c r="B593" s="501" t="s">
        <v>68</v>
      </c>
      <c r="C593" s="501">
        <v>0</v>
      </c>
      <c r="D593" s="501">
        <v>0</v>
      </c>
      <c r="E593" s="501">
        <v>0</v>
      </c>
      <c r="F593" s="501">
        <v>0</v>
      </c>
      <c r="G593" s="501">
        <v>0</v>
      </c>
    </row>
    <row r="594" spans="1:7" ht="15.75" customHeight="1" x14ac:dyDescent="0.2">
      <c r="A594" s="500" t="s">
        <v>959</v>
      </c>
      <c r="B594" s="501" t="s">
        <v>70</v>
      </c>
      <c r="C594" s="501">
        <v>0</v>
      </c>
      <c r="D594" s="501">
        <v>0</v>
      </c>
      <c r="E594" s="501">
        <v>0</v>
      </c>
      <c r="F594" s="501">
        <v>0</v>
      </c>
      <c r="G594" s="501">
        <v>0</v>
      </c>
    </row>
    <row r="595" spans="1:7" ht="15.75" customHeight="1" x14ac:dyDescent="0.2">
      <c r="A595" s="500" t="s">
        <v>960</v>
      </c>
      <c r="B595" s="501" t="s">
        <v>132</v>
      </c>
      <c r="C595" s="501">
        <v>0</v>
      </c>
      <c r="D595" s="501">
        <v>0</v>
      </c>
      <c r="E595" s="501">
        <v>0</v>
      </c>
      <c r="F595" s="501">
        <v>0</v>
      </c>
      <c r="G595" s="501">
        <v>0</v>
      </c>
    </row>
    <row r="596" spans="1:7" ht="15.75" customHeight="1" x14ac:dyDescent="0.2">
      <c r="A596" s="500" t="s">
        <v>962</v>
      </c>
      <c r="B596" s="501" t="s">
        <v>72</v>
      </c>
      <c r="C596" s="501">
        <v>0</v>
      </c>
      <c r="D596" s="501">
        <v>0</v>
      </c>
      <c r="E596" s="501">
        <v>0</v>
      </c>
      <c r="F596" s="501">
        <v>0</v>
      </c>
      <c r="G596" s="501">
        <v>0</v>
      </c>
    </row>
    <row r="597" spans="1:7" ht="15.75" customHeight="1" x14ac:dyDescent="0.2">
      <c r="A597" s="500" t="s">
        <v>963</v>
      </c>
      <c r="B597" s="501" t="s">
        <v>451</v>
      </c>
      <c r="C597" s="501">
        <v>0</v>
      </c>
      <c r="D597" s="501">
        <v>0</v>
      </c>
      <c r="E597" s="501">
        <v>0</v>
      </c>
      <c r="F597" s="501">
        <v>0</v>
      </c>
      <c r="G597" s="501">
        <v>0</v>
      </c>
    </row>
    <row r="598" spans="1:7" ht="15.75" customHeight="1" x14ac:dyDescent="0.2">
      <c r="A598" s="500" t="s">
        <v>965</v>
      </c>
      <c r="B598" s="501" t="s">
        <v>76</v>
      </c>
      <c r="C598" s="501">
        <v>0</v>
      </c>
      <c r="D598" s="501">
        <v>0</v>
      </c>
      <c r="E598" s="501">
        <v>0</v>
      </c>
      <c r="F598" s="501">
        <v>0</v>
      </c>
      <c r="G598" s="501">
        <v>0</v>
      </c>
    </row>
    <row r="599" spans="1:7" ht="15.75" customHeight="1" x14ac:dyDescent="0.2">
      <c r="A599" s="500" t="s">
        <v>966</v>
      </c>
      <c r="B599" s="501" t="s">
        <v>80</v>
      </c>
      <c r="C599" s="501">
        <v>0</v>
      </c>
      <c r="D599" s="501">
        <v>0</v>
      </c>
      <c r="E599" s="501">
        <v>0</v>
      </c>
      <c r="F599" s="501">
        <v>0</v>
      </c>
      <c r="G599" s="501">
        <v>0</v>
      </c>
    </row>
    <row r="600" spans="1:7" ht="15.75" customHeight="1" x14ac:dyDescent="0.2">
      <c r="A600" s="500" t="s">
        <v>967</v>
      </c>
      <c r="B600" s="501" t="s">
        <v>82</v>
      </c>
      <c r="C600" s="501">
        <v>0</v>
      </c>
      <c r="D600" s="501">
        <v>0</v>
      </c>
      <c r="E600" s="501">
        <v>0</v>
      </c>
      <c r="F600" s="501">
        <v>0</v>
      </c>
      <c r="G600" s="501">
        <v>0</v>
      </c>
    </row>
    <row r="601" spans="1:7" ht="15.75" customHeight="1" x14ac:dyDescent="0.2">
      <c r="A601" s="500" t="s">
        <v>970</v>
      </c>
      <c r="B601" s="501" t="s">
        <v>277</v>
      </c>
      <c r="C601" s="501">
        <v>0</v>
      </c>
      <c r="D601" s="501">
        <v>0</v>
      </c>
      <c r="E601" s="501">
        <v>0</v>
      </c>
      <c r="F601" s="501">
        <v>0</v>
      </c>
      <c r="G601" s="501">
        <v>0</v>
      </c>
    </row>
    <row r="602" spans="1:7" ht="15.75" customHeight="1" x14ac:dyDescent="0.2">
      <c r="A602" s="500" t="s">
        <v>971</v>
      </c>
      <c r="B602" s="501" t="s">
        <v>84</v>
      </c>
      <c r="C602" s="501">
        <v>0</v>
      </c>
      <c r="D602" s="501">
        <v>0</v>
      </c>
      <c r="E602" s="501">
        <v>0</v>
      </c>
      <c r="F602" s="501">
        <v>0</v>
      </c>
      <c r="G602" s="501">
        <v>0</v>
      </c>
    </row>
    <row r="603" spans="1:7" ht="15.75" customHeight="1" x14ac:dyDescent="0.2">
      <c r="A603" s="500" t="s">
        <v>972</v>
      </c>
      <c r="B603" s="501" t="s">
        <v>210</v>
      </c>
      <c r="C603" s="501">
        <v>0</v>
      </c>
      <c r="D603" s="501">
        <v>0</v>
      </c>
      <c r="E603" s="501">
        <v>0</v>
      </c>
      <c r="F603" s="501">
        <v>0</v>
      </c>
      <c r="G603" s="501">
        <v>0</v>
      </c>
    </row>
    <row r="604" spans="1:7" ht="15.75" customHeight="1" x14ac:dyDescent="0.2">
      <c r="A604" s="500" t="s">
        <v>973</v>
      </c>
      <c r="B604" s="501" t="s">
        <v>86</v>
      </c>
      <c r="C604" s="501">
        <v>0</v>
      </c>
      <c r="D604" s="501">
        <v>0</v>
      </c>
      <c r="E604" s="501">
        <v>0</v>
      </c>
      <c r="F604" s="501">
        <v>0</v>
      </c>
      <c r="G604" s="501">
        <v>0</v>
      </c>
    </row>
    <row r="605" spans="1:7" ht="15.75" customHeight="1" x14ac:dyDescent="0.2">
      <c r="A605" s="500" t="s">
        <v>974</v>
      </c>
      <c r="B605" s="501" t="s">
        <v>88</v>
      </c>
      <c r="C605" s="501">
        <v>0</v>
      </c>
      <c r="D605" s="501">
        <v>0</v>
      </c>
      <c r="E605" s="501">
        <v>0</v>
      </c>
      <c r="F605" s="501">
        <v>0</v>
      </c>
      <c r="G605" s="501">
        <v>0</v>
      </c>
    </row>
    <row r="606" spans="1:7" ht="15.75" customHeight="1" x14ac:dyDescent="0.2">
      <c r="A606" s="500" t="s">
        <v>975</v>
      </c>
      <c r="B606" s="501" t="s">
        <v>90</v>
      </c>
      <c r="C606" s="501">
        <v>0</v>
      </c>
      <c r="D606" s="501">
        <v>0</v>
      </c>
      <c r="E606" s="501">
        <v>0</v>
      </c>
      <c r="F606" s="501">
        <v>0</v>
      </c>
      <c r="G606" s="501">
        <v>0</v>
      </c>
    </row>
    <row r="607" spans="1:7" ht="15.75" customHeight="1" x14ac:dyDescent="0.2">
      <c r="A607" s="500" t="s">
        <v>978</v>
      </c>
      <c r="B607" s="501" t="s">
        <v>502</v>
      </c>
      <c r="C607" s="501">
        <v>0</v>
      </c>
      <c r="D607" s="501">
        <v>0</v>
      </c>
      <c r="E607" s="501">
        <v>0</v>
      </c>
      <c r="F607" s="501">
        <v>0</v>
      </c>
      <c r="G607" s="501">
        <v>0</v>
      </c>
    </row>
    <row r="608" spans="1:7" ht="15.75" customHeight="1" x14ac:dyDescent="0.2">
      <c r="A608" s="500" t="s">
        <v>980</v>
      </c>
      <c r="B608" s="501" t="s">
        <v>92</v>
      </c>
      <c r="C608" s="501">
        <v>0</v>
      </c>
      <c r="D608" s="501">
        <v>0</v>
      </c>
      <c r="E608" s="501">
        <v>0</v>
      </c>
      <c r="F608" s="501">
        <v>0</v>
      </c>
      <c r="G608" s="501">
        <v>0</v>
      </c>
    </row>
    <row r="609" spans="1:7" ht="15.75" customHeight="1" x14ac:dyDescent="0.2">
      <c r="A609" s="500" t="s">
        <v>982</v>
      </c>
      <c r="B609" s="501" t="s">
        <v>938</v>
      </c>
      <c r="C609" s="501">
        <v>0</v>
      </c>
      <c r="D609" s="501">
        <v>0</v>
      </c>
      <c r="E609" s="501">
        <v>0</v>
      </c>
      <c r="F609" s="501">
        <v>0</v>
      </c>
      <c r="G609" s="501">
        <v>0</v>
      </c>
    </row>
    <row r="610" spans="1:7" ht="15.75" customHeight="1" x14ac:dyDescent="0.2">
      <c r="A610" s="500" t="s">
        <v>983</v>
      </c>
      <c r="B610" s="501" t="s">
        <v>940</v>
      </c>
      <c r="C610" s="501">
        <v>0</v>
      </c>
      <c r="D610" s="501">
        <v>0</v>
      </c>
      <c r="E610" s="501">
        <v>0</v>
      </c>
      <c r="F610" s="501">
        <v>0</v>
      </c>
      <c r="G610" s="501">
        <v>0</v>
      </c>
    </row>
    <row r="611" spans="1:7" ht="15.75" customHeight="1" x14ac:dyDescent="0.2">
      <c r="A611" s="500" t="s">
        <v>984</v>
      </c>
      <c r="B611" s="501" t="s">
        <v>942</v>
      </c>
      <c r="C611" s="501">
        <v>0</v>
      </c>
      <c r="D611" s="501">
        <v>0</v>
      </c>
      <c r="E611" s="501">
        <v>0</v>
      </c>
      <c r="F611" s="501">
        <v>0</v>
      </c>
      <c r="G611" s="501">
        <v>0</v>
      </c>
    </row>
    <row r="612" spans="1:7" ht="15.75" customHeight="1" x14ac:dyDescent="0.2">
      <c r="A612" s="500" t="s">
        <v>986</v>
      </c>
      <c r="B612" s="501" t="s">
        <v>94</v>
      </c>
      <c r="C612" s="501">
        <v>0</v>
      </c>
      <c r="D612" s="501">
        <v>0</v>
      </c>
      <c r="E612" s="501">
        <v>0</v>
      </c>
      <c r="F612" s="501">
        <v>0</v>
      </c>
      <c r="G612" s="501">
        <v>0</v>
      </c>
    </row>
    <row r="613" spans="1:7" ht="15.75" customHeight="1" x14ac:dyDescent="0.2">
      <c r="A613" s="500" t="s">
        <v>991</v>
      </c>
      <c r="B613" s="501" t="s">
        <v>180</v>
      </c>
      <c r="C613" s="501">
        <v>0</v>
      </c>
      <c r="D613" s="501">
        <v>0</v>
      </c>
      <c r="E613" s="501">
        <v>0</v>
      </c>
      <c r="F613" s="501">
        <v>0</v>
      </c>
      <c r="G613" s="501">
        <v>0</v>
      </c>
    </row>
    <row r="614" spans="1:7" ht="15.75" customHeight="1" x14ac:dyDescent="0.2">
      <c r="A614" s="500" t="s">
        <v>992</v>
      </c>
      <c r="B614" s="501" t="s">
        <v>99</v>
      </c>
      <c r="C614" s="501">
        <v>0</v>
      </c>
      <c r="D614" s="501">
        <v>0</v>
      </c>
      <c r="E614" s="501">
        <v>0</v>
      </c>
      <c r="F614" s="501">
        <v>0</v>
      </c>
      <c r="G614" s="501">
        <v>0</v>
      </c>
    </row>
    <row r="615" spans="1:7" ht="15.75" customHeight="1" x14ac:dyDescent="0.2">
      <c r="A615" s="500" t="s">
        <v>911</v>
      </c>
      <c r="B615" s="501" t="s">
        <v>68</v>
      </c>
      <c r="C615" s="502">
        <v>1038066.55</v>
      </c>
      <c r="D615" s="502">
        <v>1325740</v>
      </c>
      <c r="E615" s="502">
        <v>1464900</v>
      </c>
      <c r="F615" s="502">
        <v>1657100</v>
      </c>
      <c r="G615" s="502">
        <v>192200</v>
      </c>
    </row>
    <row r="616" spans="1:7" ht="15.75" customHeight="1" x14ac:dyDescent="0.2">
      <c r="A616" s="500" t="s">
        <v>912</v>
      </c>
      <c r="B616" s="501" t="s">
        <v>70</v>
      </c>
      <c r="C616" s="502">
        <v>90721.18</v>
      </c>
      <c r="D616" s="502">
        <v>110000</v>
      </c>
      <c r="E616" s="502">
        <v>110000</v>
      </c>
      <c r="F616" s="502">
        <v>110000</v>
      </c>
      <c r="G616" s="501">
        <v>0</v>
      </c>
    </row>
    <row r="617" spans="1:7" ht="15.75" customHeight="1" x14ac:dyDescent="0.2">
      <c r="A617" s="500" t="s">
        <v>913</v>
      </c>
      <c r="B617" s="501" t="s">
        <v>132</v>
      </c>
      <c r="C617" s="502">
        <v>296208.23</v>
      </c>
      <c r="D617" s="502">
        <v>487045</v>
      </c>
      <c r="E617" s="502">
        <v>572200</v>
      </c>
      <c r="F617" s="502">
        <v>400000</v>
      </c>
      <c r="G617" s="502">
        <v>-172200</v>
      </c>
    </row>
    <row r="618" spans="1:7" ht="15.75" customHeight="1" x14ac:dyDescent="0.2">
      <c r="A618" s="500" t="s">
        <v>914</v>
      </c>
      <c r="B618" s="501" t="s">
        <v>108</v>
      </c>
      <c r="C618" s="501">
        <v>0</v>
      </c>
      <c r="D618" s="501">
        <v>0</v>
      </c>
      <c r="E618" s="501">
        <v>0</v>
      </c>
      <c r="F618" s="501">
        <v>0</v>
      </c>
      <c r="G618" s="501">
        <v>0</v>
      </c>
    </row>
    <row r="619" spans="1:7" ht="15.75" customHeight="1" x14ac:dyDescent="0.2">
      <c r="A619" s="500" t="s">
        <v>915</v>
      </c>
      <c r="B619" s="501" t="s">
        <v>72</v>
      </c>
      <c r="C619" s="502">
        <v>474614.04</v>
      </c>
      <c r="D619" s="502">
        <v>813452</v>
      </c>
      <c r="E619" s="502">
        <v>746700</v>
      </c>
      <c r="F619" s="502">
        <v>876700</v>
      </c>
      <c r="G619" s="502">
        <v>130000</v>
      </c>
    </row>
    <row r="620" spans="1:7" ht="15.75" customHeight="1" x14ac:dyDescent="0.2">
      <c r="A620" s="500" t="s">
        <v>916</v>
      </c>
      <c r="B620" s="501" t="s">
        <v>451</v>
      </c>
      <c r="C620" s="502">
        <v>62618.19</v>
      </c>
      <c r="D620" s="502">
        <v>135500</v>
      </c>
      <c r="E620" s="502">
        <v>135500</v>
      </c>
      <c r="F620" s="502">
        <v>90000</v>
      </c>
      <c r="G620" s="502">
        <v>-45500</v>
      </c>
    </row>
    <row r="621" spans="1:7" ht="15.75" customHeight="1" x14ac:dyDescent="0.2">
      <c r="A621" s="500" t="s">
        <v>917</v>
      </c>
      <c r="B621" s="501" t="s">
        <v>74</v>
      </c>
      <c r="C621" s="502">
        <v>2671.74</v>
      </c>
      <c r="D621" s="502">
        <v>9900</v>
      </c>
      <c r="E621" s="502">
        <v>3465</v>
      </c>
      <c r="F621" s="502">
        <v>3020</v>
      </c>
      <c r="G621" s="501">
        <v>-445</v>
      </c>
    </row>
    <row r="622" spans="1:7" ht="15.75" customHeight="1" x14ac:dyDescent="0.2">
      <c r="A622" s="500" t="s">
        <v>918</v>
      </c>
      <c r="B622" s="501" t="s">
        <v>76</v>
      </c>
      <c r="C622" s="502">
        <v>1848.97</v>
      </c>
      <c r="D622" s="502">
        <v>8200</v>
      </c>
      <c r="E622" s="502">
        <v>12000</v>
      </c>
      <c r="F622" s="502">
        <v>12000</v>
      </c>
      <c r="G622" s="501">
        <v>0</v>
      </c>
    </row>
    <row r="623" spans="1:7" ht="15.75" customHeight="1" x14ac:dyDescent="0.2">
      <c r="A623" s="500" t="s">
        <v>919</v>
      </c>
      <c r="B623" s="501" t="s">
        <v>80</v>
      </c>
      <c r="C623" s="502">
        <v>3623.24</v>
      </c>
      <c r="D623" s="502">
        <v>5500</v>
      </c>
      <c r="E623" s="502">
        <v>3000</v>
      </c>
      <c r="F623" s="502">
        <v>3000</v>
      </c>
      <c r="G623" s="501">
        <v>0</v>
      </c>
    </row>
    <row r="624" spans="1:7" ht="15.75" customHeight="1" x14ac:dyDescent="0.2">
      <c r="A624" s="500" t="s">
        <v>920</v>
      </c>
      <c r="B624" s="501" t="s">
        <v>82</v>
      </c>
      <c r="C624" s="502">
        <v>90255.07</v>
      </c>
      <c r="D624" s="502">
        <v>135500</v>
      </c>
      <c r="E624" s="502">
        <v>130000</v>
      </c>
      <c r="F624" s="502">
        <v>130000</v>
      </c>
      <c r="G624" s="501">
        <v>0</v>
      </c>
    </row>
    <row r="625" spans="1:7" ht="15.75" customHeight="1" x14ac:dyDescent="0.2">
      <c r="A625" s="500" t="s">
        <v>921</v>
      </c>
      <c r="B625" s="501" t="s">
        <v>115</v>
      </c>
      <c r="C625" s="502">
        <v>19269.45</v>
      </c>
      <c r="D625" s="502">
        <v>30000</v>
      </c>
      <c r="E625" s="502">
        <v>35000</v>
      </c>
      <c r="F625" s="502">
        <v>30000</v>
      </c>
      <c r="G625" s="502">
        <v>-5000</v>
      </c>
    </row>
    <row r="626" spans="1:7" ht="15.75" customHeight="1" x14ac:dyDescent="0.2">
      <c r="A626" s="500" t="s">
        <v>922</v>
      </c>
      <c r="B626" s="501" t="s">
        <v>898</v>
      </c>
      <c r="C626" s="502">
        <v>3398.26</v>
      </c>
      <c r="D626" s="502">
        <v>9400</v>
      </c>
      <c r="E626" s="502">
        <v>10000</v>
      </c>
      <c r="F626" s="502">
        <v>9000</v>
      </c>
      <c r="G626" s="502">
        <v>-1000</v>
      </c>
    </row>
    <row r="627" spans="1:7" ht="15.75" customHeight="1" x14ac:dyDescent="0.2">
      <c r="A627" s="500" t="s">
        <v>923</v>
      </c>
      <c r="B627" s="501" t="s">
        <v>277</v>
      </c>
      <c r="C627" s="502">
        <v>16477.55</v>
      </c>
      <c r="D627" s="502">
        <v>27500</v>
      </c>
      <c r="E627" s="502">
        <v>21100</v>
      </c>
      <c r="F627" s="502">
        <v>23000</v>
      </c>
      <c r="G627" s="502">
        <v>1900</v>
      </c>
    </row>
    <row r="628" spans="1:7" ht="15.75" customHeight="1" x14ac:dyDescent="0.2">
      <c r="A628" s="500" t="s">
        <v>924</v>
      </c>
      <c r="B628" s="501" t="s">
        <v>84</v>
      </c>
      <c r="C628" s="502">
        <v>9442.27</v>
      </c>
      <c r="D628" s="502">
        <v>13300</v>
      </c>
      <c r="E628" s="502">
        <v>5000</v>
      </c>
      <c r="F628" s="502">
        <v>14000</v>
      </c>
      <c r="G628" s="502">
        <v>9000</v>
      </c>
    </row>
    <row r="629" spans="1:7" ht="15.75" customHeight="1" x14ac:dyDescent="0.2">
      <c r="A629" s="500" t="s">
        <v>925</v>
      </c>
      <c r="B629" s="501" t="s">
        <v>210</v>
      </c>
      <c r="C629" s="502">
        <v>6448.29</v>
      </c>
      <c r="D629" s="502">
        <v>30000</v>
      </c>
      <c r="E629" s="502">
        <v>30000</v>
      </c>
      <c r="F629" s="502">
        <v>25000</v>
      </c>
      <c r="G629" s="502">
        <v>-5000</v>
      </c>
    </row>
    <row r="630" spans="1:7" ht="15.75" customHeight="1" x14ac:dyDescent="0.2">
      <c r="A630" s="500" t="s">
        <v>926</v>
      </c>
      <c r="B630" s="501" t="s">
        <v>86</v>
      </c>
      <c r="C630" s="502">
        <v>36382.559999999998</v>
      </c>
      <c r="D630" s="502">
        <v>322000</v>
      </c>
      <c r="E630" s="502">
        <v>255400</v>
      </c>
      <c r="F630" s="502">
        <v>255400</v>
      </c>
      <c r="G630" s="501">
        <v>0</v>
      </c>
    </row>
    <row r="631" spans="1:7" ht="15.75" customHeight="1" x14ac:dyDescent="0.2">
      <c r="A631" s="500" t="s">
        <v>927</v>
      </c>
      <c r="B631" s="501" t="s">
        <v>88</v>
      </c>
      <c r="C631" s="501">
        <v>491.24</v>
      </c>
      <c r="D631" s="502">
        <v>46300</v>
      </c>
      <c r="E631" s="502">
        <v>35950</v>
      </c>
      <c r="F631" s="502">
        <v>43000</v>
      </c>
      <c r="G631" s="502">
        <v>7050</v>
      </c>
    </row>
    <row r="632" spans="1:7" ht="15.75" customHeight="1" x14ac:dyDescent="0.2">
      <c r="A632" s="500" t="s">
        <v>928</v>
      </c>
      <c r="B632" s="501" t="s">
        <v>90</v>
      </c>
      <c r="C632" s="502">
        <v>3858.62</v>
      </c>
      <c r="D632" s="502">
        <v>10300</v>
      </c>
      <c r="E632" s="502">
        <v>7750</v>
      </c>
      <c r="F632" s="502">
        <v>7250</v>
      </c>
      <c r="G632" s="501">
        <v>-500</v>
      </c>
    </row>
    <row r="633" spans="1:7" ht="15.75" customHeight="1" x14ac:dyDescent="0.2">
      <c r="A633" s="500" t="s">
        <v>929</v>
      </c>
      <c r="B633" s="501" t="s">
        <v>906</v>
      </c>
      <c r="C633" s="501">
        <v>0</v>
      </c>
      <c r="D633" s="502">
        <v>5000</v>
      </c>
      <c r="E633" s="502">
        <v>5000</v>
      </c>
      <c r="F633" s="502">
        <v>5000</v>
      </c>
      <c r="G633" s="501">
        <v>0</v>
      </c>
    </row>
    <row r="634" spans="1:7" ht="15.75" customHeight="1" x14ac:dyDescent="0.2">
      <c r="A634" s="500" t="s">
        <v>930</v>
      </c>
      <c r="B634" s="501" t="s">
        <v>908</v>
      </c>
      <c r="C634" s="501">
        <v>0</v>
      </c>
      <c r="D634" s="502">
        <v>5000</v>
      </c>
      <c r="E634" s="502">
        <v>5000</v>
      </c>
      <c r="F634" s="502">
        <v>5000</v>
      </c>
      <c r="G634" s="501">
        <v>0</v>
      </c>
    </row>
    <row r="635" spans="1:7" ht="15.75" customHeight="1" x14ac:dyDescent="0.2">
      <c r="A635" s="500" t="s">
        <v>931</v>
      </c>
      <c r="B635" s="501" t="s">
        <v>502</v>
      </c>
      <c r="C635" s="502">
        <v>9237.0300000000007</v>
      </c>
      <c r="D635" s="502">
        <v>18000</v>
      </c>
      <c r="E635" s="502">
        <v>18000</v>
      </c>
      <c r="F635" s="502">
        <v>15000</v>
      </c>
      <c r="G635" s="502">
        <v>-3000</v>
      </c>
    </row>
    <row r="636" spans="1:7" ht="15.75" customHeight="1" x14ac:dyDescent="0.2">
      <c r="A636" s="500" t="s">
        <v>932</v>
      </c>
      <c r="B636" s="501" t="s">
        <v>933</v>
      </c>
      <c r="C636" s="502">
        <v>2938.03</v>
      </c>
      <c r="D636" s="502">
        <v>5000</v>
      </c>
      <c r="E636" s="502">
        <v>5000</v>
      </c>
      <c r="F636" s="502">
        <v>4000</v>
      </c>
      <c r="G636" s="502">
        <v>-1000</v>
      </c>
    </row>
    <row r="637" spans="1:7" ht="15.75" customHeight="1" x14ac:dyDescent="0.2">
      <c r="A637" s="500" t="s">
        <v>934</v>
      </c>
      <c r="B637" s="501" t="s">
        <v>92</v>
      </c>
      <c r="C637" s="502">
        <v>52387.91</v>
      </c>
      <c r="D637" s="502">
        <v>50400</v>
      </c>
      <c r="E637" s="502">
        <v>50400</v>
      </c>
      <c r="F637" s="502">
        <v>50400</v>
      </c>
      <c r="G637" s="501">
        <v>0</v>
      </c>
    </row>
    <row r="638" spans="1:7" ht="15.75" customHeight="1" x14ac:dyDescent="0.2">
      <c r="A638" s="500" t="s">
        <v>935</v>
      </c>
      <c r="B638" s="501" t="s">
        <v>936</v>
      </c>
      <c r="C638" s="501">
        <v>0</v>
      </c>
      <c r="D638" s="502">
        <v>10000</v>
      </c>
      <c r="E638" s="502">
        <v>10000</v>
      </c>
      <c r="F638" s="501">
        <v>0</v>
      </c>
      <c r="G638" s="502">
        <v>-10000</v>
      </c>
    </row>
    <row r="639" spans="1:7" ht="15.75" customHeight="1" x14ac:dyDescent="0.2">
      <c r="A639" s="500" t="s">
        <v>937</v>
      </c>
      <c r="B639" s="501" t="s">
        <v>938</v>
      </c>
      <c r="C639" s="502">
        <v>34972.1</v>
      </c>
      <c r="D639" s="502">
        <v>50000</v>
      </c>
      <c r="E639" s="502">
        <v>50000</v>
      </c>
      <c r="F639" s="502">
        <v>45000</v>
      </c>
      <c r="G639" s="502">
        <v>-5000</v>
      </c>
    </row>
    <row r="640" spans="1:7" ht="15.75" customHeight="1" x14ac:dyDescent="0.2">
      <c r="A640" s="500" t="s">
        <v>939</v>
      </c>
      <c r="B640" s="501" t="s">
        <v>940</v>
      </c>
      <c r="C640" s="502">
        <v>6235.22</v>
      </c>
      <c r="D640" s="502">
        <v>12000</v>
      </c>
      <c r="E640" s="502">
        <v>12000</v>
      </c>
      <c r="F640" s="502">
        <v>10000</v>
      </c>
      <c r="G640" s="502">
        <v>-2000</v>
      </c>
    </row>
    <row r="641" spans="1:7" ht="15.75" customHeight="1" x14ac:dyDescent="0.2">
      <c r="A641" s="500" t="s">
        <v>941</v>
      </c>
      <c r="B641" s="501" t="s">
        <v>942</v>
      </c>
      <c r="C641" s="501">
        <v>177.7</v>
      </c>
      <c r="D641" s="502">
        <v>5000</v>
      </c>
      <c r="E641" s="502">
        <v>5000</v>
      </c>
      <c r="F641" s="502">
        <v>2500</v>
      </c>
      <c r="G641" s="502">
        <v>-2500</v>
      </c>
    </row>
    <row r="642" spans="1:7" ht="15.75" customHeight="1" x14ac:dyDescent="0.2">
      <c r="A642" s="500" t="s">
        <v>943</v>
      </c>
      <c r="B642" s="501" t="s">
        <v>944</v>
      </c>
      <c r="C642" s="501">
        <v>213.43</v>
      </c>
      <c r="D642" s="502">
        <v>10000</v>
      </c>
      <c r="E642" s="502">
        <v>10000</v>
      </c>
      <c r="F642" s="501">
        <v>0</v>
      </c>
      <c r="G642" s="502">
        <v>-10000</v>
      </c>
    </row>
    <row r="643" spans="1:7" ht="15.75" customHeight="1" x14ac:dyDescent="0.2">
      <c r="A643" s="500" t="s">
        <v>945</v>
      </c>
      <c r="B643" s="501" t="s">
        <v>94</v>
      </c>
      <c r="C643" s="501">
        <v>91.13</v>
      </c>
      <c r="D643" s="502">
        <v>8000</v>
      </c>
      <c r="E643" s="501">
        <v>0</v>
      </c>
      <c r="F643" s="501">
        <v>0</v>
      </c>
      <c r="G643" s="501">
        <v>0</v>
      </c>
    </row>
    <row r="644" spans="1:7" ht="15.75" customHeight="1" x14ac:dyDescent="0.2">
      <c r="A644" s="500" t="s">
        <v>946</v>
      </c>
      <c r="B644" s="501" t="s">
        <v>947</v>
      </c>
      <c r="C644" s="502">
        <v>4872.42</v>
      </c>
      <c r="D644" s="502">
        <v>8500</v>
      </c>
      <c r="E644" s="502">
        <v>10000</v>
      </c>
      <c r="F644" s="502">
        <v>10000</v>
      </c>
      <c r="G644" s="501">
        <v>0</v>
      </c>
    </row>
    <row r="645" spans="1:7" ht="15.75" customHeight="1" x14ac:dyDescent="0.2">
      <c r="A645" s="500" t="s">
        <v>948</v>
      </c>
      <c r="B645" s="501" t="s">
        <v>949</v>
      </c>
      <c r="C645" s="501">
        <v>0</v>
      </c>
      <c r="D645" s="502">
        <v>25000</v>
      </c>
      <c r="E645" s="502">
        <v>25000</v>
      </c>
      <c r="F645" s="501">
        <v>0</v>
      </c>
      <c r="G645" s="502">
        <v>-25000</v>
      </c>
    </row>
    <row r="646" spans="1:7" ht="15.75" customHeight="1" x14ac:dyDescent="0.2">
      <c r="A646" s="500" t="s">
        <v>950</v>
      </c>
      <c r="B646" s="501" t="s">
        <v>951</v>
      </c>
      <c r="C646" s="501">
        <v>0</v>
      </c>
      <c r="D646" s="502">
        <v>25000</v>
      </c>
      <c r="E646" s="502">
        <v>25000</v>
      </c>
      <c r="F646" s="502">
        <v>32000</v>
      </c>
      <c r="G646" s="502">
        <v>7000</v>
      </c>
    </row>
    <row r="647" spans="1:7" ht="15.75" customHeight="1" x14ac:dyDescent="0.2">
      <c r="A647" s="500" t="s">
        <v>952</v>
      </c>
      <c r="B647" s="501" t="s">
        <v>953</v>
      </c>
      <c r="C647" s="502">
        <v>34596.26</v>
      </c>
      <c r="D647" s="502">
        <v>45000</v>
      </c>
      <c r="E647" s="502">
        <v>40000</v>
      </c>
      <c r="F647" s="502">
        <v>40000</v>
      </c>
      <c r="G647" s="501">
        <v>0</v>
      </c>
    </row>
    <row r="648" spans="1:7" ht="15.75" customHeight="1" x14ac:dyDescent="0.2">
      <c r="A648" s="500" t="s">
        <v>954</v>
      </c>
      <c r="B648" s="501" t="s">
        <v>180</v>
      </c>
      <c r="C648" s="501">
        <v>0</v>
      </c>
      <c r="D648" s="501">
        <v>0</v>
      </c>
      <c r="E648" s="501">
        <v>0</v>
      </c>
      <c r="F648" s="501">
        <v>0</v>
      </c>
      <c r="G648" s="501">
        <v>0</v>
      </c>
    </row>
    <row r="649" spans="1:7" ht="15.75" customHeight="1" x14ac:dyDescent="0.2">
      <c r="A649" s="500" t="s">
        <v>955</v>
      </c>
      <c r="B649" s="501" t="s">
        <v>99</v>
      </c>
      <c r="C649" s="501">
        <v>0</v>
      </c>
      <c r="D649" s="501">
        <v>0</v>
      </c>
      <c r="E649" s="501">
        <v>0</v>
      </c>
      <c r="F649" s="501">
        <v>0</v>
      </c>
      <c r="G649" s="501">
        <v>0</v>
      </c>
    </row>
    <row r="650" spans="1:7" ht="15.75" customHeight="1" x14ac:dyDescent="0.2">
      <c r="A650" s="500" t="s">
        <v>2083</v>
      </c>
      <c r="B650" s="501" t="s">
        <v>2084</v>
      </c>
      <c r="C650" s="502">
        <v>581625.75</v>
      </c>
      <c r="D650" s="502">
        <v>707000</v>
      </c>
      <c r="E650" s="502">
        <v>427122</v>
      </c>
      <c r="F650" s="502">
        <v>427122</v>
      </c>
      <c r="G650" s="501">
        <v>0</v>
      </c>
    </row>
    <row r="651" spans="1:7" ht="15.75" customHeight="1" x14ac:dyDescent="0.2">
      <c r="A651" s="500" t="s">
        <v>1193</v>
      </c>
      <c r="B651" s="501" t="s">
        <v>68</v>
      </c>
      <c r="C651" s="502">
        <v>45268.69</v>
      </c>
      <c r="D651" s="502">
        <v>68693</v>
      </c>
      <c r="E651" s="502">
        <v>71300</v>
      </c>
      <c r="F651" s="502">
        <v>71300</v>
      </c>
      <c r="G651" s="501">
        <v>0</v>
      </c>
    </row>
    <row r="652" spans="1:7" ht="15.75" customHeight="1" x14ac:dyDescent="0.2">
      <c r="A652" s="500" t="s">
        <v>1194</v>
      </c>
      <c r="B652" s="501" t="s">
        <v>70</v>
      </c>
      <c r="C652" s="501">
        <v>139.71</v>
      </c>
      <c r="D652" s="502">
        <v>1625</v>
      </c>
      <c r="E652" s="502">
        <v>1700</v>
      </c>
      <c r="F652" s="502">
        <v>1075</v>
      </c>
      <c r="G652" s="501">
        <v>-625</v>
      </c>
    </row>
    <row r="653" spans="1:7" ht="15.75" customHeight="1" x14ac:dyDescent="0.2">
      <c r="A653" s="500" t="s">
        <v>1195</v>
      </c>
      <c r="B653" s="501" t="s">
        <v>132</v>
      </c>
      <c r="C653" s="501">
        <v>95.71</v>
      </c>
      <c r="D653" s="502">
        <v>2500</v>
      </c>
      <c r="E653" s="502">
        <v>2500</v>
      </c>
      <c r="F653" s="502">
        <v>2500</v>
      </c>
      <c r="G653" s="501">
        <v>0</v>
      </c>
    </row>
    <row r="654" spans="1:7" ht="15.75" customHeight="1" x14ac:dyDescent="0.2">
      <c r="A654" s="500" t="s">
        <v>1196</v>
      </c>
      <c r="B654" s="501" t="s">
        <v>72</v>
      </c>
      <c r="C654" s="502">
        <v>20638.150000000001</v>
      </c>
      <c r="D654" s="502">
        <v>37386</v>
      </c>
      <c r="E654" s="502">
        <v>36300</v>
      </c>
      <c r="F654" s="502">
        <v>36300</v>
      </c>
      <c r="G654" s="501">
        <v>0</v>
      </c>
    </row>
    <row r="655" spans="1:7" ht="15.75" customHeight="1" x14ac:dyDescent="0.2">
      <c r="A655" s="500" t="s">
        <v>1197</v>
      </c>
      <c r="B655" s="501" t="s">
        <v>74</v>
      </c>
      <c r="C655" s="501">
        <v>398</v>
      </c>
      <c r="D655" s="501">
        <v>800</v>
      </c>
      <c r="E655" s="502">
        <v>1200</v>
      </c>
      <c r="F655" s="501">
        <v>825</v>
      </c>
      <c r="G655" s="501">
        <v>-375</v>
      </c>
    </row>
    <row r="656" spans="1:7" ht="15.75" customHeight="1" x14ac:dyDescent="0.2">
      <c r="A656" s="500" t="s">
        <v>1198</v>
      </c>
      <c r="B656" s="501" t="s">
        <v>76</v>
      </c>
      <c r="C656" s="501">
        <v>638.53</v>
      </c>
      <c r="D656" s="501">
        <v>875</v>
      </c>
      <c r="E656" s="502">
        <v>1750</v>
      </c>
      <c r="F656" s="502">
        <v>1250</v>
      </c>
      <c r="G656" s="501">
        <v>-500</v>
      </c>
    </row>
    <row r="657" spans="1:7" ht="15.75" customHeight="1" x14ac:dyDescent="0.2">
      <c r="A657" s="500" t="s">
        <v>1199</v>
      </c>
      <c r="B657" s="501" t="s">
        <v>80</v>
      </c>
      <c r="C657" s="502">
        <v>1700.58</v>
      </c>
      <c r="D657" s="502">
        <v>1950</v>
      </c>
      <c r="E657" s="502">
        <v>2750</v>
      </c>
      <c r="F657" s="502">
        <v>2500</v>
      </c>
      <c r="G657" s="501">
        <v>-250</v>
      </c>
    </row>
    <row r="658" spans="1:7" ht="15.75" customHeight="1" x14ac:dyDescent="0.2">
      <c r="A658" s="500" t="s">
        <v>1200</v>
      </c>
      <c r="B658" s="501" t="s">
        <v>82</v>
      </c>
      <c r="C658" s="501">
        <v>817.48</v>
      </c>
      <c r="D658" s="502">
        <v>2625</v>
      </c>
      <c r="E658" s="502">
        <v>2625</v>
      </c>
      <c r="F658" s="502">
        <v>2500</v>
      </c>
      <c r="G658" s="501">
        <v>-125</v>
      </c>
    </row>
    <row r="659" spans="1:7" ht="15.75" customHeight="1" x14ac:dyDescent="0.2">
      <c r="A659" s="500" t="s">
        <v>1201</v>
      </c>
      <c r="B659" s="501" t="s">
        <v>115</v>
      </c>
      <c r="C659" s="501">
        <v>198.23</v>
      </c>
      <c r="D659" s="502">
        <v>1750</v>
      </c>
      <c r="E659" s="502">
        <v>1750</v>
      </c>
      <c r="F659" s="502">
        <v>1250</v>
      </c>
      <c r="G659" s="501">
        <v>-500</v>
      </c>
    </row>
    <row r="660" spans="1:7" ht="15.75" customHeight="1" x14ac:dyDescent="0.2">
      <c r="A660" s="500" t="s">
        <v>1202</v>
      </c>
      <c r="B660" s="501" t="s">
        <v>555</v>
      </c>
      <c r="C660" s="502">
        <v>14065.4</v>
      </c>
      <c r="D660" s="502">
        <v>27525</v>
      </c>
      <c r="E660" s="502">
        <v>27525</v>
      </c>
      <c r="F660" s="502">
        <v>25025</v>
      </c>
      <c r="G660" s="502">
        <v>-2500</v>
      </c>
    </row>
    <row r="661" spans="1:7" ht="15.75" customHeight="1" x14ac:dyDescent="0.2">
      <c r="A661" s="500" t="s">
        <v>1203</v>
      </c>
      <c r="B661" s="501" t="s">
        <v>277</v>
      </c>
      <c r="C661" s="502">
        <v>12590.23</v>
      </c>
      <c r="D661" s="502">
        <v>34700</v>
      </c>
      <c r="E661" s="502">
        <v>34700</v>
      </c>
      <c r="F661" s="502">
        <v>25000</v>
      </c>
      <c r="G661" s="502">
        <v>-9700</v>
      </c>
    </row>
    <row r="662" spans="1:7" ht="15.75" customHeight="1" x14ac:dyDescent="0.2">
      <c r="A662" s="500" t="s">
        <v>1204</v>
      </c>
      <c r="B662" s="501" t="s">
        <v>84</v>
      </c>
      <c r="C662" s="501">
        <v>461.19</v>
      </c>
      <c r="D662" s="502">
        <v>1250</v>
      </c>
      <c r="E662" s="502">
        <v>1100</v>
      </c>
      <c r="F662" s="502">
        <v>1100</v>
      </c>
      <c r="G662" s="501">
        <v>0</v>
      </c>
    </row>
    <row r="663" spans="1:7" ht="15.75" customHeight="1" x14ac:dyDescent="0.2">
      <c r="A663" s="500" t="s">
        <v>1205</v>
      </c>
      <c r="B663" s="501" t="s">
        <v>86</v>
      </c>
      <c r="C663" s="501">
        <v>0</v>
      </c>
      <c r="D663" s="502">
        <v>1250</v>
      </c>
      <c r="E663" s="502">
        <v>2500</v>
      </c>
      <c r="F663" s="502">
        <v>1250</v>
      </c>
      <c r="G663" s="502">
        <v>-1250</v>
      </c>
    </row>
    <row r="664" spans="1:7" ht="15.75" customHeight="1" x14ac:dyDescent="0.2">
      <c r="A664" s="500" t="s">
        <v>1206</v>
      </c>
      <c r="B664" s="501" t="s">
        <v>1160</v>
      </c>
      <c r="C664" s="501">
        <v>38.630000000000003</v>
      </c>
      <c r="D664" s="501">
        <v>0</v>
      </c>
      <c r="E664" s="501">
        <v>525</v>
      </c>
      <c r="F664" s="501">
        <v>525</v>
      </c>
      <c r="G664" s="501">
        <v>0</v>
      </c>
    </row>
    <row r="665" spans="1:7" ht="15.75" customHeight="1" x14ac:dyDescent="0.2">
      <c r="A665" s="500" t="s">
        <v>1207</v>
      </c>
      <c r="B665" s="501" t="s">
        <v>90</v>
      </c>
      <c r="C665" s="501">
        <v>442.89</v>
      </c>
      <c r="D665" s="501">
        <v>875</v>
      </c>
      <c r="E665" s="502">
        <v>2000</v>
      </c>
      <c r="F665" s="502">
        <v>1250</v>
      </c>
      <c r="G665" s="501">
        <v>-750</v>
      </c>
    </row>
    <row r="666" spans="1:7" ht="15.75" customHeight="1" x14ac:dyDescent="0.2">
      <c r="A666" s="500" t="s">
        <v>1208</v>
      </c>
      <c r="B666" s="501" t="s">
        <v>1209</v>
      </c>
      <c r="C666" s="501">
        <v>846.18</v>
      </c>
      <c r="D666" s="502">
        <v>1500</v>
      </c>
      <c r="E666" s="502">
        <v>1500</v>
      </c>
      <c r="F666" s="502">
        <v>1250</v>
      </c>
      <c r="G666" s="501">
        <v>-250</v>
      </c>
    </row>
    <row r="667" spans="1:7" ht="15.75" customHeight="1" x14ac:dyDescent="0.2">
      <c r="A667" s="500" t="s">
        <v>1210</v>
      </c>
      <c r="B667" s="501" t="s">
        <v>92</v>
      </c>
      <c r="C667" s="502">
        <v>1133.5999999999999</v>
      </c>
      <c r="D667" s="502">
        <v>1000</v>
      </c>
      <c r="E667" s="502">
        <v>1000</v>
      </c>
      <c r="F667" s="502">
        <v>1000</v>
      </c>
      <c r="G667" s="501">
        <v>0</v>
      </c>
    </row>
    <row r="668" spans="1:7" ht="15.75" customHeight="1" x14ac:dyDescent="0.2">
      <c r="A668" s="500" t="s">
        <v>1317</v>
      </c>
      <c r="B668" s="501" t="s">
        <v>68</v>
      </c>
      <c r="C668" s="502">
        <v>1050956.6000000001</v>
      </c>
      <c r="D668" s="502">
        <v>1357612.5</v>
      </c>
      <c r="E668" s="502">
        <v>1555800</v>
      </c>
      <c r="F668" s="502">
        <v>1555800</v>
      </c>
      <c r="G668" s="501">
        <v>0</v>
      </c>
    </row>
    <row r="669" spans="1:7" ht="15.75" customHeight="1" x14ac:dyDescent="0.2">
      <c r="A669" s="500" t="s">
        <v>1318</v>
      </c>
      <c r="B669" s="501" t="s">
        <v>70</v>
      </c>
      <c r="C669" s="502">
        <v>29658.04</v>
      </c>
      <c r="D669" s="502">
        <v>60000</v>
      </c>
      <c r="E669" s="502">
        <v>60000</v>
      </c>
      <c r="F669" s="502">
        <v>51000</v>
      </c>
      <c r="G669" s="502">
        <v>-9000</v>
      </c>
    </row>
    <row r="670" spans="1:7" ht="15.75" customHeight="1" x14ac:dyDescent="0.2">
      <c r="A670" s="500" t="s">
        <v>1319</v>
      </c>
      <c r="B670" s="501" t="s">
        <v>108</v>
      </c>
      <c r="C670" s="502">
        <v>145641.20000000001</v>
      </c>
      <c r="D670" s="502">
        <v>155000</v>
      </c>
      <c r="E670" s="502">
        <v>162000</v>
      </c>
      <c r="F670" s="502">
        <v>162000</v>
      </c>
      <c r="G670" s="501">
        <v>0</v>
      </c>
    </row>
    <row r="671" spans="1:7" ht="15.75" customHeight="1" x14ac:dyDescent="0.2">
      <c r="A671" s="500" t="s">
        <v>1320</v>
      </c>
      <c r="B671" s="501" t="s">
        <v>72</v>
      </c>
      <c r="C671" s="502">
        <v>517654.03</v>
      </c>
      <c r="D671" s="502">
        <v>796852</v>
      </c>
      <c r="E671" s="502">
        <v>761700</v>
      </c>
      <c r="F671" s="502">
        <v>761700</v>
      </c>
      <c r="G671" s="501">
        <v>0</v>
      </c>
    </row>
    <row r="672" spans="1:7" ht="15.75" customHeight="1" x14ac:dyDescent="0.2">
      <c r="A672" s="500" t="s">
        <v>1321</v>
      </c>
      <c r="B672" s="501" t="s">
        <v>892</v>
      </c>
      <c r="C672" s="502">
        <v>6870</v>
      </c>
      <c r="D672" s="502">
        <v>13000</v>
      </c>
      <c r="E672" s="502">
        <v>20000</v>
      </c>
      <c r="F672" s="502">
        <v>18000</v>
      </c>
      <c r="G672" s="502">
        <v>-2000</v>
      </c>
    </row>
    <row r="673" spans="1:7" ht="15.75" customHeight="1" x14ac:dyDescent="0.2">
      <c r="A673" s="500" t="s">
        <v>1322</v>
      </c>
      <c r="B673" s="501" t="s">
        <v>451</v>
      </c>
      <c r="C673" s="502">
        <v>2341.5</v>
      </c>
      <c r="D673" s="502">
        <v>32700</v>
      </c>
      <c r="E673" s="501">
        <v>0</v>
      </c>
      <c r="F673" s="502">
        <v>10000</v>
      </c>
      <c r="G673" s="502">
        <v>10000</v>
      </c>
    </row>
    <row r="674" spans="1:7" ht="15.75" customHeight="1" x14ac:dyDescent="0.2">
      <c r="A674" s="500" t="s">
        <v>1323</v>
      </c>
      <c r="B674" s="501" t="s">
        <v>74</v>
      </c>
      <c r="C674" s="502">
        <v>1231.23</v>
      </c>
      <c r="D674" s="502">
        <v>7000</v>
      </c>
      <c r="E674" s="502">
        <v>16000</v>
      </c>
      <c r="F674" s="502">
        <v>11000</v>
      </c>
      <c r="G674" s="502">
        <v>-5000</v>
      </c>
    </row>
    <row r="675" spans="1:7" ht="15.75" customHeight="1" x14ac:dyDescent="0.2">
      <c r="A675" s="500" t="s">
        <v>1324</v>
      </c>
      <c r="B675" s="501" t="s">
        <v>76</v>
      </c>
      <c r="C675" s="502">
        <v>6398.47</v>
      </c>
      <c r="D675" s="502">
        <v>10000</v>
      </c>
      <c r="E675" s="502">
        <v>12000</v>
      </c>
      <c r="F675" s="502">
        <v>8000</v>
      </c>
      <c r="G675" s="502">
        <v>-4000</v>
      </c>
    </row>
    <row r="676" spans="1:7" ht="15.75" customHeight="1" x14ac:dyDescent="0.2">
      <c r="A676" s="500" t="s">
        <v>1325</v>
      </c>
      <c r="B676" s="501" t="s">
        <v>80</v>
      </c>
      <c r="C676" s="502">
        <v>10668.39</v>
      </c>
      <c r="D676" s="502">
        <v>12000</v>
      </c>
      <c r="E676" s="502">
        <v>14000</v>
      </c>
      <c r="F676" s="502">
        <v>12000</v>
      </c>
      <c r="G676" s="502">
        <v>-2000</v>
      </c>
    </row>
    <row r="677" spans="1:7" ht="15.75" customHeight="1" x14ac:dyDescent="0.2">
      <c r="A677" s="500" t="s">
        <v>1326</v>
      </c>
      <c r="B677" s="501" t="s">
        <v>82</v>
      </c>
      <c r="C677" s="502">
        <v>252852.31</v>
      </c>
      <c r="D677" s="502">
        <v>345000</v>
      </c>
      <c r="E677" s="502">
        <v>420000</v>
      </c>
      <c r="F677" s="502">
        <v>400000</v>
      </c>
      <c r="G677" s="502">
        <v>-20000</v>
      </c>
    </row>
    <row r="678" spans="1:7" ht="15.75" customHeight="1" x14ac:dyDescent="0.2">
      <c r="A678" s="500" t="s">
        <v>1327</v>
      </c>
      <c r="B678" s="501" t="s">
        <v>115</v>
      </c>
      <c r="C678" s="502">
        <v>46859.57</v>
      </c>
      <c r="D678" s="502">
        <v>80500</v>
      </c>
      <c r="E678" s="502">
        <v>90000</v>
      </c>
      <c r="F678" s="502">
        <v>70000</v>
      </c>
      <c r="G678" s="502">
        <v>-20000</v>
      </c>
    </row>
    <row r="679" spans="1:7" ht="15.75" customHeight="1" x14ac:dyDescent="0.2">
      <c r="A679" s="500" t="s">
        <v>1328</v>
      </c>
      <c r="B679" s="501" t="s">
        <v>210</v>
      </c>
      <c r="C679" s="501">
        <v>0</v>
      </c>
      <c r="D679" s="501">
        <v>0</v>
      </c>
      <c r="E679" s="501">
        <v>0</v>
      </c>
      <c r="F679" s="501">
        <v>0</v>
      </c>
      <c r="G679" s="501">
        <v>0</v>
      </c>
    </row>
    <row r="680" spans="1:7" ht="15.75" customHeight="1" x14ac:dyDescent="0.2">
      <c r="A680" s="500" t="s">
        <v>1330</v>
      </c>
      <c r="B680" s="501" t="s">
        <v>84</v>
      </c>
      <c r="C680" s="502">
        <v>25189.119999999999</v>
      </c>
      <c r="D680" s="502">
        <v>31900</v>
      </c>
      <c r="E680" s="502">
        <v>32000</v>
      </c>
      <c r="F680" s="502">
        <v>30000</v>
      </c>
      <c r="G680" s="502">
        <v>-2000</v>
      </c>
    </row>
    <row r="681" spans="1:7" ht="15.75" customHeight="1" x14ac:dyDescent="0.2">
      <c r="A681" s="500" t="s">
        <v>1331</v>
      </c>
      <c r="B681" s="501" t="s">
        <v>210</v>
      </c>
      <c r="C681" s="502">
        <v>197494.8</v>
      </c>
      <c r="D681" s="502">
        <v>325000</v>
      </c>
      <c r="E681" s="502">
        <v>325000</v>
      </c>
      <c r="F681" s="502">
        <v>325000</v>
      </c>
      <c r="G681" s="501">
        <v>0</v>
      </c>
    </row>
    <row r="682" spans="1:7" ht="15.75" customHeight="1" x14ac:dyDescent="0.2">
      <c r="A682" s="500" t="s">
        <v>1332</v>
      </c>
      <c r="B682" s="501" t="s">
        <v>86</v>
      </c>
      <c r="C682" s="502">
        <v>3105</v>
      </c>
      <c r="D682" s="502">
        <v>20500</v>
      </c>
      <c r="E682" s="502">
        <v>15000</v>
      </c>
      <c r="F682" s="502">
        <v>12500</v>
      </c>
      <c r="G682" s="502">
        <v>-2500</v>
      </c>
    </row>
    <row r="683" spans="1:7" ht="15.75" customHeight="1" x14ac:dyDescent="0.2">
      <c r="A683" s="500" t="s">
        <v>1333</v>
      </c>
      <c r="B683" s="501" t="s">
        <v>88</v>
      </c>
      <c r="C683" s="501">
        <v>0</v>
      </c>
      <c r="D683" s="502">
        <v>14000</v>
      </c>
      <c r="E683" s="502">
        <v>30500</v>
      </c>
      <c r="F683" s="502">
        <v>30500</v>
      </c>
      <c r="G683" s="501">
        <v>0</v>
      </c>
    </row>
    <row r="684" spans="1:7" ht="15.75" customHeight="1" x14ac:dyDescent="0.2">
      <c r="A684" s="500" t="s">
        <v>1334</v>
      </c>
      <c r="B684" s="501" t="s">
        <v>90</v>
      </c>
      <c r="C684" s="502">
        <v>3020</v>
      </c>
      <c r="D684" s="502">
        <v>18000</v>
      </c>
      <c r="E684" s="502">
        <v>20000</v>
      </c>
      <c r="F684" s="502">
        <v>15000</v>
      </c>
      <c r="G684" s="502">
        <v>-5000</v>
      </c>
    </row>
    <row r="685" spans="1:7" ht="15.75" customHeight="1" x14ac:dyDescent="0.2">
      <c r="A685" s="500" t="s">
        <v>1335</v>
      </c>
      <c r="B685" s="501" t="s">
        <v>1336</v>
      </c>
      <c r="C685" s="502">
        <v>274221.46999999997</v>
      </c>
      <c r="D685" s="502">
        <v>451000</v>
      </c>
      <c r="E685" s="502">
        <v>631000</v>
      </c>
      <c r="F685" s="502">
        <v>531000</v>
      </c>
      <c r="G685" s="502">
        <v>-100000</v>
      </c>
    </row>
    <row r="686" spans="1:7" ht="15.75" customHeight="1" x14ac:dyDescent="0.2">
      <c r="A686" s="500" t="s">
        <v>1337</v>
      </c>
      <c r="B686" s="501" t="s">
        <v>1338</v>
      </c>
      <c r="C686" s="502">
        <v>865782.95</v>
      </c>
      <c r="D686" s="502">
        <v>880000</v>
      </c>
      <c r="E686" s="502">
        <v>880000</v>
      </c>
      <c r="F686" s="502">
        <v>880000</v>
      </c>
      <c r="G686" s="501">
        <v>0</v>
      </c>
    </row>
    <row r="687" spans="1:7" ht="15.75" customHeight="1" x14ac:dyDescent="0.2">
      <c r="A687" s="500" t="s">
        <v>1339</v>
      </c>
      <c r="B687" s="501" t="s">
        <v>1340</v>
      </c>
      <c r="C687" s="502">
        <v>563094.27</v>
      </c>
      <c r="D687" s="502">
        <v>500000</v>
      </c>
      <c r="E687" s="502">
        <v>500000</v>
      </c>
      <c r="F687" s="502">
        <v>500000</v>
      </c>
      <c r="G687" s="501">
        <v>0</v>
      </c>
    </row>
    <row r="688" spans="1:7" ht="15.75" customHeight="1" x14ac:dyDescent="0.2">
      <c r="A688" s="500" t="s">
        <v>1341</v>
      </c>
      <c r="B688" s="501" t="s">
        <v>1342</v>
      </c>
      <c r="C688" s="502">
        <v>13646.33</v>
      </c>
      <c r="D688" s="502">
        <v>75000</v>
      </c>
      <c r="E688" s="502">
        <v>75000</v>
      </c>
      <c r="F688" s="502">
        <v>50000</v>
      </c>
      <c r="G688" s="502">
        <v>-25000</v>
      </c>
    </row>
    <row r="689" spans="1:7" ht="15.75" customHeight="1" x14ac:dyDescent="0.2">
      <c r="A689" s="500" t="s">
        <v>1343</v>
      </c>
      <c r="B689" s="501" t="s">
        <v>1344</v>
      </c>
      <c r="C689" s="502">
        <v>154538.87</v>
      </c>
      <c r="D689" s="502">
        <v>275000</v>
      </c>
      <c r="E689" s="502">
        <v>250000</v>
      </c>
      <c r="F689" s="502">
        <v>250000</v>
      </c>
      <c r="G689" s="501">
        <v>0</v>
      </c>
    </row>
    <row r="690" spans="1:7" ht="15.75" customHeight="1" x14ac:dyDescent="0.2">
      <c r="A690" s="500" t="s">
        <v>1345</v>
      </c>
      <c r="B690" s="501" t="s">
        <v>1346</v>
      </c>
      <c r="C690" s="502">
        <v>155781.79999999999</v>
      </c>
      <c r="D690" s="502">
        <v>158000</v>
      </c>
      <c r="E690" s="502">
        <v>170000</v>
      </c>
      <c r="F690" s="502">
        <v>170000</v>
      </c>
      <c r="G690" s="501">
        <v>0</v>
      </c>
    </row>
    <row r="691" spans="1:7" ht="15.75" customHeight="1" x14ac:dyDescent="0.2">
      <c r="A691" s="500" t="s">
        <v>1347</v>
      </c>
      <c r="B691" s="501" t="s">
        <v>1348</v>
      </c>
      <c r="C691" s="502">
        <v>3241.35</v>
      </c>
      <c r="D691" s="502">
        <v>80000</v>
      </c>
      <c r="E691" s="502">
        <v>85000</v>
      </c>
      <c r="F691" s="502">
        <v>75000</v>
      </c>
      <c r="G691" s="502">
        <v>-10000</v>
      </c>
    </row>
    <row r="692" spans="1:7" ht="15.75" customHeight="1" x14ac:dyDescent="0.2">
      <c r="A692" s="500" t="s">
        <v>1349</v>
      </c>
      <c r="B692" s="501" t="s">
        <v>1350</v>
      </c>
      <c r="C692" s="502">
        <v>27006.34</v>
      </c>
      <c r="D692" s="502">
        <v>58000</v>
      </c>
      <c r="E692" s="502">
        <v>65000</v>
      </c>
      <c r="F692" s="502">
        <v>60000</v>
      </c>
      <c r="G692" s="502">
        <v>-5000</v>
      </c>
    </row>
    <row r="693" spans="1:7" ht="15.75" customHeight="1" x14ac:dyDescent="0.2">
      <c r="A693" s="500" t="s">
        <v>1351</v>
      </c>
      <c r="B693" s="501" t="s">
        <v>468</v>
      </c>
      <c r="C693" s="502">
        <v>8250.58</v>
      </c>
      <c r="D693" s="502">
        <v>20000</v>
      </c>
      <c r="E693" s="502">
        <v>22000</v>
      </c>
      <c r="F693" s="502">
        <v>20000</v>
      </c>
      <c r="G693" s="502">
        <v>-2000</v>
      </c>
    </row>
    <row r="694" spans="1:7" ht="15.75" customHeight="1" x14ac:dyDescent="0.2">
      <c r="A694" s="500" t="s">
        <v>1352</v>
      </c>
      <c r="B694" s="501" t="s">
        <v>92</v>
      </c>
      <c r="C694" s="502">
        <v>102814.84</v>
      </c>
      <c r="D694" s="502">
        <v>81000</v>
      </c>
      <c r="E694" s="502">
        <v>100000</v>
      </c>
      <c r="F694" s="502">
        <v>100000</v>
      </c>
      <c r="G694" s="501">
        <v>0</v>
      </c>
    </row>
    <row r="695" spans="1:7" ht="15.75" customHeight="1" x14ac:dyDescent="0.2">
      <c r="A695" s="500" t="s">
        <v>1353</v>
      </c>
      <c r="B695" s="501" t="s">
        <v>94</v>
      </c>
      <c r="C695" s="501">
        <v>0</v>
      </c>
      <c r="D695" s="502">
        <v>10000</v>
      </c>
      <c r="E695" s="502">
        <v>10000</v>
      </c>
      <c r="F695" s="502">
        <v>5000</v>
      </c>
      <c r="G695" s="502">
        <v>-5000</v>
      </c>
    </row>
    <row r="696" spans="1:7" ht="15.75" customHeight="1" x14ac:dyDescent="0.2">
      <c r="A696" s="500" t="s">
        <v>1354</v>
      </c>
      <c r="B696" s="501" t="s">
        <v>1355</v>
      </c>
      <c r="C696" s="501">
        <v>0</v>
      </c>
      <c r="D696" s="501">
        <v>0</v>
      </c>
      <c r="E696" s="501">
        <v>0</v>
      </c>
      <c r="F696" s="501">
        <v>0</v>
      </c>
      <c r="G696" s="501">
        <v>0</v>
      </c>
    </row>
    <row r="697" spans="1:7" ht="15.75" customHeight="1" x14ac:dyDescent="0.2">
      <c r="A697" s="500" t="s">
        <v>1356</v>
      </c>
      <c r="B697" s="501" t="s">
        <v>532</v>
      </c>
      <c r="C697" s="501">
        <v>0</v>
      </c>
      <c r="D697" s="501">
        <v>0</v>
      </c>
      <c r="E697" s="501">
        <v>0</v>
      </c>
      <c r="F697" s="501">
        <v>0</v>
      </c>
      <c r="G697" s="501">
        <v>0</v>
      </c>
    </row>
    <row r="698" spans="1:7" ht="15.75" customHeight="1" x14ac:dyDescent="0.2">
      <c r="A698" s="500" t="s">
        <v>1357</v>
      </c>
      <c r="B698" s="501" t="s">
        <v>99</v>
      </c>
      <c r="C698" s="501">
        <v>0</v>
      </c>
      <c r="D698" s="501">
        <v>0</v>
      </c>
      <c r="E698" s="501">
        <v>0</v>
      </c>
      <c r="F698" s="501">
        <v>0</v>
      </c>
      <c r="G698" s="501">
        <v>0</v>
      </c>
    </row>
    <row r="699" spans="1:7" ht="15.75" customHeight="1" x14ac:dyDescent="0.2">
      <c r="A699" s="500" t="s">
        <v>1358</v>
      </c>
      <c r="B699" s="501" t="s">
        <v>1359</v>
      </c>
      <c r="C699" s="501">
        <v>0</v>
      </c>
      <c r="D699" s="501">
        <v>0</v>
      </c>
      <c r="E699" s="501">
        <v>0</v>
      </c>
      <c r="F699" s="501">
        <v>0</v>
      </c>
      <c r="G699" s="501">
        <v>0</v>
      </c>
    </row>
    <row r="700" spans="1:7" ht="15.75" customHeight="1" x14ac:dyDescent="0.2">
      <c r="A700" s="500" t="s">
        <v>1459</v>
      </c>
      <c r="B700" s="501" t="s">
        <v>68</v>
      </c>
      <c r="C700" s="502">
        <v>192184.58</v>
      </c>
      <c r="D700" s="502">
        <v>252471.5</v>
      </c>
      <c r="E700" s="502">
        <v>277100</v>
      </c>
      <c r="F700" s="502">
        <v>277100</v>
      </c>
      <c r="G700" s="501">
        <v>0</v>
      </c>
    </row>
    <row r="701" spans="1:7" ht="15.75" customHeight="1" x14ac:dyDescent="0.2">
      <c r="A701" s="500" t="s">
        <v>1460</v>
      </c>
      <c r="B701" s="501" t="s">
        <v>70</v>
      </c>
      <c r="C701" s="502">
        <v>10028.75</v>
      </c>
      <c r="D701" s="502">
        <v>14000</v>
      </c>
      <c r="E701" s="502">
        <v>14000</v>
      </c>
      <c r="F701" s="502">
        <v>11900</v>
      </c>
      <c r="G701" s="502">
        <v>-2100</v>
      </c>
    </row>
    <row r="702" spans="1:7" ht="15.75" customHeight="1" x14ac:dyDescent="0.2">
      <c r="A702" s="500" t="s">
        <v>1461</v>
      </c>
      <c r="B702" s="501" t="s">
        <v>108</v>
      </c>
      <c r="C702" s="502">
        <v>127988.61</v>
      </c>
      <c r="D702" s="502">
        <v>146000</v>
      </c>
      <c r="E702" s="502">
        <v>155000</v>
      </c>
      <c r="F702" s="502">
        <v>144000</v>
      </c>
      <c r="G702" s="502">
        <v>-11000</v>
      </c>
    </row>
    <row r="703" spans="1:7" ht="15.75" customHeight="1" x14ac:dyDescent="0.2">
      <c r="A703" s="500" t="s">
        <v>1462</v>
      </c>
      <c r="B703" s="501" t="s">
        <v>72</v>
      </c>
      <c r="C703" s="502">
        <v>117890.01</v>
      </c>
      <c r="D703" s="502">
        <v>156359</v>
      </c>
      <c r="E703" s="502">
        <v>167800</v>
      </c>
      <c r="F703" s="502">
        <v>166800</v>
      </c>
      <c r="G703" s="502">
        <v>-1000</v>
      </c>
    </row>
    <row r="704" spans="1:7" ht="15.75" customHeight="1" x14ac:dyDescent="0.2">
      <c r="A704" s="500" t="s">
        <v>1463</v>
      </c>
      <c r="B704" s="501" t="s">
        <v>892</v>
      </c>
      <c r="C704" s="502">
        <v>2520</v>
      </c>
      <c r="D704" s="502">
        <v>5000</v>
      </c>
      <c r="E704" s="502">
        <v>5000</v>
      </c>
      <c r="F704" s="502">
        <v>5000</v>
      </c>
      <c r="G704" s="501">
        <v>0</v>
      </c>
    </row>
    <row r="705" spans="1:7" ht="15.75" customHeight="1" x14ac:dyDescent="0.2">
      <c r="A705" s="500" t="s">
        <v>1464</v>
      </c>
      <c r="B705" s="501" t="s">
        <v>451</v>
      </c>
      <c r="C705" s="501">
        <v>363.75</v>
      </c>
      <c r="D705" s="502">
        <v>6200</v>
      </c>
      <c r="E705" s="501">
        <v>0</v>
      </c>
      <c r="F705" s="502">
        <v>2000</v>
      </c>
      <c r="G705" s="502">
        <v>2000</v>
      </c>
    </row>
    <row r="706" spans="1:7" ht="15.75" customHeight="1" x14ac:dyDescent="0.2">
      <c r="A706" s="500" t="s">
        <v>1465</v>
      </c>
      <c r="B706" s="501" t="s">
        <v>74</v>
      </c>
      <c r="C706" s="501">
        <v>501</v>
      </c>
      <c r="D706" s="502">
        <v>5000</v>
      </c>
      <c r="E706" s="501">
        <v>725</v>
      </c>
      <c r="F706" s="501">
        <v>725</v>
      </c>
      <c r="G706" s="501">
        <v>0</v>
      </c>
    </row>
    <row r="707" spans="1:7" ht="15.75" customHeight="1" x14ac:dyDescent="0.2">
      <c r="A707" s="500" t="s">
        <v>1466</v>
      </c>
      <c r="B707" s="501" t="s">
        <v>76</v>
      </c>
      <c r="C707" s="501">
        <v>93.28</v>
      </c>
      <c r="D707" s="502">
        <v>3400</v>
      </c>
      <c r="E707" s="502">
        <v>3500</v>
      </c>
      <c r="F707" s="502">
        <v>2500</v>
      </c>
      <c r="G707" s="502">
        <v>-1000</v>
      </c>
    </row>
    <row r="708" spans="1:7" ht="15.75" customHeight="1" x14ac:dyDescent="0.2">
      <c r="A708" s="500" t="s">
        <v>1467</v>
      </c>
      <c r="B708" s="501" t="s">
        <v>80</v>
      </c>
      <c r="C708" s="502">
        <v>6344.22</v>
      </c>
      <c r="D708" s="502">
        <v>7000</v>
      </c>
      <c r="E708" s="502">
        <v>7400</v>
      </c>
      <c r="F708" s="502">
        <v>7400</v>
      </c>
      <c r="G708" s="501">
        <v>0</v>
      </c>
    </row>
    <row r="709" spans="1:7" ht="15.75" customHeight="1" x14ac:dyDescent="0.2">
      <c r="A709" s="500" t="s">
        <v>1468</v>
      </c>
      <c r="B709" s="501" t="s">
        <v>82</v>
      </c>
      <c r="C709" s="502">
        <v>18740.82</v>
      </c>
      <c r="D709" s="502">
        <v>51000</v>
      </c>
      <c r="E709" s="502">
        <v>52530</v>
      </c>
      <c r="F709" s="502">
        <v>40000</v>
      </c>
      <c r="G709" s="502">
        <v>-12530</v>
      </c>
    </row>
    <row r="710" spans="1:7" ht="15.75" customHeight="1" x14ac:dyDescent="0.2">
      <c r="A710" s="500" t="s">
        <v>1469</v>
      </c>
      <c r="B710" s="501" t="s">
        <v>115</v>
      </c>
      <c r="C710" s="502">
        <v>10811.9</v>
      </c>
      <c r="D710" s="502">
        <v>17500</v>
      </c>
      <c r="E710" s="502">
        <v>19025</v>
      </c>
      <c r="F710" s="502">
        <v>19025</v>
      </c>
      <c r="G710" s="501">
        <v>0</v>
      </c>
    </row>
    <row r="711" spans="1:7" ht="15.75" customHeight="1" x14ac:dyDescent="0.2">
      <c r="A711" s="500" t="s">
        <v>1470</v>
      </c>
      <c r="B711" s="501" t="s">
        <v>210</v>
      </c>
      <c r="C711" s="502">
        <v>1604.39</v>
      </c>
      <c r="D711" s="501">
        <v>0</v>
      </c>
      <c r="E711" s="501">
        <v>0</v>
      </c>
      <c r="F711" s="501">
        <v>0</v>
      </c>
      <c r="G711" s="501">
        <v>0</v>
      </c>
    </row>
    <row r="712" spans="1:7" ht="15.75" customHeight="1" x14ac:dyDescent="0.2">
      <c r="A712" s="500" t="s">
        <v>1471</v>
      </c>
      <c r="B712" s="501" t="s">
        <v>84</v>
      </c>
      <c r="C712" s="502">
        <v>7617.54</v>
      </c>
      <c r="D712" s="502">
        <v>9700</v>
      </c>
      <c r="E712" s="502">
        <v>10000</v>
      </c>
      <c r="F712" s="502">
        <v>10000</v>
      </c>
      <c r="G712" s="501">
        <v>0</v>
      </c>
    </row>
    <row r="713" spans="1:7" ht="15.75" customHeight="1" x14ac:dyDescent="0.2">
      <c r="A713" s="500" t="s">
        <v>1472</v>
      </c>
      <c r="B713" s="501" t="s">
        <v>210</v>
      </c>
      <c r="C713" s="502">
        <v>16576.23</v>
      </c>
      <c r="D713" s="502">
        <v>40000</v>
      </c>
      <c r="E713" s="502">
        <v>40000</v>
      </c>
      <c r="F713" s="502">
        <v>30000</v>
      </c>
      <c r="G713" s="502">
        <v>-10000</v>
      </c>
    </row>
    <row r="714" spans="1:7" ht="15.75" customHeight="1" x14ac:dyDescent="0.2">
      <c r="A714" s="500" t="s">
        <v>1473</v>
      </c>
      <c r="B714" s="501" t="s">
        <v>1450</v>
      </c>
      <c r="C714" s="502">
        <v>80644.27</v>
      </c>
      <c r="D714" s="502">
        <v>120000</v>
      </c>
      <c r="E714" s="502">
        <v>123600</v>
      </c>
      <c r="F714" s="502">
        <v>123600</v>
      </c>
      <c r="G714" s="501">
        <v>0</v>
      </c>
    </row>
    <row r="715" spans="1:7" ht="15.75" customHeight="1" x14ac:dyDescent="0.2">
      <c r="A715" s="500" t="s">
        <v>1474</v>
      </c>
      <c r="B715" s="501" t="s">
        <v>1452</v>
      </c>
      <c r="C715" s="502">
        <v>16259.81</v>
      </c>
      <c r="D715" s="502">
        <v>60000</v>
      </c>
      <c r="E715" s="502">
        <v>60000</v>
      </c>
      <c r="F715" s="502">
        <v>30000</v>
      </c>
      <c r="G715" s="502">
        <v>-30000</v>
      </c>
    </row>
    <row r="716" spans="1:7" ht="15.75" customHeight="1" x14ac:dyDescent="0.2">
      <c r="A716" s="500" t="s">
        <v>1475</v>
      </c>
      <c r="B716" s="501" t="s">
        <v>86</v>
      </c>
      <c r="C716" s="502">
        <v>2500</v>
      </c>
      <c r="D716" s="502">
        <v>11000</v>
      </c>
      <c r="E716" s="502">
        <v>11400</v>
      </c>
      <c r="F716" s="502">
        <v>11400</v>
      </c>
      <c r="G716" s="501">
        <v>0</v>
      </c>
    </row>
    <row r="717" spans="1:7" ht="15.75" customHeight="1" x14ac:dyDescent="0.2">
      <c r="A717" s="500" t="s">
        <v>1476</v>
      </c>
      <c r="B717" s="501" t="s">
        <v>88</v>
      </c>
      <c r="C717" s="501">
        <v>0</v>
      </c>
      <c r="D717" s="501">
        <v>0</v>
      </c>
      <c r="E717" s="502">
        <v>7150</v>
      </c>
      <c r="F717" s="502">
        <v>2150</v>
      </c>
      <c r="G717" s="502">
        <v>-5000</v>
      </c>
    </row>
    <row r="718" spans="1:7" ht="15.75" customHeight="1" x14ac:dyDescent="0.2">
      <c r="A718" s="500" t="s">
        <v>1477</v>
      </c>
      <c r="B718" s="501" t="s">
        <v>90</v>
      </c>
      <c r="C718" s="501">
        <v>860</v>
      </c>
      <c r="D718" s="502">
        <v>4800</v>
      </c>
      <c r="E718" s="502">
        <v>5000</v>
      </c>
      <c r="F718" s="502">
        <v>4000</v>
      </c>
      <c r="G718" s="502">
        <v>-1000</v>
      </c>
    </row>
    <row r="719" spans="1:7" ht="15.75" customHeight="1" x14ac:dyDescent="0.2">
      <c r="A719" s="500" t="s">
        <v>1478</v>
      </c>
      <c r="B719" s="501" t="s">
        <v>1209</v>
      </c>
      <c r="C719" s="502">
        <v>3148.65</v>
      </c>
      <c r="D719" s="502">
        <v>5750</v>
      </c>
      <c r="E719" s="502">
        <v>6000</v>
      </c>
      <c r="F719" s="502">
        <v>5000</v>
      </c>
      <c r="G719" s="502">
        <v>-1000</v>
      </c>
    </row>
    <row r="720" spans="1:7" ht="15.75" customHeight="1" x14ac:dyDescent="0.2">
      <c r="A720" s="500" t="s">
        <v>1479</v>
      </c>
      <c r="B720" s="501" t="s">
        <v>92</v>
      </c>
      <c r="C720" s="502">
        <v>8757.0300000000007</v>
      </c>
      <c r="D720" s="502">
        <v>7000</v>
      </c>
      <c r="E720" s="502">
        <v>7000</v>
      </c>
      <c r="F720" s="502">
        <v>7000</v>
      </c>
      <c r="G720" s="501">
        <v>0</v>
      </c>
    </row>
    <row r="721" spans="1:7" ht="15.75" customHeight="1" x14ac:dyDescent="0.2">
      <c r="A721" s="500" t="s">
        <v>1480</v>
      </c>
      <c r="B721" s="501" t="s">
        <v>1481</v>
      </c>
      <c r="C721" s="501">
        <v>0</v>
      </c>
      <c r="D721" s="501">
        <v>0</v>
      </c>
      <c r="E721" s="501">
        <v>0</v>
      </c>
      <c r="F721" s="502">
        <v>5000</v>
      </c>
      <c r="G721" s="502">
        <v>5000</v>
      </c>
    </row>
    <row r="722" spans="1:7" ht="15.75" customHeight="1" x14ac:dyDescent="0.2">
      <c r="A722" s="500" t="s">
        <v>1482</v>
      </c>
      <c r="B722" s="501" t="s">
        <v>1011</v>
      </c>
      <c r="C722" s="501">
        <v>0</v>
      </c>
      <c r="D722" s="502">
        <v>7200</v>
      </c>
      <c r="E722" s="502">
        <v>7200</v>
      </c>
      <c r="F722" s="501">
        <v>0</v>
      </c>
      <c r="G722" s="502">
        <v>-7200</v>
      </c>
    </row>
    <row r="723" spans="1:7" ht="15.75" customHeight="1" x14ac:dyDescent="0.2">
      <c r="A723" s="500" t="s">
        <v>1483</v>
      </c>
      <c r="B723" s="501" t="s">
        <v>99</v>
      </c>
      <c r="C723" s="501">
        <v>0</v>
      </c>
      <c r="D723" s="501">
        <v>0</v>
      </c>
      <c r="E723" s="501">
        <v>0</v>
      </c>
      <c r="F723" s="501">
        <v>0</v>
      </c>
      <c r="G723" s="501">
        <v>0</v>
      </c>
    </row>
    <row r="724" spans="1:7" ht="15.75" customHeight="1" x14ac:dyDescent="0.2">
      <c r="A724" s="500" t="s">
        <v>1238</v>
      </c>
      <c r="B724" s="501" t="s">
        <v>68</v>
      </c>
      <c r="C724" s="502">
        <v>29967.42</v>
      </c>
      <c r="D724" s="502">
        <v>67492.5</v>
      </c>
      <c r="E724" s="502">
        <v>86700</v>
      </c>
      <c r="F724" s="502">
        <v>86700</v>
      </c>
      <c r="G724" s="501">
        <v>0</v>
      </c>
    </row>
    <row r="725" spans="1:7" ht="15.75" customHeight="1" x14ac:dyDescent="0.2">
      <c r="A725" s="500" t="s">
        <v>1239</v>
      </c>
      <c r="B725" s="501" t="s">
        <v>70</v>
      </c>
      <c r="C725" s="501">
        <v>703.04</v>
      </c>
      <c r="D725" s="502">
        <v>1375</v>
      </c>
      <c r="E725" s="502">
        <v>1400</v>
      </c>
      <c r="F725" s="502">
        <v>1250</v>
      </c>
      <c r="G725" s="501">
        <v>-150</v>
      </c>
    </row>
    <row r="726" spans="1:7" ht="15.75" customHeight="1" x14ac:dyDescent="0.2">
      <c r="A726" s="500" t="s">
        <v>1240</v>
      </c>
      <c r="B726" s="501" t="s">
        <v>132</v>
      </c>
      <c r="C726" s="501">
        <v>0</v>
      </c>
      <c r="D726" s="502">
        <v>5000</v>
      </c>
      <c r="E726" s="502">
        <v>5000</v>
      </c>
      <c r="F726" s="502">
        <v>5000</v>
      </c>
      <c r="G726" s="501">
        <v>0</v>
      </c>
    </row>
    <row r="727" spans="1:7" ht="15.75" customHeight="1" x14ac:dyDescent="0.2">
      <c r="A727" s="500" t="s">
        <v>1242</v>
      </c>
      <c r="B727" s="501" t="s">
        <v>72</v>
      </c>
      <c r="C727" s="502">
        <v>15366.86</v>
      </c>
      <c r="D727" s="502">
        <v>45370.5</v>
      </c>
      <c r="E727" s="502">
        <v>44400</v>
      </c>
      <c r="F727" s="502">
        <v>44400</v>
      </c>
      <c r="G727" s="501">
        <v>0</v>
      </c>
    </row>
    <row r="728" spans="1:7" ht="15.75" customHeight="1" x14ac:dyDescent="0.2">
      <c r="A728" s="500" t="s">
        <v>1243</v>
      </c>
      <c r="B728" s="501" t="s">
        <v>74</v>
      </c>
      <c r="C728" s="501">
        <v>72.75</v>
      </c>
      <c r="D728" s="502">
        <v>1075</v>
      </c>
      <c r="E728" s="502">
        <v>1075</v>
      </c>
      <c r="F728" s="502">
        <v>1000</v>
      </c>
      <c r="G728" s="501">
        <v>-75</v>
      </c>
    </row>
    <row r="729" spans="1:7" ht="15.75" customHeight="1" x14ac:dyDescent="0.2">
      <c r="A729" s="500" t="s">
        <v>1244</v>
      </c>
      <c r="B729" s="501" t="s">
        <v>76</v>
      </c>
      <c r="C729" s="501">
        <v>223.95</v>
      </c>
      <c r="D729" s="502">
        <v>2875</v>
      </c>
      <c r="E729" s="502">
        <v>3500</v>
      </c>
      <c r="F729" s="502">
        <v>2500</v>
      </c>
      <c r="G729" s="502">
        <v>-1000</v>
      </c>
    </row>
    <row r="730" spans="1:7" ht="15.75" customHeight="1" x14ac:dyDescent="0.2">
      <c r="A730" s="500" t="s">
        <v>1245</v>
      </c>
      <c r="B730" s="501" t="s">
        <v>80</v>
      </c>
      <c r="C730" s="501">
        <v>346.32</v>
      </c>
      <c r="D730" s="502">
        <v>2375</v>
      </c>
      <c r="E730" s="502">
        <v>1375</v>
      </c>
      <c r="F730" s="502">
        <v>1250</v>
      </c>
      <c r="G730" s="501">
        <v>-125</v>
      </c>
    </row>
    <row r="731" spans="1:7" ht="15.75" customHeight="1" x14ac:dyDescent="0.2">
      <c r="A731" s="500" t="s">
        <v>1246</v>
      </c>
      <c r="B731" s="501" t="s">
        <v>82</v>
      </c>
      <c r="C731" s="501">
        <v>757.05</v>
      </c>
      <c r="D731" s="502">
        <v>6125</v>
      </c>
      <c r="E731" s="502">
        <v>6125</v>
      </c>
      <c r="F731" s="502">
        <v>5000</v>
      </c>
      <c r="G731" s="502">
        <v>-1125</v>
      </c>
    </row>
    <row r="732" spans="1:7" ht="15.75" customHeight="1" x14ac:dyDescent="0.2">
      <c r="A732" s="500" t="s">
        <v>1247</v>
      </c>
      <c r="B732" s="501" t="s">
        <v>115</v>
      </c>
      <c r="C732" s="501">
        <v>0</v>
      </c>
      <c r="D732" s="502">
        <v>1250</v>
      </c>
      <c r="E732" s="502">
        <v>1500</v>
      </c>
      <c r="F732" s="502">
        <v>1000</v>
      </c>
      <c r="G732" s="501">
        <v>-500</v>
      </c>
    </row>
    <row r="733" spans="1:7" ht="15.75" customHeight="1" x14ac:dyDescent="0.2">
      <c r="A733" s="500" t="s">
        <v>1248</v>
      </c>
      <c r="B733" s="501" t="s">
        <v>84</v>
      </c>
      <c r="C733" s="501">
        <v>408.42</v>
      </c>
      <c r="D733" s="502">
        <v>1900</v>
      </c>
      <c r="E733" s="502">
        <v>1900</v>
      </c>
      <c r="F733" s="502">
        <v>1650</v>
      </c>
      <c r="G733" s="501">
        <v>-250</v>
      </c>
    </row>
    <row r="734" spans="1:7" ht="15.75" customHeight="1" x14ac:dyDescent="0.2">
      <c r="A734" s="500" t="s">
        <v>1249</v>
      </c>
      <c r="B734" s="501" t="s">
        <v>86</v>
      </c>
      <c r="C734" s="502">
        <v>20595.189999999999</v>
      </c>
      <c r="D734" s="502">
        <v>48750</v>
      </c>
      <c r="E734" s="502">
        <v>41250</v>
      </c>
      <c r="F734" s="502">
        <v>40000</v>
      </c>
      <c r="G734" s="502">
        <v>-1250</v>
      </c>
    </row>
    <row r="735" spans="1:7" ht="15.75" customHeight="1" x14ac:dyDescent="0.2">
      <c r="A735" s="500" t="s">
        <v>1250</v>
      </c>
      <c r="B735" s="501" t="s">
        <v>88</v>
      </c>
      <c r="C735" s="502">
        <v>3040.13</v>
      </c>
      <c r="D735" s="502">
        <v>4600</v>
      </c>
      <c r="E735" s="502">
        <v>4850</v>
      </c>
      <c r="F735" s="502">
        <v>4850</v>
      </c>
      <c r="G735" s="501">
        <v>0</v>
      </c>
    </row>
    <row r="736" spans="1:7" ht="15.75" customHeight="1" x14ac:dyDescent="0.2">
      <c r="A736" s="500" t="s">
        <v>1251</v>
      </c>
      <c r="B736" s="501" t="s">
        <v>1252</v>
      </c>
      <c r="C736" s="502">
        <v>1812.5</v>
      </c>
      <c r="D736" s="502">
        <v>56962</v>
      </c>
      <c r="E736" s="502">
        <v>2500</v>
      </c>
      <c r="F736" s="502">
        <v>2500</v>
      </c>
      <c r="G736" s="501">
        <v>0</v>
      </c>
    </row>
    <row r="737" spans="1:7" ht="15.75" customHeight="1" x14ac:dyDescent="0.2">
      <c r="A737" s="500" t="s">
        <v>1253</v>
      </c>
      <c r="B737" s="501" t="s">
        <v>1254</v>
      </c>
      <c r="C737" s="502">
        <v>5906.93</v>
      </c>
      <c r="D737" s="502">
        <v>10000</v>
      </c>
      <c r="E737" s="502">
        <v>10000</v>
      </c>
      <c r="F737" s="502">
        <v>10000</v>
      </c>
      <c r="G737" s="501">
        <v>0</v>
      </c>
    </row>
    <row r="738" spans="1:7" ht="15.75" customHeight="1" x14ac:dyDescent="0.2">
      <c r="A738" s="500" t="s">
        <v>1255</v>
      </c>
      <c r="B738" s="501" t="s">
        <v>1256</v>
      </c>
      <c r="C738" s="502">
        <v>9107.19</v>
      </c>
      <c r="D738" s="502">
        <v>6250</v>
      </c>
      <c r="E738" s="502">
        <v>15000</v>
      </c>
      <c r="F738" s="502">
        <v>15000</v>
      </c>
      <c r="G738" s="501">
        <v>0</v>
      </c>
    </row>
    <row r="739" spans="1:7" ht="15.75" customHeight="1" x14ac:dyDescent="0.2">
      <c r="A739" s="500" t="s">
        <v>1257</v>
      </c>
      <c r="B739" s="501" t="s">
        <v>1258</v>
      </c>
      <c r="C739" s="502">
        <v>5968.07</v>
      </c>
      <c r="D739" s="502">
        <v>25000</v>
      </c>
      <c r="E739" s="502">
        <v>6250</v>
      </c>
      <c r="F739" s="502">
        <v>6250</v>
      </c>
      <c r="G739" s="501">
        <v>0</v>
      </c>
    </row>
    <row r="740" spans="1:7" ht="15.75" customHeight="1" x14ac:dyDescent="0.2">
      <c r="A740" s="500" t="s">
        <v>1259</v>
      </c>
      <c r="B740" s="501" t="s">
        <v>90</v>
      </c>
      <c r="C740" s="501">
        <v>770.53</v>
      </c>
      <c r="D740" s="502">
        <v>1500</v>
      </c>
      <c r="E740" s="502">
        <v>1500</v>
      </c>
      <c r="F740" s="502">
        <v>1250</v>
      </c>
      <c r="G740" s="501">
        <v>-250</v>
      </c>
    </row>
    <row r="741" spans="1:7" ht="15.75" customHeight="1" x14ac:dyDescent="0.2">
      <c r="A741" s="500" t="s">
        <v>1260</v>
      </c>
      <c r="B741" s="501" t="s">
        <v>1261</v>
      </c>
      <c r="C741" s="501">
        <v>0</v>
      </c>
      <c r="D741" s="501">
        <v>0</v>
      </c>
      <c r="E741" s="502">
        <v>25000</v>
      </c>
      <c r="F741" s="502">
        <v>25000</v>
      </c>
      <c r="G741" s="501">
        <v>0</v>
      </c>
    </row>
    <row r="742" spans="1:7" ht="15.75" customHeight="1" x14ac:dyDescent="0.2">
      <c r="A742" s="500" t="s">
        <v>1262</v>
      </c>
      <c r="B742" s="501" t="s">
        <v>92</v>
      </c>
      <c r="C742" s="501">
        <v>757.16</v>
      </c>
      <c r="D742" s="502">
        <v>1000</v>
      </c>
      <c r="E742" s="502">
        <v>1000</v>
      </c>
      <c r="F742" s="502">
        <v>1000</v>
      </c>
      <c r="G742" s="501">
        <v>0</v>
      </c>
    </row>
    <row r="743" spans="1:7" ht="15.75" customHeight="1" x14ac:dyDescent="0.2">
      <c r="A743" s="500" t="s">
        <v>1263</v>
      </c>
      <c r="B743" s="501" t="s">
        <v>99</v>
      </c>
      <c r="C743" s="501">
        <v>0</v>
      </c>
      <c r="D743" s="501">
        <v>0</v>
      </c>
      <c r="E743" s="501">
        <v>0</v>
      </c>
      <c r="F743" s="501">
        <v>0</v>
      </c>
      <c r="G743" s="501">
        <v>0</v>
      </c>
    </row>
    <row r="744" spans="1:7" ht="15.75" customHeight="1" x14ac:dyDescent="0.2">
      <c r="A744" s="500" t="s">
        <v>1264</v>
      </c>
      <c r="B744" s="501" t="s">
        <v>1265</v>
      </c>
      <c r="C744" s="501">
        <v>0</v>
      </c>
      <c r="D744" s="501">
        <v>0</v>
      </c>
      <c r="E744" s="501">
        <v>0</v>
      </c>
      <c r="F744" s="501">
        <v>0</v>
      </c>
      <c r="G744" s="501">
        <v>0</v>
      </c>
    </row>
    <row r="745" spans="1:7" ht="15.75" customHeight="1" x14ac:dyDescent="0.2">
      <c r="A745" s="500" t="s">
        <v>1570</v>
      </c>
      <c r="B745" s="501" t="s">
        <v>68</v>
      </c>
      <c r="C745" s="502">
        <v>271552.90999999997</v>
      </c>
      <c r="D745" s="502">
        <v>364501.5</v>
      </c>
      <c r="E745" s="502">
        <v>380200</v>
      </c>
      <c r="F745" s="502">
        <v>380200</v>
      </c>
      <c r="G745" s="501">
        <v>0</v>
      </c>
    </row>
    <row r="746" spans="1:7" ht="15.75" customHeight="1" x14ac:dyDescent="0.2">
      <c r="A746" s="500" t="s">
        <v>1571</v>
      </c>
      <c r="B746" s="501" t="s">
        <v>70</v>
      </c>
      <c r="C746" s="502">
        <v>18097.150000000001</v>
      </c>
      <c r="D746" s="502">
        <v>15000</v>
      </c>
      <c r="E746" s="502">
        <v>15000</v>
      </c>
      <c r="F746" s="502">
        <v>15000</v>
      </c>
      <c r="G746" s="501">
        <v>0</v>
      </c>
    </row>
    <row r="747" spans="1:7" ht="15.75" customHeight="1" x14ac:dyDescent="0.2">
      <c r="A747" s="500" t="s">
        <v>1572</v>
      </c>
      <c r="B747" s="501" t="s">
        <v>132</v>
      </c>
      <c r="C747" s="502">
        <v>58310.73</v>
      </c>
      <c r="D747" s="502">
        <v>101055.5</v>
      </c>
      <c r="E747" s="502">
        <v>106600</v>
      </c>
      <c r="F747" s="502">
        <v>106600</v>
      </c>
      <c r="G747" s="501">
        <v>0</v>
      </c>
    </row>
    <row r="748" spans="1:7" ht="15.75" customHeight="1" x14ac:dyDescent="0.2">
      <c r="A748" s="500" t="s">
        <v>1573</v>
      </c>
      <c r="B748" s="501" t="s">
        <v>108</v>
      </c>
      <c r="C748" s="502">
        <v>45193.52</v>
      </c>
      <c r="D748" s="502">
        <v>87500</v>
      </c>
      <c r="E748" s="502">
        <v>88500</v>
      </c>
      <c r="F748" s="502">
        <v>88500</v>
      </c>
      <c r="G748" s="501">
        <v>0</v>
      </c>
    </row>
    <row r="749" spans="1:7" ht="15.75" customHeight="1" x14ac:dyDescent="0.2">
      <c r="A749" s="500" t="s">
        <v>1574</v>
      </c>
      <c r="B749" s="501" t="s">
        <v>72</v>
      </c>
      <c r="C749" s="502">
        <v>138313.23000000001</v>
      </c>
      <c r="D749" s="502">
        <v>216416</v>
      </c>
      <c r="E749" s="502">
        <v>229400</v>
      </c>
      <c r="F749" s="502">
        <v>229400</v>
      </c>
      <c r="G749" s="501">
        <v>0</v>
      </c>
    </row>
    <row r="750" spans="1:7" ht="15.75" customHeight="1" x14ac:dyDescent="0.2">
      <c r="A750" s="500" t="s">
        <v>1575</v>
      </c>
      <c r="B750" s="501" t="s">
        <v>451</v>
      </c>
      <c r="C750" s="502">
        <v>6318.63</v>
      </c>
      <c r="D750" s="502">
        <v>11000</v>
      </c>
      <c r="E750" s="502">
        <v>11000</v>
      </c>
      <c r="F750" s="502">
        <v>11000</v>
      </c>
      <c r="G750" s="501">
        <v>0</v>
      </c>
    </row>
    <row r="751" spans="1:7" ht="15.75" customHeight="1" x14ac:dyDescent="0.2">
      <c r="A751" s="500" t="s">
        <v>1576</v>
      </c>
      <c r="B751" s="501" t="s">
        <v>74</v>
      </c>
      <c r="C751" s="501">
        <v>735</v>
      </c>
      <c r="D751" s="501">
        <v>500</v>
      </c>
      <c r="E751" s="501">
        <v>800</v>
      </c>
      <c r="F751" s="501">
        <v>800</v>
      </c>
      <c r="G751" s="501">
        <v>0</v>
      </c>
    </row>
    <row r="752" spans="1:7" ht="15.75" customHeight="1" x14ac:dyDescent="0.2">
      <c r="A752" s="500" t="s">
        <v>1577</v>
      </c>
      <c r="B752" s="501" t="s">
        <v>1578</v>
      </c>
      <c r="C752" s="501">
        <v>400.48</v>
      </c>
      <c r="D752" s="502">
        <v>1000</v>
      </c>
      <c r="E752" s="502">
        <v>1000</v>
      </c>
      <c r="F752" s="502">
        <v>1000</v>
      </c>
      <c r="G752" s="501">
        <v>0</v>
      </c>
    </row>
    <row r="753" spans="1:7" ht="15.75" customHeight="1" x14ac:dyDescent="0.2">
      <c r="A753" s="500" t="s">
        <v>1579</v>
      </c>
      <c r="B753" s="501" t="s">
        <v>76</v>
      </c>
      <c r="C753" s="501">
        <v>0</v>
      </c>
      <c r="D753" s="502">
        <v>3500</v>
      </c>
      <c r="E753" s="502">
        <v>3500</v>
      </c>
      <c r="F753" s="502">
        <v>3500</v>
      </c>
      <c r="G753" s="501">
        <v>0</v>
      </c>
    </row>
    <row r="754" spans="1:7" ht="15.75" customHeight="1" x14ac:dyDescent="0.2">
      <c r="A754" s="500" t="s">
        <v>1580</v>
      </c>
      <c r="B754" s="501" t="s">
        <v>80</v>
      </c>
      <c r="C754" s="502">
        <v>3624.22</v>
      </c>
      <c r="D754" s="502">
        <v>7500</v>
      </c>
      <c r="E754" s="502">
        <v>6900</v>
      </c>
      <c r="F754" s="502">
        <v>6900</v>
      </c>
      <c r="G754" s="501">
        <v>0</v>
      </c>
    </row>
    <row r="755" spans="1:7" ht="15.75" customHeight="1" x14ac:dyDescent="0.2">
      <c r="A755" s="500" t="s">
        <v>1581</v>
      </c>
      <c r="B755" s="501" t="s">
        <v>82</v>
      </c>
      <c r="C755" s="502">
        <v>18882.810000000001</v>
      </c>
      <c r="D755" s="502">
        <v>27200</v>
      </c>
      <c r="E755" s="502">
        <v>34300</v>
      </c>
      <c r="F755" s="502">
        <v>34300</v>
      </c>
      <c r="G755" s="501">
        <v>0</v>
      </c>
    </row>
    <row r="756" spans="1:7" ht="15.75" customHeight="1" x14ac:dyDescent="0.2">
      <c r="A756" s="500" t="s">
        <v>1586</v>
      </c>
      <c r="B756" s="501" t="s">
        <v>1587</v>
      </c>
      <c r="C756" s="501">
        <v>0</v>
      </c>
      <c r="D756" s="501">
        <v>0</v>
      </c>
      <c r="E756" s="502">
        <v>10000</v>
      </c>
      <c r="F756" s="502">
        <v>10000</v>
      </c>
      <c r="G756" s="501">
        <v>0</v>
      </c>
    </row>
    <row r="757" spans="1:7" ht="15.75" customHeight="1" x14ac:dyDescent="0.2">
      <c r="A757" s="500" t="s">
        <v>1588</v>
      </c>
      <c r="B757" s="501" t="s">
        <v>523</v>
      </c>
      <c r="C757" s="502">
        <v>84417.99</v>
      </c>
      <c r="D757" s="502">
        <v>172900</v>
      </c>
      <c r="E757" s="502">
        <v>151100</v>
      </c>
      <c r="F757" s="502">
        <v>151100</v>
      </c>
      <c r="G757" s="501">
        <v>0</v>
      </c>
    </row>
    <row r="758" spans="1:7" ht="15.75" customHeight="1" x14ac:dyDescent="0.2">
      <c r="A758" s="500" t="s">
        <v>1589</v>
      </c>
      <c r="B758" s="501" t="s">
        <v>1590</v>
      </c>
      <c r="C758" s="501">
        <v>0</v>
      </c>
      <c r="D758" s="501">
        <v>0</v>
      </c>
      <c r="E758" s="502">
        <v>2000</v>
      </c>
      <c r="F758" s="502">
        <v>2000</v>
      </c>
      <c r="G758" s="501">
        <v>0</v>
      </c>
    </row>
    <row r="759" spans="1:7" ht="15.75" customHeight="1" x14ac:dyDescent="0.2">
      <c r="A759" s="500" t="s">
        <v>1591</v>
      </c>
      <c r="B759" s="501" t="s">
        <v>1592</v>
      </c>
      <c r="C759" s="501">
        <v>0</v>
      </c>
      <c r="D759" s="501">
        <v>0</v>
      </c>
      <c r="E759" s="502">
        <v>11000</v>
      </c>
      <c r="F759" s="502">
        <v>11000</v>
      </c>
      <c r="G759" s="501">
        <v>0</v>
      </c>
    </row>
    <row r="760" spans="1:7" ht="15.75" customHeight="1" x14ac:dyDescent="0.2">
      <c r="A760" s="500" t="s">
        <v>1593</v>
      </c>
      <c r="B760" s="501" t="s">
        <v>277</v>
      </c>
      <c r="C760" s="502">
        <v>83128.899999999994</v>
      </c>
      <c r="D760" s="502">
        <v>157000</v>
      </c>
      <c r="E760" s="502">
        <v>125000</v>
      </c>
      <c r="F760" s="502">
        <v>125000</v>
      </c>
      <c r="G760" s="501">
        <v>0</v>
      </c>
    </row>
    <row r="761" spans="1:7" ht="15.75" customHeight="1" x14ac:dyDescent="0.2">
      <c r="A761" s="500" t="s">
        <v>1594</v>
      </c>
      <c r="B761" s="501" t="s">
        <v>1595</v>
      </c>
      <c r="C761" s="502">
        <v>24230.32</v>
      </c>
      <c r="D761" s="502">
        <v>75000</v>
      </c>
      <c r="E761" s="502">
        <v>75000</v>
      </c>
      <c r="F761" s="502">
        <v>75000</v>
      </c>
      <c r="G761" s="501">
        <v>0</v>
      </c>
    </row>
    <row r="762" spans="1:7" ht="15.75" customHeight="1" x14ac:dyDescent="0.2">
      <c r="A762" s="500" t="s">
        <v>1596</v>
      </c>
      <c r="B762" s="501" t="s">
        <v>1597</v>
      </c>
      <c r="C762" s="502">
        <v>11733.71</v>
      </c>
      <c r="D762" s="501">
        <v>0</v>
      </c>
      <c r="E762" s="502">
        <v>35000</v>
      </c>
      <c r="F762" s="502">
        <v>35000</v>
      </c>
      <c r="G762" s="501">
        <v>0</v>
      </c>
    </row>
    <row r="763" spans="1:7" ht="15.75" customHeight="1" x14ac:dyDescent="0.2">
      <c r="A763" s="500" t="s">
        <v>1598</v>
      </c>
      <c r="B763" s="501" t="s">
        <v>84</v>
      </c>
      <c r="C763" s="502">
        <v>4268.3</v>
      </c>
      <c r="D763" s="502">
        <v>6000</v>
      </c>
      <c r="E763" s="502">
        <v>6490</v>
      </c>
      <c r="F763" s="502">
        <v>6490</v>
      </c>
      <c r="G763" s="501">
        <v>0</v>
      </c>
    </row>
    <row r="764" spans="1:7" ht="15.75" customHeight="1" x14ac:dyDescent="0.2">
      <c r="A764" s="500" t="s">
        <v>1599</v>
      </c>
      <c r="B764" s="501" t="s">
        <v>210</v>
      </c>
      <c r="C764" s="502">
        <v>5555.35</v>
      </c>
      <c r="D764" s="502">
        <v>30000</v>
      </c>
      <c r="E764" s="502">
        <v>15000</v>
      </c>
      <c r="F764" s="502">
        <v>15000</v>
      </c>
      <c r="G764" s="501">
        <v>0</v>
      </c>
    </row>
    <row r="765" spans="1:7" ht="15.75" customHeight="1" x14ac:dyDescent="0.2">
      <c r="A765" s="500" t="s">
        <v>1600</v>
      </c>
      <c r="B765" s="501" t="s">
        <v>86</v>
      </c>
      <c r="C765" s="502">
        <v>12860</v>
      </c>
      <c r="D765" s="502">
        <v>18000</v>
      </c>
      <c r="E765" s="502">
        <v>5000</v>
      </c>
      <c r="F765" s="501">
        <v>0</v>
      </c>
      <c r="G765" s="502">
        <v>-5000</v>
      </c>
    </row>
    <row r="766" spans="1:7" ht="15.75" customHeight="1" x14ac:dyDescent="0.2">
      <c r="A766" s="500" t="s">
        <v>1601</v>
      </c>
      <c r="B766" s="501" t="s">
        <v>88</v>
      </c>
      <c r="C766" s="502">
        <v>-61644</v>
      </c>
      <c r="D766" s="502">
        <v>13000</v>
      </c>
      <c r="E766" s="502">
        <v>31775</v>
      </c>
      <c r="F766" s="502">
        <v>31775</v>
      </c>
      <c r="G766" s="501">
        <v>0</v>
      </c>
    </row>
    <row r="767" spans="1:7" ht="15.75" customHeight="1" x14ac:dyDescent="0.2">
      <c r="A767" s="500" t="s">
        <v>1604</v>
      </c>
      <c r="B767" s="501" t="s">
        <v>1605</v>
      </c>
      <c r="C767" s="502">
        <v>3920</v>
      </c>
      <c r="D767" s="501">
        <v>0</v>
      </c>
      <c r="E767" s="502">
        <v>5000</v>
      </c>
      <c r="F767" s="502">
        <v>5000</v>
      </c>
      <c r="G767" s="501">
        <v>0</v>
      </c>
    </row>
    <row r="768" spans="1:7" ht="15.75" customHeight="1" x14ac:dyDescent="0.2">
      <c r="A768" s="500" t="s">
        <v>1606</v>
      </c>
      <c r="B768" s="501" t="s">
        <v>90</v>
      </c>
      <c r="C768" s="501">
        <v>0</v>
      </c>
      <c r="D768" s="502">
        <v>4000</v>
      </c>
      <c r="E768" s="502">
        <v>5500</v>
      </c>
      <c r="F768" s="502">
        <v>5500</v>
      </c>
      <c r="G768" s="501">
        <v>0</v>
      </c>
    </row>
    <row r="769" spans="1:7" ht="15.75" customHeight="1" x14ac:dyDescent="0.2">
      <c r="A769" s="500" t="s">
        <v>1607</v>
      </c>
      <c r="B769" s="501" t="s">
        <v>1608</v>
      </c>
      <c r="C769" s="502">
        <v>13773.95</v>
      </c>
      <c r="D769" s="502">
        <v>147500</v>
      </c>
      <c r="E769" s="502">
        <v>83800</v>
      </c>
      <c r="F769" s="502">
        <v>83800</v>
      </c>
      <c r="G769" s="501">
        <v>0</v>
      </c>
    </row>
    <row r="770" spans="1:7" ht="15.75" customHeight="1" x14ac:dyDescent="0.2">
      <c r="A770" s="500" t="s">
        <v>1609</v>
      </c>
      <c r="B770" s="501" t="s">
        <v>468</v>
      </c>
      <c r="C770" s="501">
        <v>320.32</v>
      </c>
      <c r="D770" s="502">
        <v>2000</v>
      </c>
      <c r="E770" s="502">
        <v>2000</v>
      </c>
      <c r="F770" s="502">
        <v>2000</v>
      </c>
      <c r="G770" s="501">
        <v>0</v>
      </c>
    </row>
    <row r="771" spans="1:7" ht="15.75" customHeight="1" x14ac:dyDescent="0.2">
      <c r="A771" s="500" t="s">
        <v>1610</v>
      </c>
      <c r="B771" s="501" t="s">
        <v>92</v>
      </c>
      <c r="C771" s="502">
        <v>10129.89</v>
      </c>
      <c r="D771" s="502">
        <v>8200</v>
      </c>
      <c r="E771" s="502">
        <v>9200</v>
      </c>
      <c r="F771" s="502">
        <v>9200</v>
      </c>
      <c r="G771" s="501">
        <v>0</v>
      </c>
    </row>
    <row r="772" spans="1:7" ht="15.75" customHeight="1" x14ac:dyDescent="0.2">
      <c r="A772" s="500" t="s">
        <v>1611</v>
      </c>
      <c r="B772" s="501" t="s">
        <v>94</v>
      </c>
      <c r="C772" s="502">
        <v>1222</v>
      </c>
      <c r="D772" s="502">
        <v>1200</v>
      </c>
      <c r="E772" s="501">
        <v>0</v>
      </c>
      <c r="F772" s="501">
        <v>0</v>
      </c>
      <c r="G772" s="501">
        <v>0</v>
      </c>
    </row>
    <row r="773" spans="1:7" ht="15.75" customHeight="1" x14ac:dyDescent="0.2">
      <c r="A773" s="500" t="s">
        <v>1613</v>
      </c>
      <c r="B773" s="501" t="s">
        <v>180</v>
      </c>
      <c r="C773" s="501">
        <v>0</v>
      </c>
      <c r="D773" s="501">
        <v>0</v>
      </c>
      <c r="E773" s="501">
        <v>0</v>
      </c>
      <c r="F773" s="501">
        <v>0</v>
      </c>
      <c r="G773" s="501">
        <v>0</v>
      </c>
    </row>
    <row r="774" spans="1:7" ht="15.75" customHeight="1" x14ac:dyDescent="0.2">
      <c r="A774" s="500" t="s">
        <v>1614</v>
      </c>
      <c r="B774" s="501" t="s">
        <v>532</v>
      </c>
      <c r="C774" s="501">
        <v>630</v>
      </c>
      <c r="D774" s="501">
        <v>0</v>
      </c>
      <c r="E774" s="501">
        <v>0</v>
      </c>
      <c r="F774" s="501">
        <v>0</v>
      </c>
      <c r="G774" s="501">
        <v>0</v>
      </c>
    </row>
    <row r="775" spans="1:7" ht="15.75" customHeight="1" x14ac:dyDescent="0.2">
      <c r="A775" s="500" t="s">
        <v>1615</v>
      </c>
      <c r="B775" s="501" t="s">
        <v>99</v>
      </c>
      <c r="C775" s="501">
        <v>0</v>
      </c>
      <c r="D775" s="501">
        <v>0</v>
      </c>
      <c r="E775" s="501">
        <v>0</v>
      </c>
      <c r="F775" s="501">
        <v>0</v>
      </c>
      <c r="G775" s="501">
        <v>0</v>
      </c>
    </row>
    <row r="776" spans="1:7" ht="15.75" customHeight="1" x14ac:dyDescent="0.2">
      <c r="A776" s="500" t="s">
        <v>1768</v>
      </c>
      <c r="B776" s="501" t="s">
        <v>68</v>
      </c>
      <c r="C776" s="502">
        <v>46895.32</v>
      </c>
      <c r="D776" s="502">
        <v>61953.5</v>
      </c>
      <c r="E776" s="502">
        <v>65400</v>
      </c>
      <c r="F776" s="501">
        <v>0</v>
      </c>
      <c r="G776" s="502">
        <v>-65400</v>
      </c>
    </row>
    <row r="777" spans="1:7" ht="15.75" customHeight="1" x14ac:dyDescent="0.2">
      <c r="A777" s="500" t="s">
        <v>1769</v>
      </c>
      <c r="B777" s="501" t="s">
        <v>132</v>
      </c>
      <c r="C777" s="502">
        <v>49288.04</v>
      </c>
      <c r="D777" s="502">
        <v>49122</v>
      </c>
      <c r="E777" s="502">
        <v>73800</v>
      </c>
      <c r="F777" s="501">
        <v>0</v>
      </c>
      <c r="G777" s="502">
        <v>-73800</v>
      </c>
    </row>
    <row r="778" spans="1:7" ht="15.75" customHeight="1" x14ac:dyDescent="0.2">
      <c r="A778" s="500" t="s">
        <v>1770</v>
      </c>
      <c r="B778" s="501" t="s">
        <v>72</v>
      </c>
      <c r="C778" s="502">
        <v>23094.57</v>
      </c>
      <c r="D778" s="502">
        <v>34827.5</v>
      </c>
      <c r="E778" s="502">
        <v>35500</v>
      </c>
      <c r="F778" s="501">
        <v>0</v>
      </c>
      <c r="G778" s="502">
        <v>-35500</v>
      </c>
    </row>
    <row r="779" spans="1:7" ht="15.75" customHeight="1" x14ac:dyDescent="0.2">
      <c r="A779" s="500" t="s">
        <v>1771</v>
      </c>
      <c r="B779" s="501" t="s">
        <v>74</v>
      </c>
      <c r="C779" s="502">
        <v>9567.34</v>
      </c>
      <c r="D779" s="502">
        <v>10000</v>
      </c>
      <c r="E779" s="502">
        <v>10000</v>
      </c>
      <c r="F779" s="501">
        <v>0</v>
      </c>
      <c r="G779" s="502">
        <v>-10000</v>
      </c>
    </row>
    <row r="780" spans="1:7" ht="15.75" customHeight="1" x14ac:dyDescent="0.2">
      <c r="A780" s="500" t="s">
        <v>1772</v>
      </c>
      <c r="B780" s="501" t="s">
        <v>76</v>
      </c>
      <c r="C780" s="501">
        <v>0</v>
      </c>
      <c r="D780" s="502">
        <v>2000</v>
      </c>
      <c r="E780" s="502">
        <v>1000</v>
      </c>
      <c r="F780" s="501">
        <v>0</v>
      </c>
      <c r="G780" s="502">
        <v>-1000</v>
      </c>
    </row>
    <row r="781" spans="1:7" ht="15.75" customHeight="1" x14ac:dyDescent="0.2">
      <c r="A781" s="500" t="s">
        <v>1773</v>
      </c>
      <c r="B781" s="501" t="s">
        <v>80</v>
      </c>
      <c r="C781" s="502">
        <v>2044.96</v>
      </c>
      <c r="D781" s="502">
        <v>4000</v>
      </c>
      <c r="E781" s="502">
        <v>2050</v>
      </c>
      <c r="F781" s="501">
        <v>0</v>
      </c>
      <c r="G781" s="502">
        <v>-2050</v>
      </c>
    </row>
    <row r="782" spans="1:7" ht="15.75" customHeight="1" x14ac:dyDescent="0.2">
      <c r="A782" s="500" t="s">
        <v>1774</v>
      </c>
      <c r="B782" s="501" t="s">
        <v>82</v>
      </c>
      <c r="C782" s="502">
        <v>3852.67</v>
      </c>
      <c r="D782" s="502">
        <v>5000</v>
      </c>
      <c r="E782" s="502">
        <v>4500</v>
      </c>
      <c r="F782" s="501">
        <v>0</v>
      </c>
      <c r="G782" s="502">
        <v>-4500</v>
      </c>
    </row>
    <row r="783" spans="1:7" ht="15.75" customHeight="1" x14ac:dyDescent="0.2">
      <c r="A783" s="500" t="s">
        <v>1775</v>
      </c>
      <c r="B783" s="501" t="s">
        <v>115</v>
      </c>
      <c r="C783" s="501">
        <v>571.57000000000005</v>
      </c>
      <c r="D783" s="501">
        <v>500</v>
      </c>
      <c r="E783" s="501">
        <v>400</v>
      </c>
      <c r="F783" s="501">
        <v>0</v>
      </c>
      <c r="G783" s="501">
        <v>-400</v>
      </c>
    </row>
    <row r="784" spans="1:7" ht="15.75" customHeight="1" x14ac:dyDescent="0.2">
      <c r="A784" s="500" t="s">
        <v>1776</v>
      </c>
      <c r="B784" s="501" t="s">
        <v>1777</v>
      </c>
      <c r="C784" s="501">
        <v>0</v>
      </c>
      <c r="D784" s="501">
        <v>0</v>
      </c>
      <c r="E784" s="501">
        <v>0</v>
      </c>
      <c r="F784" s="502">
        <v>-5400</v>
      </c>
      <c r="G784" s="502">
        <v>-5400</v>
      </c>
    </row>
    <row r="785" spans="1:7" ht="15.75" customHeight="1" x14ac:dyDescent="0.2">
      <c r="A785" s="500" t="s">
        <v>1778</v>
      </c>
      <c r="B785" s="501" t="s">
        <v>277</v>
      </c>
      <c r="C785" s="501">
        <v>0</v>
      </c>
      <c r="D785" s="502">
        <v>1500</v>
      </c>
      <c r="E785" s="501">
        <v>0</v>
      </c>
      <c r="F785" s="501">
        <v>0</v>
      </c>
      <c r="G785" s="501">
        <v>0</v>
      </c>
    </row>
    <row r="786" spans="1:7" ht="15.75" customHeight="1" x14ac:dyDescent="0.2">
      <c r="A786" s="500" t="s">
        <v>1779</v>
      </c>
      <c r="B786" s="501" t="s">
        <v>84</v>
      </c>
      <c r="C786" s="502">
        <v>3277.56</v>
      </c>
      <c r="D786" s="502">
        <v>5000</v>
      </c>
      <c r="E786" s="502">
        <v>5400</v>
      </c>
      <c r="F786" s="502">
        <v>5400</v>
      </c>
      <c r="G786" s="501">
        <v>0</v>
      </c>
    </row>
    <row r="787" spans="1:7" ht="15.75" customHeight="1" x14ac:dyDescent="0.2">
      <c r="A787" s="500" t="s">
        <v>1780</v>
      </c>
      <c r="B787" s="501" t="s">
        <v>90</v>
      </c>
      <c r="C787" s="501">
        <v>0</v>
      </c>
      <c r="D787" s="502">
        <v>1000</v>
      </c>
      <c r="E787" s="501">
        <v>500</v>
      </c>
      <c r="F787" s="501">
        <v>0</v>
      </c>
      <c r="G787" s="501">
        <v>-500</v>
      </c>
    </row>
    <row r="788" spans="1:7" ht="15.75" customHeight="1" x14ac:dyDescent="0.2">
      <c r="A788" s="500" t="s">
        <v>1781</v>
      </c>
      <c r="B788" s="501" t="s">
        <v>1782</v>
      </c>
      <c r="C788" s="501">
        <v>0</v>
      </c>
      <c r="D788" s="501">
        <v>0</v>
      </c>
      <c r="E788" s="502">
        <v>3950</v>
      </c>
      <c r="F788" s="501">
        <v>0</v>
      </c>
      <c r="G788" s="502">
        <v>-3950</v>
      </c>
    </row>
    <row r="789" spans="1:7" ht="15.75" customHeight="1" x14ac:dyDescent="0.2">
      <c r="A789" s="500" t="s">
        <v>1783</v>
      </c>
      <c r="B789" s="501" t="s">
        <v>1784</v>
      </c>
      <c r="C789" s="502">
        <v>46351.26</v>
      </c>
      <c r="D789" s="502">
        <v>60000</v>
      </c>
      <c r="E789" s="502">
        <v>62000</v>
      </c>
      <c r="F789" s="501">
        <v>0</v>
      </c>
      <c r="G789" s="502">
        <v>-62000</v>
      </c>
    </row>
    <row r="790" spans="1:7" ht="15.75" customHeight="1" x14ac:dyDescent="0.2">
      <c r="A790" s="500" t="s">
        <v>1785</v>
      </c>
      <c r="B790" s="501" t="s">
        <v>92</v>
      </c>
      <c r="C790" s="501">
        <v>970.6</v>
      </c>
      <c r="D790" s="502">
        <v>1000</v>
      </c>
      <c r="E790" s="502">
        <v>1000</v>
      </c>
      <c r="F790" s="501">
        <v>0</v>
      </c>
      <c r="G790" s="502">
        <v>-1000</v>
      </c>
    </row>
    <row r="791" spans="1:7" ht="15.75" customHeight="1" x14ac:dyDescent="0.2">
      <c r="A791" s="500" t="s">
        <v>2085</v>
      </c>
      <c r="B791" s="501" t="s">
        <v>2076</v>
      </c>
      <c r="C791" s="501">
        <v>0</v>
      </c>
      <c r="D791" s="501">
        <v>0</v>
      </c>
      <c r="E791" s="501">
        <v>0</v>
      </c>
      <c r="F791" s="501">
        <v>0</v>
      </c>
      <c r="G791" s="501">
        <v>0</v>
      </c>
    </row>
    <row r="792" spans="1:7" ht="15.75" customHeight="1" x14ac:dyDescent="0.2">
      <c r="A792" s="500" t="s">
        <v>1634</v>
      </c>
      <c r="B792" s="501" t="s">
        <v>68</v>
      </c>
      <c r="C792" s="501">
        <v>0</v>
      </c>
      <c r="D792" s="501">
        <v>500</v>
      </c>
      <c r="E792" s="501">
        <v>0</v>
      </c>
      <c r="F792" s="501">
        <v>0</v>
      </c>
      <c r="G792" s="501">
        <v>0</v>
      </c>
    </row>
    <row r="793" spans="1:7" ht="15.75" customHeight="1" x14ac:dyDescent="0.2">
      <c r="A793" s="500" t="s">
        <v>1635</v>
      </c>
      <c r="B793" s="501" t="s">
        <v>70</v>
      </c>
      <c r="C793" s="502">
        <v>2420.83</v>
      </c>
      <c r="D793" s="502">
        <v>4500</v>
      </c>
      <c r="E793" s="502">
        <v>5000</v>
      </c>
      <c r="F793" s="502">
        <v>5000</v>
      </c>
      <c r="G793" s="501">
        <v>0</v>
      </c>
    </row>
    <row r="794" spans="1:7" ht="15.75" customHeight="1" x14ac:dyDescent="0.2">
      <c r="A794" s="500" t="s">
        <v>1636</v>
      </c>
      <c r="B794" s="501" t="s">
        <v>132</v>
      </c>
      <c r="C794" s="502">
        <v>9046.48</v>
      </c>
      <c r="D794" s="502">
        <v>12137</v>
      </c>
      <c r="E794" s="502">
        <v>13600</v>
      </c>
      <c r="F794" s="502">
        <v>13600</v>
      </c>
      <c r="G794" s="501">
        <v>0</v>
      </c>
    </row>
    <row r="795" spans="1:7" ht="15.75" customHeight="1" x14ac:dyDescent="0.2">
      <c r="A795" s="500" t="s">
        <v>1637</v>
      </c>
      <c r="B795" s="501" t="s">
        <v>108</v>
      </c>
      <c r="C795" s="502">
        <v>11899.71</v>
      </c>
      <c r="D795" s="502">
        <v>10400</v>
      </c>
      <c r="E795" s="502">
        <v>12000</v>
      </c>
      <c r="F795" s="502">
        <v>12000</v>
      </c>
      <c r="G795" s="501">
        <v>0</v>
      </c>
    </row>
    <row r="796" spans="1:7" ht="15.75" customHeight="1" x14ac:dyDescent="0.2">
      <c r="A796" s="500" t="s">
        <v>1638</v>
      </c>
      <c r="B796" s="501" t="s">
        <v>72</v>
      </c>
      <c r="C796" s="502">
        <v>2026.88</v>
      </c>
      <c r="D796" s="502">
        <v>6022.5</v>
      </c>
      <c r="E796" s="502">
        <v>3300</v>
      </c>
      <c r="F796" s="502">
        <v>3300</v>
      </c>
      <c r="G796" s="501">
        <v>0</v>
      </c>
    </row>
    <row r="797" spans="1:7" ht="15.75" customHeight="1" x14ac:dyDescent="0.2">
      <c r="A797" s="500" t="s">
        <v>1639</v>
      </c>
      <c r="B797" s="501" t="s">
        <v>1640</v>
      </c>
      <c r="C797" s="501">
        <v>0</v>
      </c>
      <c r="D797" s="502">
        <v>1000</v>
      </c>
      <c r="E797" s="501">
        <v>0</v>
      </c>
      <c r="F797" s="501">
        <v>0</v>
      </c>
      <c r="G797" s="501">
        <v>0</v>
      </c>
    </row>
    <row r="798" spans="1:7" ht="15.75" customHeight="1" x14ac:dyDescent="0.2">
      <c r="A798" s="500" t="s">
        <v>1641</v>
      </c>
      <c r="B798" s="501" t="s">
        <v>74</v>
      </c>
      <c r="C798" s="501">
        <v>200</v>
      </c>
      <c r="D798" s="501">
        <v>500</v>
      </c>
      <c r="E798" s="501">
        <v>700</v>
      </c>
      <c r="F798" s="501">
        <v>700</v>
      </c>
      <c r="G798" s="501">
        <v>0</v>
      </c>
    </row>
    <row r="799" spans="1:7" ht="15.75" customHeight="1" x14ac:dyDescent="0.2">
      <c r="A799" s="500" t="s">
        <v>1642</v>
      </c>
      <c r="B799" s="501" t="s">
        <v>1578</v>
      </c>
      <c r="C799" s="502">
        <v>2551.0500000000002</v>
      </c>
      <c r="D799" s="502">
        <v>8100</v>
      </c>
      <c r="E799" s="502">
        <v>20030</v>
      </c>
      <c r="F799" s="502">
        <v>20030</v>
      </c>
      <c r="G799" s="501">
        <v>0</v>
      </c>
    </row>
    <row r="800" spans="1:7" ht="15.75" customHeight="1" x14ac:dyDescent="0.2">
      <c r="A800" s="500" t="s">
        <v>1643</v>
      </c>
      <c r="B800" s="501" t="s">
        <v>76</v>
      </c>
      <c r="C800" s="502">
        <v>1286.74</v>
      </c>
      <c r="D800" s="502">
        <v>20200</v>
      </c>
      <c r="E800" s="502">
        <v>6000</v>
      </c>
      <c r="F800" s="502">
        <v>6000</v>
      </c>
      <c r="G800" s="501">
        <v>0</v>
      </c>
    </row>
    <row r="801" spans="1:7" ht="15.75" customHeight="1" x14ac:dyDescent="0.2">
      <c r="A801" s="500" t="s">
        <v>1644</v>
      </c>
      <c r="B801" s="501" t="s">
        <v>80</v>
      </c>
      <c r="C801" s="502">
        <v>1953.23</v>
      </c>
      <c r="D801" s="502">
        <v>2700</v>
      </c>
      <c r="E801" s="502">
        <v>5650</v>
      </c>
      <c r="F801" s="502">
        <v>5650</v>
      </c>
      <c r="G801" s="501">
        <v>0</v>
      </c>
    </row>
    <row r="802" spans="1:7" ht="15.75" customHeight="1" x14ac:dyDescent="0.2">
      <c r="A802" s="500" t="s">
        <v>1645</v>
      </c>
      <c r="B802" s="501" t="s">
        <v>82</v>
      </c>
      <c r="C802" s="502">
        <v>88049.68</v>
      </c>
      <c r="D802" s="502">
        <v>99900</v>
      </c>
      <c r="E802" s="502">
        <v>90550</v>
      </c>
      <c r="F802" s="502">
        <v>90550</v>
      </c>
      <c r="G802" s="501">
        <v>0</v>
      </c>
    </row>
    <row r="803" spans="1:7" ht="15.75" customHeight="1" x14ac:dyDescent="0.2">
      <c r="A803" s="500" t="s">
        <v>1646</v>
      </c>
      <c r="B803" s="501" t="s">
        <v>115</v>
      </c>
      <c r="C803" s="501">
        <v>0</v>
      </c>
      <c r="D803" s="502">
        <v>6200</v>
      </c>
      <c r="E803" s="502">
        <v>2000</v>
      </c>
      <c r="F803" s="502">
        <v>2000</v>
      </c>
      <c r="G803" s="501">
        <v>0</v>
      </c>
    </row>
    <row r="804" spans="1:7" ht="15.75" customHeight="1" x14ac:dyDescent="0.2">
      <c r="A804" s="500" t="s">
        <v>1649</v>
      </c>
      <c r="B804" s="501" t="s">
        <v>210</v>
      </c>
      <c r="C804" s="501">
        <v>19.37</v>
      </c>
      <c r="D804" s="501">
        <v>650</v>
      </c>
      <c r="E804" s="501">
        <v>0</v>
      </c>
      <c r="F804" s="501">
        <v>0</v>
      </c>
      <c r="G804" s="501">
        <v>0</v>
      </c>
    </row>
    <row r="805" spans="1:7" ht="15.75" customHeight="1" x14ac:dyDescent="0.2">
      <c r="A805" s="500" t="s">
        <v>1650</v>
      </c>
      <c r="B805" s="501" t="s">
        <v>86</v>
      </c>
      <c r="C805" s="502">
        <v>5000</v>
      </c>
      <c r="D805" s="502">
        <v>10000</v>
      </c>
      <c r="E805" s="502">
        <v>18500</v>
      </c>
      <c r="F805" s="502">
        <v>18500</v>
      </c>
      <c r="G805" s="501">
        <v>0</v>
      </c>
    </row>
    <row r="806" spans="1:7" ht="15.75" customHeight="1" x14ac:dyDescent="0.2">
      <c r="A806" s="500" t="s">
        <v>1651</v>
      </c>
      <c r="B806" s="501" t="s">
        <v>88</v>
      </c>
      <c r="C806" s="501">
        <v>0</v>
      </c>
      <c r="D806" s="502">
        <v>2500</v>
      </c>
      <c r="E806" s="502">
        <v>2800</v>
      </c>
      <c r="F806" s="502">
        <v>2800</v>
      </c>
      <c r="G806" s="501">
        <v>0</v>
      </c>
    </row>
    <row r="807" spans="1:7" ht="15.75" customHeight="1" x14ac:dyDescent="0.2">
      <c r="A807" s="500" t="s">
        <v>1652</v>
      </c>
      <c r="B807" s="501" t="s">
        <v>90</v>
      </c>
      <c r="C807" s="501">
        <v>60</v>
      </c>
      <c r="D807" s="502">
        <v>4500</v>
      </c>
      <c r="E807" s="502">
        <v>3500</v>
      </c>
      <c r="F807" s="502">
        <v>3500</v>
      </c>
      <c r="G807" s="501">
        <v>0</v>
      </c>
    </row>
    <row r="808" spans="1:7" ht="15.75" customHeight="1" x14ac:dyDescent="0.2">
      <c r="A808" s="500" t="s">
        <v>1653</v>
      </c>
      <c r="B808" s="501" t="s">
        <v>1654</v>
      </c>
      <c r="C808" s="502">
        <v>24855.62</v>
      </c>
      <c r="D808" s="502">
        <v>36500</v>
      </c>
      <c r="E808" s="502">
        <v>41500</v>
      </c>
      <c r="F808" s="502">
        <v>41500</v>
      </c>
      <c r="G808" s="501">
        <v>0</v>
      </c>
    </row>
    <row r="809" spans="1:7" ht="15.75" customHeight="1" x14ac:dyDescent="0.2">
      <c r="A809" s="500" t="s">
        <v>1655</v>
      </c>
      <c r="B809" s="501" t="s">
        <v>1656</v>
      </c>
      <c r="C809" s="501">
        <v>0</v>
      </c>
      <c r="D809" s="501">
        <v>0</v>
      </c>
      <c r="E809" s="502">
        <v>9250</v>
      </c>
      <c r="F809" s="502">
        <v>9250</v>
      </c>
      <c r="G809" s="501">
        <v>0</v>
      </c>
    </row>
    <row r="810" spans="1:7" ht="15.75" customHeight="1" x14ac:dyDescent="0.2">
      <c r="A810" s="500" t="s">
        <v>1657</v>
      </c>
      <c r="B810" s="501" t="s">
        <v>1658</v>
      </c>
      <c r="C810" s="502">
        <v>38792.19</v>
      </c>
      <c r="D810" s="502">
        <v>32000</v>
      </c>
      <c r="E810" s="502">
        <v>42600</v>
      </c>
      <c r="F810" s="502">
        <v>42600</v>
      </c>
      <c r="G810" s="501">
        <v>0</v>
      </c>
    </row>
    <row r="811" spans="1:7" ht="15.75" customHeight="1" x14ac:dyDescent="0.2">
      <c r="A811" s="500" t="s">
        <v>1659</v>
      </c>
      <c r="B811" s="501" t="s">
        <v>502</v>
      </c>
      <c r="C811" s="502">
        <v>3176.61</v>
      </c>
      <c r="D811" s="502">
        <v>4000</v>
      </c>
      <c r="E811" s="502">
        <v>5000</v>
      </c>
      <c r="F811" s="502">
        <v>5000</v>
      </c>
      <c r="G811" s="501">
        <v>0</v>
      </c>
    </row>
    <row r="812" spans="1:7" ht="15.75" customHeight="1" x14ac:dyDescent="0.2">
      <c r="A812" s="500" t="s">
        <v>1660</v>
      </c>
      <c r="B812" s="501" t="s">
        <v>92</v>
      </c>
      <c r="C812" s="501">
        <v>213.1</v>
      </c>
      <c r="D812" s="501">
        <v>200</v>
      </c>
      <c r="E812" s="501">
        <v>0</v>
      </c>
      <c r="F812" s="501">
        <v>0</v>
      </c>
      <c r="G812" s="501">
        <v>0</v>
      </c>
    </row>
    <row r="813" spans="1:7" ht="15.75" customHeight="1" x14ac:dyDescent="0.2">
      <c r="A813" s="500" t="s">
        <v>1663</v>
      </c>
      <c r="B813" s="501" t="s">
        <v>94</v>
      </c>
      <c r="C813" s="502">
        <v>2641.54</v>
      </c>
      <c r="D813" s="502">
        <v>62300</v>
      </c>
      <c r="E813" s="502">
        <v>2500</v>
      </c>
      <c r="F813" s="502">
        <v>2500</v>
      </c>
      <c r="G813" s="501">
        <v>0</v>
      </c>
    </row>
    <row r="814" spans="1:7" ht="15.75" customHeight="1" x14ac:dyDescent="0.2">
      <c r="A814" s="500" t="s">
        <v>1666</v>
      </c>
      <c r="B814" s="501" t="s">
        <v>1667</v>
      </c>
      <c r="C814" s="501">
        <v>0</v>
      </c>
      <c r="D814" s="502">
        <v>6300</v>
      </c>
      <c r="E814" s="502">
        <v>6600</v>
      </c>
      <c r="F814" s="502">
        <v>6600</v>
      </c>
      <c r="G814" s="501">
        <v>0</v>
      </c>
    </row>
    <row r="815" spans="1:7" ht="15.75" customHeight="1" x14ac:dyDescent="0.2">
      <c r="A815" s="500" t="s">
        <v>1672</v>
      </c>
      <c r="B815" s="501" t="s">
        <v>70</v>
      </c>
      <c r="C815" s="501">
        <v>0</v>
      </c>
      <c r="D815" s="502">
        <v>1000</v>
      </c>
      <c r="E815" s="502">
        <v>1000</v>
      </c>
      <c r="F815" s="502">
        <v>1000</v>
      </c>
      <c r="G815" s="501">
        <v>0</v>
      </c>
    </row>
    <row r="816" spans="1:7" ht="15.75" customHeight="1" x14ac:dyDescent="0.2">
      <c r="A816" s="500" t="s">
        <v>1673</v>
      </c>
      <c r="B816" s="501" t="s">
        <v>108</v>
      </c>
      <c r="C816" s="502">
        <v>3082.72</v>
      </c>
      <c r="D816" s="502">
        <v>7200</v>
      </c>
      <c r="E816" s="502">
        <v>7200</v>
      </c>
      <c r="F816" s="502">
        <v>7200</v>
      </c>
      <c r="G816" s="501">
        <v>0</v>
      </c>
    </row>
    <row r="817" spans="1:7" ht="15.75" customHeight="1" x14ac:dyDescent="0.2">
      <c r="A817" s="500" t="s">
        <v>1674</v>
      </c>
      <c r="B817" s="501" t="s">
        <v>72</v>
      </c>
      <c r="C817" s="501">
        <v>250.3</v>
      </c>
      <c r="D817" s="502">
        <v>4000</v>
      </c>
      <c r="E817" s="501">
        <v>800</v>
      </c>
      <c r="F817" s="501">
        <v>800</v>
      </c>
      <c r="G817" s="501">
        <v>0</v>
      </c>
    </row>
    <row r="818" spans="1:7" ht="15.75" customHeight="1" x14ac:dyDescent="0.2">
      <c r="A818" s="500" t="s">
        <v>1675</v>
      </c>
      <c r="B818" s="501" t="s">
        <v>74</v>
      </c>
      <c r="C818" s="502">
        <v>3180</v>
      </c>
      <c r="D818" s="502">
        <v>1650</v>
      </c>
      <c r="E818" s="502">
        <v>6520</v>
      </c>
      <c r="F818" s="502">
        <v>6520</v>
      </c>
      <c r="G818" s="501">
        <v>0</v>
      </c>
    </row>
    <row r="819" spans="1:7" ht="15.75" customHeight="1" x14ac:dyDescent="0.2">
      <c r="A819" s="500" t="s">
        <v>1676</v>
      </c>
      <c r="B819" s="501" t="s">
        <v>1578</v>
      </c>
      <c r="C819" s="502">
        <v>27962.12</v>
      </c>
      <c r="D819" s="502">
        <v>19460</v>
      </c>
      <c r="E819" s="502">
        <v>19806</v>
      </c>
      <c r="F819" s="502">
        <v>19806</v>
      </c>
      <c r="G819" s="501">
        <v>0</v>
      </c>
    </row>
    <row r="820" spans="1:7" ht="15.75" customHeight="1" x14ac:dyDescent="0.2">
      <c r="A820" s="500" t="s">
        <v>1677</v>
      </c>
      <c r="B820" s="501" t="s">
        <v>76</v>
      </c>
      <c r="C820" s="502">
        <v>5485.58</v>
      </c>
      <c r="D820" s="502">
        <v>32000</v>
      </c>
      <c r="E820" s="502">
        <v>33700</v>
      </c>
      <c r="F820" s="502">
        <v>33700</v>
      </c>
      <c r="G820" s="501">
        <v>0</v>
      </c>
    </row>
    <row r="821" spans="1:7" ht="15.75" customHeight="1" x14ac:dyDescent="0.2">
      <c r="A821" s="500" t="s">
        <v>1678</v>
      </c>
      <c r="B821" s="501" t="s">
        <v>80</v>
      </c>
      <c r="C821" s="502">
        <v>3596.63</v>
      </c>
      <c r="D821" s="502">
        <v>12850</v>
      </c>
      <c r="E821" s="502">
        <v>5600</v>
      </c>
      <c r="F821" s="502">
        <v>5600</v>
      </c>
      <c r="G821" s="501">
        <v>0</v>
      </c>
    </row>
    <row r="822" spans="1:7" ht="15.75" customHeight="1" x14ac:dyDescent="0.2">
      <c r="A822" s="500" t="s">
        <v>1679</v>
      </c>
      <c r="B822" s="501" t="s">
        <v>82</v>
      </c>
      <c r="C822" s="501">
        <v>91.72</v>
      </c>
      <c r="D822" s="501">
        <v>0</v>
      </c>
      <c r="E822" s="502">
        <v>17500</v>
      </c>
      <c r="F822" s="502">
        <v>17500</v>
      </c>
      <c r="G822" s="501">
        <v>0</v>
      </c>
    </row>
    <row r="823" spans="1:7" ht="15.75" customHeight="1" x14ac:dyDescent="0.2">
      <c r="A823" s="500" t="s">
        <v>1680</v>
      </c>
      <c r="B823" s="501" t="s">
        <v>115</v>
      </c>
      <c r="C823" s="501">
        <v>0</v>
      </c>
      <c r="D823" s="501">
        <v>800</v>
      </c>
      <c r="E823" s="502">
        <v>1000</v>
      </c>
      <c r="F823" s="502">
        <v>1000</v>
      </c>
      <c r="G823" s="501">
        <v>0</v>
      </c>
    </row>
    <row r="824" spans="1:7" ht="15.75" customHeight="1" x14ac:dyDescent="0.2">
      <c r="A824" s="500" t="s">
        <v>1681</v>
      </c>
      <c r="B824" s="501" t="s">
        <v>210</v>
      </c>
      <c r="C824" s="501">
        <v>0</v>
      </c>
      <c r="D824" s="501">
        <v>500</v>
      </c>
      <c r="E824" s="502">
        <v>1200</v>
      </c>
      <c r="F824" s="502">
        <v>1200</v>
      </c>
      <c r="G824" s="501">
        <v>0</v>
      </c>
    </row>
    <row r="825" spans="1:7" ht="15.75" customHeight="1" x14ac:dyDescent="0.2">
      <c r="A825" s="500" t="s">
        <v>1682</v>
      </c>
      <c r="B825" s="501" t="s">
        <v>86</v>
      </c>
      <c r="C825" s="501">
        <v>0</v>
      </c>
      <c r="D825" s="502">
        <v>4000</v>
      </c>
      <c r="E825" s="502">
        <v>11275</v>
      </c>
      <c r="F825" s="502">
        <v>11275</v>
      </c>
      <c r="G825" s="501">
        <v>0</v>
      </c>
    </row>
    <row r="826" spans="1:7" ht="15.75" customHeight="1" x14ac:dyDescent="0.2">
      <c r="A826" s="500" t="s">
        <v>1683</v>
      </c>
      <c r="B826" s="501" t="s">
        <v>1684</v>
      </c>
      <c r="C826" s="501">
        <v>0</v>
      </c>
      <c r="D826" s="501">
        <v>0</v>
      </c>
      <c r="E826" s="502">
        <v>4620</v>
      </c>
      <c r="F826" s="502">
        <v>4620</v>
      </c>
      <c r="G826" s="501">
        <v>0</v>
      </c>
    </row>
    <row r="827" spans="1:7" ht="15.75" customHeight="1" x14ac:dyDescent="0.2">
      <c r="A827" s="500" t="s">
        <v>1685</v>
      </c>
      <c r="B827" s="501" t="s">
        <v>1686</v>
      </c>
      <c r="C827" s="502">
        <v>2699.3</v>
      </c>
      <c r="D827" s="502">
        <v>7200</v>
      </c>
      <c r="E827" s="502">
        <v>3250</v>
      </c>
      <c r="F827" s="502">
        <v>3250</v>
      </c>
      <c r="G827" s="501">
        <v>0</v>
      </c>
    </row>
    <row r="828" spans="1:7" ht="15.75" customHeight="1" x14ac:dyDescent="0.2">
      <c r="A828" s="500" t="s">
        <v>1687</v>
      </c>
      <c r="B828" s="501" t="s">
        <v>1688</v>
      </c>
      <c r="C828" s="502">
        <v>136281.06</v>
      </c>
      <c r="D828" s="502">
        <v>142000</v>
      </c>
      <c r="E828" s="502">
        <v>148000</v>
      </c>
      <c r="F828" s="502">
        <v>148000</v>
      </c>
      <c r="G828" s="501">
        <v>0</v>
      </c>
    </row>
    <row r="829" spans="1:7" ht="15.75" customHeight="1" x14ac:dyDescent="0.2">
      <c r="A829" s="500" t="s">
        <v>1689</v>
      </c>
      <c r="B829" s="501" t="s">
        <v>468</v>
      </c>
      <c r="C829" s="501">
        <v>90</v>
      </c>
      <c r="D829" s="502">
        <v>1000</v>
      </c>
      <c r="E829" s="502">
        <v>1500</v>
      </c>
      <c r="F829" s="502">
        <v>1500</v>
      </c>
      <c r="G829" s="501">
        <v>0</v>
      </c>
    </row>
    <row r="830" spans="1:7" ht="15.75" customHeight="1" x14ac:dyDescent="0.2">
      <c r="A830" s="500" t="s">
        <v>1690</v>
      </c>
      <c r="B830" s="501" t="s">
        <v>92</v>
      </c>
      <c r="C830" s="501">
        <v>77.459999999999994</v>
      </c>
      <c r="D830" s="501">
        <v>100</v>
      </c>
      <c r="E830" s="501">
        <v>175</v>
      </c>
      <c r="F830" s="501">
        <v>175</v>
      </c>
      <c r="G830" s="501">
        <v>0</v>
      </c>
    </row>
    <row r="831" spans="1:7" ht="15.75" customHeight="1" x14ac:dyDescent="0.2">
      <c r="A831" s="500" t="s">
        <v>1691</v>
      </c>
      <c r="B831" s="501" t="s">
        <v>94</v>
      </c>
      <c r="C831" s="502">
        <v>10180.75</v>
      </c>
      <c r="D831" s="502">
        <v>7850</v>
      </c>
      <c r="E831" s="502">
        <v>15000</v>
      </c>
      <c r="F831" s="502">
        <v>15000</v>
      </c>
      <c r="G831" s="501">
        <v>0</v>
      </c>
    </row>
    <row r="832" spans="1:7" ht="15.75" customHeight="1" x14ac:dyDescent="0.2">
      <c r="A832" s="500" t="s">
        <v>1692</v>
      </c>
      <c r="B832" s="501" t="s">
        <v>1693</v>
      </c>
      <c r="C832" s="502">
        <v>142610</v>
      </c>
      <c r="D832" s="502">
        <v>161300</v>
      </c>
      <c r="E832" s="502">
        <v>163300</v>
      </c>
      <c r="F832" s="502">
        <v>163300</v>
      </c>
      <c r="G832" s="501">
        <v>0</v>
      </c>
    </row>
    <row r="833" spans="1:7" ht="15.75" customHeight="1" x14ac:dyDescent="0.2">
      <c r="A833" s="500" t="s">
        <v>1694</v>
      </c>
      <c r="B833" s="501" t="s">
        <v>1695</v>
      </c>
      <c r="C833" s="502">
        <v>6150</v>
      </c>
      <c r="D833" s="502">
        <v>6300</v>
      </c>
      <c r="E833" s="502">
        <v>6615</v>
      </c>
      <c r="F833" s="502">
        <v>6615</v>
      </c>
      <c r="G833" s="501">
        <v>0</v>
      </c>
    </row>
    <row r="834" spans="1:7" ht="15.75" customHeight="1" x14ac:dyDescent="0.2">
      <c r="A834" s="500" t="s">
        <v>1696</v>
      </c>
      <c r="B834" s="501" t="s">
        <v>1697</v>
      </c>
      <c r="C834" s="502">
        <v>18600</v>
      </c>
      <c r="D834" s="502">
        <v>22000</v>
      </c>
      <c r="E834" s="502">
        <v>12000</v>
      </c>
      <c r="F834" s="502">
        <v>12000</v>
      </c>
      <c r="G834" s="501">
        <v>0</v>
      </c>
    </row>
    <row r="835" spans="1:7" ht="15.75" customHeight="1" x14ac:dyDescent="0.2">
      <c r="A835" s="500" t="s">
        <v>1076</v>
      </c>
      <c r="B835" s="501" t="s">
        <v>68</v>
      </c>
      <c r="C835" s="502">
        <v>77992.800000000003</v>
      </c>
      <c r="D835" s="502">
        <v>103056</v>
      </c>
      <c r="E835" s="502">
        <v>113300</v>
      </c>
      <c r="F835" s="502">
        <v>113300</v>
      </c>
      <c r="G835" s="501">
        <v>0</v>
      </c>
    </row>
    <row r="836" spans="1:7" ht="15.75" customHeight="1" x14ac:dyDescent="0.2">
      <c r="A836" s="500" t="s">
        <v>1077</v>
      </c>
      <c r="B836" s="501" t="s">
        <v>70</v>
      </c>
      <c r="C836" s="501">
        <v>0</v>
      </c>
      <c r="D836" s="502">
        <v>1000</v>
      </c>
      <c r="E836" s="502">
        <v>1000</v>
      </c>
      <c r="F836" s="502">
        <v>1000</v>
      </c>
      <c r="G836" s="501">
        <v>0</v>
      </c>
    </row>
    <row r="837" spans="1:7" ht="15.75" customHeight="1" x14ac:dyDescent="0.2">
      <c r="A837" s="500" t="s">
        <v>1079</v>
      </c>
      <c r="B837" s="501" t="s">
        <v>72</v>
      </c>
      <c r="C837" s="502">
        <v>38476.94</v>
      </c>
      <c r="D837" s="502">
        <v>52418.5</v>
      </c>
      <c r="E837" s="502">
        <v>60900</v>
      </c>
      <c r="F837" s="502">
        <v>60900</v>
      </c>
      <c r="G837" s="501">
        <v>0</v>
      </c>
    </row>
    <row r="838" spans="1:7" ht="15.75" customHeight="1" x14ac:dyDescent="0.2">
      <c r="A838" s="500" t="s">
        <v>1080</v>
      </c>
      <c r="B838" s="501" t="s">
        <v>74</v>
      </c>
      <c r="C838" s="501">
        <v>0</v>
      </c>
      <c r="D838" s="502">
        <v>2000</v>
      </c>
      <c r="E838" s="502">
        <v>2000</v>
      </c>
      <c r="F838" s="502">
        <v>2000</v>
      </c>
      <c r="G838" s="501">
        <v>0</v>
      </c>
    </row>
    <row r="839" spans="1:7" ht="15.75" customHeight="1" x14ac:dyDescent="0.2">
      <c r="A839" s="500" t="s">
        <v>1081</v>
      </c>
      <c r="B839" s="501" t="s">
        <v>76</v>
      </c>
      <c r="C839" s="502">
        <v>5296.32</v>
      </c>
      <c r="D839" s="502">
        <v>10700</v>
      </c>
      <c r="E839" s="502">
        <v>10700</v>
      </c>
      <c r="F839" s="502">
        <v>10700</v>
      </c>
      <c r="G839" s="501">
        <v>0</v>
      </c>
    </row>
    <row r="840" spans="1:7" ht="15.75" customHeight="1" x14ac:dyDescent="0.2">
      <c r="A840" s="500" t="s">
        <v>1082</v>
      </c>
      <c r="B840" s="501" t="s">
        <v>80</v>
      </c>
      <c r="C840" s="501">
        <v>79.33</v>
      </c>
      <c r="D840" s="502">
        <v>1200</v>
      </c>
      <c r="E840" s="502">
        <v>1200</v>
      </c>
      <c r="F840" s="502">
        <v>1200</v>
      </c>
      <c r="G840" s="501">
        <v>0</v>
      </c>
    </row>
    <row r="841" spans="1:7" ht="15.75" customHeight="1" x14ac:dyDescent="0.2">
      <c r="A841" s="500" t="s">
        <v>1084</v>
      </c>
      <c r="B841" s="501" t="s">
        <v>115</v>
      </c>
      <c r="C841" s="501">
        <v>0</v>
      </c>
      <c r="D841" s="502">
        <v>5000</v>
      </c>
      <c r="E841" s="502">
        <v>3000</v>
      </c>
      <c r="F841" s="502">
        <v>3000</v>
      </c>
      <c r="G841" s="501">
        <v>0</v>
      </c>
    </row>
    <row r="842" spans="1:7" ht="15.75" customHeight="1" x14ac:dyDescent="0.2">
      <c r="A842" s="500" t="s">
        <v>1085</v>
      </c>
      <c r="B842" s="501" t="s">
        <v>84</v>
      </c>
      <c r="C842" s="501">
        <v>732.65</v>
      </c>
      <c r="D842" s="502">
        <v>1200</v>
      </c>
      <c r="E842" s="501">
        <v>800</v>
      </c>
      <c r="F842" s="501">
        <v>800</v>
      </c>
      <c r="G842" s="501">
        <v>0</v>
      </c>
    </row>
    <row r="843" spans="1:7" ht="15.75" customHeight="1" x14ac:dyDescent="0.2">
      <c r="A843" s="500" t="s">
        <v>1086</v>
      </c>
      <c r="B843" s="501" t="s">
        <v>1087</v>
      </c>
      <c r="C843" s="501">
        <v>440</v>
      </c>
      <c r="D843" s="502">
        <v>3000</v>
      </c>
      <c r="E843" s="502">
        <v>3000</v>
      </c>
      <c r="F843" s="502">
        <v>3000</v>
      </c>
      <c r="G843" s="501">
        <v>0</v>
      </c>
    </row>
    <row r="844" spans="1:7" ht="15.75" customHeight="1" x14ac:dyDescent="0.2">
      <c r="A844" s="500" t="s">
        <v>1088</v>
      </c>
      <c r="B844" s="501" t="s">
        <v>86</v>
      </c>
      <c r="C844" s="501">
        <v>0</v>
      </c>
      <c r="D844" s="502">
        <v>40000</v>
      </c>
      <c r="E844" s="502">
        <v>40000</v>
      </c>
      <c r="F844" s="502">
        <v>40000</v>
      </c>
      <c r="G844" s="501">
        <v>0</v>
      </c>
    </row>
    <row r="845" spans="1:7" ht="15.75" customHeight="1" x14ac:dyDescent="0.2">
      <c r="A845" s="500" t="s">
        <v>1089</v>
      </c>
      <c r="B845" s="501" t="s">
        <v>88</v>
      </c>
      <c r="C845" s="502">
        <v>1054.33</v>
      </c>
      <c r="D845" s="502">
        <v>2000</v>
      </c>
      <c r="E845" s="502">
        <v>2010</v>
      </c>
      <c r="F845" s="502">
        <v>2010</v>
      </c>
      <c r="G845" s="501">
        <v>0</v>
      </c>
    </row>
    <row r="846" spans="1:7" ht="15.75" customHeight="1" x14ac:dyDescent="0.2">
      <c r="A846" s="500" t="s">
        <v>1092</v>
      </c>
      <c r="B846" s="501" t="s">
        <v>1093</v>
      </c>
      <c r="C846" s="502">
        <v>103254.54</v>
      </c>
      <c r="D846" s="502">
        <v>1624805</v>
      </c>
      <c r="E846" s="502">
        <v>1581000</v>
      </c>
      <c r="F846" s="502">
        <v>1581000</v>
      </c>
      <c r="G846" s="501">
        <v>0</v>
      </c>
    </row>
    <row r="847" spans="1:7" ht="15.75" customHeight="1" x14ac:dyDescent="0.2">
      <c r="A847" s="500" t="s">
        <v>1094</v>
      </c>
      <c r="B847" s="501" t="s">
        <v>92</v>
      </c>
      <c r="C847" s="501">
        <v>993.61</v>
      </c>
      <c r="D847" s="502">
        <v>1000</v>
      </c>
      <c r="E847" s="502">
        <v>1000</v>
      </c>
      <c r="F847" s="502">
        <v>1000</v>
      </c>
      <c r="G847" s="501">
        <v>0</v>
      </c>
    </row>
    <row r="848" spans="1:7" ht="15.75" customHeight="1" x14ac:dyDescent="0.2">
      <c r="A848" s="500" t="s">
        <v>1095</v>
      </c>
      <c r="B848" s="501" t="s">
        <v>94</v>
      </c>
      <c r="C848" s="502">
        <v>2571.52</v>
      </c>
      <c r="D848" s="502">
        <v>5000</v>
      </c>
      <c r="E848" s="502">
        <v>5000</v>
      </c>
      <c r="F848" s="502">
        <v>5000</v>
      </c>
      <c r="G848" s="501">
        <v>0</v>
      </c>
    </row>
    <row r="849" spans="1:7" ht="15.75" customHeight="1" x14ac:dyDescent="0.2">
      <c r="A849" s="500" t="s">
        <v>2086</v>
      </c>
      <c r="B849" s="501" t="s">
        <v>1836</v>
      </c>
      <c r="C849" s="502">
        <v>64600</v>
      </c>
      <c r="D849" s="502">
        <v>69600</v>
      </c>
      <c r="E849" s="502">
        <v>69600</v>
      </c>
      <c r="F849" s="502">
        <v>69600</v>
      </c>
      <c r="G849" s="501">
        <v>0</v>
      </c>
    </row>
    <row r="850" spans="1:7" ht="15.75" customHeight="1" x14ac:dyDescent="0.2">
      <c r="A850" s="500" t="s">
        <v>2087</v>
      </c>
      <c r="B850" s="501" t="s">
        <v>2088</v>
      </c>
      <c r="C850" s="501">
        <v>0</v>
      </c>
      <c r="D850" s="501">
        <v>0</v>
      </c>
      <c r="E850" s="501">
        <v>0</v>
      </c>
      <c r="F850" s="501">
        <v>0</v>
      </c>
      <c r="G850" s="501">
        <v>0</v>
      </c>
    </row>
    <row r="851" spans="1:7" ht="15.75" customHeight="1" x14ac:dyDescent="0.2">
      <c r="A851" s="500" t="s">
        <v>2089</v>
      </c>
      <c r="B851" s="501" t="s">
        <v>2090</v>
      </c>
      <c r="C851" s="501">
        <v>0</v>
      </c>
      <c r="D851" s="502">
        <v>100000</v>
      </c>
      <c r="E851" s="502">
        <v>100000</v>
      </c>
      <c r="F851" s="502">
        <v>100000</v>
      </c>
      <c r="G851" s="501">
        <v>0</v>
      </c>
    </row>
    <row r="852" spans="1:7" ht="15.75" customHeight="1" x14ac:dyDescent="0.2">
      <c r="A852" s="500" t="s">
        <v>2091</v>
      </c>
      <c r="B852" s="501" t="s">
        <v>2092</v>
      </c>
      <c r="C852" s="501">
        <v>0</v>
      </c>
      <c r="D852" s="502">
        <v>450000</v>
      </c>
      <c r="E852" s="502">
        <v>450000</v>
      </c>
      <c r="F852" s="501">
        <v>0</v>
      </c>
      <c r="G852" s="502">
        <v>-450000</v>
      </c>
    </row>
    <row r="853" spans="1:7" ht="15.75" customHeight="1" x14ac:dyDescent="0.2">
      <c r="A853" s="500" t="s">
        <v>2093</v>
      </c>
      <c r="B853" s="501" t="s">
        <v>2094</v>
      </c>
      <c r="C853" s="501">
        <v>0</v>
      </c>
      <c r="D853" s="501">
        <v>0</v>
      </c>
      <c r="E853" s="501">
        <v>0</v>
      </c>
      <c r="F853" s="501">
        <v>0</v>
      </c>
      <c r="G853" s="501">
        <v>0</v>
      </c>
    </row>
    <row r="854" spans="1:7" ht="15.75" customHeight="1" x14ac:dyDescent="0.2">
      <c r="A854" s="500" t="s">
        <v>2095</v>
      </c>
      <c r="B854" s="501" t="s">
        <v>2096</v>
      </c>
      <c r="C854" s="501">
        <v>0</v>
      </c>
      <c r="D854" s="501">
        <v>0</v>
      </c>
      <c r="E854" s="501">
        <v>0</v>
      </c>
      <c r="F854" s="501">
        <v>0</v>
      </c>
      <c r="G854" s="501">
        <v>0</v>
      </c>
    </row>
    <row r="855" spans="1:7" ht="15.75" customHeight="1" x14ac:dyDescent="0.2">
      <c r="A855" s="500" t="s">
        <v>2097</v>
      </c>
      <c r="B855" s="501" t="s">
        <v>2098</v>
      </c>
      <c r="C855" s="501">
        <v>0</v>
      </c>
      <c r="D855" s="502">
        <v>1203049</v>
      </c>
      <c r="E855" s="502">
        <v>1070807</v>
      </c>
      <c r="F855" s="502">
        <v>1070807</v>
      </c>
      <c r="G855" s="501">
        <v>0</v>
      </c>
    </row>
    <row r="856" spans="1:7" ht="15.75" customHeight="1" x14ac:dyDescent="0.2">
      <c r="A856" s="500" t="s">
        <v>2099</v>
      </c>
      <c r="B856" s="501" t="s">
        <v>2100</v>
      </c>
      <c r="C856" s="501">
        <v>0</v>
      </c>
      <c r="D856" s="502">
        <v>380000</v>
      </c>
      <c r="E856" s="502">
        <v>475000</v>
      </c>
      <c r="F856" s="501">
        <v>0</v>
      </c>
      <c r="G856" s="502">
        <v>-475000</v>
      </c>
    </row>
    <row r="857" spans="1:7" ht="15.75" customHeight="1" x14ac:dyDescent="0.2">
      <c r="A857" s="500" t="s">
        <v>2101</v>
      </c>
      <c r="B857" s="501" t="s">
        <v>2102</v>
      </c>
      <c r="C857" s="501">
        <v>0</v>
      </c>
      <c r="D857" s="502">
        <v>177979</v>
      </c>
      <c r="E857" s="502">
        <v>190800</v>
      </c>
      <c r="F857" s="502">
        <v>184100</v>
      </c>
      <c r="G857" s="502">
        <v>-6700</v>
      </c>
    </row>
    <row r="858" spans="1:7" ht="15.75" customHeight="1" x14ac:dyDescent="0.2">
      <c r="A858" s="500" t="s">
        <v>2103</v>
      </c>
      <c r="B858" s="501" t="s">
        <v>1842</v>
      </c>
      <c r="C858" s="501">
        <v>0</v>
      </c>
      <c r="D858" s="502">
        <v>2213650</v>
      </c>
      <c r="E858" s="502">
        <v>2060104.46</v>
      </c>
      <c r="F858" s="502">
        <v>2060104.46</v>
      </c>
      <c r="G858" s="501">
        <v>0</v>
      </c>
    </row>
    <row r="859" spans="1:7" ht="15.75" customHeight="1" x14ac:dyDescent="0.2">
      <c r="A859" s="500" t="s">
        <v>2104</v>
      </c>
      <c r="B859" s="501" t="s">
        <v>1844</v>
      </c>
      <c r="C859" s="501">
        <v>0</v>
      </c>
      <c r="D859" s="502">
        <v>4199494</v>
      </c>
      <c r="E859" s="502">
        <v>3504350</v>
      </c>
      <c r="F859" s="502">
        <v>2613700</v>
      </c>
      <c r="G859" s="502">
        <v>-890650</v>
      </c>
    </row>
    <row r="860" spans="1:7" ht="15.75" customHeight="1" x14ac:dyDescent="0.2">
      <c r="A860" s="500" t="s">
        <v>2105</v>
      </c>
      <c r="B860" s="501" t="s">
        <v>2106</v>
      </c>
      <c r="C860" s="501">
        <v>0</v>
      </c>
      <c r="D860" s="502">
        <v>3000000</v>
      </c>
      <c r="E860" s="501">
        <v>0</v>
      </c>
      <c r="F860" s="501">
        <v>0</v>
      </c>
      <c r="G860" s="501">
        <v>0</v>
      </c>
    </row>
    <row r="861" spans="1:7" ht="15.75" customHeight="1" x14ac:dyDescent="0.2">
      <c r="A861" s="500" t="s">
        <v>2107</v>
      </c>
      <c r="B861" s="501" t="s">
        <v>2108</v>
      </c>
      <c r="C861" s="501">
        <v>0</v>
      </c>
      <c r="D861" s="502">
        <v>9346</v>
      </c>
      <c r="E861" s="501">
        <v>0</v>
      </c>
      <c r="F861" s="501">
        <v>0</v>
      </c>
      <c r="G861" s="501">
        <v>0</v>
      </c>
    </row>
    <row r="862" spans="1:7" ht="15.75" customHeight="1" x14ac:dyDescent="0.2">
      <c r="A862" s="500" t="s">
        <v>2109</v>
      </c>
      <c r="B862" s="501" t="s">
        <v>2110</v>
      </c>
      <c r="C862" s="501">
        <v>0</v>
      </c>
      <c r="D862" s="502">
        <v>5000</v>
      </c>
      <c r="E862" s="501">
        <v>0</v>
      </c>
      <c r="F862" s="501">
        <v>0</v>
      </c>
      <c r="G862" s="501">
        <v>0</v>
      </c>
    </row>
    <row r="863" spans="1:7" ht="15.75" customHeight="1" x14ac:dyDescent="0.2">
      <c r="A863" s="500" t="s">
        <v>2111</v>
      </c>
      <c r="B863" s="501" t="s">
        <v>72</v>
      </c>
      <c r="C863" s="501">
        <v>0</v>
      </c>
      <c r="D863" s="501">
        <v>0</v>
      </c>
      <c r="E863" s="501">
        <v>0</v>
      </c>
      <c r="F863" s="501">
        <v>0</v>
      </c>
      <c r="G863" s="501">
        <v>0</v>
      </c>
    </row>
    <row r="864" spans="1:7" ht="15.75" customHeight="1" x14ac:dyDescent="0.2">
      <c r="A864" s="500" t="s">
        <v>2112</v>
      </c>
      <c r="B864" s="501" t="s">
        <v>84</v>
      </c>
      <c r="C864" s="501">
        <v>0</v>
      </c>
      <c r="D864" s="501">
        <v>0</v>
      </c>
      <c r="E864" s="501">
        <v>0</v>
      </c>
      <c r="F864" s="501">
        <v>0</v>
      </c>
      <c r="G864" s="501">
        <v>0</v>
      </c>
    </row>
    <row r="865" spans="1:7" ht="15.75" customHeight="1" x14ac:dyDescent="0.2">
      <c r="A865" s="500" t="s">
        <v>2113</v>
      </c>
      <c r="B865" s="501" t="s">
        <v>2054</v>
      </c>
      <c r="C865" s="501">
        <v>0</v>
      </c>
      <c r="D865" s="501">
        <v>0</v>
      </c>
      <c r="E865" s="501">
        <v>0</v>
      </c>
      <c r="F865" s="501">
        <v>0</v>
      </c>
      <c r="G865" s="501">
        <v>0</v>
      </c>
    </row>
    <row r="866" spans="1:7" ht="15.75" customHeight="1" x14ac:dyDescent="0.2">
      <c r="A866" s="500" t="s">
        <v>2114</v>
      </c>
      <c r="B866" s="501" t="s">
        <v>2056</v>
      </c>
      <c r="C866" s="501">
        <v>0</v>
      </c>
      <c r="D866" s="501">
        <v>0</v>
      </c>
      <c r="E866" s="501">
        <v>0</v>
      </c>
      <c r="F866" s="501">
        <v>0</v>
      </c>
      <c r="G866" s="501">
        <v>0</v>
      </c>
    </row>
    <row r="867" spans="1:7" ht="15.75" customHeight="1" x14ac:dyDescent="0.2">
      <c r="A867" s="500" t="s">
        <v>2115</v>
      </c>
      <c r="B867" s="501" t="s">
        <v>2058</v>
      </c>
      <c r="C867" s="501">
        <v>0</v>
      </c>
      <c r="D867" s="501">
        <v>0</v>
      </c>
      <c r="E867" s="501">
        <v>0</v>
      </c>
      <c r="F867" s="501">
        <v>0</v>
      </c>
      <c r="G867" s="501">
        <v>0</v>
      </c>
    </row>
    <row r="868" spans="1:7" ht="15.75" customHeight="1" x14ac:dyDescent="0.2">
      <c r="A868" s="500" t="s">
        <v>2116</v>
      </c>
      <c r="B868" s="501" t="s">
        <v>2117</v>
      </c>
      <c r="C868" s="501">
        <v>0</v>
      </c>
      <c r="D868" s="501">
        <v>0</v>
      </c>
      <c r="E868" s="501">
        <v>0</v>
      </c>
      <c r="F868" s="501">
        <v>0</v>
      </c>
      <c r="G868" s="501">
        <v>0</v>
      </c>
    </row>
    <row r="869" spans="1:7" ht="15.75" customHeight="1" x14ac:dyDescent="0.2">
      <c r="A869" s="500" t="s">
        <v>2118</v>
      </c>
      <c r="B869" s="501" t="s">
        <v>2023</v>
      </c>
      <c r="C869" s="501">
        <v>0</v>
      </c>
      <c r="D869" s="501">
        <v>0</v>
      </c>
      <c r="E869" s="501">
        <v>0</v>
      </c>
      <c r="F869" s="501">
        <v>0</v>
      </c>
      <c r="G869" s="501">
        <v>0</v>
      </c>
    </row>
    <row r="870" spans="1:7" ht="15.75" customHeight="1" x14ac:dyDescent="0.2">
      <c r="A870" s="500" t="s">
        <v>2119</v>
      </c>
      <c r="B870" s="501" t="s">
        <v>94</v>
      </c>
      <c r="C870" s="501">
        <v>0</v>
      </c>
      <c r="D870" s="501">
        <v>0</v>
      </c>
      <c r="E870" s="501">
        <v>0</v>
      </c>
      <c r="F870" s="501">
        <v>0</v>
      </c>
      <c r="G870" s="501">
        <v>0</v>
      </c>
    </row>
    <row r="871" spans="1:7" ht="15.75" customHeight="1" x14ac:dyDescent="0.2">
      <c r="A871" s="500" t="s">
        <v>2120</v>
      </c>
      <c r="B871" s="501" t="s">
        <v>2121</v>
      </c>
      <c r="C871" s="502">
        <v>-30186.58</v>
      </c>
      <c r="D871" s="502">
        <v>-40000</v>
      </c>
      <c r="E871" s="502">
        <v>-70000</v>
      </c>
      <c r="F871" s="502">
        <v>-70000</v>
      </c>
      <c r="G871" s="501">
        <v>0</v>
      </c>
    </row>
    <row r="872" spans="1:7" ht="15.75" customHeight="1" x14ac:dyDescent="0.2">
      <c r="A872" s="500" t="s">
        <v>2122</v>
      </c>
      <c r="B872" s="501" t="s">
        <v>2123</v>
      </c>
      <c r="C872" s="502">
        <v>-18945.689999999999</v>
      </c>
      <c r="D872" s="502">
        <v>-247211</v>
      </c>
      <c r="E872" s="502">
        <v>-240000</v>
      </c>
      <c r="F872" s="502">
        <v>-240000</v>
      </c>
      <c r="G872" s="501">
        <v>0</v>
      </c>
    </row>
    <row r="873" spans="1:7" ht="15.75" customHeight="1" x14ac:dyDescent="0.2">
      <c r="A873" s="500" t="s">
        <v>2124</v>
      </c>
      <c r="B873" s="501" t="s">
        <v>2125</v>
      </c>
      <c r="C873" s="502">
        <v>-2088.9</v>
      </c>
      <c r="D873" s="502">
        <v>-2500</v>
      </c>
      <c r="E873" s="502">
        <v>-5000</v>
      </c>
      <c r="F873" s="502">
        <v>-5000</v>
      </c>
      <c r="G873" s="501">
        <v>0</v>
      </c>
    </row>
    <row r="874" spans="1:7" ht="15.75" customHeight="1" x14ac:dyDescent="0.2">
      <c r="A874" s="500" t="s">
        <v>2126</v>
      </c>
      <c r="B874" s="501" t="s">
        <v>2127</v>
      </c>
      <c r="C874" s="502">
        <v>-267779.93</v>
      </c>
      <c r="D874" s="502">
        <v>-3593860</v>
      </c>
      <c r="E874" s="502">
        <v>-3590000</v>
      </c>
      <c r="F874" s="502">
        <v>-3590000</v>
      </c>
      <c r="G874" s="501">
        <v>0</v>
      </c>
    </row>
    <row r="875" spans="1:7" ht="15.75" customHeight="1" x14ac:dyDescent="0.2">
      <c r="A875" s="500" t="s">
        <v>2128</v>
      </c>
      <c r="B875" s="501" t="s">
        <v>2129</v>
      </c>
      <c r="C875" s="502">
        <v>-11098.77</v>
      </c>
      <c r="D875" s="502">
        <v>-8000</v>
      </c>
      <c r="E875" s="502">
        <v>-26000</v>
      </c>
      <c r="F875" s="502">
        <v>-26000</v>
      </c>
      <c r="G875" s="501">
        <v>0</v>
      </c>
    </row>
    <row r="876" spans="1:7" ht="15.75" customHeight="1" x14ac:dyDescent="0.2">
      <c r="A876" s="500" t="s">
        <v>2130</v>
      </c>
      <c r="B876" s="501" t="s">
        <v>2131</v>
      </c>
      <c r="C876" s="502">
        <v>-156862.74</v>
      </c>
      <c r="D876" s="502">
        <v>-200000</v>
      </c>
      <c r="E876" s="502">
        <v>-400000</v>
      </c>
      <c r="F876" s="502">
        <v>-400000</v>
      </c>
      <c r="G876" s="501">
        <v>0</v>
      </c>
    </row>
    <row r="877" spans="1:7" ht="15.75" customHeight="1" x14ac:dyDescent="0.2">
      <c r="A877" s="500" t="s">
        <v>2132</v>
      </c>
      <c r="B877" s="501" t="s">
        <v>1978</v>
      </c>
      <c r="C877" s="502">
        <v>-1862.91</v>
      </c>
      <c r="D877" s="502">
        <v>-3000</v>
      </c>
      <c r="E877" s="502">
        <v>-6000</v>
      </c>
      <c r="F877" s="502">
        <v>-6000</v>
      </c>
      <c r="G877" s="501">
        <v>0</v>
      </c>
    </row>
    <row r="878" spans="1:7" ht="15.75" customHeight="1" x14ac:dyDescent="0.2">
      <c r="A878" s="500" t="s">
        <v>1538</v>
      </c>
      <c r="B878" s="501" t="s">
        <v>317</v>
      </c>
      <c r="C878" s="502">
        <v>-121073.07</v>
      </c>
      <c r="D878" s="502">
        <v>-168300</v>
      </c>
      <c r="E878" s="502">
        <v>-184300</v>
      </c>
      <c r="F878" s="502">
        <v>-184300</v>
      </c>
      <c r="G878" s="501">
        <v>0</v>
      </c>
    </row>
    <row r="879" spans="1:7" ht="15.75" customHeight="1" x14ac:dyDescent="0.2">
      <c r="A879" s="500" t="s">
        <v>2133</v>
      </c>
      <c r="B879" s="501" t="s">
        <v>2134</v>
      </c>
      <c r="C879" s="502">
        <v>-130603.6</v>
      </c>
      <c r="D879" s="502">
        <v>-175000</v>
      </c>
      <c r="E879" s="502">
        <v>-320000</v>
      </c>
      <c r="F879" s="502">
        <v>-320000</v>
      </c>
      <c r="G879" s="501">
        <v>0</v>
      </c>
    </row>
    <row r="880" spans="1:7" ht="15.75" customHeight="1" x14ac:dyDescent="0.2">
      <c r="A880" s="500" t="s">
        <v>342</v>
      </c>
      <c r="B880" s="501" t="s">
        <v>343</v>
      </c>
      <c r="C880" s="502">
        <v>-184390.51</v>
      </c>
      <c r="D880" s="502">
        <v>-260000</v>
      </c>
      <c r="E880" s="502">
        <v>-270000</v>
      </c>
      <c r="F880" s="502">
        <v>-270000</v>
      </c>
      <c r="G880" s="501">
        <v>0</v>
      </c>
    </row>
    <row r="881" spans="1:7" ht="15.75" customHeight="1" x14ac:dyDescent="0.2">
      <c r="A881" s="500" t="s">
        <v>2135</v>
      </c>
      <c r="B881" s="501" t="s">
        <v>1752</v>
      </c>
      <c r="C881" s="502">
        <v>-37792.019999999997</v>
      </c>
      <c r="D881" s="502">
        <v>-40000</v>
      </c>
      <c r="E881" s="502">
        <v>-78000</v>
      </c>
      <c r="F881" s="502">
        <v>-78000</v>
      </c>
      <c r="G881" s="501">
        <v>0</v>
      </c>
    </row>
    <row r="882" spans="1:7" ht="15.75" customHeight="1" x14ac:dyDescent="0.2">
      <c r="A882" s="500" t="s">
        <v>2136</v>
      </c>
      <c r="B882" s="501" t="s">
        <v>1761</v>
      </c>
      <c r="C882" s="501">
        <v>-40.880000000000003</v>
      </c>
      <c r="D882" s="501">
        <v>0</v>
      </c>
      <c r="E882" s="501">
        <v>0</v>
      </c>
      <c r="F882" s="501">
        <v>0</v>
      </c>
      <c r="G882" s="501">
        <v>0</v>
      </c>
    </row>
    <row r="883" spans="1:7" ht="15.75" customHeight="1" x14ac:dyDescent="0.2">
      <c r="A883" s="500" t="s">
        <v>2137</v>
      </c>
      <c r="B883" s="501" t="s">
        <v>1898</v>
      </c>
      <c r="C883" s="501">
        <v>0</v>
      </c>
      <c r="D883" s="501">
        <v>0</v>
      </c>
      <c r="E883" s="501">
        <v>0</v>
      </c>
      <c r="F883" s="501">
        <v>0</v>
      </c>
      <c r="G883" s="501">
        <v>0</v>
      </c>
    </row>
    <row r="884" spans="1:7" ht="15.75" customHeight="1" x14ac:dyDescent="0.2">
      <c r="A884" s="500" t="s">
        <v>2138</v>
      </c>
      <c r="B884" s="501" t="s">
        <v>1766</v>
      </c>
      <c r="C884" s="501">
        <v>0</v>
      </c>
      <c r="D884" s="502">
        <v>-1454560.17</v>
      </c>
      <c r="E884" s="502">
        <v>-1833195</v>
      </c>
      <c r="F884" s="502">
        <v>-1236129</v>
      </c>
      <c r="G884" s="502">
        <v>597066</v>
      </c>
    </row>
    <row r="885" spans="1:7" ht="15.75" customHeight="1" x14ac:dyDescent="0.2">
      <c r="A885" s="500" t="s">
        <v>2139</v>
      </c>
      <c r="B885" s="501" t="s">
        <v>96</v>
      </c>
      <c r="C885" s="502">
        <v>30220.17</v>
      </c>
      <c r="D885" s="502">
        <v>41961.65</v>
      </c>
      <c r="E885" s="502">
        <v>60577</v>
      </c>
      <c r="F885" s="502">
        <v>60621</v>
      </c>
      <c r="G885" s="501">
        <v>44</v>
      </c>
    </row>
    <row r="886" spans="1:7" ht="15.75" customHeight="1" x14ac:dyDescent="0.2">
      <c r="A886" s="500" t="s">
        <v>2140</v>
      </c>
      <c r="B886" s="501" t="s">
        <v>124</v>
      </c>
      <c r="C886" s="502">
        <v>75695.3</v>
      </c>
      <c r="D886" s="502">
        <v>98822.42</v>
      </c>
      <c r="E886" s="502">
        <v>110805</v>
      </c>
      <c r="F886" s="502">
        <v>77715</v>
      </c>
      <c r="G886" s="502">
        <v>-33090</v>
      </c>
    </row>
    <row r="887" spans="1:7" ht="15.75" customHeight="1" x14ac:dyDescent="0.2">
      <c r="A887" s="500" t="s">
        <v>2141</v>
      </c>
      <c r="B887" s="501" t="s">
        <v>176</v>
      </c>
      <c r="C887" s="502">
        <v>69256.09</v>
      </c>
      <c r="D887" s="502">
        <v>109081.7</v>
      </c>
      <c r="E887" s="502">
        <v>129553</v>
      </c>
      <c r="F887" s="502">
        <v>114702</v>
      </c>
      <c r="G887" s="502">
        <v>-14851</v>
      </c>
    </row>
    <row r="888" spans="1:7" ht="15.75" customHeight="1" x14ac:dyDescent="0.2">
      <c r="A888" s="500" t="s">
        <v>2142</v>
      </c>
      <c r="B888" s="501" t="s">
        <v>154</v>
      </c>
      <c r="C888" s="502">
        <v>70384.92</v>
      </c>
      <c r="D888" s="502">
        <v>149497.9</v>
      </c>
      <c r="E888" s="502">
        <v>157709</v>
      </c>
      <c r="F888" s="502">
        <v>150644</v>
      </c>
      <c r="G888" s="502">
        <v>-7065</v>
      </c>
    </row>
    <row r="889" spans="1:7" ht="15.75" customHeight="1" x14ac:dyDescent="0.2">
      <c r="A889" s="500" t="s">
        <v>2143</v>
      </c>
      <c r="B889" s="501" t="s">
        <v>1143</v>
      </c>
      <c r="C889" s="502">
        <v>190108.76</v>
      </c>
      <c r="D889" s="502">
        <v>303908.09999999998</v>
      </c>
      <c r="E889" s="502">
        <v>313032</v>
      </c>
      <c r="F889" s="502">
        <v>312390</v>
      </c>
      <c r="G889" s="501">
        <v>-642</v>
      </c>
    </row>
    <row r="890" spans="1:7" ht="15.75" customHeight="1" x14ac:dyDescent="0.2">
      <c r="A890" s="500" t="s">
        <v>2144</v>
      </c>
      <c r="B890" s="501" t="s">
        <v>1526</v>
      </c>
      <c r="C890" s="502">
        <v>384389.46</v>
      </c>
      <c r="D890" s="502">
        <v>571258.5</v>
      </c>
      <c r="E890" s="502">
        <v>637485</v>
      </c>
      <c r="F890" s="502">
        <v>594285</v>
      </c>
      <c r="G890" s="502">
        <v>-43200</v>
      </c>
    </row>
    <row r="891" spans="1:7" ht="15.75" customHeight="1" x14ac:dyDescent="0.2">
      <c r="A891" s="500" t="s">
        <v>2145</v>
      </c>
      <c r="B891" s="501" t="s">
        <v>219</v>
      </c>
      <c r="C891" s="502">
        <v>328827.59999999998</v>
      </c>
      <c r="D891" s="502">
        <v>469052.45</v>
      </c>
      <c r="E891" s="502">
        <v>358866</v>
      </c>
      <c r="F891" s="502">
        <v>388106</v>
      </c>
      <c r="G891" s="502">
        <v>29240</v>
      </c>
    </row>
    <row r="892" spans="1:7" ht="15.75" customHeight="1" x14ac:dyDescent="0.2">
      <c r="A892" s="500" t="s">
        <v>2146</v>
      </c>
      <c r="B892" s="501" t="s">
        <v>314</v>
      </c>
      <c r="C892" s="501">
        <v>0</v>
      </c>
      <c r="D892" s="501">
        <v>0</v>
      </c>
      <c r="E892" s="502">
        <v>485625</v>
      </c>
      <c r="F892" s="501">
        <v>0</v>
      </c>
      <c r="G892" s="502">
        <v>-485625</v>
      </c>
    </row>
    <row r="893" spans="1:7" ht="15.75" customHeight="1" x14ac:dyDescent="0.2">
      <c r="A893" s="500" t="s">
        <v>2147</v>
      </c>
      <c r="B893" s="501" t="s">
        <v>397</v>
      </c>
      <c r="C893" s="502">
        <v>246666.83</v>
      </c>
      <c r="D893" s="502">
        <v>350342.3</v>
      </c>
      <c r="E893" s="502">
        <v>375817</v>
      </c>
      <c r="F893" s="502">
        <v>344164</v>
      </c>
      <c r="G893" s="502">
        <v>-31653</v>
      </c>
    </row>
    <row r="894" spans="1:7" ht="15.75" customHeight="1" x14ac:dyDescent="0.2">
      <c r="A894" s="500" t="s">
        <v>2148</v>
      </c>
      <c r="B894" s="501" t="s">
        <v>2070</v>
      </c>
      <c r="C894" s="502">
        <v>23838.18</v>
      </c>
      <c r="D894" s="502">
        <v>33000</v>
      </c>
      <c r="E894" s="502">
        <v>33840</v>
      </c>
      <c r="F894" s="502">
        <v>33840</v>
      </c>
      <c r="G894" s="501">
        <v>0</v>
      </c>
    </row>
    <row r="895" spans="1:7" ht="15.75" customHeight="1" x14ac:dyDescent="0.2">
      <c r="A895" s="500" t="s">
        <v>2149</v>
      </c>
      <c r="B895" s="501" t="s">
        <v>1554</v>
      </c>
      <c r="C895" s="502">
        <v>133904.39000000001</v>
      </c>
      <c r="D895" s="502">
        <v>173363.65</v>
      </c>
      <c r="E895" s="502">
        <v>197746</v>
      </c>
      <c r="F895" s="502">
        <v>191297</v>
      </c>
      <c r="G895" s="502">
        <v>-6449</v>
      </c>
    </row>
    <row r="896" spans="1:7" ht="15.75" customHeight="1" x14ac:dyDescent="0.2">
      <c r="A896" s="500" t="s">
        <v>1535</v>
      </c>
      <c r="B896" s="501" t="s">
        <v>68</v>
      </c>
      <c r="C896" s="502">
        <v>265588.8</v>
      </c>
      <c r="D896" s="502">
        <v>352170.5</v>
      </c>
      <c r="E896" s="502">
        <v>379900</v>
      </c>
      <c r="F896" s="502">
        <v>379900</v>
      </c>
      <c r="G896" s="501">
        <v>0</v>
      </c>
    </row>
    <row r="897" spans="1:7" ht="15.75" customHeight="1" x14ac:dyDescent="0.2">
      <c r="A897" s="500" t="s">
        <v>1536</v>
      </c>
      <c r="B897" s="501" t="s">
        <v>72</v>
      </c>
      <c r="C897" s="502">
        <v>115136.78</v>
      </c>
      <c r="D897" s="502">
        <v>174705.5</v>
      </c>
      <c r="E897" s="502">
        <v>166600</v>
      </c>
      <c r="F897" s="502">
        <v>166600</v>
      </c>
      <c r="G897" s="501">
        <v>0</v>
      </c>
    </row>
    <row r="898" spans="1:7" ht="15.75" customHeight="1" x14ac:dyDescent="0.2">
      <c r="A898" s="500" t="s">
        <v>1537</v>
      </c>
      <c r="B898" s="501" t="s">
        <v>92</v>
      </c>
      <c r="C898" s="502">
        <v>3345.65</v>
      </c>
      <c r="D898" s="502">
        <v>6400</v>
      </c>
      <c r="E898" s="502">
        <v>6400</v>
      </c>
      <c r="F898" s="502">
        <v>6400</v>
      </c>
      <c r="G898" s="501">
        <v>0</v>
      </c>
    </row>
    <row r="899" spans="1:7" ht="15.75" customHeight="1" x14ac:dyDescent="0.2">
      <c r="A899" s="500" t="s">
        <v>344</v>
      </c>
      <c r="B899" s="501" t="s">
        <v>68</v>
      </c>
      <c r="C899" s="502">
        <v>227093.34</v>
      </c>
      <c r="D899" s="502">
        <v>295358.5</v>
      </c>
      <c r="E899" s="502">
        <v>335500</v>
      </c>
      <c r="F899" s="502">
        <v>335500</v>
      </c>
      <c r="G899" s="501">
        <v>0</v>
      </c>
    </row>
    <row r="900" spans="1:7" ht="15.75" customHeight="1" x14ac:dyDescent="0.2">
      <c r="A900" s="500" t="s">
        <v>345</v>
      </c>
      <c r="B900" s="501" t="s">
        <v>70</v>
      </c>
      <c r="C900" s="502">
        <v>3454.95</v>
      </c>
      <c r="D900" s="502">
        <v>8000</v>
      </c>
      <c r="E900" s="502">
        <v>9000</v>
      </c>
      <c r="F900" s="502">
        <v>9000</v>
      </c>
      <c r="G900" s="501">
        <v>0</v>
      </c>
    </row>
    <row r="901" spans="1:7" ht="15.75" customHeight="1" x14ac:dyDescent="0.2">
      <c r="A901" s="500" t="s">
        <v>346</v>
      </c>
      <c r="B901" s="501" t="s">
        <v>108</v>
      </c>
      <c r="C901" s="501">
        <v>0</v>
      </c>
      <c r="D901" s="502">
        <v>4000</v>
      </c>
      <c r="E901" s="502">
        <v>4500</v>
      </c>
      <c r="F901" s="502">
        <v>3600</v>
      </c>
      <c r="G901" s="501">
        <v>-900</v>
      </c>
    </row>
    <row r="902" spans="1:7" ht="15.75" customHeight="1" x14ac:dyDescent="0.2">
      <c r="A902" s="500" t="s">
        <v>347</v>
      </c>
      <c r="B902" s="501" t="s">
        <v>72</v>
      </c>
      <c r="C902" s="502">
        <v>95724.5</v>
      </c>
      <c r="D902" s="502">
        <v>138610.5</v>
      </c>
      <c r="E902" s="502">
        <v>132900</v>
      </c>
      <c r="F902" s="502">
        <v>132900</v>
      </c>
      <c r="G902" s="501">
        <v>0</v>
      </c>
    </row>
    <row r="903" spans="1:7" ht="15.75" customHeight="1" x14ac:dyDescent="0.2">
      <c r="A903" s="500" t="s">
        <v>348</v>
      </c>
      <c r="B903" s="501" t="s">
        <v>74</v>
      </c>
      <c r="C903" s="502">
        <v>3417.72</v>
      </c>
      <c r="D903" s="502">
        <v>3775</v>
      </c>
      <c r="E903" s="501">
        <v>200</v>
      </c>
      <c r="F903" s="501">
        <v>275</v>
      </c>
      <c r="G903" s="501">
        <v>75</v>
      </c>
    </row>
    <row r="904" spans="1:7" ht="15.75" customHeight="1" x14ac:dyDescent="0.2">
      <c r="A904" s="500" t="s">
        <v>349</v>
      </c>
      <c r="B904" s="501" t="s">
        <v>76</v>
      </c>
      <c r="C904" s="502">
        <v>2511.2199999999998</v>
      </c>
      <c r="D904" s="502">
        <v>2615</v>
      </c>
      <c r="E904" s="502">
        <v>3000</v>
      </c>
      <c r="F904" s="502">
        <v>2675</v>
      </c>
      <c r="G904" s="501">
        <v>-325</v>
      </c>
    </row>
    <row r="905" spans="1:7" ht="15.75" customHeight="1" x14ac:dyDescent="0.2">
      <c r="A905" s="500" t="s">
        <v>350</v>
      </c>
      <c r="B905" s="501" t="s">
        <v>80</v>
      </c>
      <c r="C905" s="502">
        <v>10878.79</v>
      </c>
      <c r="D905" s="502">
        <v>16035</v>
      </c>
      <c r="E905" s="502">
        <v>12300</v>
      </c>
      <c r="F905" s="502">
        <v>11300</v>
      </c>
      <c r="G905" s="502">
        <v>-1000</v>
      </c>
    </row>
    <row r="906" spans="1:7" ht="15.75" customHeight="1" x14ac:dyDescent="0.2">
      <c r="A906" s="500" t="s">
        <v>351</v>
      </c>
      <c r="B906" s="501" t="s">
        <v>352</v>
      </c>
      <c r="C906" s="501">
        <v>0</v>
      </c>
      <c r="D906" s="502">
        <v>21000</v>
      </c>
      <c r="E906" s="502">
        <v>23800</v>
      </c>
      <c r="F906" s="502">
        <v>23800</v>
      </c>
      <c r="G906" s="501">
        <v>0</v>
      </c>
    </row>
    <row r="907" spans="1:7" ht="15.75" customHeight="1" x14ac:dyDescent="0.2">
      <c r="A907" s="500" t="s">
        <v>353</v>
      </c>
      <c r="B907" s="501" t="s">
        <v>354</v>
      </c>
      <c r="C907" s="502">
        <v>28000</v>
      </c>
      <c r="D907" s="502">
        <v>27000</v>
      </c>
      <c r="E907" s="502">
        <v>29000</v>
      </c>
      <c r="F907" s="502">
        <v>29000</v>
      </c>
      <c r="G907" s="501">
        <v>0</v>
      </c>
    </row>
    <row r="908" spans="1:7" ht="15.75" customHeight="1" x14ac:dyDescent="0.2">
      <c r="A908" s="500" t="s">
        <v>355</v>
      </c>
      <c r="B908" s="501" t="s">
        <v>82</v>
      </c>
      <c r="C908" s="501">
        <v>0</v>
      </c>
      <c r="D908" s="501">
        <v>300</v>
      </c>
      <c r="E908" s="501">
        <v>500</v>
      </c>
      <c r="F908" s="501">
        <v>375</v>
      </c>
      <c r="G908" s="501">
        <v>-125</v>
      </c>
    </row>
    <row r="909" spans="1:7" ht="15.75" customHeight="1" x14ac:dyDescent="0.2">
      <c r="A909" s="500" t="s">
        <v>356</v>
      </c>
      <c r="B909" s="501" t="s">
        <v>115</v>
      </c>
      <c r="C909" s="501">
        <v>0</v>
      </c>
      <c r="D909" s="502">
        <v>1150</v>
      </c>
      <c r="E909" s="502">
        <v>1200</v>
      </c>
      <c r="F909" s="501">
        <v>500</v>
      </c>
      <c r="G909" s="501">
        <v>-700</v>
      </c>
    </row>
    <row r="910" spans="1:7" ht="15.75" customHeight="1" x14ac:dyDescent="0.2">
      <c r="A910" s="500" t="s">
        <v>357</v>
      </c>
      <c r="B910" s="501" t="s">
        <v>84</v>
      </c>
      <c r="C910" s="502">
        <v>1346.08</v>
      </c>
      <c r="D910" s="502">
        <v>2410</v>
      </c>
      <c r="E910" s="502">
        <v>2140</v>
      </c>
      <c r="F910" s="502">
        <v>2140</v>
      </c>
      <c r="G910" s="501">
        <v>0</v>
      </c>
    </row>
    <row r="911" spans="1:7" ht="15.75" customHeight="1" x14ac:dyDescent="0.2">
      <c r="A911" s="500" t="s">
        <v>358</v>
      </c>
      <c r="B911" s="501" t="s">
        <v>86</v>
      </c>
      <c r="C911" s="501">
        <v>224.41</v>
      </c>
      <c r="D911" s="501">
        <v>500</v>
      </c>
      <c r="E911" s="501">
        <v>800</v>
      </c>
      <c r="F911" s="501">
        <v>500</v>
      </c>
      <c r="G911" s="501">
        <v>-300</v>
      </c>
    </row>
    <row r="912" spans="1:7" ht="15.75" customHeight="1" x14ac:dyDescent="0.2">
      <c r="A912" s="500" t="s">
        <v>359</v>
      </c>
      <c r="B912" s="501" t="s">
        <v>88</v>
      </c>
      <c r="C912" s="501">
        <v>0</v>
      </c>
      <c r="D912" s="501">
        <v>300</v>
      </c>
      <c r="E912" s="501">
        <v>300</v>
      </c>
      <c r="F912" s="501">
        <v>300</v>
      </c>
      <c r="G912" s="501">
        <v>0</v>
      </c>
    </row>
    <row r="913" spans="1:7" ht="15.75" customHeight="1" x14ac:dyDescent="0.2">
      <c r="A913" s="500" t="s">
        <v>360</v>
      </c>
      <c r="B913" s="501" t="s">
        <v>90</v>
      </c>
      <c r="C913" s="502">
        <v>1866.42</v>
      </c>
      <c r="D913" s="502">
        <v>2000</v>
      </c>
      <c r="E913" s="502">
        <v>1400</v>
      </c>
      <c r="F913" s="502">
        <v>1000</v>
      </c>
      <c r="G913" s="501">
        <v>-400</v>
      </c>
    </row>
    <row r="914" spans="1:7" ht="15.75" customHeight="1" x14ac:dyDescent="0.2">
      <c r="A914" s="500" t="s">
        <v>361</v>
      </c>
      <c r="B914" s="501" t="s">
        <v>92</v>
      </c>
      <c r="C914" s="502">
        <v>2831.89</v>
      </c>
      <c r="D914" s="502">
        <v>2000</v>
      </c>
      <c r="E914" s="502">
        <v>3000</v>
      </c>
      <c r="F914" s="502">
        <v>3000</v>
      </c>
      <c r="G914" s="501">
        <v>0</v>
      </c>
    </row>
    <row r="915" spans="1:7" ht="15.75" customHeight="1" x14ac:dyDescent="0.2">
      <c r="A915" s="500" t="s">
        <v>362</v>
      </c>
      <c r="B915" s="501" t="s">
        <v>363</v>
      </c>
      <c r="C915" s="501">
        <v>199.41</v>
      </c>
      <c r="D915" s="501">
        <v>200</v>
      </c>
      <c r="E915" s="501">
        <v>300</v>
      </c>
      <c r="F915" s="501">
        <v>200</v>
      </c>
      <c r="G915" s="501">
        <v>-100</v>
      </c>
    </row>
    <row r="916" spans="1:7" ht="15.75" customHeight="1" x14ac:dyDescent="0.2">
      <c r="A916" s="500" t="s">
        <v>364</v>
      </c>
      <c r="B916" s="501" t="s">
        <v>94</v>
      </c>
      <c r="C916" s="501">
        <v>288.99</v>
      </c>
      <c r="D916" s="501">
        <v>0</v>
      </c>
      <c r="E916" s="501">
        <v>0</v>
      </c>
      <c r="F916" s="501">
        <v>0</v>
      </c>
      <c r="G916" s="501">
        <v>0</v>
      </c>
    </row>
    <row r="917" spans="1:7" ht="15.75" customHeight="1" x14ac:dyDescent="0.2">
      <c r="A917" s="500" t="s">
        <v>320</v>
      </c>
      <c r="B917" s="501" t="s">
        <v>68</v>
      </c>
      <c r="C917" s="502">
        <v>958674.49</v>
      </c>
      <c r="D917" s="502">
        <v>1351227.5</v>
      </c>
      <c r="E917" s="502">
        <v>1534200</v>
      </c>
      <c r="F917" s="502">
        <v>1534200</v>
      </c>
      <c r="G917" s="501">
        <v>0</v>
      </c>
    </row>
    <row r="918" spans="1:7" ht="15.75" customHeight="1" x14ac:dyDescent="0.2">
      <c r="A918" s="500" t="s">
        <v>321</v>
      </c>
      <c r="B918" s="501" t="s">
        <v>70</v>
      </c>
      <c r="C918" s="502">
        <v>4029.27</v>
      </c>
      <c r="D918" s="502">
        <v>5550</v>
      </c>
      <c r="E918" s="502">
        <v>5600</v>
      </c>
      <c r="F918" s="502">
        <v>5600</v>
      </c>
      <c r="G918" s="501">
        <v>0</v>
      </c>
    </row>
    <row r="919" spans="1:7" ht="15.75" customHeight="1" x14ac:dyDescent="0.2">
      <c r="A919" s="500" t="s">
        <v>322</v>
      </c>
      <c r="B919" s="501" t="s">
        <v>132</v>
      </c>
      <c r="C919" s="502">
        <v>5002.45</v>
      </c>
      <c r="D919" s="501">
        <v>0</v>
      </c>
      <c r="E919" s="501">
        <v>0</v>
      </c>
      <c r="F919" s="501">
        <v>0</v>
      </c>
      <c r="G919" s="501">
        <v>0</v>
      </c>
    </row>
    <row r="920" spans="1:7" ht="15.75" customHeight="1" x14ac:dyDescent="0.2">
      <c r="A920" s="500" t="s">
        <v>323</v>
      </c>
      <c r="B920" s="501" t="s">
        <v>72</v>
      </c>
      <c r="C920" s="502">
        <v>502298.21</v>
      </c>
      <c r="D920" s="502">
        <v>733035</v>
      </c>
      <c r="E920" s="502">
        <v>775700</v>
      </c>
      <c r="F920" s="502">
        <v>775700</v>
      </c>
      <c r="G920" s="501">
        <v>0</v>
      </c>
    </row>
    <row r="921" spans="1:7" ht="15.75" customHeight="1" x14ac:dyDescent="0.2">
      <c r="A921" s="500" t="s">
        <v>324</v>
      </c>
      <c r="B921" s="501" t="s">
        <v>74</v>
      </c>
      <c r="C921" s="502">
        <v>5604.83</v>
      </c>
      <c r="D921" s="502">
        <v>9700</v>
      </c>
      <c r="E921" s="502">
        <v>10800</v>
      </c>
      <c r="F921" s="502">
        <v>10800</v>
      </c>
      <c r="G921" s="501">
        <v>0</v>
      </c>
    </row>
    <row r="922" spans="1:7" ht="15.75" customHeight="1" x14ac:dyDescent="0.2">
      <c r="A922" s="500" t="s">
        <v>325</v>
      </c>
      <c r="B922" s="501" t="s">
        <v>76</v>
      </c>
      <c r="C922" s="502">
        <v>6858.97</v>
      </c>
      <c r="D922" s="502">
        <v>5000</v>
      </c>
      <c r="E922" s="502">
        <v>7000</v>
      </c>
      <c r="F922" s="502">
        <v>7000</v>
      </c>
      <c r="G922" s="501">
        <v>0</v>
      </c>
    </row>
    <row r="923" spans="1:7" ht="15.75" customHeight="1" x14ac:dyDescent="0.2">
      <c r="A923" s="500" t="s">
        <v>326</v>
      </c>
      <c r="B923" s="501" t="s">
        <v>80</v>
      </c>
      <c r="C923" s="502">
        <v>13408.58</v>
      </c>
      <c r="D923" s="502">
        <v>20000</v>
      </c>
      <c r="E923" s="502">
        <v>20000</v>
      </c>
      <c r="F923" s="502">
        <v>20000</v>
      </c>
      <c r="G923" s="501">
        <v>0</v>
      </c>
    </row>
    <row r="924" spans="1:7" ht="15.75" customHeight="1" x14ac:dyDescent="0.2">
      <c r="A924" s="500" t="s">
        <v>327</v>
      </c>
      <c r="B924" s="501" t="s">
        <v>82</v>
      </c>
      <c r="C924" s="502">
        <v>10107.61</v>
      </c>
      <c r="D924" s="502">
        <v>15000</v>
      </c>
      <c r="E924" s="502">
        <v>17400</v>
      </c>
      <c r="F924" s="502">
        <v>17400</v>
      </c>
      <c r="G924" s="501">
        <v>0</v>
      </c>
    </row>
    <row r="925" spans="1:7" ht="15.75" customHeight="1" x14ac:dyDescent="0.2">
      <c r="A925" s="500" t="s">
        <v>328</v>
      </c>
      <c r="B925" s="501" t="s">
        <v>115</v>
      </c>
      <c r="C925" s="501">
        <v>0</v>
      </c>
      <c r="D925" s="502">
        <v>6000</v>
      </c>
      <c r="E925" s="502">
        <v>6000</v>
      </c>
      <c r="F925" s="502">
        <v>6000</v>
      </c>
      <c r="G925" s="501">
        <v>0</v>
      </c>
    </row>
    <row r="926" spans="1:7" ht="15.75" customHeight="1" x14ac:dyDescent="0.2">
      <c r="A926" s="500" t="s">
        <v>329</v>
      </c>
      <c r="B926" s="501" t="s">
        <v>84</v>
      </c>
      <c r="C926" s="502">
        <v>1917.12</v>
      </c>
      <c r="D926" s="502">
        <v>4000</v>
      </c>
      <c r="E926" s="502">
        <v>4000</v>
      </c>
      <c r="F926" s="502">
        <v>4000</v>
      </c>
      <c r="G926" s="501">
        <v>0</v>
      </c>
    </row>
    <row r="927" spans="1:7" ht="15.75" customHeight="1" x14ac:dyDescent="0.2">
      <c r="A927" s="500" t="s">
        <v>330</v>
      </c>
      <c r="B927" s="501" t="s">
        <v>86</v>
      </c>
      <c r="C927" s="501">
        <v>0</v>
      </c>
      <c r="D927" s="502">
        <v>175000</v>
      </c>
      <c r="E927" s="502">
        <v>180000</v>
      </c>
      <c r="F927" s="502">
        <v>180000</v>
      </c>
      <c r="G927" s="501">
        <v>0</v>
      </c>
    </row>
    <row r="928" spans="1:7" ht="15.75" customHeight="1" x14ac:dyDescent="0.2">
      <c r="A928" s="500" t="s">
        <v>331</v>
      </c>
      <c r="B928" s="501" t="s">
        <v>88</v>
      </c>
      <c r="C928" s="502">
        <v>13671.84</v>
      </c>
      <c r="D928" s="502">
        <v>35000</v>
      </c>
      <c r="E928" s="502">
        <v>25000</v>
      </c>
      <c r="F928" s="502">
        <v>25000</v>
      </c>
      <c r="G928" s="501">
        <v>0</v>
      </c>
    </row>
    <row r="929" spans="1:7" ht="15.75" customHeight="1" x14ac:dyDescent="0.2">
      <c r="A929" s="500" t="s">
        <v>332</v>
      </c>
      <c r="B929" s="501" t="s">
        <v>333</v>
      </c>
      <c r="C929" s="502">
        <v>8700</v>
      </c>
      <c r="D929" s="502">
        <v>14000</v>
      </c>
      <c r="E929" s="502">
        <v>10000</v>
      </c>
      <c r="F929" s="502">
        <v>10000</v>
      </c>
      <c r="G929" s="501">
        <v>0</v>
      </c>
    </row>
    <row r="930" spans="1:7" ht="15.75" customHeight="1" x14ac:dyDescent="0.2">
      <c r="A930" s="500" t="s">
        <v>334</v>
      </c>
      <c r="B930" s="501" t="s">
        <v>90</v>
      </c>
      <c r="C930" s="502">
        <v>10464.51</v>
      </c>
      <c r="D930" s="502">
        <v>8000</v>
      </c>
      <c r="E930" s="502">
        <v>8000</v>
      </c>
      <c r="F930" s="502">
        <v>8000</v>
      </c>
      <c r="G930" s="501">
        <v>0</v>
      </c>
    </row>
    <row r="931" spans="1:7" ht="15.75" customHeight="1" x14ac:dyDescent="0.2">
      <c r="A931" s="500" t="s">
        <v>335</v>
      </c>
      <c r="B931" s="501" t="s">
        <v>92</v>
      </c>
      <c r="C931" s="502">
        <v>15337.46</v>
      </c>
      <c r="D931" s="502">
        <v>15100</v>
      </c>
      <c r="E931" s="502">
        <v>16000</v>
      </c>
      <c r="F931" s="502">
        <v>16000</v>
      </c>
      <c r="G931" s="501">
        <v>0</v>
      </c>
    </row>
    <row r="932" spans="1:7" ht="15.75" customHeight="1" x14ac:dyDescent="0.2">
      <c r="A932" s="500" t="s">
        <v>336</v>
      </c>
      <c r="B932" s="501" t="s">
        <v>173</v>
      </c>
      <c r="C932" s="501">
        <v>0</v>
      </c>
      <c r="D932" s="502">
        <v>1000</v>
      </c>
      <c r="E932" s="502">
        <v>1000</v>
      </c>
      <c r="F932" s="502">
        <v>1000</v>
      </c>
      <c r="G932" s="501">
        <v>0</v>
      </c>
    </row>
    <row r="933" spans="1:7" ht="15.75" customHeight="1" x14ac:dyDescent="0.2">
      <c r="A933" s="500" t="s">
        <v>337</v>
      </c>
      <c r="B933" s="501" t="s">
        <v>94</v>
      </c>
      <c r="C933" s="501">
        <v>0</v>
      </c>
      <c r="D933" s="501">
        <v>0</v>
      </c>
      <c r="E933" s="501">
        <v>0</v>
      </c>
      <c r="F933" s="501">
        <v>0</v>
      </c>
      <c r="G933" s="501">
        <v>0</v>
      </c>
    </row>
    <row r="934" spans="1:7" ht="15.75" customHeight="1" x14ac:dyDescent="0.2">
      <c r="A934" s="500" t="s">
        <v>338</v>
      </c>
      <c r="B934" s="501" t="s">
        <v>339</v>
      </c>
      <c r="C934" s="502">
        <v>60169.93</v>
      </c>
      <c r="D934" s="502">
        <v>65000</v>
      </c>
      <c r="E934" s="502">
        <v>90000</v>
      </c>
      <c r="F934" s="502">
        <v>90000</v>
      </c>
      <c r="G934" s="501">
        <v>0</v>
      </c>
    </row>
    <row r="935" spans="1:7" ht="15.75" customHeight="1" x14ac:dyDescent="0.2">
      <c r="A935" s="500" t="s">
        <v>2150</v>
      </c>
      <c r="B935" s="501" t="s">
        <v>99</v>
      </c>
      <c r="C935" s="501">
        <v>0</v>
      </c>
      <c r="D935" s="501">
        <v>0</v>
      </c>
      <c r="E935" s="501">
        <v>0</v>
      </c>
      <c r="F935" s="501">
        <v>0</v>
      </c>
      <c r="G935" s="501">
        <v>0</v>
      </c>
    </row>
    <row r="936" spans="1:7" ht="15.75" customHeight="1" x14ac:dyDescent="0.2">
      <c r="A936" s="500" t="s">
        <v>2151</v>
      </c>
      <c r="B936" s="501" t="s">
        <v>2152</v>
      </c>
      <c r="C936" s="502">
        <v>91671.29</v>
      </c>
      <c r="D936" s="502">
        <v>250000</v>
      </c>
      <c r="E936" s="502">
        <v>250000</v>
      </c>
      <c r="F936" s="502">
        <v>250000</v>
      </c>
      <c r="G936" s="501">
        <v>0</v>
      </c>
    </row>
    <row r="937" spans="1:7" ht="15.75" customHeight="1" x14ac:dyDescent="0.2">
      <c r="A937" s="500" t="s">
        <v>2153</v>
      </c>
      <c r="B937" s="501" t="s">
        <v>1844</v>
      </c>
      <c r="C937" s="501">
        <v>0</v>
      </c>
      <c r="D937" s="502">
        <v>35000</v>
      </c>
      <c r="E937" s="501">
        <v>0</v>
      </c>
      <c r="F937" s="501">
        <v>0</v>
      </c>
      <c r="G937" s="501">
        <v>0</v>
      </c>
    </row>
    <row r="938" spans="1:7" ht="15.75" customHeight="1" x14ac:dyDescent="0.2">
      <c r="A938" s="500" t="s">
        <v>2154</v>
      </c>
      <c r="B938" s="501" t="s">
        <v>2155</v>
      </c>
      <c r="C938" s="501">
        <v>0</v>
      </c>
      <c r="D938" s="502">
        <v>75000</v>
      </c>
      <c r="E938" s="502">
        <v>75000</v>
      </c>
      <c r="F938" s="502">
        <v>75000</v>
      </c>
      <c r="G938" s="501">
        <v>0</v>
      </c>
    </row>
    <row r="939" spans="1:7" ht="15.75" customHeight="1" x14ac:dyDescent="0.2">
      <c r="A939" s="500" t="s">
        <v>2156</v>
      </c>
      <c r="B939" s="501" t="s">
        <v>2157</v>
      </c>
      <c r="C939" s="502">
        <v>11547.62</v>
      </c>
      <c r="D939" s="502">
        <v>11000</v>
      </c>
      <c r="E939" s="502">
        <v>13000</v>
      </c>
      <c r="F939" s="502">
        <v>13000</v>
      </c>
      <c r="G939" s="501">
        <v>0</v>
      </c>
    </row>
    <row r="940" spans="1:7" ht="15.75" customHeight="1" x14ac:dyDescent="0.2">
      <c r="A940" s="500" t="s">
        <v>2158</v>
      </c>
      <c r="B940" s="501" t="s">
        <v>1972</v>
      </c>
      <c r="C940" s="502">
        <v>-1248994.3600000001</v>
      </c>
      <c r="D940" s="502">
        <v>-1798000</v>
      </c>
      <c r="E940" s="502">
        <v>-1600000</v>
      </c>
      <c r="F940" s="502">
        <v>-1600000</v>
      </c>
      <c r="G940" s="501">
        <v>0</v>
      </c>
    </row>
    <row r="941" spans="1:7" ht="15.75" customHeight="1" x14ac:dyDescent="0.2">
      <c r="A941" s="500" t="s">
        <v>1405</v>
      </c>
      <c r="B941" s="501" t="s">
        <v>1406</v>
      </c>
      <c r="C941" s="501">
        <v>0</v>
      </c>
      <c r="D941" s="501">
        <v>0</v>
      </c>
      <c r="E941" s="501">
        <v>0</v>
      </c>
      <c r="F941" s="501">
        <v>0</v>
      </c>
      <c r="G941" s="501">
        <v>0</v>
      </c>
    </row>
    <row r="942" spans="1:7" ht="15.75" customHeight="1" x14ac:dyDescent="0.2">
      <c r="A942" s="500" t="s">
        <v>2159</v>
      </c>
      <c r="B942" s="501" t="s">
        <v>1974</v>
      </c>
      <c r="C942" s="501">
        <v>0</v>
      </c>
      <c r="D942" s="502">
        <v>-5000000</v>
      </c>
      <c r="E942" s="501">
        <v>0</v>
      </c>
      <c r="F942" s="501">
        <v>0</v>
      </c>
      <c r="G942" s="501">
        <v>0</v>
      </c>
    </row>
    <row r="943" spans="1:7" ht="15.75" customHeight="1" x14ac:dyDescent="0.2">
      <c r="A943" s="500" t="s">
        <v>1430</v>
      </c>
      <c r="B943" s="501" t="s">
        <v>1431</v>
      </c>
      <c r="C943" s="502">
        <v>-8974.64</v>
      </c>
      <c r="D943" s="502">
        <v>-9000</v>
      </c>
      <c r="E943" s="502">
        <v>-9000</v>
      </c>
      <c r="F943" s="502">
        <v>-9000</v>
      </c>
      <c r="G943" s="501">
        <v>0</v>
      </c>
    </row>
    <row r="944" spans="1:7" ht="15.75" customHeight="1" x14ac:dyDescent="0.2">
      <c r="A944" s="500" t="s">
        <v>1124</v>
      </c>
      <c r="B944" s="501" t="s">
        <v>1125</v>
      </c>
      <c r="C944" s="502">
        <v>-8960</v>
      </c>
      <c r="D944" s="502">
        <v>-15000</v>
      </c>
      <c r="E944" s="502">
        <v>-15000</v>
      </c>
      <c r="F944" s="502">
        <v>-15000</v>
      </c>
      <c r="G944" s="501">
        <v>0</v>
      </c>
    </row>
    <row r="945" spans="1:7" ht="15.75" customHeight="1" x14ac:dyDescent="0.2">
      <c r="A945" s="500" t="s">
        <v>1126</v>
      </c>
      <c r="B945" s="501" t="s">
        <v>1127</v>
      </c>
      <c r="C945" s="502">
        <v>-55920</v>
      </c>
      <c r="D945" s="502">
        <v>-75000</v>
      </c>
      <c r="E945" s="502">
        <v>-80000</v>
      </c>
      <c r="F945" s="502">
        <v>-80000</v>
      </c>
      <c r="G945" s="501">
        <v>0</v>
      </c>
    </row>
    <row r="946" spans="1:7" ht="15.75" customHeight="1" x14ac:dyDescent="0.2">
      <c r="A946" s="500" t="s">
        <v>1303</v>
      </c>
      <c r="B946" s="501" t="s">
        <v>1304</v>
      </c>
      <c r="C946" s="502">
        <v>-6916.9</v>
      </c>
      <c r="D946" s="502">
        <v>-8000</v>
      </c>
      <c r="E946" s="502">
        <v>-10000</v>
      </c>
      <c r="F946" s="502">
        <v>-10000</v>
      </c>
      <c r="G946" s="501">
        <v>0</v>
      </c>
    </row>
    <row r="947" spans="1:7" ht="15.75" customHeight="1" x14ac:dyDescent="0.2">
      <c r="A947" s="500" t="s">
        <v>1305</v>
      </c>
      <c r="B947" s="501" t="s">
        <v>1306</v>
      </c>
      <c r="C947" s="502">
        <v>-7800</v>
      </c>
      <c r="D947" s="502">
        <v>-12000</v>
      </c>
      <c r="E947" s="502">
        <v>-12000</v>
      </c>
      <c r="F947" s="502">
        <v>-12000</v>
      </c>
      <c r="G947" s="501">
        <v>0</v>
      </c>
    </row>
    <row r="948" spans="1:7" ht="15.75" customHeight="1" x14ac:dyDescent="0.2">
      <c r="A948" s="500" t="s">
        <v>1307</v>
      </c>
      <c r="B948" s="501" t="s">
        <v>1308</v>
      </c>
      <c r="C948" s="502">
        <v>-16100</v>
      </c>
      <c r="D948" s="502">
        <v>-22000</v>
      </c>
      <c r="E948" s="502">
        <v>-22000</v>
      </c>
      <c r="F948" s="502">
        <v>-22000</v>
      </c>
      <c r="G948" s="501">
        <v>0</v>
      </c>
    </row>
    <row r="949" spans="1:7" ht="15.75" customHeight="1" x14ac:dyDescent="0.2">
      <c r="A949" s="500" t="s">
        <v>1164</v>
      </c>
      <c r="B949" s="501" t="s">
        <v>1165</v>
      </c>
      <c r="C949" s="502">
        <v>-1120253.1399999999</v>
      </c>
      <c r="D949" s="502">
        <v>-1150000</v>
      </c>
      <c r="E949" s="502">
        <v>-1550000</v>
      </c>
      <c r="F949" s="502">
        <v>-1550000</v>
      </c>
      <c r="G949" s="501">
        <v>0</v>
      </c>
    </row>
    <row r="950" spans="1:7" ht="15.75" customHeight="1" x14ac:dyDescent="0.2">
      <c r="A950" s="500" t="s">
        <v>1166</v>
      </c>
      <c r="B950" s="501" t="s">
        <v>1167</v>
      </c>
      <c r="C950" s="502">
        <v>-292423.06</v>
      </c>
      <c r="D950" s="502">
        <v>-250000</v>
      </c>
      <c r="E950" s="502">
        <v>-400000</v>
      </c>
      <c r="F950" s="502">
        <v>-400000</v>
      </c>
      <c r="G950" s="501">
        <v>0</v>
      </c>
    </row>
    <row r="951" spans="1:7" ht="15.75" customHeight="1" x14ac:dyDescent="0.2">
      <c r="A951" s="500" t="s">
        <v>1168</v>
      </c>
      <c r="B951" s="501" t="s">
        <v>1169</v>
      </c>
      <c r="C951" s="502">
        <v>-2227.13</v>
      </c>
      <c r="D951" s="502">
        <v>-5000</v>
      </c>
      <c r="E951" s="502">
        <v>-5000</v>
      </c>
      <c r="F951" s="502">
        <v>-5000</v>
      </c>
      <c r="G951" s="501">
        <v>0</v>
      </c>
    </row>
    <row r="952" spans="1:7" ht="15.75" customHeight="1" x14ac:dyDescent="0.2">
      <c r="A952" s="500" t="s">
        <v>2160</v>
      </c>
      <c r="B952" s="501" t="s">
        <v>1984</v>
      </c>
      <c r="C952" s="501">
        <v>0</v>
      </c>
      <c r="D952" s="501">
        <v>0</v>
      </c>
      <c r="E952" s="501">
        <v>0</v>
      </c>
      <c r="F952" s="501">
        <v>0</v>
      </c>
      <c r="G952" s="501">
        <v>0</v>
      </c>
    </row>
    <row r="953" spans="1:7" ht="15.75" customHeight="1" x14ac:dyDescent="0.2">
      <c r="A953" s="500" t="s">
        <v>1490</v>
      </c>
      <c r="B953" s="501" t="s">
        <v>1489</v>
      </c>
      <c r="C953" s="501">
        <v>0</v>
      </c>
      <c r="D953" s="501">
        <v>0</v>
      </c>
      <c r="E953" s="501">
        <v>0</v>
      </c>
      <c r="F953" s="501">
        <v>0</v>
      </c>
      <c r="G953" s="501">
        <v>0</v>
      </c>
    </row>
    <row r="954" spans="1:7" ht="15.75" customHeight="1" x14ac:dyDescent="0.2">
      <c r="A954" s="500" t="s">
        <v>2161</v>
      </c>
      <c r="B954" s="501" t="s">
        <v>1991</v>
      </c>
      <c r="C954" s="501">
        <v>0</v>
      </c>
      <c r="D954" s="501">
        <v>0</v>
      </c>
      <c r="E954" s="501">
        <v>0</v>
      </c>
      <c r="F954" s="501">
        <v>0</v>
      </c>
      <c r="G954" s="501">
        <v>0</v>
      </c>
    </row>
    <row r="955" spans="1:7" ht="15.75" customHeight="1" x14ac:dyDescent="0.2">
      <c r="A955" s="500" t="s">
        <v>1409</v>
      </c>
      <c r="B955" s="501" t="s">
        <v>1408</v>
      </c>
      <c r="C955" s="501">
        <v>0</v>
      </c>
      <c r="D955" s="501">
        <v>0</v>
      </c>
      <c r="E955" s="501">
        <v>0</v>
      </c>
      <c r="F955" s="501">
        <v>0</v>
      </c>
      <c r="G955" s="501">
        <v>0</v>
      </c>
    </row>
    <row r="956" spans="1:7" ht="15.75" customHeight="1" x14ac:dyDescent="0.2">
      <c r="A956" s="500" t="s">
        <v>1491</v>
      </c>
      <c r="B956" s="501" t="s">
        <v>1492</v>
      </c>
      <c r="C956" s="501">
        <v>0</v>
      </c>
      <c r="D956" s="501">
        <v>0</v>
      </c>
      <c r="E956" s="501">
        <v>0</v>
      </c>
      <c r="F956" s="501">
        <v>0</v>
      </c>
      <c r="G956" s="501">
        <v>0</v>
      </c>
    </row>
    <row r="957" spans="1:7" ht="15.75" customHeight="1" x14ac:dyDescent="0.2">
      <c r="A957" s="500" t="s">
        <v>1098</v>
      </c>
      <c r="B957" s="501" t="s">
        <v>1099</v>
      </c>
      <c r="C957" s="502">
        <v>-70200</v>
      </c>
      <c r="D957" s="501">
        <v>0</v>
      </c>
      <c r="E957" s="501">
        <v>0</v>
      </c>
      <c r="F957" s="501">
        <v>0</v>
      </c>
      <c r="G957" s="501">
        <v>0</v>
      </c>
    </row>
    <row r="958" spans="1:7" ht="15.75" customHeight="1" x14ac:dyDescent="0.2">
      <c r="A958" s="500" t="s">
        <v>2162</v>
      </c>
      <c r="B958" s="501" t="s">
        <v>2163</v>
      </c>
      <c r="C958" s="501">
        <v>0</v>
      </c>
      <c r="D958" s="501">
        <v>0</v>
      </c>
      <c r="E958" s="501">
        <v>0</v>
      </c>
      <c r="F958" s="501">
        <v>0</v>
      </c>
      <c r="G958" s="501">
        <v>0</v>
      </c>
    </row>
    <row r="959" spans="1:7" ht="15.75" customHeight="1" x14ac:dyDescent="0.2">
      <c r="A959" s="500" t="s">
        <v>1496</v>
      </c>
      <c r="B959" s="501" t="s">
        <v>1495</v>
      </c>
      <c r="C959" s="501">
        <v>0</v>
      </c>
      <c r="D959" s="501">
        <v>0</v>
      </c>
      <c r="E959" s="501">
        <v>0</v>
      </c>
      <c r="F959" s="501">
        <v>0</v>
      </c>
      <c r="G959" s="501">
        <v>0</v>
      </c>
    </row>
    <row r="960" spans="1:7" ht="15.75" customHeight="1" x14ac:dyDescent="0.2">
      <c r="A960" s="500" t="s">
        <v>2164</v>
      </c>
      <c r="B960" s="501" t="s">
        <v>2165</v>
      </c>
      <c r="C960" s="501">
        <v>0</v>
      </c>
      <c r="D960" s="501">
        <v>0</v>
      </c>
      <c r="E960" s="501">
        <v>0</v>
      </c>
      <c r="F960" s="501">
        <v>0</v>
      </c>
      <c r="G960" s="501">
        <v>0</v>
      </c>
    </row>
    <row r="961" spans="1:7" ht="15.75" customHeight="1" x14ac:dyDescent="0.2">
      <c r="A961" s="500" t="s">
        <v>1298</v>
      </c>
      <c r="B961" s="501" t="s">
        <v>1299</v>
      </c>
      <c r="C961" s="502">
        <v>-28229.96</v>
      </c>
      <c r="D961" s="502">
        <v>-28000</v>
      </c>
      <c r="E961" s="502">
        <v>-30000</v>
      </c>
      <c r="F961" s="502">
        <v>-30000</v>
      </c>
      <c r="G961" s="501">
        <v>0</v>
      </c>
    </row>
    <row r="962" spans="1:7" ht="15.75" customHeight="1" x14ac:dyDescent="0.2">
      <c r="A962" s="500" t="s">
        <v>1301</v>
      </c>
      <c r="B962" s="501" t="s">
        <v>1302</v>
      </c>
      <c r="C962" s="501">
        <v>0</v>
      </c>
      <c r="D962" s="502">
        <v>-30000</v>
      </c>
      <c r="E962" s="502">
        <v>-20000</v>
      </c>
      <c r="F962" s="502">
        <v>-20000</v>
      </c>
      <c r="G962" s="501">
        <v>0</v>
      </c>
    </row>
    <row r="963" spans="1:7" ht="15.75" customHeight="1" x14ac:dyDescent="0.2">
      <c r="A963" s="500" t="s">
        <v>1170</v>
      </c>
      <c r="B963" s="501" t="s">
        <v>1171</v>
      </c>
      <c r="C963" s="501">
        <v>-315</v>
      </c>
      <c r="D963" s="502">
        <v>-55000</v>
      </c>
      <c r="E963" s="502">
        <v>-55000</v>
      </c>
      <c r="F963" s="502">
        <v>-55000</v>
      </c>
      <c r="G963" s="501">
        <v>0</v>
      </c>
    </row>
    <row r="964" spans="1:7" ht="15.75" customHeight="1" x14ac:dyDescent="0.2">
      <c r="A964" s="500" t="s">
        <v>1128</v>
      </c>
      <c r="B964" s="501" t="s">
        <v>1129</v>
      </c>
      <c r="C964" s="502">
        <v>-58261.5</v>
      </c>
      <c r="D964" s="502">
        <v>-55000</v>
      </c>
      <c r="E964" s="502">
        <v>-58000</v>
      </c>
      <c r="F964" s="502">
        <v>-58000</v>
      </c>
      <c r="G964" s="501">
        <v>0</v>
      </c>
    </row>
    <row r="965" spans="1:7" ht="15.75" customHeight="1" x14ac:dyDescent="0.2">
      <c r="A965" s="500" t="s">
        <v>1100</v>
      </c>
      <c r="B965" s="501" t="s">
        <v>1101</v>
      </c>
      <c r="C965" s="502">
        <v>-70854.399999999994</v>
      </c>
      <c r="D965" s="501">
        <v>0</v>
      </c>
      <c r="E965" s="502">
        <v>-50000</v>
      </c>
      <c r="F965" s="502">
        <v>-50000</v>
      </c>
      <c r="G965" s="501">
        <v>0</v>
      </c>
    </row>
    <row r="966" spans="1:7" ht="15.75" customHeight="1" x14ac:dyDescent="0.2">
      <c r="A966" s="500" t="s">
        <v>1412</v>
      </c>
      <c r="B966" s="501" t="s">
        <v>1411</v>
      </c>
      <c r="C966" s="501">
        <v>0</v>
      </c>
      <c r="D966" s="501">
        <v>0</v>
      </c>
      <c r="E966" s="501">
        <v>0</v>
      </c>
      <c r="F966" s="501">
        <v>0</v>
      </c>
      <c r="G966" s="501">
        <v>0</v>
      </c>
    </row>
    <row r="967" spans="1:7" ht="15.75" customHeight="1" x14ac:dyDescent="0.2">
      <c r="A967" s="500" t="s">
        <v>1499</v>
      </c>
      <c r="B967" s="501" t="s">
        <v>1498</v>
      </c>
      <c r="C967" s="501">
        <v>0</v>
      </c>
      <c r="D967" s="501">
        <v>0</v>
      </c>
      <c r="E967" s="501">
        <v>0</v>
      </c>
      <c r="F967" s="501">
        <v>0</v>
      </c>
      <c r="G967" s="501">
        <v>0</v>
      </c>
    </row>
    <row r="968" spans="1:7" ht="15.75" customHeight="1" x14ac:dyDescent="0.2">
      <c r="A968" s="500" t="s">
        <v>1500</v>
      </c>
      <c r="B968" s="501" t="s">
        <v>1501</v>
      </c>
      <c r="C968" s="501">
        <v>0</v>
      </c>
      <c r="D968" s="501">
        <v>0</v>
      </c>
      <c r="E968" s="501">
        <v>0</v>
      </c>
      <c r="F968" s="501">
        <v>0</v>
      </c>
      <c r="G968" s="501">
        <v>0</v>
      </c>
    </row>
    <row r="969" spans="1:7" ht="15.75" customHeight="1" x14ac:dyDescent="0.2">
      <c r="A969" s="500" t="s">
        <v>1503</v>
      </c>
      <c r="B969" s="501" t="s">
        <v>1504</v>
      </c>
      <c r="C969" s="501">
        <v>0</v>
      </c>
      <c r="D969" s="501">
        <v>0</v>
      </c>
      <c r="E969" s="501">
        <v>0</v>
      </c>
      <c r="F969" s="501">
        <v>0</v>
      </c>
      <c r="G969" s="501">
        <v>0</v>
      </c>
    </row>
    <row r="970" spans="1:7" ht="15.75" customHeight="1" x14ac:dyDescent="0.2">
      <c r="A970" s="500" t="s">
        <v>2166</v>
      </c>
      <c r="B970" s="501" t="s">
        <v>2167</v>
      </c>
      <c r="C970" s="502">
        <v>-472072.92</v>
      </c>
      <c r="D970" s="502">
        <v>-650000</v>
      </c>
      <c r="E970" s="502">
        <v>-625000</v>
      </c>
      <c r="F970" s="502">
        <v>-625000</v>
      </c>
      <c r="G970" s="501">
        <v>0</v>
      </c>
    </row>
    <row r="971" spans="1:7" ht="15.75" customHeight="1" x14ac:dyDescent="0.2">
      <c r="A971" s="500" t="s">
        <v>2168</v>
      </c>
      <c r="B971" s="501" t="s">
        <v>2169</v>
      </c>
      <c r="C971" s="501">
        <v>-45</v>
      </c>
      <c r="D971" s="501">
        <v>-600</v>
      </c>
      <c r="E971" s="501">
        <v>-100</v>
      </c>
      <c r="F971" s="501">
        <v>-100</v>
      </c>
      <c r="G971" s="501">
        <v>0</v>
      </c>
    </row>
    <row r="972" spans="1:7" ht="15.75" customHeight="1" x14ac:dyDescent="0.2">
      <c r="A972" s="500" t="s">
        <v>2170</v>
      </c>
      <c r="B972" s="501" t="s">
        <v>2171</v>
      </c>
      <c r="C972" s="502">
        <v>-60488.28</v>
      </c>
      <c r="D972" s="502">
        <v>-78000</v>
      </c>
      <c r="E972" s="502">
        <v>-80000</v>
      </c>
      <c r="F972" s="502">
        <v>-80000</v>
      </c>
      <c r="G972" s="501">
        <v>0</v>
      </c>
    </row>
    <row r="973" spans="1:7" ht="15.75" customHeight="1" x14ac:dyDescent="0.2">
      <c r="A973" s="500" t="s">
        <v>2172</v>
      </c>
      <c r="B973" s="501" t="s">
        <v>2173</v>
      </c>
      <c r="C973" s="501">
        <v>0</v>
      </c>
      <c r="D973" s="502">
        <v>-1200</v>
      </c>
      <c r="E973" s="501">
        <v>0</v>
      </c>
      <c r="F973" s="501">
        <v>0</v>
      </c>
      <c r="G973" s="501">
        <v>0</v>
      </c>
    </row>
    <row r="974" spans="1:7" ht="15.75" customHeight="1" x14ac:dyDescent="0.2">
      <c r="A974" s="500" t="s">
        <v>2174</v>
      </c>
      <c r="B974" s="501" t="s">
        <v>2175</v>
      </c>
      <c r="C974" s="501">
        <v>-725.09</v>
      </c>
      <c r="D974" s="502">
        <v>-5000</v>
      </c>
      <c r="E974" s="501">
        <v>0</v>
      </c>
      <c r="F974" s="501">
        <v>0</v>
      </c>
      <c r="G974" s="501">
        <v>0</v>
      </c>
    </row>
    <row r="975" spans="1:7" ht="15.75" customHeight="1" x14ac:dyDescent="0.2">
      <c r="A975" s="500" t="s">
        <v>2176</v>
      </c>
      <c r="B975" s="501" t="s">
        <v>2177</v>
      </c>
      <c r="C975" s="502">
        <v>-2848.76</v>
      </c>
      <c r="D975" s="502">
        <v>-10000</v>
      </c>
      <c r="E975" s="502">
        <v>-5000</v>
      </c>
      <c r="F975" s="502">
        <v>-5000</v>
      </c>
      <c r="G975" s="501">
        <v>0</v>
      </c>
    </row>
    <row r="976" spans="1:7" ht="15.75" customHeight="1" x14ac:dyDescent="0.2">
      <c r="A976" s="500" t="s">
        <v>2178</v>
      </c>
      <c r="B976" s="501" t="s">
        <v>2179</v>
      </c>
      <c r="C976" s="502">
        <v>560125.38</v>
      </c>
      <c r="D976" s="502">
        <v>734800</v>
      </c>
      <c r="E976" s="502">
        <v>650000</v>
      </c>
      <c r="F976" s="502">
        <v>650000</v>
      </c>
      <c r="G976" s="501">
        <v>0</v>
      </c>
    </row>
    <row r="977" spans="1:7" ht="15.75" customHeight="1" x14ac:dyDescent="0.2">
      <c r="A977" s="500" t="s">
        <v>2180</v>
      </c>
      <c r="B977" s="501" t="s">
        <v>2181</v>
      </c>
      <c r="C977" s="501">
        <v>0</v>
      </c>
      <c r="D977" s="502">
        <v>-6000</v>
      </c>
      <c r="E977" s="502">
        <v>-3600</v>
      </c>
      <c r="F977" s="502">
        <v>-3600</v>
      </c>
      <c r="G977" s="501">
        <v>0</v>
      </c>
    </row>
    <row r="978" spans="1:7" ht="15.75" customHeight="1" x14ac:dyDescent="0.2">
      <c r="A978" s="500" t="s">
        <v>1172</v>
      </c>
      <c r="B978" s="501" t="s">
        <v>1173</v>
      </c>
      <c r="C978" s="502">
        <v>-1000</v>
      </c>
      <c r="D978" s="501">
        <v>0</v>
      </c>
      <c r="E978" s="501">
        <v>0</v>
      </c>
      <c r="F978" s="501">
        <v>0</v>
      </c>
      <c r="G978" s="501">
        <v>0</v>
      </c>
    </row>
    <row r="979" spans="1:7" ht="15.75" customHeight="1" x14ac:dyDescent="0.2">
      <c r="A979" s="500" t="s">
        <v>1071</v>
      </c>
      <c r="B979" s="501" t="s">
        <v>1072</v>
      </c>
      <c r="C979" s="502">
        <v>-291507.36</v>
      </c>
      <c r="D979" s="502">
        <v>-100000</v>
      </c>
      <c r="E979" s="502">
        <v>-40000</v>
      </c>
      <c r="F979" s="501">
        <v>0</v>
      </c>
      <c r="G979" s="502">
        <v>40000</v>
      </c>
    </row>
    <row r="980" spans="1:7" ht="15.75" customHeight="1" x14ac:dyDescent="0.2">
      <c r="A980" s="500" t="s">
        <v>2182</v>
      </c>
      <c r="B980" s="501" t="s">
        <v>1175</v>
      </c>
      <c r="C980" s="501">
        <v>0</v>
      </c>
      <c r="D980" s="501">
        <v>0</v>
      </c>
      <c r="E980" s="501">
        <v>0</v>
      </c>
      <c r="F980" s="501">
        <v>0</v>
      </c>
      <c r="G980" s="501">
        <v>0</v>
      </c>
    </row>
    <row r="981" spans="1:7" ht="15.75" customHeight="1" x14ac:dyDescent="0.2">
      <c r="A981" s="500" t="s">
        <v>2183</v>
      </c>
      <c r="B981" s="501" t="s">
        <v>2184</v>
      </c>
      <c r="C981" s="502">
        <v>-4819.1499999999996</v>
      </c>
      <c r="D981" s="501">
        <v>0</v>
      </c>
      <c r="E981" s="501">
        <v>0</v>
      </c>
      <c r="F981" s="501">
        <v>0</v>
      </c>
      <c r="G981" s="501">
        <v>0</v>
      </c>
    </row>
    <row r="982" spans="1:7" ht="15.75" customHeight="1" x14ac:dyDescent="0.2">
      <c r="A982" s="500" t="s">
        <v>1073</v>
      </c>
      <c r="B982" s="501" t="s">
        <v>1074</v>
      </c>
      <c r="C982" s="501">
        <v>0</v>
      </c>
      <c r="D982" s="502">
        <v>-10000</v>
      </c>
      <c r="E982" s="502">
        <v>-1000</v>
      </c>
      <c r="F982" s="502">
        <v>-1000</v>
      </c>
      <c r="G982" s="501">
        <v>0</v>
      </c>
    </row>
    <row r="983" spans="1:7" ht="15.75" customHeight="1" x14ac:dyDescent="0.2">
      <c r="A983" s="500" t="s">
        <v>1418</v>
      </c>
      <c r="B983" s="501" t="s">
        <v>1417</v>
      </c>
      <c r="C983" s="501">
        <v>-528</v>
      </c>
      <c r="D983" s="501">
        <v>0</v>
      </c>
      <c r="E983" s="501">
        <v>0</v>
      </c>
      <c r="F983" s="501">
        <v>0</v>
      </c>
      <c r="G983" s="501">
        <v>0</v>
      </c>
    </row>
    <row r="984" spans="1:7" ht="15.75" customHeight="1" x14ac:dyDescent="0.2">
      <c r="A984" s="500" t="s">
        <v>2185</v>
      </c>
      <c r="B984" s="501" t="s">
        <v>2026</v>
      </c>
      <c r="C984" s="501">
        <v>0</v>
      </c>
      <c r="D984" s="501">
        <v>0</v>
      </c>
      <c r="E984" s="501">
        <v>0</v>
      </c>
      <c r="F984" s="501">
        <v>0</v>
      </c>
      <c r="G984" s="501">
        <v>0</v>
      </c>
    </row>
    <row r="985" spans="1:7" ht="15.75" customHeight="1" x14ac:dyDescent="0.2">
      <c r="A985" s="500" t="s">
        <v>2186</v>
      </c>
      <c r="B985" s="501" t="s">
        <v>1898</v>
      </c>
      <c r="C985" s="501">
        <v>0</v>
      </c>
      <c r="D985" s="501">
        <v>0</v>
      </c>
      <c r="E985" s="501">
        <v>0</v>
      </c>
      <c r="F985" s="501">
        <v>0</v>
      </c>
      <c r="G985" s="501">
        <v>0</v>
      </c>
    </row>
    <row r="986" spans="1:7" ht="15.75" customHeight="1" x14ac:dyDescent="0.2">
      <c r="A986" s="500" t="s">
        <v>2187</v>
      </c>
      <c r="B986" s="501" t="s">
        <v>2034</v>
      </c>
      <c r="C986" s="501">
        <v>0</v>
      </c>
      <c r="D986" s="502">
        <v>-70000</v>
      </c>
      <c r="E986" s="501">
        <v>0</v>
      </c>
      <c r="F986" s="501">
        <v>0</v>
      </c>
      <c r="G986" s="501">
        <v>0</v>
      </c>
    </row>
    <row r="987" spans="1:7" ht="15.75" customHeight="1" x14ac:dyDescent="0.2">
      <c r="A987" s="500" t="s">
        <v>2188</v>
      </c>
      <c r="B987" s="501" t="s">
        <v>2189</v>
      </c>
      <c r="C987" s="501">
        <v>0</v>
      </c>
      <c r="D987" s="502">
        <v>-118500</v>
      </c>
      <c r="E987" s="501">
        <v>0</v>
      </c>
      <c r="F987" s="501">
        <v>0</v>
      </c>
      <c r="G987" s="501">
        <v>0</v>
      </c>
    </row>
    <row r="988" spans="1:7" ht="15.75" customHeight="1" x14ac:dyDescent="0.2">
      <c r="A988" s="500" t="s">
        <v>1309</v>
      </c>
      <c r="B988" s="501" t="s">
        <v>1310</v>
      </c>
      <c r="C988" s="501">
        <v>0</v>
      </c>
      <c r="D988" s="501">
        <v>0</v>
      </c>
      <c r="E988" s="501">
        <v>0</v>
      </c>
      <c r="F988" s="501">
        <v>0</v>
      </c>
      <c r="G988" s="501">
        <v>0</v>
      </c>
    </row>
    <row r="989" spans="1:7" ht="15.75" customHeight="1" x14ac:dyDescent="0.2">
      <c r="A989" s="500" t="s">
        <v>1426</v>
      </c>
      <c r="B989" s="501" t="s">
        <v>1427</v>
      </c>
      <c r="C989" s="501">
        <v>0</v>
      </c>
      <c r="D989" s="501">
        <v>0</v>
      </c>
      <c r="E989" s="501">
        <v>0</v>
      </c>
      <c r="F989" s="501">
        <v>0</v>
      </c>
      <c r="G989" s="501">
        <v>0</v>
      </c>
    </row>
    <row r="990" spans="1:7" ht="15.75" customHeight="1" x14ac:dyDescent="0.2">
      <c r="A990" s="500" t="s">
        <v>1425</v>
      </c>
      <c r="B990" s="501" t="s">
        <v>1424</v>
      </c>
      <c r="C990" s="502">
        <v>-7200</v>
      </c>
      <c r="D990" s="501">
        <v>0</v>
      </c>
      <c r="E990" s="501">
        <v>0</v>
      </c>
      <c r="F990" s="502">
        <v>-3600</v>
      </c>
      <c r="G990" s="502">
        <v>-3600</v>
      </c>
    </row>
    <row r="991" spans="1:7" ht="15.75" customHeight="1" x14ac:dyDescent="0.2">
      <c r="A991" s="500" t="s">
        <v>2190</v>
      </c>
      <c r="B991" s="501" t="s">
        <v>2191</v>
      </c>
      <c r="C991" s="501">
        <v>0</v>
      </c>
      <c r="D991" s="502">
        <v>-2602976</v>
      </c>
      <c r="E991" s="502">
        <v>-251615</v>
      </c>
      <c r="F991" s="502">
        <v>365107</v>
      </c>
      <c r="G991" s="502">
        <v>616722</v>
      </c>
    </row>
    <row r="992" spans="1:7" ht="15.75" customHeight="1" x14ac:dyDescent="0.2">
      <c r="A992" s="500" t="s">
        <v>1056</v>
      </c>
      <c r="B992" s="501" t="s">
        <v>68</v>
      </c>
      <c r="C992" s="502">
        <v>85092.71</v>
      </c>
      <c r="D992" s="502">
        <v>235214.5</v>
      </c>
      <c r="E992" s="502">
        <v>248300</v>
      </c>
      <c r="F992" s="502">
        <v>248300</v>
      </c>
      <c r="G992" s="501">
        <v>0</v>
      </c>
    </row>
    <row r="993" spans="1:7" ht="15.75" customHeight="1" x14ac:dyDescent="0.2">
      <c r="A993" s="500" t="s">
        <v>1057</v>
      </c>
      <c r="B993" s="501" t="s">
        <v>70</v>
      </c>
      <c r="C993" s="501">
        <v>207.15</v>
      </c>
      <c r="D993" s="501">
        <v>0</v>
      </c>
      <c r="E993" s="502">
        <v>1000</v>
      </c>
      <c r="F993" s="501">
        <v>500</v>
      </c>
      <c r="G993" s="501">
        <v>-500</v>
      </c>
    </row>
    <row r="994" spans="1:7" ht="15.75" customHeight="1" x14ac:dyDescent="0.2">
      <c r="A994" s="500" t="s">
        <v>1058</v>
      </c>
      <c r="B994" s="501" t="s">
        <v>132</v>
      </c>
      <c r="C994" s="501">
        <v>0</v>
      </c>
      <c r="D994" s="501">
        <v>0</v>
      </c>
      <c r="E994" s="501">
        <v>0</v>
      </c>
      <c r="F994" s="501">
        <v>0</v>
      </c>
      <c r="G994" s="501">
        <v>0</v>
      </c>
    </row>
    <row r="995" spans="1:7" ht="15.75" customHeight="1" x14ac:dyDescent="0.2">
      <c r="A995" s="500" t="s">
        <v>1059</v>
      </c>
      <c r="B995" s="501" t="s">
        <v>72</v>
      </c>
      <c r="C995" s="502">
        <v>44291.05</v>
      </c>
      <c r="D995" s="502">
        <v>131643.5</v>
      </c>
      <c r="E995" s="502">
        <v>121500</v>
      </c>
      <c r="F995" s="502">
        <v>121500</v>
      </c>
      <c r="G995" s="501">
        <v>0</v>
      </c>
    </row>
    <row r="996" spans="1:7" ht="15.75" customHeight="1" x14ac:dyDescent="0.2">
      <c r="A996" s="500" t="s">
        <v>1060</v>
      </c>
      <c r="B996" s="501" t="s">
        <v>74</v>
      </c>
      <c r="C996" s="501">
        <v>264.75</v>
      </c>
      <c r="D996" s="502">
        <v>1100</v>
      </c>
      <c r="E996" s="502">
        <v>1200</v>
      </c>
      <c r="F996" s="501">
        <v>900</v>
      </c>
      <c r="G996" s="501">
        <v>-300</v>
      </c>
    </row>
    <row r="997" spans="1:7" ht="15.75" customHeight="1" x14ac:dyDescent="0.2">
      <c r="A997" s="500" t="s">
        <v>1061</v>
      </c>
      <c r="B997" s="501" t="s">
        <v>76</v>
      </c>
      <c r="C997" s="502">
        <v>2762.52</v>
      </c>
      <c r="D997" s="502">
        <v>4800</v>
      </c>
      <c r="E997" s="502">
        <v>5700</v>
      </c>
      <c r="F997" s="502">
        <v>4500</v>
      </c>
      <c r="G997" s="502">
        <v>-1200</v>
      </c>
    </row>
    <row r="998" spans="1:7" ht="15.75" customHeight="1" x14ac:dyDescent="0.2">
      <c r="A998" s="500" t="s">
        <v>1062</v>
      </c>
      <c r="B998" s="501" t="s">
        <v>80</v>
      </c>
      <c r="C998" s="502">
        <v>6296.92</v>
      </c>
      <c r="D998" s="502">
        <v>8400</v>
      </c>
      <c r="E998" s="502">
        <v>8150</v>
      </c>
      <c r="F998" s="502">
        <v>6927</v>
      </c>
      <c r="G998" s="502">
        <v>-1223</v>
      </c>
    </row>
    <row r="999" spans="1:7" ht="15.75" customHeight="1" x14ac:dyDescent="0.2">
      <c r="A999" s="500" t="s">
        <v>1063</v>
      </c>
      <c r="B999" s="501" t="s">
        <v>82</v>
      </c>
      <c r="C999" s="502">
        <v>2535.4699999999998</v>
      </c>
      <c r="D999" s="502">
        <v>6000</v>
      </c>
      <c r="E999" s="502">
        <v>4000</v>
      </c>
      <c r="F999" s="502">
        <v>3400</v>
      </c>
      <c r="G999" s="501">
        <v>-600</v>
      </c>
    </row>
    <row r="1000" spans="1:7" ht="15.75" customHeight="1" x14ac:dyDescent="0.2">
      <c r="A1000" s="500" t="s">
        <v>1064</v>
      </c>
      <c r="B1000" s="501" t="s">
        <v>115</v>
      </c>
      <c r="C1000" s="501">
        <v>0</v>
      </c>
      <c r="D1000" s="502">
        <v>10100</v>
      </c>
      <c r="E1000" s="502">
        <v>9100</v>
      </c>
      <c r="F1000" s="502">
        <v>7735</v>
      </c>
      <c r="G1000" s="502">
        <v>-1365</v>
      </c>
    </row>
    <row r="1001" spans="1:7" ht="15.75" customHeight="1" x14ac:dyDescent="0.2">
      <c r="A1001" s="500" t="s">
        <v>1065</v>
      </c>
      <c r="B1001" s="501" t="s">
        <v>84</v>
      </c>
      <c r="C1001" s="501">
        <v>532.96</v>
      </c>
      <c r="D1001" s="502">
        <v>1000</v>
      </c>
      <c r="E1001" s="502">
        <v>1000</v>
      </c>
      <c r="F1001" s="502">
        <v>1000</v>
      </c>
      <c r="G1001" s="501">
        <v>0</v>
      </c>
    </row>
    <row r="1002" spans="1:7" ht="15.75" customHeight="1" x14ac:dyDescent="0.2">
      <c r="A1002" s="500" t="s">
        <v>1066</v>
      </c>
      <c r="B1002" s="501" t="s">
        <v>86</v>
      </c>
      <c r="C1002" s="502">
        <v>9375</v>
      </c>
      <c r="D1002" s="502">
        <v>15000</v>
      </c>
      <c r="E1002" s="502">
        <v>19000</v>
      </c>
      <c r="F1002" s="502">
        <v>15000</v>
      </c>
      <c r="G1002" s="502">
        <v>-4000</v>
      </c>
    </row>
    <row r="1003" spans="1:7" ht="15.75" customHeight="1" x14ac:dyDescent="0.2">
      <c r="A1003" s="500" t="s">
        <v>1067</v>
      </c>
      <c r="B1003" s="501" t="s">
        <v>88</v>
      </c>
      <c r="C1003" s="502">
        <v>22000</v>
      </c>
      <c r="D1003" s="502">
        <v>32000</v>
      </c>
      <c r="E1003" s="502">
        <v>52500</v>
      </c>
      <c r="F1003" s="502">
        <v>3000</v>
      </c>
      <c r="G1003" s="502">
        <v>-49500</v>
      </c>
    </row>
    <row r="1004" spans="1:7" ht="15.75" customHeight="1" x14ac:dyDescent="0.2">
      <c r="A1004" s="500" t="s">
        <v>1068</v>
      </c>
      <c r="B1004" s="501" t="s">
        <v>90</v>
      </c>
      <c r="C1004" s="501">
        <v>286.60000000000002</v>
      </c>
      <c r="D1004" s="502">
        <v>2000</v>
      </c>
      <c r="E1004" s="502">
        <v>3225</v>
      </c>
      <c r="F1004" s="502">
        <v>2425</v>
      </c>
      <c r="G1004" s="501">
        <v>-800</v>
      </c>
    </row>
    <row r="1005" spans="1:7" ht="15.75" customHeight="1" x14ac:dyDescent="0.2">
      <c r="A1005" s="500" t="s">
        <v>1069</v>
      </c>
      <c r="B1005" s="501" t="s">
        <v>92</v>
      </c>
      <c r="C1005" s="502">
        <v>2670.2</v>
      </c>
      <c r="D1005" s="502">
        <v>3500</v>
      </c>
      <c r="E1005" s="502">
        <v>4000</v>
      </c>
      <c r="F1005" s="502">
        <v>4000</v>
      </c>
      <c r="G1005" s="501">
        <v>0</v>
      </c>
    </row>
    <row r="1006" spans="1:7" ht="15.75" customHeight="1" x14ac:dyDescent="0.2">
      <c r="A1006" s="500" t="s">
        <v>1070</v>
      </c>
      <c r="B1006" s="501" t="s">
        <v>94</v>
      </c>
      <c r="C1006" s="501">
        <v>259.68</v>
      </c>
      <c r="D1006" s="502">
        <v>1500</v>
      </c>
      <c r="E1006" s="502">
        <v>1500</v>
      </c>
      <c r="F1006" s="501">
        <v>0</v>
      </c>
      <c r="G1006" s="502">
        <v>-1500</v>
      </c>
    </row>
    <row r="1007" spans="1:7" ht="15.75" customHeight="1" x14ac:dyDescent="0.2">
      <c r="A1007" s="500" t="s">
        <v>1106</v>
      </c>
      <c r="B1007" s="501" t="s">
        <v>68</v>
      </c>
      <c r="C1007" s="502">
        <v>203517.63</v>
      </c>
      <c r="D1007" s="502">
        <v>272848</v>
      </c>
      <c r="E1007" s="502">
        <v>374600</v>
      </c>
      <c r="F1007" s="502">
        <v>322600</v>
      </c>
      <c r="G1007" s="502">
        <v>-52000</v>
      </c>
    </row>
    <row r="1008" spans="1:7" ht="15.75" customHeight="1" x14ac:dyDescent="0.2">
      <c r="A1008" s="500" t="s">
        <v>1107</v>
      </c>
      <c r="B1008" s="501" t="s">
        <v>70</v>
      </c>
      <c r="C1008" s="501">
        <v>388.67</v>
      </c>
      <c r="D1008" s="502">
        <v>1000</v>
      </c>
      <c r="E1008" s="502">
        <v>1000</v>
      </c>
      <c r="F1008" s="502">
        <v>1000</v>
      </c>
      <c r="G1008" s="501">
        <v>0</v>
      </c>
    </row>
    <row r="1009" spans="1:7" ht="15.75" customHeight="1" x14ac:dyDescent="0.2">
      <c r="A1009" s="500" t="s">
        <v>1108</v>
      </c>
      <c r="B1009" s="501" t="s">
        <v>132</v>
      </c>
      <c r="C1009" s="501">
        <v>0</v>
      </c>
      <c r="D1009" s="501">
        <v>0</v>
      </c>
      <c r="E1009" s="501">
        <v>0</v>
      </c>
      <c r="F1009" s="501">
        <v>0</v>
      </c>
      <c r="G1009" s="501">
        <v>0</v>
      </c>
    </row>
    <row r="1010" spans="1:7" ht="15.75" customHeight="1" x14ac:dyDescent="0.2">
      <c r="A1010" s="500" t="s">
        <v>1109</v>
      </c>
      <c r="B1010" s="501" t="s">
        <v>72</v>
      </c>
      <c r="C1010" s="502">
        <v>89792.87</v>
      </c>
      <c r="D1010" s="502">
        <v>148234.5</v>
      </c>
      <c r="E1010" s="502">
        <v>182900</v>
      </c>
      <c r="F1010" s="502">
        <v>146900</v>
      </c>
      <c r="G1010" s="502">
        <v>-36000</v>
      </c>
    </row>
    <row r="1011" spans="1:7" ht="15.75" customHeight="1" x14ac:dyDescent="0.2">
      <c r="A1011" s="500" t="s">
        <v>1110</v>
      </c>
      <c r="B1011" s="501" t="s">
        <v>74</v>
      </c>
      <c r="C1011" s="501">
        <v>347.75</v>
      </c>
      <c r="D1011" s="502">
        <v>1500</v>
      </c>
      <c r="E1011" s="502">
        <v>2000</v>
      </c>
      <c r="F1011" s="502">
        <v>2000</v>
      </c>
      <c r="G1011" s="501">
        <v>0</v>
      </c>
    </row>
    <row r="1012" spans="1:7" ht="15.75" customHeight="1" x14ac:dyDescent="0.2">
      <c r="A1012" s="500" t="s">
        <v>1111</v>
      </c>
      <c r="B1012" s="501" t="s">
        <v>200</v>
      </c>
      <c r="C1012" s="501">
        <v>108.46</v>
      </c>
      <c r="D1012" s="502">
        <v>3000</v>
      </c>
      <c r="E1012" s="502">
        <v>3000</v>
      </c>
      <c r="F1012" s="502">
        <v>2650</v>
      </c>
      <c r="G1012" s="501">
        <v>-350</v>
      </c>
    </row>
    <row r="1013" spans="1:7" ht="15.75" customHeight="1" x14ac:dyDescent="0.2">
      <c r="A1013" s="500" t="s">
        <v>1112</v>
      </c>
      <c r="B1013" s="501" t="s">
        <v>76</v>
      </c>
      <c r="C1013" s="502">
        <v>6662.33</v>
      </c>
      <c r="D1013" s="502">
        <v>14900</v>
      </c>
      <c r="E1013" s="502">
        <v>11950</v>
      </c>
      <c r="F1013" s="502">
        <v>10000</v>
      </c>
      <c r="G1013" s="502">
        <v>-1950</v>
      </c>
    </row>
    <row r="1014" spans="1:7" ht="15.75" customHeight="1" x14ac:dyDescent="0.2">
      <c r="A1014" s="500" t="s">
        <v>1113</v>
      </c>
      <c r="B1014" s="501" t="s">
        <v>80</v>
      </c>
      <c r="C1014" s="502">
        <v>4789.04</v>
      </c>
      <c r="D1014" s="502">
        <v>10000</v>
      </c>
      <c r="E1014" s="502">
        <v>11200</v>
      </c>
      <c r="F1014" s="502">
        <v>3520</v>
      </c>
      <c r="G1014" s="502">
        <v>-7680</v>
      </c>
    </row>
    <row r="1015" spans="1:7" ht="15.75" customHeight="1" x14ac:dyDescent="0.2">
      <c r="A1015" s="500" t="s">
        <v>1114</v>
      </c>
      <c r="B1015" s="501" t="s">
        <v>115</v>
      </c>
      <c r="C1015" s="501">
        <v>0</v>
      </c>
      <c r="D1015" s="501">
        <v>0</v>
      </c>
      <c r="E1015" s="502">
        <v>1000</v>
      </c>
      <c r="F1015" s="502">
        <v>1000</v>
      </c>
      <c r="G1015" s="501">
        <v>0</v>
      </c>
    </row>
    <row r="1016" spans="1:7" ht="15.75" customHeight="1" x14ac:dyDescent="0.2">
      <c r="A1016" s="500" t="s">
        <v>1115</v>
      </c>
      <c r="B1016" s="501" t="s">
        <v>84</v>
      </c>
      <c r="C1016" s="501">
        <v>423.97</v>
      </c>
      <c r="D1016" s="502">
        <v>2500</v>
      </c>
      <c r="E1016" s="502">
        <v>1500</v>
      </c>
      <c r="F1016" s="501">
        <v>750</v>
      </c>
      <c r="G1016" s="501">
        <v>-750</v>
      </c>
    </row>
    <row r="1017" spans="1:7" ht="15.75" customHeight="1" x14ac:dyDescent="0.2">
      <c r="A1017" s="500" t="s">
        <v>1116</v>
      </c>
      <c r="B1017" s="501" t="s">
        <v>86</v>
      </c>
      <c r="C1017" s="502">
        <v>92844.95</v>
      </c>
      <c r="D1017" s="502">
        <v>210000</v>
      </c>
      <c r="E1017" s="502">
        <v>50000</v>
      </c>
      <c r="F1017" s="502">
        <v>25000</v>
      </c>
      <c r="G1017" s="502">
        <v>-25000</v>
      </c>
    </row>
    <row r="1018" spans="1:7" ht="15.75" customHeight="1" x14ac:dyDescent="0.2">
      <c r="A1018" s="500" t="s">
        <v>1117</v>
      </c>
      <c r="B1018" s="501" t="s">
        <v>88</v>
      </c>
      <c r="C1018" s="502">
        <v>66696.259999999995</v>
      </c>
      <c r="D1018" s="502">
        <v>5000</v>
      </c>
      <c r="E1018" s="502">
        <v>5000</v>
      </c>
      <c r="F1018" s="502">
        <v>5000</v>
      </c>
      <c r="G1018" s="501">
        <v>0</v>
      </c>
    </row>
    <row r="1019" spans="1:7" ht="15.75" customHeight="1" x14ac:dyDescent="0.2">
      <c r="A1019" s="500" t="s">
        <v>1118</v>
      </c>
      <c r="B1019" s="501" t="s">
        <v>90</v>
      </c>
      <c r="C1019" s="501">
        <v>0</v>
      </c>
      <c r="D1019" s="501">
        <v>0</v>
      </c>
      <c r="E1019" s="502">
        <v>7575</v>
      </c>
      <c r="F1019" s="502">
        <v>6438</v>
      </c>
      <c r="G1019" s="502">
        <v>-1137</v>
      </c>
    </row>
    <row r="1020" spans="1:7" ht="15.75" customHeight="1" x14ac:dyDescent="0.2">
      <c r="A1020" s="500" t="s">
        <v>1119</v>
      </c>
      <c r="B1020" s="501" t="s">
        <v>92</v>
      </c>
      <c r="C1020" s="502">
        <v>2680.21</v>
      </c>
      <c r="D1020" s="502">
        <v>3500</v>
      </c>
      <c r="E1020" s="502">
        <v>3500</v>
      </c>
      <c r="F1020" s="502">
        <v>3500</v>
      </c>
      <c r="G1020" s="501">
        <v>0</v>
      </c>
    </row>
    <row r="1021" spans="1:7" ht="15.75" customHeight="1" x14ac:dyDescent="0.2">
      <c r="A1021" s="500" t="s">
        <v>1120</v>
      </c>
      <c r="B1021" s="501" t="s">
        <v>94</v>
      </c>
      <c r="C1021" s="501">
        <v>37.72</v>
      </c>
      <c r="D1021" s="501">
        <v>0</v>
      </c>
      <c r="E1021" s="501">
        <v>0</v>
      </c>
      <c r="F1021" s="501">
        <v>0</v>
      </c>
      <c r="G1021" s="501">
        <v>0</v>
      </c>
    </row>
    <row r="1022" spans="1:7" ht="15.75" customHeight="1" x14ac:dyDescent="0.2">
      <c r="A1022" s="500" t="s">
        <v>1121</v>
      </c>
      <c r="B1022" s="501" t="s">
        <v>122</v>
      </c>
      <c r="C1022" s="501">
        <v>222.78</v>
      </c>
      <c r="D1022" s="501">
        <v>0</v>
      </c>
      <c r="E1022" s="501">
        <v>0</v>
      </c>
      <c r="F1022" s="501">
        <v>0</v>
      </c>
      <c r="G1022" s="501">
        <v>0</v>
      </c>
    </row>
    <row r="1023" spans="1:7" ht="15.75" customHeight="1" x14ac:dyDescent="0.2">
      <c r="A1023" s="500" t="s">
        <v>1122</v>
      </c>
      <c r="B1023" s="501" t="s">
        <v>1123</v>
      </c>
      <c r="C1023" s="501">
        <v>139.1</v>
      </c>
      <c r="D1023" s="502">
        <v>3000</v>
      </c>
      <c r="E1023" s="502">
        <v>3000</v>
      </c>
      <c r="F1023" s="501">
        <v>0</v>
      </c>
      <c r="G1023" s="502">
        <v>-3000</v>
      </c>
    </row>
    <row r="1024" spans="1:7" ht="15.75" customHeight="1" x14ac:dyDescent="0.2">
      <c r="A1024" s="500" t="s">
        <v>2192</v>
      </c>
      <c r="B1024" s="501" t="s">
        <v>2193</v>
      </c>
      <c r="C1024" s="501">
        <v>0</v>
      </c>
      <c r="D1024" s="501">
        <v>0</v>
      </c>
      <c r="E1024" s="501">
        <v>0</v>
      </c>
      <c r="F1024" s="502">
        <v>6000</v>
      </c>
      <c r="G1024" s="502">
        <v>6000</v>
      </c>
    </row>
    <row r="1025" spans="1:7" ht="15.75" customHeight="1" x14ac:dyDescent="0.2">
      <c r="A1025" s="500" t="s">
        <v>1050</v>
      </c>
      <c r="B1025" s="501" t="s">
        <v>90</v>
      </c>
      <c r="C1025" s="502">
        <v>4119.1899999999996</v>
      </c>
      <c r="D1025" s="502">
        <v>15000</v>
      </c>
      <c r="E1025" s="502">
        <v>24000</v>
      </c>
      <c r="F1025" s="502">
        <v>24000</v>
      </c>
      <c r="G1025" s="501">
        <v>0</v>
      </c>
    </row>
    <row r="1026" spans="1:7" ht="15.75" customHeight="1" x14ac:dyDescent="0.2">
      <c r="A1026" s="500" t="s">
        <v>1051</v>
      </c>
      <c r="B1026" s="501" t="s">
        <v>1052</v>
      </c>
      <c r="C1026" s="502">
        <v>200684.36</v>
      </c>
      <c r="D1026" s="502">
        <v>380200</v>
      </c>
      <c r="E1026" s="502">
        <v>383625</v>
      </c>
      <c r="F1026" s="502">
        <v>383625</v>
      </c>
      <c r="G1026" s="501">
        <v>0</v>
      </c>
    </row>
    <row r="1027" spans="1:7" ht="15.75" customHeight="1" x14ac:dyDescent="0.2">
      <c r="A1027" s="500" t="s">
        <v>1053</v>
      </c>
      <c r="B1027" s="501" t="s">
        <v>94</v>
      </c>
      <c r="C1027" s="502">
        <v>8135</v>
      </c>
      <c r="D1027" s="502">
        <v>5000</v>
      </c>
      <c r="E1027" s="501">
        <v>0</v>
      </c>
      <c r="F1027" s="501">
        <v>0</v>
      </c>
      <c r="G1027" s="501">
        <v>0</v>
      </c>
    </row>
    <row r="1028" spans="1:7" ht="15.75" customHeight="1" x14ac:dyDescent="0.2">
      <c r="A1028" s="500" t="s">
        <v>1147</v>
      </c>
      <c r="B1028" s="501" t="s">
        <v>68</v>
      </c>
      <c r="C1028" s="502">
        <v>359011.1</v>
      </c>
      <c r="D1028" s="502">
        <v>459661.5</v>
      </c>
      <c r="E1028" s="502">
        <v>580000</v>
      </c>
      <c r="F1028" s="502">
        <v>499080</v>
      </c>
      <c r="G1028" s="502">
        <v>-80920</v>
      </c>
    </row>
    <row r="1029" spans="1:7" ht="15.75" customHeight="1" x14ac:dyDescent="0.2">
      <c r="A1029" s="500" t="s">
        <v>1148</v>
      </c>
      <c r="B1029" s="501" t="s">
        <v>70</v>
      </c>
      <c r="C1029" s="501">
        <v>235.23</v>
      </c>
      <c r="D1029" s="501">
        <v>0</v>
      </c>
      <c r="E1029" s="502">
        <v>1000</v>
      </c>
      <c r="F1029" s="502">
        <v>1000</v>
      </c>
      <c r="G1029" s="501">
        <v>0</v>
      </c>
    </row>
    <row r="1030" spans="1:7" ht="15.75" customHeight="1" x14ac:dyDescent="0.2">
      <c r="A1030" s="500" t="s">
        <v>1149</v>
      </c>
      <c r="B1030" s="501" t="s">
        <v>108</v>
      </c>
      <c r="C1030" s="501">
        <v>0</v>
      </c>
      <c r="D1030" s="502">
        <v>36100</v>
      </c>
      <c r="E1030" s="502">
        <v>36100</v>
      </c>
      <c r="F1030" s="501">
        <v>0</v>
      </c>
      <c r="G1030" s="502">
        <v>-36100</v>
      </c>
    </row>
    <row r="1031" spans="1:7" ht="15.75" customHeight="1" x14ac:dyDescent="0.2">
      <c r="A1031" s="500" t="s">
        <v>1150</v>
      </c>
      <c r="B1031" s="501" t="s">
        <v>72</v>
      </c>
      <c r="C1031" s="502">
        <v>178204.16</v>
      </c>
      <c r="D1031" s="502">
        <v>236175</v>
      </c>
      <c r="E1031" s="502">
        <v>296700</v>
      </c>
      <c r="F1031" s="502">
        <v>248623</v>
      </c>
      <c r="G1031" s="502">
        <v>-48077</v>
      </c>
    </row>
    <row r="1032" spans="1:7" ht="15.75" customHeight="1" x14ac:dyDescent="0.2">
      <c r="A1032" s="500" t="s">
        <v>1151</v>
      </c>
      <c r="B1032" s="501" t="s">
        <v>74</v>
      </c>
      <c r="C1032" s="501">
        <v>817.04</v>
      </c>
      <c r="D1032" s="502">
        <v>1200</v>
      </c>
      <c r="E1032" s="502">
        <v>1400</v>
      </c>
      <c r="F1032" s="502">
        <v>1400</v>
      </c>
      <c r="G1032" s="501">
        <v>0</v>
      </c>
    </row>
    <row r="1033" spans="1:7" ht="15.75" customHeight="1" x14ac:dyDescent="0.2">
      <c r="A1033" s="500" t="s">
        <v>1152</v>
      </c>
      <c r="B1033" s="501" t="s">
        <v>76</v>
      </c>
      <c r="C1033" s="502">
        <v>6175.76</v>
      </c>
      <c r="D1033" s="502">
        <v>18200</v>
      </c>
      <c r="E1033" s="502">
        <v>13450</v>
      </c>
      <c r="F1033" s="502">
        <v>10000</v>
      </c>
      <c r="G1033" s="502">
        <v>-3450</v>
      </c>
    </row>
    <row r="1034" spans="1:7" ht="15.75" customHeight="1" x14ac:dyDescent="0.2">
      <c r="A1034" s="500" t="s">
        <v>1153</v>
      </c>
      <c r="B1034" s="501" t="s">
        <v>80</v>
      </c>
      <c r="C1034" s="502">
        <v>1331.51</v>
      </c>
      <c r="D1034" s="502">
        <v>6000</v>
      </c>
      <c r="E1034" s="502">
        <v>4700</v>
      </c>
      <c r="F1034" s="502">
        <v>4700</v>
      </c>
      <c r="G1034" s="501">
        <v>0</v>
      </c>
    </row>
    <row r="1035" spans="1:7" ht="15.75" customHeight="1" x14ac:dyDescent="0.2">
      <c r="A1035" s="500" t="s">
        <v>1154</v>
      </c>
      <c r="B1035" s="501" t="s">
        <v>82</v>
      </c>
      <c r="C1035" s="502">
        <v>4499.32</v>
      </c>
      <c r="D1035" s="502">
        <v>20500</v>
      </c>
      <c r="E1035" s="502">
        <v>16000</v>
      </c>
      <c r="F1035" s="502">
        <v>7500</v>
      </c>
      <c r="G1035" s="502">
        <v>-8500</v>
      </c>
    </row>
    <row r="1036" spans="1:7" ht="15.75" customHeight="1" x14ac:dyDescent="0.2">
      <c r="A1036" s="500" t="s">
        <v>1155</v>
      </c>
      <c r="B1036" s="501" t="s">
        <v>115</v>
      </c>
      <c r="C1036" s="501">
        <v>0</v>
      </c>
      <c r="D1036" s="502">
        <v>1500</v>
      </c>
      <c r="E1036" s="502">
        <v>2500</v>
      </c>
      <c r="F1036" s="502">
        <v>2500</v>
      </c>
      <c r="G1036" s="501">
        <v>0</v>
      </c>
    </row>
    <row r="1037" spans="1:7" ht="15.75" customHeight="1" x14ac:dyDescent="0.2">
      <c r="A1037" s="500" t="s">
        <v>1156</v>
      </c>
      <c r="B1037" s="501" t="s">
        <v>84</v>
      </c>
      <c r="C1037" s="502">
        <v>2936.4</v>
      </c>
      <c r="D1037" s="502">
        <v>5400</v>
      </c>
      <c r="E1037" s="502">
        <v>3420</v>
      </c>
      <c r="F1037" s="502">
        <v>3420</v>
      </c>
      <c r="G1037" s="501">
        <v>0</v>
      </c>
    </row>
    <row r="1038" spans="1:7" ht="15.75" customHeight="1" x14ac:dyDescent="0.2">
      <c r="A1038" s="500" t="s">
        <v>1157</v>
      </c>
      <c r="B1038" s="501" t="s">
        <v>210</v>
      </c>
      <c r="C1038" s="501">
        <v>0</v>
      </c>
      <c r="D1038" s="501">
        <v>0</v>
      </c>
      <c r="E1038" s="501">
        <v>0</v>
      </c>
      <c r="F1038" s="502">
        <v>8500</v>
      </c>
      <c r="G1038" s="502">
        <v>8500</v>
      </c>
    </row>
    <row r="1039" spans="1:7" ht="15.75" customHeight="1" x14ac:dyDescent="0.2">
      <c r="A1039" s="500" t="s">
        <v>1158</v>
      </c>
      <c r="B1039" s="501" t="s">
        <v>86</v>
      </c>
      <c r="C1039" s="502">
        <v>8000</v>
      </c>
      <c r="D1039" s="502">
        <v>30000</v>
      </c>
      <c r="E1039" s="502">
        <v>30000</v>
      </c>
      <c r="F1039" s="502">
        <v>30000</v>
      </c>
      <c r="G1039" s="501">
        <v>0</v>
      </c>
    </row>
    <row r="1040" spans="1:7" ht="15.75" customHeight="1" x14ac:dyDescent="0.2">
      <c r="A1040" s="500" t="s">
        <v>1159</v>
      </c>
      <c r="B1040" s="501" t="s">
        <v>1160</v>
      </c>
      <c r="C1040" s="501">
        <v>0</v>
      </c>
      <c r="D1040" s="502">
        <v>1800</v>
      </c>
      <c r="E1040" s="502">
        <v>1800</v>
      </c>
      <c r="F1040" s="502">
        <v>1800</v>
      </c>
      <c r="G1040" s="501">
        <v>0</v>
      </c>
    </row>
    <row r="1041" spans="1:7" ht="15.75" customHeight="1" x14ac:dyDescent="0.2">
      <c r="A1041" s="500" t="s">
        <v>1161</v>
      </c>
      <c r="B1041" s="501" t="s">
        <v>90</v>
      </c>
      <c r="C1041" s="501">
        <v>0</v>
      </c>
      <c r="D1041" s="501">
        <v>0</v>
      </c>
      <c r="E1041" s="502">
        <v>10820</v>
      </c>
      <c r="F1041" s="502">
        <v>10000</v>
      </c>
      <c r="G1041" s="501">
        <v>-820</v>
      </c>
    </row>
    <row r="1042" spans="1:7" ht="15.75" customHeight="1" x14ac:dyDescent="0.2">
      <c r="A1042" s="500" t="s">
        <v>1162</v>
      </c>
      <c r="B1042" s="501" t="s">
        <v>92</v>
      </c>
      <c r="C1042" s="502">
        <v>8974.7099999999991</v>
      </c>
      <c r="D1042" s="502">
        <v>6800</v>
      </c>
      <c r="E1042" s="502">
        <v>6800</v>
      </c>
      <c r="F1042" s="502">
        <v>6800</v>
      </c>
      <c r="G1042" s="501">
        <v>0</v>
      </c>
    </row>
    <row r="1043" spans="1:7" ht="15.75" customHeight="1" x14ac:dyDescent="0.2">
      <c r="A1043" s="500" t="s">
        <v>2194</v>
      </c>
      <c r="B1043" s="501" t="s">
        <v>99</v>
      </c>
      <c r="C1043" s="501">
        <v>0</v>
      </c>
      <c r="D1043" s="501">
        <v>0</v>
      </c>
      <c r="E1043" s="501">
        <v>0</v>
      </c>
      <c r="F1043" s="501">
        <v>0</v>
      </c>
      <c r="G1043" s="501">
        <v>0</v>
      </c>
    </row>
    <row r="1044" spans="1:7" ht="15.75" customHeight="1" x14ac:dyDescent="0.2">
      <c r="A1044" s="500" t="s">
        <v>2195</v>
      </c>
      <c r="B1044" s="501" t="s">
        <v>2196</v>
      </c>
      <c r="C1044" s="502">
        <v>3600</v>
      </c>
      <c r="D1044" s="502">
        <v>12000</v>
      </c>
      <c r="E1044" s="502">
        <v>7200</v>
      </c>
      <c r="F1044" s="502">
        <v>7200</v>
      </c>
      <c r="G1044" s="501">
        <v>0</v>
      </c>
    </row>
    <row r="1045" spans="1:7" ht="15.75" customHeight="1" x14ac:dyDescent="0.2">
      <c r="A1045" s="500" t="s">
        <v>1213</v>
      </c>
      <c r="B1045" s="501" t="s">
        <v>68</v>
      </c>
      <c r="C1045" s="502">
        <v>145342.43</v>
      </c>
      <c r="D1045" s="502">
        <v>195349</v>
      </c>
      <c r="E1045" s="502">
        <v>214000</v>
      </c>
      <c r="F1045" s="502">
        <v>214000</v>
      </c>
      <c r="G1045" s="501">
        <v>0</v>
      </c>
    </row>
    <row r="1046" spans="1:7" ht="15.75" customHeight="1" x14ac:dyDescent="0.2">
      <c r="A1046" s="500" t="s">
        <v>1214</v>
      </c>
      <c r="B1046" s="501" t="s">
        <v>70</v>
      </c>
      <c r="C1046" s="501">
        <v>762.64</v>
      </c>
      <c r="D1046" s="502">
        <v>4875</v>
      </c>
      <c r="E1046" s="502">
        <v>4900</v>
      </c>
      <c r="F1046" s="502">
        <v>3025</v>
      </c>
      <c r="G1046" s="502">
        <v>-1875</v>
      </c>
    </row>
    <row r="1047" spans="1:7" ht="15.75" customHeight="1" x14ac:dyDescent="0.2">
      <c r="A1047" s="500" t="s">
        <v>1215</v>
      </c>
      <c r="B1047" s="501" t="s">
        <v>132</v>
      </c>
      <c r="C1047" s="501">
        <v>287.13</v>
      </c>
      <c r="D1047" s="502">
        <v>7500</v>
      </c>
      <c r="E1047" s="502">
        <v>7500</v>
      </c>
      <c r="F1047" s="502">
        <v>7500</v>
      </c>
      <c r="G1047" s="501">
        <v>0</v>
      </c>
    </row>
    <row r="1048" spans="1:7" ht="15.75" customHeight="1" x14ac:dyDescent="0.2">
      <c r="A1048" s="500" t="s">
        <v>1216</v>
      </c>
      <c r="B1048" s="501" t="s">
        <v>72</v>
      </c>
      <c r="C1048" s="502">
        <v>71660.02</v>
      </c>
      <c r="D1048" s="502">
        <v>112213</v>
      </c>
      <c r="E1048" s="502">
        <v>108500</v>
      </c>
      <c r="F1048" s="502">
        <v>108500</v>
      </c>
      <c r="G1048" s="501">
        <v>0</v>
      </c>
    </row>
    <row r="1049" spans="1:7" ht="15.75" customHeight="1" x14ac:dyDescent="0.2">
      <c r="A1049" s="500" t="s">
        <v>1217</v>
      </c>
      <c r="B1049" s="501" t="s">
        <v>74</v>
      </c>
      <c r="C1049" s="502">
        <v>1194.02</v>
      </c>
      <c r="D1049" s="502">
        <v>2200</v>
      </c>
      <c r="E1049" s="502">
        <v>3600</v>
      </c>
      <c r="F1049" s="502">
        <v>2475</v>
      </c>
      <c r="G1049" s="502">
        <v>-1125</v>
      </c>
    </row>
    <row r="1050" spans="1:7" ht="15.75" customHeight="1" x14ac:dyDescent="0.2">
      <c r="A1050" s="500" t="s">
        <v>1218</v>
      </c>
      <c r="B1050" s="501" t="s">
        <v>76</v>
      </c>
      <c r="C1050" s="502">
        <v>1915.6</v>
      </c>
      <c r="D1050" s="502">
        <v>2625</v>
      </c>
      <c r="E1050" s="502">
        <v>5250</v>
      </c>
      <c r="F1050" s="502">
        <v>3750</v>
      </c>
      <c r="G1050" s="502">
        <v>-1500</v>
      </c>
    </row>
    <row r="1051" spans="1:7" ht="15.75" customHeight="1" x14ac:dyDescent="0.2">
      <c r="A1051" s="500" t="s">
        <v>1219</v>
      </c>
      <c r="B1051" s="501" t="s">
        <v>80</v>
      </c>
      <c r="C1051" s="502">
        <v>5101.76</v>
      </c>
      <c r="D1051" s="502">
        <v>8250</v>
      </c>
      <c r="E1051" s="502">
        <v>8250</v>
      </c>
      <c r="F1051" s="502">
        <v>7500</v>
      </c>
      <c r="G1051" s="501">
        <v>-750</v>
      </c>
    </row>
    <row r="1052" spans="1:7" ht="15.75" customHeight="1" x14ac:dyDescent="0.2">
      <c r="A1052" s="500" t="s">
        <v>1220</v>
      </c>
      <c r="B1052" s="501" t="s">
        <v>82</v>
      </c>
      <c r="C1052" s="502">
        <v>2432.4299999999998</v>
      </c>
      <c r="D1052" s="502">
        <v>7875</v>
      </c>
      <c r="E1052" s="502">
        <v>7875</v>
      </c>
      <c r="F1052" s="502">
        <v>7500</v>
      </c>
      <c r="G1052" s="501">
        <v>-375</v>
      </c>
    </row>
    <row r="1053" spans="1:7" ht="15.75" customHeight="1" x14ac:dyDescent="0.2">
      <c r="A1053" s="500" t="s">
        <v>1221</v>
      </c>
      <c r="B1053" s="501" t="s">
        <v>115</v>
      </c>
      <c r="C1053" s="501">
        <v>594.66999999999996</v>
      </c>
      <c r="D1053" s="502">
        <v>5250</v>
      </c>
      <c r="E1053" s="502">
        <v>5250</v>
      </c>
      <c r="F1053" s="502">
        <v>3750</v>
      </c>
      <c r="G1053" s="502">
        <v>-1500</v>
      </c>
    </row>
    <row r="1054" spans="1:7" ht="15.75" customHeight="1" x14ac:dyDescent="0.2">
      <c r="A1054" s="500" t="s">
        <v>1222</v>
      </c>
      <c r="B1054" s="501" t="s">
        <v>555</v>
      </c>
      <c r="C1054" s="502">
        <v>42196.22</v>
      </c>
      <c r="D1054" s="502">
        <v>82575</v>
      </c>
      <c r="E1054" s="502">
        <v>82575</v>
      </c>
      <c r="F1054" s="502">
        <v>75075</v>
      </c>
      <c r="G1054" s="502">
        <v>-7500</v>
      </c>
    </row>
    <row r="1055" spans="1:7" ht="15.75" customHeight="1" x14ac:dyDescent="0.2">
      <c r="A1055" s="500" t="s">
        <v>1223</v>
      </c>
      <c r="B1055" s="501" t="s">
        <v>277</v>
      </c>
      <c r="C1055" s="502">
        <v>39053.31</v>
      </c>
      <c r="D1055" s="502">
        <v>104100</v>
      </c>
      <c r="E1055" s="502">
        <v>104100</v>
      </c>
      <c r="F1055" s="502">
        <v>75000</v>
      </c>
      <c r="G1055" s="502">
        <v>-29100</v>
      </c>
    </row>
    <row r="1056" spans="1:7" ht="15.75" customHeight="1" x14ac:dyDescent="0.2">
      <c r="A1056" s="500" t="s">
        <v>1224</v>
      </c>
      <c r="B1056" s="501" t="s">
        <v>84</v>
      </c>
      <c r="C1056" s="502">
        <v>1383.52</v>
      </c>
      <c r="D1056" s="502">
        <v>3750</v>
      </c>
      <c r="E1056" s="502">
        <v>3300</v>
      </c>
      <c r="F1056" s="502">
        <v>3300</v>
      </c>
      <c r="G1056" s="501">
        <v>0</v>
      </c>
    </row>
    <row r="1057" spans="1:7" ht="15.75" customHeight="1" x14ac:dyDescent="0.2">
      <c r="A1057" s="500" t="s">
        <v>1225</v>
      </c>
      <c r="B1057" s="501" t="s">
        <v>86</v>
      </c>
      <c r="C1057" s="501">
        <v>0</v>
      </c>
      <c r="D1057" s="502">
        <v>3750</v>
      </c>
      <c r="E1057" s="502">
        <v>7500</v>
      </c>
      <c r="F1057" s="502">
        <v>3750</v>
      </c>
      <c r="G1057" s="502">
        <v>-3750</v>
      </c>
    </row>
    <row r="1058" spans="1:7" ht="15.75" customHeight="1" x14ac:dyDescent="0.2">
      <c r="A1058" s="500" t="s">
        <v>1226</v>
      </c>
      <c r="B1058" s="501" t="s">
        <v>1160</v>
      </c>
      <c r="C1058" s="501">
        <v>115.88</v>
      </c>
      <c r="D1058" s="502">
        <v>1575</v>
      </c>
      <c r="E1058" s="502">
        <v>1575</v>
      </c>
      <c r="F1058" s="502">
        <v>1575</v>
      </c>
      <c r="G1058" s="501">
        <v>0</v>
      </c>
    </row>
    <row r="1059" spans="1:7" ht="15.75" customHeight="1" x14ac:dyDescent="0.2">
      <c r="A1059" s="500" t="s">
        <v>1227</v>
      </c>
      <c r="B1059" s="501" t="s">
        <v>90</v>
      </c>
      <c r="C1059" s="502">
        <v>1328.68</v>
      </c>
      <c r="D1059" s="502">
        <v>2625</v>
      </c>
      <c r="E1059" s="502">
        <v>6000</v>
      </c>
      <c r="F1059" s="502">
        <v>3750</v>
      </c>
      <c r="G1059" s="502">
        <v>-2250</v>
      </c>
    </row>
    <row r="1060" spans="1:7" ht="15.75" customHeight="1" x14ac:dyDescent="0.2">
      <c r="A1060" s="500" t="s">
        <v>1228</v>
      </c>
      <c r="B1060" s="501" t="s">
        <v>1209</v>
      </c>
      <c r="C1060" s="502">
        <v>2538.64</v>
      </c>
      <c r="D1060" s="502">
        <v>4500</v>
      </c>
      <c r="E1060" s="502">
        <v>4500</v>
      </c>
      <c r="F1060" s="502">
        <v>3750</v>
      </c>
      <c r="G1060" s="501">
        <v>-750</v>
      </c>
    </row>
    <row r="1061" spans="1:7" ht="15.75" customHeight="1" x14ac:dyDescent="0.2">
      <c r="A1061" s="500" t="s">
        <v>1229</v>
      </c>
      <c r="B1061" s="501" t="s">
        <v>92</v>
      </c>
      <c r="C1061" s="502">
        <v>3333.02</v>
      </c>
      <c r="D1061" s="502">
        <v>3000</v>
      </c>
      <c r="E1061" s="502">
        <v>3000</v>
      </c>
      <c r="F1061" s="502">
        <v>3000</v>
      </c>
      <c r="G1061" s="501">
        <v>0</v>
      </c>
    </row>
    <row r="1062" spans="1:7" ht="15.75" customHeight="1" x14ac:dyDescent="0.2">
      <c r="A1062" s="500" t="s">
        <v>1231</v>
      </c>
      <c r="B1062" s="501" t="s">
        <v>532</v>
      </c>
      <c r="C1062" s="501">
        <v>0</v>
      </c>
      <c r="D1062" s="501">
        <v>0</v>
      </c>
      <c r="E1062" s="501">
        <v>0</v>
      </c>
      <c r="F1062" s="501">
        <v>0</v>
      </c>
      <c r="G1062" s="501">
        <v>0</v>
      </c>
    </row>
    <row r="1063" spans="1:7" ht="15.75" customHeight="1" x14ac:dyDescent="0.2">
      <c r="A1063" s="500" t="s">
        <v>1232</v>
      </c>
      <c r="B1063" s="501" t="s">
        <v>99</v>
      </c>
      <c r="C1063" s="501">
        <v>0</v>
      </c>
      <c r="D1063" s="501">
        <v>0</v>
      </c>
      <c r="E1063" s="501">
        <v>0</v>
      </c>
      <c r="F1063" s="501">
        <v>0</v>
      </c>
      <c r="G1063" s="501">
        <v>0</v>
      </c>
    </row>
    <row r="1064" spans="1:7" ht="15.75" customHeight="1" x14ac:dyDescent="0.2">
      <c r="A1064" s="500" t="s">
        <v>1361</v>
      </c>
      <c r="B1064" s="501" t="s">
        <v>68</v>
      </c>
      <c r="C1064" s="501">
        <v>0</v>
      </c>
      <c r="D1064" s="501">
        <v>0</v>
      </c>
      <c r="E1064" s="501">
        <v>0</v>
      </c>
      <c r="F1064" s="501">
        <v>0</v>
      </c>
      <c r="G1064" s="501">
        <v>0</v>
      </c>
    </row>
    <row r="1065" spans="1:7" ht="15.75" customHeight="1" x14ac:dyDescent="0.2">
      <c r="A1065" s="500" t="s">
        <v>1362</v>
      </c>
      <c r="B1065" s="501" t="s">
        <v>70</v>
      </c>
      <c r="C1065" s="501">
        <v>0</v>
      </c>
      <c r="D1065" s="501">
        <v>0</v>
      </c>
      <c r="E1065" s="501">
        <v>0</v>
      </c>
      <c r="F1065" s="501">
        <v>0</v>
      </c>
      <c r="G1065" s="501">
        <v>0</v>
      </c>
    </row>
    <row r="1066" spans="1:7" ht="15.75" customHeight="1" x14ac:dyDescent="0.2">
      <c r="A1066" s="500" t="s">
        <v>1363</v>
      </c>
      <c r="B1066" s="501" t="s">
        <v>132</v>
      </c>
      <c r="C1066" s="501">
        <v>0</v>
      </c>
      <c r="D1066" s="501">
        <v>0</v>
      </c>
      <c r="E1066" s="501">
        <v>0</v>
      </c>
      <c r="F1066" s="501">
        <v>0</v>
      </c>
      <c r="G1066" s="501">
        <v>0</v>
      </c>
    </row>
    <row r="1067" spans="1:7" ht="15.75" customHeight="1" x14ac:dyDescent="0.2">
      <c r="A1067" s="500" t="s">
        <v>1364</v>
      </c>
      <c r="B1067" s="501" t="s">
        <v>108</v>
      </c>
      <c r="C1067" s="501">
        <v>0</v>
      </c>
      <c r="D1067" s="501">
        <v>0</v>
      </c>
      <c r="E1067" s="501">
        <v>0</v>
      </c>
      <c r="F1067" s="501">
        <v>0</v>
      </c>
      <c r="G1067" s="501">
        <v>0</v>
      </c>
    </row>
    <row r="1068" spans="1:7" ht="15.75" customHeight="1" x14ac:dyDescent="0.2">
      <c r="A1068" s="500" t="s">
        <v>1365</v>
      </c>
      <c r="B1068" s="501" t="s">
        <v>72</v>
      </c>
      <c r="C1068" s="501">
        <v>0</v>
      </c>
      <c r="D1068" s="501">
        <v>0</v>
      </c>
      <c r="E1068" s="501">
        <v>0</v>
      </c>
      <c r="F1068" s="501">
        <v>0</v>
      </c>
      <c r="G1068" s="501">
        <v>0</v>
      </c>
    </row>
    <row r="1069" spans="1:7" ht="15.75" customHeight="1" x14ac:dyDescent="0.2">
      <c r="A1069" s="500" t="s">
        <v>1366</v>
      </c>
      <c r="B1069" s="501" t="s">
        <v>892</v>
      </c>
      <c r="C1069" s="501">
        <v>0</v>
      </c>
      <c r="D1069" s="501">
        <v>0</v>
      </c>
      <c r="E1069" s="501">
        <v>0</v>
      </c>
      <c r="F1069" s="501">
        <v>0</v>
      </c>
      <c r="G1069" s="501">
        <v>0</v>
      </c>
    </row>
    <row r="1070" spans="1:7" ht="15.75" customHeight="1" x14ac:dyDescent="0.2">
      <c r="A1070" s="500" t="s">
        <v>1367</v>
      </c>
      <c r="B1070" s="501" t="s">
        <v>74</v>
      </c>
      <c r="C1070" s="501">
        <v>0</v>
      </c>
      <c r="D1070" s="501">
        <v>0</v>
      </c>
      <c r="E1070" s="501">
        <v>0</v>
      </c>
      <c r="F1070" s="501">
        <v>0</v>
      </c>
      <c r="G1070" s="501">
        <v>0</v>
      </c>
    </row>
    <row r="1071" spans="1:7" ht="15.75" customHeight="1" x14ac:dyDescent="0.2">
      <c r="A1071" s="500" t="s">
        <v>1368</v>
      </c>
      <c r="B1071" s="501" t="s">
        <v>76</v>
      </c>
      <c r="C1071" s="501">
        <v>0</v>
      </c>
      <c r="D1071" s="501">
        <v>0</v>
      </c>
      <c r="E1071" s="501">
        <v>0</v>
      </c>
      <c r="F1071" s="501">
        <v>0</v>
      </c>
      <c r="G1071" s="501">
        <v>0</v>
      </c>
    </row>
    <row r="1072" spans="1:7" ht="15.75" customHeight="1" x14ac:dyDescent="0.2">
      <c r="A1072" s="500" t="s">
        <v>1369</v>
      </c>
      <c r="B1072" s="501" t="s">
        <v>80</v>
      </c>
      <c r="C1072" s="501">
        <v>0</v>
      </c>
      <c r="D1072" s="501">
        <v>0</v>
      </c>
      <c r="E1072" s="501">
        <v>0</v>
      </c>
      <c r="F1072" s="501">
        <v>0</v>
      </c>
      <c r="G1072" s="501">
        <v>0</v>
      </c>
    </row>
    <row r="1073" spans="1:7" ht="15.75" customHeight="1" x14ac:dyDescent="0.2">
      <c r="A1073" s="500" t="s">
        <v>1370</v>
      </c>
      <c r="B1073" s="501" t="s">
        <v>82</v>
      </c>
      <c r="C1073" s="501">
        <v>0</v>
      </c>
      <c r="D1073" s="501">
        <v>0</v>
      </c>
      <c r="E1073" s="501">
        <v>0</v>
      </c>
      <c r="F1073" s="501">
        <v>0</v>
      </c>
      <c r="G1073" s="501">
        <v>0</v>
      </c>
    </row>
    <row r="1074" spans="1:7" ht="15.75" customHeight="1" x14ac:dyDescent="0.2">
      <c r="A1074" s="500" t="s">
        <v>1371</v>
      </c>
      <c r="B1074" s="501" t="s">
        <v>115</v>
      </c>
      <c r="C1074" s="501">
        <v>0</v>
      </c>
      <c r="D1074" s="501">
        <v>0</v>
      </c>
      <c r="E1074" s="501">
        <v>0</v>
      </c>
      <c r="F1074" s="501">
        <v>0</v>
      </c>
      <c r="G1074" s="501">
        <v>0</v>
      </c>
    </row>
    <row r="1075" spans="1:7" ht="15.75" customHeight="1" x14ac:dyDescent="0.2">
      <c r="A1075" s="500" t="s">
        <v>1372</v>
      </c>
      <c r="B1075" s="501" t="s">
        <v>210</v>
      </c>
      <c r="C1075" s="501">
        <v>0</v>
      </c>
      <c r="D1075" s="501">
        <v>0</v>
      </c>
      <c r="E1075" s="501">
        <v>0</v>
      </c>
      <c r="F1075" s="501">
        <v>0</v>
      </c>
      <c r="G1075" s="501">
        <v>0</v>
      </c>
    </row>
    <row r="1076" spans="1:7" ht="15.75" customHeight="1" x14ac:dyDescent="0.2">
      <c r="A1076" s="500" t="s">
        <v>1374</v>
      </c>
      <c r="B1076" s="501" t="s">
        <v>84</v>
      </c>
      <c r="C1076" s="501">
        <v>0</v>
      </c>
      <c r="D1076" s="501">
        <v>0</v>
      </c>
      <c r="E1076" s="501">
        <v>0</v>
      </c>
      <c r="F1076" s="501">
        <v>0</v>
      </c>
      <c r="G1076" s="501">
        <v>0</v>
      </c>
    </row>
    <row r="1077" spans="1:7" ht="15.75" customHeight="1" x14ac:dyDescent="0.2">
      <c r="A1077" s="500" t="s">
        <v>1375</v>
      </c>
      <c r="B1077" s="501" t="s">
        <v>1350</v>
      </c>
      <c r="C1077" s="501">
        <v>0</v>
      </c>
      <c r="D1077" s="501">
        <v>0</v>
      </c>
      <c r="E1077" s="501">
        <v>0</v>
      </c>
      <c r="F1077" s="501">
        <v>0</v>
      </c>
      <c r="G1077" s="501">
        <v>0</v>
      </c>
    </row>
    <row r="1078" spans="1:7" ht="15.75" customHeight="1" x14ac:dyDescent="0.2">
      <c r="A1078" s="500" t="s">
        <v>1376</v>
      </c>
      <c r="B1078" s="501" t="s">
        <v>86</v>
      </c>
      <c r="C1078" s="501">
        <v>0</v>
      </c>
      <c r="D1078" s="501">
        <v>0</v>
      </c>
      <c r="E1078" s="501">
        <v>0</v>
      </c>
      <c r="F1078" s="501">
        <v>0</v>
      </c>
      <c r="G1078" s="501">
        <v>0</v>
      </c>
    </row>
    <row r="1079" spans="1:7" ht="15.75" customHeight="1" x14ac:dyDescent="0.2">
      <c r="A1079" s="500" t="s">
        <v>1377</v>
      </c>
      <c r="B1079" s="501" t="s">
        <v>88</v>
      </c>
      <c r="C1079" s="501">
        <v>0</v>
      </c>
      <c r="D1079" s="501">
        <v>0</v>
      </c>
      <c r="E1079" s="501">
        <v>0</v>
      </c>
      <c r="F1079" s="501">
        <v>0</v>
      </c>
      <c r="G1079" s="501">
        <v>0</v>
      </c>
    </row>
    <row r="1080" spans="1:7" ht="15.75" customHeight="1" x14ac:dyDescent="0.2">
      <c r="A1080" s="500" t="s">
        <v>1378</v>
      </c>
      <c r="B1080" s="501" t="s">
        <v>1336</v>
      </c>
      <c r="C1080" s="501">
        <v>0</v>
      </c>
      <c r="D1080" s="501">
        <v>0</v>
      </c>
      <c r="E1080" s="501">
        <v>0</v>
      </c>
      <c r="F1080" s="501">
        <v>0</v>
      </c>
      <c r="G1080" s="501">
        <v>0</v>
      </c>
    </row>
    <row r="1081" spans="1:7" ht="15.75" customHeight="1" x14ac:dyDescent="0.2">
      <c r="A1081" s="500" t="s">
        <v>1379</v>
      </c>
      <c r="B1081" s="501" t="s">
        <v>1338</v>
      </c>
      <c r="C1081" s="501">
        <v>0</v>
      </c>
      <c r="D1081" s="501">
        <v>0</v>
      </c>
      <c r="E1081" s="501">
        <v>0</v>
      </c>
      <c r="F1081" s="501">
        <v>0</v>
      </c>
      <c r="G1081" s="501">
        <v>0</v>
      </c>
    </row>
    <row r="1082" spans="1:7" ht="15.75" customHeight="1" x14ac:dyDescent="0.2">
      <c r="A1082" s="500" t="s">
        <v>1380</v>
      </c>
      <c r="B1082" s="501" t="s">
        <v>1340</v>
      </c>
      <c r="C1082" s="501">
        <v>0</v>
      </c>
      <c r="D1082" s="501">
        <v>0</v>
      </c>
      <c r="E1082" s="501">
        <v>0</v>
      </c>
      <c r="F1082" s="501">
        <v>0</v>
      </c>
      <c r="G1082" s="501">
        <v>0</v>
      </c>
    </row>
    <row r="1083" spans="1:7" ht="15.75" customHeight="1" x14ac:dyDescent="0.2">
      <c r="A1083" s="500" t="s">
        <v>1381</v>
      </c>
      <c r="B1083" s="501" t="s">
        <v>1342</v>
      </c>
      <c r="C1083" s="501">
        <v>0</v>
      </c>
      <c r="D1083" s="501">
        <v>0</v>
      </c>
      <c r="E1083" s="501">
        <v>0</v>
      </c>
      <c r="F1083" s="501">
        <v>0</v>
      </c>
      <c r="G1083" s="501">
        <v>0</v>
      </c>
    </row>
    <row r="1084" spans="1:7" ht="15.75" customHeight="1" x14ac:dyDescent="0.2">
      <c r="A1084" s="500" t="s">
        <v>1382</v>
      </c>
      <c r="B1084" s="501" t="s">
        <v>1344</v>
      </c>
      <c r="C1084" s="501">
        <v>0</v>
      </c>
      <c r="D1084" s="501">
        <v>0</v>
      </c>
      <c r="E1084" s="501">
        <v>0</v>
      </c>
      <c r="F1084" s="501">
        <v>0</v>
      </c>
      <c r="G1084" s="501">
        <v>0</v>
      </c>
    </row>
    <row r="1085" spans="1:7" ht="15.75" customHeight="1" x14ac:dyDescent="0.2">
      <c r="A1085" s="500" t="s">
        <v>1383</v>
      </c>
      <c r="B1085" s="501" t="s">
        <v>1346</v>
      </c>
      <c r="C1085" s="501">
        <v>0</v>
      </c>
      <c r="D1085" s="501">
        <v>0</v>
      </c>
      <c r="E1085" s="501">
        <v>0</v>
      </c>
      <c r="F1085" s="501">
        <v>0</v>
      </c>
      <c r="G1085" s="501">
        <v>0</v>
      </c>
    </row>
    <row r="1086" spans="1:7" ht="15.75" customHeight="1" x14ac:dyDescent="0.2">
      <c r="A1086" s="500" t="s">
        <v>1384</v>
      </c>
      <c r="B1086" s="501" t="s">
        <v>1348</v>
      </c>
      <c r="C1086" s="501">
        <v>0</v>
      </c>
      <c r="D1086" s="501">
        <v>0</v>
      </c>
      <c r="E1086" s="501">
        <v>0</v>
      </c>
      <c r="F1086" s="501">
        <v>0</v>
      </c>
      <c r="G1086" s="501">
        <v>0</v>
      </c>
    </row>
    <row r="1087" spans="1:7" ht="15.75" customHeight="1" x14ac:dyDescent="0.2">
      <c r="A1087" s="500" t="s">
        <v>1385</v>
      </c>
      <c r="B1087" s="501" t="s">
        <v>1209</v>
      </c>
      <c r="C1087" s="501">
        <v>0</v>
      </c>
      <c r="D1087" s="501">
        <v>0</v>
      </c>
      <c r="E1087" s="501">
        <v>0</v>
      </c>
      <c r="F1087" s="501">
        <v>0</v>
      </c>
      <c r="G1087" s="501">
        <v>0</v>
      </c>
    </row>
    <row r="1088" spans="1:7" ht="15.75" customHeight="1" x14ac:dyDescent="0.2">
      <c r="A1088" s="500" t="s">
        <v>1386</v>
      </c>
      <c r="B1088" s="501" t="s">
        <v>92</v>
      </c>
      <c r="C1088" s="501">
        <v>0</v>
      </c>
      <c r="D1088" s="501">
        <v>0</v>
      </c>
      <c r="E1088" s="501">
        <v>0</v>
      </c>
      <c r="F1088" s="501">
        <v>0</v>
      </c>
      <c r="G1088" s="501">
        <v>0</v>
      </c>
    </row>
    <row r="1089" spans="1:7" ht="15.75" customHeight="1" x14ac:dyDescent="0.2">
      <c r="A1089" s="500" t="s">
        <v>1387</v>
      </c>
      <c r="B1089" s="501" t="s">
        <v>94</v>
      </c>
      <c r="C1089" s="501">
        <v>0</v>
      </c>
      <c r="D1089" s="501">
        <v>0</v>
      </c>
      <c r="E1089" s="501">
        <v>0</v>
      </c>
      <c r="F1089" s="501">
        <v>0</v>
      </c>
      <c r="G1089" s="501">
        <v>0</v>
      </c>
    </row>
    <row r="1090" spans="1:7" ht="15.75" customHeight="1" x14ac:dyDescent="0.2">
      <c r="A1090" s="500" t="s">
        <v>1388</v>
      </c>
      <c r="B1090" s="501" t="s">
        <v>532</v>
      </c>
      <c r="C1090" s="501">
        <v>0</v>
      </c>
      <c r="D1090" s="501">
        <v>0</v>
      </c>
      <c r="E1090" s="501">
        <v>0</v>
      </c>
      <c r="F1090" s="501">
        <v>0</v>
      </c>
      <c r="G1090" s="501">
        <v>0</v>
      </c>
    </row>
    <row r="1091" spans="1:7" ht="15.75" customHeight="1" x14ac:dyDescent="0.2">
      <c r="A1091" s="500" t="s">
        <v>1389</v>
      </c>
      <c r="B1091" s="501" t="s">
        <v>99</v>
      </c>
      <c r="C1091" s="501">
        <v>0</v>
      </c>
      <c r="D1091" s="501">
        <v>0</v>
      </c>
      <c r="E1091" s="501">
        <v>0</v>
      </c>
      <c r="F1091" s="501">
        <v>0</v>
      </c>
      <c r="G1091" s="501">
        <v>0</v>
      </c>
    </row>
    <row r="1092" spans="1:7" ht="15.75" customHeight="1" x14ac:dyDescent="0.2">
      <c r="A1092" s="500" t="s">
        <v>1390</v>
      </c>
      <c r="B1092" s="501" t="s">
        <v>1359</v>
      </c>
      <c r="C1092" s="501">
        <v>0</v>
      </c>
      <c r="D1092" s="501">
        <v>0</v>
      </c>
      <c r="E1092" s="501">
        <v>0</v>
      </c>
      <c r="F1092" s="501">
        <v>0</v>
      </c>
      <c r="G1092" s="501">
        <v>0</v>
      </c>
    </row>
    <row r="1093" spans="1:7" ht="15.75" customHeight="1" x14ac:dyDescent="0.2">
      <c r="A1093" s="500" t="s">
        <v>2197</v>
      </c>
      <c r="B1093" s="501" t="s">
        <v>2198</v>
      </c>
      <c r="C1093" s="502">
        <v>1811</v>
      </c>
      <c r="D1093" s="502">
        <v>1811</v>
      </c>
      <c r="E1093" s="501">
        <v>0</v>
      </c>
      <c r="F1093" s="501">
        <v>0</v>
      </c>
      <c r="G1093" s="501">
        <v>0</v>
      </c>
    </row>
    <row r="1094" spans="1:7" ht="15.75" customHeight="1" x14ac:dyDescent="0.2">
      <c r="A1094" s="500" t="s">
        <v>1437</v>
      </c>
      <c r="B1094" s="501" t="s">
        <v>68</v>
      </c>
      <c r="C1094" s="501">
        <v>0</v>
      </c>
      <c r="D1094" s="501">
        <v>0</v>
      </c>
      <c r="E1094" s="501">
        <v>0</v>
      </c>
      <c r="F1094" s="501">
        <v>0</v>
      </c>
      <c r="G1094" s="501">
        <v>0</v>
      </c>
    </row>
    <row r="1095" spans="1:7" ht="15.75" customHeight="1" x14ac:dyDescent="0.2">
      <c r="A1095" s="500" t="s">
        <v>1438</v>
      </c>
      <c r="B1095" s="501" t="s">
        <v>70</v>
      </c>
      <c r="C1095" s="501">
        <v>0</v>
      </c>
      <c r="D1095" s="501">
        <v>0</v>
      </c>
      <c r="E1095" s="501">
        <v>0</v>
      </c>
      <c r="F1095" s="501">
        <v>0</v>
      </c>
      <c r="G1095" s="501">
        <v>0</v>
      </c>
    </row>
    <row r="1096" spans="1:7" ht="15.75" customHeight="1" x14ac:dyDescent="0.2">
      <c r="A1096" s="500" t="s">
        <v>1440</v>
      </c>
      <c r="B1096" s="501" t="s">
        <v>108</v>
      </c>
      <c r="C1096" s="501">
        <v>0</v>
      </c>
      <c r="D1096" s="501">
        <v>0</v>
      </c>
      <c r="E1096" s="501">
        <v>0</v>
      </c>
      <c r="F1096" s="501">
        <v>0</v>
      </c>
      <c r="G1096" s="501">
        <v>0</v>
      </c>
    </row>
    <row r="1097" spans="1:7" ht="15.75" customHeight="1" x14ac:dyDescent="0.2">
      <c r="A1097" s="500" t="s">
        <v>1441</v>
      </c>
      <c r="B1097" s="501" t="s">
        <v>72</v>
      </c>
      <c r="C1097" s="501">
        <v>0</v>
      </c>
      <c r="D1097" s="501">
        <v>0</v>
      </c>
      <c r="E1097" s="501">
        <v>0</v>
      </c>
      <c r="F1097" s="501">
        <v>0</v>
      </c>
      <c r="G1097" s="501">
        <v>0</v>
      </c>
    </row>
    <row r="1098" spans="1:7" ht="15.75" customHeight="1" x14ac:dyDescent="0.2">
      <c r="A1098" s="500" t="s">
        <v>1442</v>
      </c>
      <c r="B1098" s="501" t="s">
        <v>892</v>
      </c>
      <c r="C1098" s="501">
        <v>0</v>
      </c>
      <c r="D1098" s="501">
        <v>0</v>
      </c>
      <c r="E1098" s="501">
        <v>0</v>
      </c>
      <c r="F1098" s="501">
        <v>0</v>
      </c>
      <c r="G1098" s="501">
        <v>0</v>
      </c>
    </row>
    <row r="1099" spans="1:7" ht="15.75" customHeight="1" x14ac:dyDescent="0.2">
      <c r="A1099" s="500" t="s">
        <v>1443</v>
      </c>
      <c r="B1099" s="501" t="s">
        <v>76</v>
      </c>
      <c r="C1099" s="501">
        <v>0</v>
      </c>
      <c r="D1099" s="501">
        <v>0</v>
      </c>
      <c r="E1099" s="501">
        <v>0</v>
      </c>
      <c r="F1099" s="501">
        <v>0</v>
      </c>
      <c r="G1099" s="501">
        <v>0</v>
      </c>
    </row>
    <row r="1100" spans="1:7" ht="15.75" customHeight="1" x14ac:dyDescent="0.2">
      <c r="A1100" s="500" t="s">
        <v>1444</v>
      </c>
      <c r="B1100" s="501" t="s">
        <v>80</v>
      </c>
      <c r="C1100" s="501">
        <v>0</v>
      </c>
      <c r="D1100" s="501">
        <v>0</v>
      </c>
      <c r="E1100" s="501">
        <v>0</v>
      </c>
      <c r="F1100" s="501">
        <v>0</v>
      </c>
      <c r="G1100" s="501">
        <v>0</v>
      </c>
    </row>
    <row r="1101" spans="1:7" ht="15.75" customHeight="1" x14ac:dyDescent="0.2">
      <c r="A1101" s="500" t="s">
        <v>1445</v>
      </c>
      <c r="B1101" s="501" t="s">
        <v>82</v>
      </c>
      <c r="C1101" s="501">
        <v>0</v>
      </c>
      <c r="D1101" s="501">
        <v>0</v>
      </c>
      <c r="E1101" s="501">
        <v>0</v>
      </c>
      <c r="F1101" s="501">
        <v>0</v>
      </c>
      <c r="G1101" s="501">
        <v>0</v>
      </c>
    </row>
    <row r="1102" spans="1:7" ht="15.75" customHeight="1" x14ac:dyDescent="0.2">
      <c r="A1102" s="500" t="s">
        <v>1446</v>
      </c>
      <c r="B1102" s="501" t="s">
        <v>115</v>
      </c>
      <c r="C1102" s="501">
        <v>0</v>
      </c>
      <c r="D1102" s="501">
        <v>0</v>
      </c>
      <c r="E1102" s="501">
        <v>0</v>
      </c>
      <c r="F1102" s="501">
        <v>0</v>
      </c>
      <c r="G1102" s="501">
        <v>0</v>
      </c>
    </row>
    <row r="1103" spans="1:7" ht="15.75" customHeight="1" x14ac:dyDescent="0.2">
      <c r="A1103" s="500" t="s">
        <v>1447</v>
      </c>
      <c r="B1103" s="501" t="s">
        <v>210</v>
      </c>
      <c r="C1103" s="501">
        <v>0</v>
      </c>
      <c r="D1103" s="501">
        <v>0</v>
      </c>
      <c r="E1103" s="501">
        <v>0</v>
      </c>
      <c r="F1103" s="501">
        <v>0</v>
      </c>
      <c r="G1103" s="501">
        <v>0</v>
      </c>
    </row>
    <row r="1104" spans="1:7" ht="15.75" customHeight="1" x14ac:dyDescent="0.2">
      <c r="A1104" s="500" t="s">
        <v>1448</v>
      </c>
      <c r="B1104" s="501" t="s">
        <v>84</v>
      </c>
      <c r="C1104" s="501">
        <v>0</v>
      </c>
      <c r="D1104" s="501">
        <v>0</v>
      </c>
      <c r="E1104" s="501">
        <v>0</v>
      </c>
      <c r="F1104" s="501">
        <v>0</v>
      </c>
      <c r="G1104" s="501">
        <v>0</v>
      </c>
    </row>
    <row r="1105" spans="1:7" ht="15.75" customHeight="1" x14ac:dyDescent="0.2">
      <c r="A1105" s="500" t="s">
        <v>2199</v>
      </c>
      <c r="B1105" s="501" t="s">
        <v>1450</v>
      </c>
      <c r="C1105" s="501">
        <v>0</v>
      </c>
      <c r="D1105" s="501">
        <v>0</v>
      </c>
      <c r="E1105" s="501">
        <v>0</v>
      </c>
      <c r="F1105" s="501">
        <v>0</v>
      </c>
      <c r="G1105" s="501">
        <v>0</v>
      </c>
    </row>
    <row r="1106" spans="1:7" ht="15.75" customHeight="1" x14ac:dyDescent="0.2">
      <c r="A1106" s="500" t="s">
        <v>1449</v>
      </c>
      <c r="B1106" s="501" t="s">
        <v>1450</v>
      </c>
      <c r="C1106" s="501">
        <v>0</v>
      </c>
      <c r="D1106" s="501">
        <v>0</v>
      </c>
      <c r="E1106" s="501">
        <v>0</v>
      </c>
      <c r="F1106" s="501">
        <v>0</v>
      </c>
      <c r="G1106" s="501">
        <v>0</v>
      </c>
    </row>
    <row r="1107" spans="1:7" ht="15.75" customHeight="1" x14ac:dyDescent="0.2">
      <c r="A1107" s="500" t="s">
        <v>1451</v>
      </c>
      <c r="B1107" s="501" t="s">
        <v>1452</v>
      </c>
      <c r="C1107" s="501">
        <v>0</v>
      </c>
      <c r="D1107" s="501">
        <v>0</v>
      </c>
      <c r="E1107" s="501">
        <v>0</v>
      </c>
      <c r="F1107" s="501">
        <v>0</v>
      </c>
      <c r="G1107" s="501">
        <v>0</v>
      </c>
    </row>
    <row r="1108" spans="1:7" ht="15.75" customHeight="1" x14ac:dyDescent="0.2">
      <c r="A1108" s="500" t="s">
        <v>1454</v>
      </c>
      <c r="B1108" s="501" t="s">
        <v>1209</v>
      </c>
      <c r="C1108" s="501">
        <v>0</v>
      </c>
      <c r="D1108" s="501">
        <v>0</v>
      </c>
      <c r="E1108" s="501">
        <v>0</v>
      </c>
      <c r="F1108" s="501">
        <v>0</v>
      </c>
      <c r="G1108" s="501">
        <v>0</v>
      </c>
    </row>
    <row r="1109" spans="1:7" ht="15.75" customHeight="1" x14ac:dyDescent="0.2">
      <c r="A1109" s="500" t="s">
        <v>1455</v>
      </c>
      <c r="B1109" s="501" t="s">
        <v>92</v>
      </c>
      <c r="C1109" s="501">
        <v>0</v>
      </c>
      <c r="D1109" s="501">
        <v>0</v>
      </c>
      <c r="E1109" s="501">
        <v>0</v>
      </c>
      <c r="F1109" s="501">
        <v>0</v>
      </c>
      <c r="G1109" s="501">
        <v>0</v>
      </c>
    </row>
    <row r="1110" spans="1:7" ht="15.75" customHeight="1" x14ac:dyDescent="0.2">
      <c r="A1110" s="500" t="s">
        <v>1456</v>
      </c>
      <c r="B1110" s="501" t="s">
        <v>94</v>
      </c>
      <c r="C1110" s="501">
        <v>0</v>
      </c>
      <c r="D1110" s="501">
        <v>0</v>
      </c>
      <c r="E1110" s="501">
        <v>0</v>
      </c>
      <c r="F1110" s="501">
        <v>0</v>
      </c>
      <c r="G1110" s="501">
        <v>0</v>
      </c>
    </row>
    <row r="1111" spans="1:7" ht="15.75" customHeight="1" x14ac:dyDescent="0.2">
      <c r="A1111" s="500" t="s">
        <v>1457</v>
      </c>
      <c r="B1111" s="501" t="s">
        <v>99</v>
      </c>
      <c r="C1111" s="501">
        <v>0</v>
      </c>
      <c r="D1111" s="501">
        <v>0</v>
      </c>
      <c r="E1111" s="501">
        <v>0</v>
      </c>
      <c r="F1111" s="501">
        <v>0</v>
      </c>
      <c r="G1111" s="501">
        <v>0</v>
      </c>
    </row>
    <row r="1112" spans="1:7" ht="15.75" customHeight="1" x14ac:dyDescent="0.2">
      <c r="A1112" s="500" t="s">
        <v>1267</v>
      </c>
      <c r="B1112" s="501" t="s">
        <v>68</v>
      </c>
      <c r="C1112" s="502">
        <v>84345.69</v>
      </c>
      <c r="D1112" s="502">
        <v>210796</v>
      </c>
      <c r="E1112" s="502">
        <v>260000</v>
      </c>
      <c r="F1112" s="502">
        <v>260000</v>
      </c>
      <c r="G1112" s="501">
        <v>0</v>
      </c>
    </row>
    <row r="1113" spans="1:7" ht="15.75" customHeight="1" x14ac:dyDescent="0.2">
      <c r="A1113" s="500" t="s">
        <v>1268</v>
      </c>
      <c r="B1113" s="501" t="s">
        <v>70</v>
      </c>
      <c r="C1113" s="502">
        <v>2003.9</v>
      </c>
      <c r="D1113" s="502">
        <v>4125</v>
      </c>
      <c r="E1113" s="502">
        <v>4200</v>
      </c>
      <c r="F1113" s="502">
        <v>3750</v>
      </c>
      <c r="G1113" s="501">
        <v>-450</v>
      </c>
    </row>
    <row r="1114" spans="1:7" ht="15.75" customHeight="1" x14ac:dyDescent="0.2">
      <c r="A1114" s="500" t="s">
        <v>1269</v>
      </c>
      <c r="B1114" s="501" t="s">
        <v>132</v>
      </c>
      <c r="C1114" s="501">
        <v>0</v>
      </c>
      <c r="D1114" s="502">
        <v>11250</v>
      </c>
      <c r="E1114" s="502">
        <v>15000</v>
      </c>
      <c r="F1114" s="502">
        <v>15000</v>
      </c>
      <c r="G1114" s="501">
        <v>0</v>
      </c>
    </row>
    <row r="1115" spans="1:7" ht="15.75" customHeight="1" x14ac:dyDescent="0.2">
      <c r="A1115" s="500" t="s">
        <v>1270</v>
      </c>
      <c r="B1115" s="501" t="s">
        <v>72</v>
      </c>
      <c r="C1115" s="502">
        <v>40852.400000000001</v>
      </c>
      <c r="D1115" s="502">
        <v>129708</v>
      </c>
      <c r="E1115" s="502">
        <v>132800</v>
      </c>
      <c r="F1115" s="502">
        <v>132800</v>
      </c>
      <c r="G1115" s="501">
        <v>0</v>
      </c>
    </row>
    <row r="1116" spans="1:7" ht="15.75" customHeight="1" x14ac:dyDescent="0.2">
      <c r="A1116" s="500" t="s">
        <v>1271</v>
      </c>
      <c r="B1116" s="501" t="s">
        <v>74</v>
      </c>
      <c r="C1116" s="501">
        <v>218.25</v>
      </c>
      <c r="D1116" s="502">
        <v>3225</v>
      </c>
      <c r="E1116" s="502">
        <v>3225</v>
      </c>
      <c r="F1116" s="502">
        <v>3000</v>
      </c>
      <c r="G1116" s="501">
        <v>-225</v>
      </c>
    </row>
    <row r="1117" spans="1:7" ht="15.75" customHeight="1" x14ac:dyDescent="0.2">
      <c r="A1117" s="500" t="s">
        <v>1272</v>
      </c>
      <c r="B1117" s="501" t="s">
        <v>76</v>
      </c>
      <c r="C1117" s="501">
        <v>671.85</v>
      </c>
      <c r="D1117" s="502">
        <v>8625</v>
      </c>
      <c r="E1117" s="502">
        <v>10500</v>
      </c>
      <c r="F1117" s="502">
        <v>7500</v>
      </c>
      <c r="G1117" s="502">
        <v>-3000</v>
      </c>
    </row>
    <row r="1118" spans="1:7" ht="15.75" customHeight="1" x14ac:dyDescent="0.2">
      <c r="A1118" s="500" t="s">
        <v>1273</v>
      </c>
      <c r="B1118" s="501" t="s">
        <v>80</v>
      </c>
      <c r="C1118" s="502">
        <v>1038.94</v>
      </c>
      <c r="D1118" s="502">
        <v>7125</v>
      </c>
      <c r="E1118" s="502">
        <v>4125</v>
      </c>
      <c r="F1118" s="502">
        <v>3750</v>
      </c>
      <c r="G1118" s="501">
        <v>-375</v>
      </c>
    </row>
    <row r="1119" spans="1:7" ht="15.75" customHeight="1" x14ac:dyDescent="0.2">
      <c r="A1119" s="500" t="s">
        <v>1274</v>
      </c>
      <c r="B1119" s="501" t="s">
        <v>82</v>
      </c>
      <c r="C1119" s="502">
        <v>2271.16</v>
      </c>
      <c r="D1119" s="502">
        <v>18375</v>
      </c>
      <c r="E1119" s="502">
        <v>18375</v>
      </c>
      <c r="F1119" s="502">
        <v>15000</v>
      </c>
      <c r="G1119" s="502">
        <v>-3375</v>
      </c>
    </row>
    <row r="1120" spans="1:7" ht="15.75" customHeight="1" x14ac:dyDescent="0.2">
      <c r="A1120" s="500" t="s">
        <v>1275</v>
      </c>
      <c r="B1120" s="501" t="s">
        <v>115</v>
      </c>
      <c r="C1120" s="501">
        <v>0</v>
      </c>
      <c r="D1120" s="502">
        <v>3750</v>
      </c>
      <c r="E1120" s="502">
        <v>4500</v>
      </c>
      <c r="F1120" s="502">
        <v>3000</v>
      </c>
      <c r="G1120" s="502">
        <v>-1500</v>
      </c>
    </row>
    <row r="1121" spans="1:7" ht="15.75" customHeight="1" x14ac:dyDescent="0.2">
      <c r="A1121" s="500" t="s">
        <v>1276</v>
      </c>
      <c r="B1121" s="501" t="s">
        <v>84</v>
      </c>
      <c r="C1121" s="502">
        <v>1225.25</v>
      </c>
      <c r="D1121" s="502">
        <v>5700</v>
      </c>
      <c r="E1121" s="502">
        <v>5700</v>
      </c>
      <c r="F1121" s="502">
        <v>4950</v>
      </c>
      <c r="G1121" s="501">
        <v>-750</v>
      </c>
    </row>
    <row r="1122" spans="1:7" ht="15.75" customHeight="1" x14ac:dyDescent="0.2">
      <c r="A1122" s="500" t="s">
        <v>1277</v>
      </c>
      <c r="B1122" s="501" t="s">
        <v>86</v>
      </c>
      <c r="C1122" s="502">
        <v>61785.59</v>
      </c>
      <c r="D1122" s="502">
        <v>193583</v>
      </c>
      <c r="E1122" s="502">
        <v>123750</v>
      </c>
      <c r="F1122" s="502">
        <v>120000</v>
      </c>
      <c r="G1122" s="502">
        <v>-3750</v>
      </c>
    </row>
    <row r="1123" spans="1:7" ht="15.75" customHeight="1" x14ac:dyDescent="0.2">
      <c r="A1123" s="500" t="s">
        <v>1278</v>
      </c>
      <c r="B1123" s="501" t="s">
        <v>88</v>
      </c>
      <c r="C1123" s="502">
        <v>9120.3799999999992</v>
      </c>
      <c r="D1123" s="502">
        <v>13800</v>
      </c>
      <c r="E1123" s="502">
        <v>14550</v>
      </c>
      <c r="F1123" s="502">
        <v>14550</v>
      </c>
      <c r="G1123" s="501">
        <v>0</v>
      </c>
    </row>
    <row r="1124" spans="1:7" ht="15.75" customHeight="1" x14ac:dyDescent="0.2">
      <c r="A1124" s="500" t="s">
        <v>1279</v>
      </c>
      <c r="B1124" s="501" t="s">
        <v>1252</v>
      </c>
      <c r="C1124" s="502">
        <v>4875</v>
      </c>
      <c r="D1124" s="502">
        <v>25654</v>
      </c>
      <c r="E1124" s="502">
        <v>7500</v>
      </c>
      <c r="F1124" s="502">
        <v>7500</v>
      </c>
      <c r="G1124" s="501">
        <v>0</v>
      </c>
    </row>
    <row r="1125" spans="1:7" ht="15.75" customHeight="1" x14ac:dyDescent="0.2">
      <c r="A1125" s="500" t="s">
        <v>1280</v>
      </c>
      <c r="B1125" s="501" t="s">
        <v>1254</v>
      </c>
      <c r="C1125" s="502">
        <v>16033.47</v>
      </c>
      <c r="D1125" s="502">
        <v>30000</v>
      </c>
      <c r="E1125" s="502">
        <v>30000</v>
      </c>
      <c r="F1125" s="502">
        <v>30000</v>
      </c>
      <c r="G1125" s="501">
        <v>0</v>
      </c>
    </row>
    <row r="1126" spans="1:7" ht="15.75" customHeight="1" x14ac:dyDescent="0.2">
      <c r="A1126" s="500" t="s">
        <v>1283</v>
      </c>
      <c r="B1126" s="501" t="s">
        <v>1256</v>
      </c>
      <c r="C1126" s="502">
        <v>55321.599999999999</v>
      </c>
      <c r="D1126" s="502">
        <v>46750</v>
      </c>
      <c r="E1126" s="502">
        <v>45000</v>
      </c>
      <c r="F1126" s="502">
        <v>45000</v>
      </c>
      <c r="G1126" s="501">
        <v>0</v>
      </c>
    </row>
    <row r="1127" spans="1:7" ht="15.75" customHeight="1" x14ac:dyDescent="0.2">
      <c r="A1127" s="500" t="s">
        <v>1284</v>
      </c>
      <c r="B1127" s="501" t="s">
        <v>1258</v>
      </c>
      <c r="C1127" s="501">
        <v>0</v>
      </c>
      <c r="D1127" s="501">
        <v>0</v>
      </c>
      <c r="E1127" s="502">
        <v>18750</v>
      </c>
      <c r="F1127" s="502">
        <v>18750</v>
      </c>
      <c r="G1127" s="501">
        <v>0</v>
      </c>
    </row>
    <row r="1128" spans="1:7" ht="15.75" customHeight="1" x14ac:dyDescent="0.2">
      <c r="A1128" s="500" t="s">
        <v>1285</v>
      </c>
      <c r="B1128" s="501" t="s">
        <v>90</v>
      </c>
      <c r="C1128" s="502">
        <v>2311.61</v>
      </c>
      <c r="D1128" s="502">
        <v>4500</v>
      </c>
      <c r="E1128" s="502">
        <v>4500</v>
      </c>
      <c r="F1128" s="502">
        <v>3750</v>
      </c>
      <c r="G1128" s="501">
        <v>-750</v>
      </c>
    </row>
    <row r="1129" spans="1:7" ht="15.75" customHeight="1" x14ac:dyDescent="0.2">
      <c r="A1129" s="500" t="s">
        <v>1286</v>
      </c>
      <c r="B1129" s="501" t="s">
        <v>1261</v>
      </c>
      <c r="C1129" s="502">
        <v>49127</v>
      </c>
      <c r="D1129" s="501">
        <v>0</v>
      </c>
      <c r="E1129" s="502">
        <v>75000</v>
      </c>
      <c r="F1129" s="502">
        <v>75000</v>
      </c>
      <c r="G1129" s="501">
        <v>0</v>
      </c>
    </row>
    <row r="1130" spans="1:7" ht="15.75" customHeight="1" x14ac:dyDescent="0.2">
      <c r="A1130" s="500" t="s">
        <v>1287</v>
      </c>
      <c r="B1130" s="501" t="s">
        <v>92</v>
      </c>
      <c r="C1130" s="502">
        <v>2259.8200000000002</v>
      </c>
      <c r="D1130" s="502">
        <v>3000</v>
      </c>
      <c r="E1130" s="502">
        <v>3000</v>
      </c>
      <c r="F1130" s="502">
        <v>3000</v>
      </c>
      <c r="G1130" s="501">
        <v>0</v>
      </c>
    </row>
    <row r="1131" spans="1:7" ht="15.75" customHeight="1" x14ac:dyDescent="0.2">
      <c r="A1131" s="500" t="s">
        <v>1288</v>
      </c>
      <c r="B1131" s="501" t="s">
        <v>99</v>
      </c>
      <c r="C1131" s="501">
        <v>0</v>
      </c>
      <c r="D1131" s="501">
        <v>0</v>
      </c>
      <c r="E1131" s="501">
        <v>0</v>
      </c>
      <c r="F1131" s="501">
        <v>0</v>
      </c>
      <c r="G1131" s="501">
        <v>0</v>
      </c>
    </row>
    <row r="1132" spans="1:7" ht="15.75" customHeight="1" x14ac:dyDescent="0.2">
      <c r="A1132" s="500" t="s">
        <v>1289</v>
      </c>
      <c r="B1132" s="501" t="s">
        <v>1265</v>
      </c>
      <c r="C1132" s="501">
        <v>0</v>
      </c>
      <c r="D1132" s="501">
        <v>0</v>
      </c>
      <c r="E1132" s="501">
        <v>0</v>
      </c>
      <c r="F1132" s="501">
        <v>0</v>
      </c>
      <c r="G1132" s="501">
        <v>0</v>
      </c>
    </row>
    <row r="1133" spans="1:7" ht="15.75" customHeight="1" x14ac:dyDescent="0.2">
      <c r="A1133" s="500" t="s">
        <v>1176</v>
      </c>
      <c r="B1133" s="501" t="s">
        <v>68</v>
      </c>
      <c r="C1133" s="501">
        <v>0</v>
      </c>
      <c r="D1133" s="501">
        <v>0</v>
      </c>
      <c r="E1133" s="501">
        <v>0</v>
      </c>
      <c r="F1133" s="501">
        <v>0</v>
      </c>
      <c r="G1133" s="501">
        <v>0</v>
      </c>
    </row>
    <row r="1134" spans="1:7" ht="15.75" customHeight="1" x14ac:dyDescent="0.2">
      <c r="A1134" s="500" t="s">
        <v>1177</v>
      </c>
      <c r="B1134" s="501" t="s">
        <v>70</v>
      </c>
      <c r="C1134" s="501">
        <v>0</v>
      </c>
      <c r="D1134" s="501">
        <v>0</v>
      </c>
      <c r="E1134" s="501">
        <v>0</v>
      </c>
      <c r="F1134" s="501">
        <v>0</v>
      </c>
      <c r="G1134" s="501">
        <v>0</v>
      </c>
    </row>
    <row r="1135" spans="1:7" ht="15.75" customHeight="1" x14ac:dyDescent="0.2">
      <c r="A1135" s="500" t="s">
        <v>1178</v>
      </c>
      <c r="B1135" s="501" t="s">
        <v>72</v>
      </c>
      <c r="C1135" s="501">
        <v>0</v>
      </c>
      <c r="D1135" s="501">
        <v>0</v>
      </c>
      <c r="E1135" s="501">
        <v>0</v>
      </c>
      <c r="F1135" s="501">
        <v>0</v>
      </c>
      <c r="G1135" s="501">
        <v>0</v>
      </c>
    </row>
    <row r="1136" spans="1:7" ht="15.75" customHeight="1" x14ac:dyDescent="0.2">
      <c r="A1136" s="500" t="s">
        <v>1179</v>
      </c>
      <c r="B1136" s="501" t="s">
        <v>76</v>
      </c>
      <c r="C1136" s="501">
        <v>0</v>
      </c>
      <c r="D1136" s="501">
        <v>0</v>
      </c>
      <c r="E1136" s="501">
        <v>0</v>
      </c>
      <c r="F1136" s="501">
        <v>0</v>
      </c>
      <c r="G1136" s="501">
        <v>0</v>
      </c>
    </row>
    <row r="1137" spans="1:7" ht="15.75" customHeight="1" x14ac:dyDescent="0.2">
      <c r="A1137" s="500" t="s">
        <v>1180</v>
      </c>
      <c r="B1137" s="501" t="s">
        <v>80</v>
      </c>
      <c r="C1137" s="501">
        <v>0</v>
      </c>
      <c r="D1137" s="501">
        <v>0</v>
      </c>
      <c r="E1137" s="501">
        <v>0</v>
      </c>
      <c r="F1137" s="501">
        <v>0</v>
      </c>
      <c r="G1137" s="501">
        <v>0</v>
      </c>
    </row>
    <row r="1138" spans="1:7" ht="15.75" customHeight="1" x14ac:dyDescent="0.2">
      <c r="A1138" s="500" t="s">
        <v>1181</v>
      </c>
      <c r="B1138" s="501" t="s">
        <v>82</v>
      </c>
      <c r="C1138" s="501">
        <v>0</v>
      </c>
      <c r="D1138" s="501">
        <v>0</v>
      </c>
      <c r="E1138" s="501">
        <v>0</v>
      </c>
      <c r="F1138" s="501">
        <v>0</v>
      </c>
      <c r="G1138" s="501">
        <v>0</v>
      </c>
    </row>
    <row r="1139" spans="1:7" ht="15.75" customHeight="1" x14ac:dyDescent="0.2">
      <c r="A1139" s="500" t="s">
        <v>1182</v>
      </c>
      <c r="B1139" s="501" t="s">
        <v>115</v>
      </c>
      <c r="C1139" s="501">
        <v>0</v>
      </c>
      <c r="D1139" s="501">
        <v>0</v>
      </c>
      <c r="E1139" s="501">
        <v>0</v>
      </c>
      <c r="F1139" s="501">
        <v>0</v>
      </c>
      <c r="G1139" s="501">
        <v>0</v>
      </c>
    </row>
    <row r="1140" spans="1:7" ht="15.75" customHeight="1" x14ac:dyDescent="0.2">
      <c r="A1140" s="500" t="s">
        <v>1183</v>
      </c>
      <c r="B1140" s="501" t="s">
        <v>84</v>
      </c>
      <c r="C1140" s="501">
        <v>0</v>
      </c>
      <c r="D1140" s="501">
        <v>0</v>
      </c>
      <c r="E1140" s="501">
        <v>0</v>
      </c>
      <c r="F1140" s="501">
        <v>0</v>
      </c>
      <c r="G1140" s="501">
        <v>0</v>
      </c>
    </row>
    <row r="1141" spans="1:7" ht="15.75" customHeight="1" x14ac:dyDescent="0.2">
      <c r="A1141" s="500" t="s">
        <v>1184</v>
      </c>
      <c r="B1141" s="501" t="s">
        <v>86</v>
      </c>
      <c r="C1141" s="501">
        <v>0</v>
      </c>
      <c r="D1141" s="501">
        <v>0</v>
      </c>
      <c r="E1141" s="501">
        <v>0</v>
      </c>
      <c r="F1141" s="501">
        <v>0</v>
      </c>
      <c r="G1141" s="501">
        <v>0</v>
      </c>
    </row>
    <row r="1142" spans="1:7" ht="15.75" customHeight="1" x14ac:dyDescent="0.2">
      <c r="A1142" s="500" t="s">
        <v>1185</v>
      </c>
      <c r="B1142" s="501" t="s">
        <v>88</v>
      </c>
      <c r="C1142" s="501">
        <v>0</v>
      </c>
      <c r="D1142" s="501">
        <v>0</v>
      </c>
      <c r="E1142" s="501">
        <v>0</v>
      </c>
      <c r="F1142" s="501">
        <v>0</v>
      </c>
      <c r="G1142" s="501">
        <v>0</v>
      </c>
    </row>
    <row r="1143" spans="1:7" ht="15.75" customHeight="1" x14ac:dyDescent="0.2">
      <c r="A1143" s="500" t="s">
        <v>1186</v>
      </c>
      <c r="B1143" s="501" t="s">
        <v>1091</v>
      </c>
      <c r="C1143" s="501">
        <v>0</v>
      </c>
      <c r="D1143" s="501">
        <v>0</v>
      </c>
      <c r="E1143" s="501">
        <v>0</v>
      </c>
      <c r="F1143" s="501">
        <v>0</v>
      </c>
      <c r="G1143" s="501">
        <v>0</v>
      </c>
    </row>
    <row r="1144" spans="1:7" ht="15.75" customHeight="1" x14ac:dyDescent="0.2">
      <c r="A1144" s="500" t="s">
        <v>1187</v>
      </c>
      <c r="B1144" s="501" t="s">
        <v>1093</v>
      </c>
      <c r="C1144" s="501">
        <v>0</v>
      </c>
      <c r="D1144" s="501">
        <v>0</v>
      </c>
      <c r="E1144" s="501">
        <v>0</v>
      </c>
      <c r="F1144" s="501">
        <v>0</v>
      </c>
      <c r="G1144" s="501">
        <v>0</v>
      </c>
    </row>
    <row r="1145" spans="1:7" ht="15.75" customHeight="1" x14ac:dyDescent="0.2">
      <c r="A1145" s="500" t="s">
        <v>1188</v>
      </c>
      <c r="B1145" s="501" t="s">
        <v>92</v>
      </c>
      <c r="C1145" s="501">
        <v>0</v>
      </c>
      <c r="D1145" s="501">
        <v>0</v>
      </c>
      <c r="E1145" s="501">
        <v>0</v>
      </c>
      <c r="F1145" s="501">
        <v>0</v>
      </c>
      <c r="G1145" s="501">
        <v>0</v>
      </c>
    </row>
    <row r="1146" spans="1:7" ht="15.75" customHeight="1" x14ac:dyDescent="0.2">
      <c r="A1146" s="500" t="s">
        <v>1189</v>
      </c>
      <c r="B1146" s="501" t="s">
        <v>94</v>
      </c>
      <c r="C1146" s="501">
        <v>0</v>
      </c>
      <c r="D1146" s="501">
        <v>0</v>
      </c>
      <c r="E1146" s="501">
        <v>0</v>
      </c>
      <c r="F1146" s="501">
        <v>0</v>
      </c>
      <c r="G1146" s="501">
        <v>0</v>
      </c>
    </row>
    <row r="1147" spans="1:7" ht="15.75" customHeight="1" x14ac:dyDescent="0.2">
      <c r="A1147" s="500" t="s">
        <v>2200</v>
      </c>
      <c r="B1147" s="501" t="s">
        <v>1836</v>
      </c>
      <c r="C1147" s="502">
        <v>26357</v>
      </c>
      <c r="D1147" s="502">
        <v>26400</v>
      </c>
      <c r="E1147" s="501">
        <v>0</v>
      </c>
      <c r="F1147" s="501">
        <v>0</v>
      </c>
      <c r="G1147" s="501">
        <v>0</v>
      </c>
    </row>
    <row r="1148" spans="1:7" ht="15.75" customHeight="1" x14ac:dyDescent="0.2">
      <c r="A1148" s="500" t="s">
        <v>2201</v>
      </c>
      <c r="B1148" s="501" t="s">
        <v>2202</v>
      </c>
      <c r="C1148" s="501">
        <v>0</v>
      </c>
      <c r="D1148" s="502">
        <v>5000000</v>
      </c>
      <c r="E1148" s="501">
        <v>0</v>
      </c>
      <c r="F1148" s="501">
        <v>0</v>
      </c>
      <c r="G1148" s="501">
        <v>0</v>
      </c>
    </row>
    <row r="1149" spans="1:7" ht="15.75" customHeight="1" x14ac:dyDescent="0.2">
      <c r="A1149" s="500" t="s">
        <v>2203</v>
      </c>
      <c r="B1149" s="501" t="s">
        <v>1840</v>
      </c>
      <c r="C1149" s="501">
        <v>0</v>
      </c>
      <c r="D1149" s="502">
        <v>175400</v>
      </c>
      <c r="E1149" s="501">
        <v>0</v>
      </c>
      <c r="F1149" s="501">
        <v>0</v>
      </c>
      <c r="G1149" s="501">
        <v>0</v>
      </c>
    </row>
    <row r="1150" spans="1:7" ht="15.75" customHeight="1" x14ac:dyDescent="0.2">
      <c r="A1150" s="500" t="s">
        <v>2204</v>
      </c>
      <c r="B1150" s="501" t="s">
        <v>1842</v>
      </c>
      <c r="C1150" s="501">
        <v>0</v>
      </c>
      <c r="D1150" s="501">
        <v>0</v>
      </c>
      <c r="E1150" s="501">
        <v>0</v>
      </c>
      <c r="F1150" s="501">
        <v>0</v>
      </c>
      <c r="G1150" s="501">
        <v>0</v>
      </c>
    </row>
    <row r="1151" spans="1:7" ht="15.75" customHeight="1" x14ac:dyDescent="0.2">
      <c r="A1151" s="500" t="s">
        <v>2205</v>
      </c>
      <c r="B1151" s="501" t="s">
        <v>1844</v>
      </c>
      <c r="C1151" s="501">
        <v>0</v>
      </c>
      <c r="D1151" s="502">
        <v>176794</v>
      </c>
      <c r="E1151" s="501">
        <v>0</v>
      </c>
      <c r="F1151" s="501">
        <v>0</v>
      </c>
      <c r="G1151" s="501">
        <v>0</v>
      </c>
    </row>
    <row r="1152" spans="1:7" ht="15.75" customHeight="1" x14ac:dyDescent="0.2">
      <c r="A1152" s="500" t="s">
        <v>2206</v>
      </c>
      <c r="B1152" s="501" t="s">
        <v>2207</v>
      </c>
      <c r="C1152" s="501">
        <v>0</v>
      </c>
      <c r="D1152" s="502">
        <v>2412316</v>
      </c>
      <c r="E1152" s="502">
        <v>356250</v>
      </c>
      <c r="F1152" s="502">
        <v>120000</v>
      </c>
      <c r="G1152" s="502">
        <v>-236250</v>
      </c>
    </row>
    <row r="1153" spans="1:7" ht="15.75" customHeight="1" x14ac:dyDescent="0.2">
      <c r="A1153" s="500" t="s">
        <v>2208</v>
      </c>
      <c r="B1153" s="501" t="s">
        <v>2157</v>
      </c>
      <c r="C1153" s="501">
        <v>98.55</v>
      </c>
      <c r="D1153" s="502">
        <v>1500</v>
      </c>
      <c r="E1153" s="501">
        <v>0</v>
      </c>
      <c r="F1153" s="501">
        <v>0</v>
      </c>
      <c r="G1153" s="501">
        <v>0</v>
      </c>
    </row>
    <row r="1154" spans="1:7" ht="15.75" customHeight="1" x14ac:dyDescent="0.2">
      <c r="A1154" s="500" t="s">
        <v>2209</v>
      </c>
      <c r="B1154" s="501" t="s">
        <v>2210</v>
      </c>
      <c r="C1154" s="502">
        <v>-77049.600000000006</v>
      </c>
      <c r="D1154" s="502">
        <v>-1129343</v>
      </c>
      <c r="E1154" s="502">
        <v>-1120000</v>
      </c>
      <c r="F1154" s="502">
        <v>-1882400</v>
      </c>
      <c r="G1154" s="502">
        <v>-762400</v>
      </c>
    </row>
    <row r="1155" spans="1:7" ht="15.75" customHeight="1" x14ac:dyDescent="0.2">
      <c r="A1155" s="500" t="s">
        <v>2211</v>
      </c>
      <c r="B1155" s="501" t="s">
        <v>1968</v>
      </c>
      <c r="C1155" s="501">
        <v>0</v>
      </c>
      <c r="D1155" s="502">
        <v>-20000</v>
      </c>
      <c r="E1155" s="502">
        <v>-20000</v>
      </c>
      <c r="F1155" s="501">
        <v>0</v>
      </c>
      <c r="G1155" s="502">
        <v>20000</v>
      </c>
    </row>
    <row r="1156" spans="1:7" ht="15.75" customHeight="1" x14ac:dyDescent="0.2">
      <c r="A1156" s="500" t="s">
        <v>2212</v>
      </c>
      <c r="B1156" s="501" t="s">
        <v>1970</v>
      </c>
      <c r="C1156" s="502">
        <v>-8678.11</v>
      </c>
      <c r="D1156" s="502">
        <v>-10000</v>
      </c>
      <c r="E1156" s="502">
        <v>-10000</v>
      </c>
      <c r="F1156" s="502">
        <v>-10000</v>
      </c>
      <c r="G1156" s="501">
        <v>0</v>
      </c>
    </row>
    <row r="1157" spans="1:7" ht="15.75" customHeight="1" x14ac:dyDescent="0.2">
      <c r="A1157" s="500" t="s">
        <v>2213</v>
      </c>
      <c r="B1157" s="501" t="s">
        <v>1976</v>
      </c>
      <c r="C1157" s="502">
        <v>-45135.040000000001</v>
      </c>
      <c r="D1157" s="502">
        <v>-62000</v>
      </c>
      <c r="E1157" s="502">
        <v>-58000</v>
      </c>
      <c r="F1157" s="502">
        <v>-62000</v>
      </c>
      <c r="G1157" s="502">
        <v>-4000</v>
      </c>
    </row>
    <row r="1158" spans="1:7" ht="15.75" customHeight="1" x14ac:dyDescent="0.2">
      <c r="A1158" s="500" t="s">
        <v>2214</v>
      </c>
      <c r="B1158" s="501" t="s">
        <v>1978</v>
      </c>
      <c r="C1158" s="501">
        <v>-501.14</v>
      </c>
      <c r="D1158" s="502">
        <v>-1000</v>
      </c>
      <c r="E1158" s="502">
        <v>-1000</v>
      </c>
      <c r="F1158" s="502">
        <v>-1000</v>
      </c>
      <c r="G1158" s="501">
        <v>0</v>
      </c>
    </row>
    <row r="1159" spans="1:7" ht="15.75" customHeight="1" x14ac:dyDescent="0.2">
      <c r="A1159" s="500" t="s">
        <v>2215</v>
      </c>
      <c r="B1159" s="501" t="s">
        <v>2216</v>
      </c>
      <c r="C1159" s="502">
        <v>-271476</v>
      </c>
      <c r="D1159" s="502">
        <v>-330000</v>
      </c>
      <c r="E1159" s="502">
        <v>-350000</v>
      </c>
      <c r="F1159" s="502">
        <v>-350000</v>
      </c>
      <c r="G1159" s="501">
        <v>0</v>
      </c>
    </row>
    <row r="1160" spans="1:7" ht="15.75" customHeight="1" x14ac:dyDescent="0.2">
      <c r="A1160" s="500" t="s">
        <v>2217</v>
      </c>
      <c r="B1160" s="501" t="s">
        <v>1766</v>
      </c>
      <c r="C1160" s="501">
        <v>0</v>
      </c>
      <c r="D1160" s="502">
        <v>-118934</v>
      </c>
      <c r="E1160" s="502">
        <v>-116000</v>
      </c>
      <c r="F1160" s="501">
        <v>0</v>
      </c>
      <c r="G1160" s="502">
        <v>116000</v>
      </c>
    </row>
    <row r="1161" spans="1:7" ht="15.75" customHeight="1" x14ac:dyDescent="0.2">
      <c r="A1161" s="500" t="s">
        <v>2218</v>
      </c>
      <c r="B1161" s="501" t="s">
        <v>2219</v>
      </c>
      <c r="C1161" s="502">
        <v>911385</v>
      </c>
      <c r="D1161" s="502">
        <v>1215180</v>
      </c>
      <c r="E1161" s="502">
        <v>1140000</v>
      </c>
      <c r="F1161" s="502">
        <v>1140000</v>
      </c>
      <c r="G1161" s="501">
        <v>0</v>
      </c>
    </row>
    <row r="1162" spans="1:7" ht="15.75" customHeight="1" x14ac:dyDescent="0.2">
      <c r="A1162" s="500" t="s">
        <v>2220</v>
      </c>
      <c r="B1162" s="501" t="s">
        <v>2221</v>
      </c>
      <c r="C1162" s="502">
        <v>81207.75</v>
      </c>
      <c r="D1162" s="502">
        <v>108277</v>
      </c>
      <c r="E1162" s="502">
        <v>150000</v>
      </c>
      <c r="F1162" s="502">
        <v>299400</v>
      </c>
      <c r="G1162" s="502">
        <v>149400</v>
      </c>
    </row>
    <row r="1163" spans="1:7" ht="15.75" customHeight="1" x14ac:dyDescent="0.2">
      <c r="A1163" s="500" t="s">
        <v>2222</v>
      </c>
      <c r="B1163" s="501" t="s">
        <v>2223</v>
      </c>
      <c r="C1163" s="502">
        <v>17115</v>
      </c>
      <c r="D1163" s="502">
        <v>22820</v>
      </c>
      <c r="E1163" s="502">
        <v>25000</v>
      </c>
      <c r="F1163" s="502">
        <v>27900</v>
      </c>
      <c r="G1163" s="502">
        <v>2900</v>
      </c>
    </row>
    <row r="1164" spans="1:7" ht="15.75" customHeight="1" x14ac:dyDescent="0.2">
      <c r="A1164" s="500" t="s">
        <v>2224</v>
      </c>
      <c r="B1164" s="501" t="s">
        <v>94</v>
      </c>
      <c r="C1164" s="502">
        <v>228750</v>
      </c>
      <c r="D1164" s="502">
        <v>305000</v>
      </c>
      <c r="E1164" s="502">
        <v>350000</v>
      </c>
      <c r="F1164" s="502">
        <v>350000</v>
      </c>
      <c r="G1164" s="501">
        <v>0</v>
      </c>
    </row>
    <row r="1165" spans="1:7" ht="15.75" customHeight="1" x14ac:dyDescent="0.2">
      <c r="A1165" s="500" t="s">
        <v>2225</v>
      </c>
      <c r="B1165" s="501" t="s">
        <v>2092</v>
      </c>
      <c r="C1165" s="501">
        <v>0</v>
      </c>
      <c r="D1165" s="502">
        <v>20000</v>
      </c>
      <c r="E1165" s="502">
        <v>10000</v>
      </c>
      <c r="F1165" s="501">
        <v>0</v>
      </c>
      <c r="G1165" s="502">
        <v>-10000</v>
      </c>
    </row>
    <row r="1166" spans="1:7" ht="15.75" customHeight="1" x14ac:dyDescent="0.2">
      <c r="A1166" s="500" t="s">
        <v>2226</v>
      </c>
      <c r="B1166" s="501" t="s">
        <v>2100</v>
      </c>
      <c r="C1166" s="501">
        <v>0</v>
      </c>
      <c r="D1166" s="501">
        <v>0</v>
      </c>
      <c r="E1166" s="501">
        <v>0</v>
      </c>
      <c r="F1166" s="502">
        <v>488100</v>
      </c>
      <c r="G1166" s="502">
        <v>488100</v>
      </c>
    </row>
    <row r="1167" spans="1:7" ht="15.75" customHeight="1" x14ac:dyDescent="0.2">
      <c r="A1167" s="500" t="s">
        <v>2227</v>
      </c>
      <c r="B1167" s="501" t="s">
        <v>2228</v>
      </c>
      <c r="C1167" s="501">
        <v>0</v>
      </c>
      <c r="D1167" s="502">
        <v>-35000</v>
      </c>
      <c r="E1167" s="502">
        <v>-70000</v>
      </c>
      <c r="F1167" s="502">
        <v>-70000</v>
      </c>
      <c r="G1167" s="501">
        <v>0</v>
      </c>
    </row>
    <row r="1168" spans="1:7" ht="15.75" customHeight="1" x14ac:dyDescent="0.2">
      <c r="A1168" s="500" t="s">
        <v>2229</v>
      </c>
      <c r="B1168" s="501" t="s">
        <v>2230</v>
      </c>
      <c r="C1168" s="501">
        <v>578.46</v>
      </c>
      <c r="D1168" s="502">
        <v>-265100</v>
      </c>
      <c r="E1168" s="502">
        <v>-268400</v>
      </c>
      <c r="F1168" s="502">
        <v>-268400</v>
      </c>
      <c r="G1168" s="501">
        <v>0</v>
      </c>
    </row>
    <row r="1169" spans="1:7" ht="15.75" customHeight="1" x14ac:dyDescent="0.2">
      <c r="A1169" s="500" t="s">
        <v>2231</v>
      </c>
      <c r="B1169" s="501" t="s">
        <v>2232</v>
      </c>
      <c r="C1169" s="502">
        <v>359945</v>
      </c>
      <c r="D1169" s="502">
        <v>287600</v>
      </c>
      <c r="E1169" s="502">
        <v>325000</v>
      </c>
      <c r="F1169" s="502">
        <v>325000</v>
      </c>
      <c r="G1169" s="501">
        <v>0</v>
      </c>
    </row>
    <row r="1170" spans="1:7" ht="15.75" customHeight="1" x14ac:dyDescent="0.2">
      <c r="A1170" s="500" t="s">
        <v>2233</v>
      </c>
      <c r="B1170" s="501" t="s">
        <v>1840</v>
      </c>
      <c r="C1170" s="501">
        <v>0</v>
      </c>
      <c r="D1170" s="502">
        <v>12500</v>
      </c>
      <c r="E1170" s="502">
        <v>13400</v>
      </c>
      <c r="F1170" s="502">
        <v>13400</v>
      </c>
      <c r="G1170" s="501">
        <v>0</v>
      </c>
    </row>
    <row r="1171" spans="1:7" ht="15.75" customHeight="1" x14ac:dyDescent="0.2">
      <c r="A1171" s="500" t="s">
        <v>1846</v>
      </c>
      <c r="B1171" s="501" t="s">
        <v>1847</v>
      </c>
      <c r="C1171" s="502">
        <v>-883080.31</v>
      </c>
      <c r="D1171" s="502">
        <v>-1361000</v>
      </c>
      <c r="E1171" s="502">
        <v>-1130700</v>
      </c>
      <c r="F1171" s="502">
        <v>-1130700</v>
      </c>
      <c r="G1171" s="501">
        <v>0</v>
      </c>
    </row>
    <row r="1172" spans="1:7" ht="15.75" customHeight="1" x14ac:dyDescent="0.2">
      <c r="A1172" s="500" t="s">
        <v>1848</v>
      </c>
      <c r="B1172" s="501" t="s">
        <v>1849</v>
      </c>
      <c r="C1172" s="501">
        <v>0</v>
      </c>
      <c r="D1172" s="501">
        <v>0</v>
      </c>
      <c r="E1172" s="501">
        <v>0</v>
      </c>
      <c r="F1172" s="501">
        <v>0</v>
      </c>
      <c r="G1172" s="501">
        <v>0</v>
      </c>
    </row>
    <row r="1173" spans="1:7" ht="15.75" customHeight="1" x14ac:dyDescent="0.2">
      <c r="A1173" s="500" t="s">
        <v>1850</v>
      </c>
      <c r="B1173" s="501" t="s">
        <v>1851</v>
      </c>
      <c r="C1173" s="501">
        <v>0</v>
      </c>
      <c r="D1173" s="502">
        <v>-50800</v>
      </c>
      <c r="E1173" s="501">
        <v>0</v>
      </c>
      <c r="F1173" s="502">
        <v>-37500</v>
      </c>
      <c r="G1173" s="502">
        <v>-37500</v>
      </c>
    </row>
    <row r="1174" spans="1:7" ht="15.75" customHeight="1" x14ac:dyDescent="0.2">
      <c r="A1174" s="500" t="s">
        <v>1852</v>
      </c>
      <c r="B1174" s="501" t="s">
        <v>2234</v>
      </c>
      <c r="C1174" s="501">
        <v>0</v>
      </c>
      <c r="D1174" s="501">
        <v>0</v>
      </c>
      <c r="E1174" s="501">
        <v>0</v>
      </c>
      <c r="F1174" s="502">
        <v>-36200</v>
      </c>
      <c r="G1174" s="502">
        <v>-36200</v>
      </c>
    </row>
    <row r="1175" spans="1:7" ht="15.75" customHeight="1" x14ac:dyDescent="0.2">
      <c r="A1175" s="500" t="s">
        <v>1853</v>
      </c>
      <c r="B1175" s="501" t="s">
        <v>2235</v>
      </c>
      <c r="C1175" s="502">
        <v>-24713.85</v>
      </c>
      <c r="D1175" s="502">
        <v>-42000</v>
      </c>
      <c r="E1175" s="502">
        <v>-38000</v>
      </c>
      <c r="F1175" s="502">
        <v>-38000</v>
      </c>
      <c r="G1175" s="501">
        <v>0</v>
      </c>
    </row>
    <row r="1176" spans="1:7" ht="15.75" customHeight="1" x14ac:dyDescent="0.2">
      <c r="A1176" s="500" t="s">
        <v>1854</v>
      </c>
      <c r="B1176" s="501" t="s">
        <v>1855</v>
      </c>
      <c r="C1176" s="501">
        <v>0</v>
      </c>
      <c r="D1176" s="501">
        <v>0</v>
      </c>
      <c r="E1176" s="501">
        <v>0</v>
      </c>
      <c r="F1176" s="501">
        <v>0</v>
      </c>
      <c r="G1176" s="501">
        <v>0</v>
      </c>
    </row>
    <row r="1177" spans="1:7" ht="15.75" customHeight="1" x14ac:dyDescent="0.2">
      <c r="A1177" s="500" t="s">
        <v>1856</v>
      </c>
      <c r="B1177" s="501" t="s">
        <v>2236</v>
      </c>
      <c r="C1177" s="501">
        <v>0</v>
      </c>
      <c r="D1177" s="501">
        <v>0</v>
      </c>
      <c r="E1177" s="501">
        <v>0</v>
      </c>
      <c r="F1177" s="501">
        <v>0</v>
      </c>
      <c r="G1177" s="501">
        <v>0</v>
      </c>
    </row>
    <row r="1178" spans="1:7" ht="15.75" customHeight="1" x14ac:dyDescent="0.2">
      <c r="A1178" s="500" t="s">
        <v>1857</v>
      </c>
      <c r="B1178" s="501" t="s">
        <v>1766</v>
      </c>
      <c r="C1178" s="501">
        <v>0</v>
      </c>
      <c r="D1178" s="502">
        <v>-370592</v>
      </c>
      <c r="E1178" s="502">
        <v>-443910.88</v>
      </c>
      <c r="F1178" s="502">
        <v>-493910.88</v>
      </c>
      <c r="G1178" s="502">
        <v>-50000</v>
      </c>
    </row>
    <row r="1179" spans="1:7" ht="15.75" customHeight="1" x14ac:dyDescent="0.2">
      <c r="A1179" s="500" t="s">
        <v>1792</v>
      </c>
      <c r="B1179" s="501" t="s">
        <v>68</v>
      </c>
      <c r="C1179" s="502">
        <v>114801.7</v>
      </c>
      <c r="D1179" s="502">
        <v>155057</v>
      </c>
      <c r="E1179" s="502">
        <v>166400</v>
      </c>
      <c r="F1179" s="502">
        <v>166400</v>
      </c>
      <c r="G1179" s="501">
        <v>0</v>
      </c>
    </row>
    <row r="1180" spans="1:7" ht="15.75" customHeight="1" x14ac:dyDescent="0.2">
      <c r="A1180" s="500" t="s">
        <v>1793</v>
      </c>
      <c r="B1180" s="501" t="s">
        <v>70</v>
      </c>
      <c r="C1180" s="501">
        <v>645.66999999999996</v>
      </c>
      <c r="D1180" s="502">
        <v>1200</v>
      </c>
      <c r="E1180" s="502">
        <v>1200</v>
      </c>
      <c r="F1180" s="502">
        <v>1200</v>
      </c>
      <c r="G1180" s="501">
        <v>0</v>
      </c>
    </row>
    <row r="1181" spans="1:7" ht="15.75" customHeight="1" x14ac:dyDescent="0.2">
      <c r="A1181" s="500" t="s">
        <v>1794</v>
      </c>
      <c r="B1181" s="501" t="s">
        <v>132</v>
      </c>
      <c r="C1181" s="502">
        <v>23478.76</v>
      </c>
      <c r="D1181" s="502">
        <v>37621</v>
      </c>
      <c r="E1181" s="502">
        <v>41300</v>
      </c>
      <c r="F1181" s="502">
        <v>41300</v>
      </c>
      <c r="G1181" s="501">
        <v>0</v>
      </c>
    </row>
    <row r="1182" spans="1:7" ht="15.75" customHeight="1" x14ac:dyDescent="0.2">
      <c r="A1182" s="500" t="s">
        <v>1795</v>
      </c>
      <c r="B1182" s="501" t="s">
        <v>108</v>
      </c>
      <c r="C1182" s="501">
        <v>0</v>
      </c>
      <c r="D1182" s="501">
        <v>0</v>
      </c>
      <c r="E1182" s="501">
        <v>0</v>
      </c>
      <c r="F1182" s="501">
        <v>0</v>
      </c>
      <c r="G1182" s="501">
        <v>0</v>
      </c>
    </row>
    <row r="1183" spans="1:7" ht="15.75" customHeight="1" x14ac:dyDescent="0.2">
      <c r="A1183" s="500" t="s">
        <v>1796</v>
      </c>
      <c r="B1183" s="501" t="s">
        <v>72</v>
      </c>
      <c r="C1183" s="502">
        <v>49124.78</v>
      </c>
      <c r="D1183" s="502">
        <v>73201</v>
      </c>
      <c r="E1183" s="502">
        <v>93100</v>
      </c>
      <c r="F1183" s="502">
        <v>93100</v>
      </c>
      <c r="G1183" s="501">
        <v>0</v>
      </c>
    </row>
    <row r="1184" spans="1:7" ht="15.75" customHeight="1" x14ac:dyDescent="0.2">
      <c r="A1184" s="500" t="s">
        <v>1797</v>
      </c>
      <c r="B1184" s="501" t="s">
        <v>451</v>
      </c>
      <c r="C1184" s="501">
        <v>0</v>
      </c>
      <c r="D1184" s="501">
        <v>0</v>
      </c>
      <c r="E1184" s="501">
        <v>0</v>
      </c>
      <c r="F1184" s="501">
        <v>0</v>
      </c>
      <c r="G1184" s="501">
        <v>0</v>
      </c>
    </row>
    <row r="1185" spans="1:7" ht="15.75" customHeight="1" x14ac:dyDescent="0.2">
      <c r="A1185" s="500" t="s">
        <v>1798</v>
      </c>
      <c r="B1185" s="501" t="s">
        <v>74</v>
      </c>
      <c r="C1185" s="502">
        <v>2958.68</v>
      </c>
      <c r="D1185" s="502">
        <v>9950</v>
      </c>
      <c r="E1185" s="502">
        <v>11530</v>
      </c>
      <c r="F1185" s="502">
        <v>11530</v>
      </c>
      <c r="G1185" s="501">
        <v>0</v>
      </c>
    </row>
    <row r="1186" spans="1:7" ht="15.75" customHeight="1" x14ac:dyDescent="0.2">
      <c r="A1186" s="500" t="s">
        <v>1799</v>
      </c>
      <c r="B1186" s="501" t="s">
        <v>76</v>
      </c>
      <c r="C1186" s="502">
        <v>5502.69</v>
      </c>
      <c r="D1186" s="502">
        <v>16000</v>
      </c>
      <c r="E1186" s="502">
        <v>17200</v>
      </c>
      <c r="F1186" s="502">
        <v>17200</v>
      </c>
      <c r="G1186" s="501">
        <v>0</v>
      </c>
    </row>
    <row r="1187" spans="1:7" ht="15.75" customHeight="1" x14ac:dyDescent="0.2">
      <c r="A1187" s="500" t="s">
        <v>1800</v>
      </c>
      <c r="B1187" s="501" t="s">
        <v>80</v>
      </c>
      <c r="C1187" s="502">
        <v>2536.33</v>
      </c>
      <c r="D1187" s="502">
        <v>3000</v>
      </c>
      <c r="E1187" s="502">
        <v>3200</v>
      </c>
      <c r="F1187" s="502">
        <v>3200</v>
      </c>
      <c r="G1187" s="501">
        <v>0</v>
      </c>
    </row>
    <row r="1188" spans="1:7" ht="15.75" customHeight="1" x14ac:dyDescent="0.2">
      <c r="A1188" s="500" t="s">
        <v>1801</v>
      </c>
      <c r="B1188" s="501" t="s">
        <v>1802</v>
      </c>
      <c r="C1188" s="501">
        <v>247.48</v>
      </c>
      <c r="D1188" s="502">
        <v>10604</v>
      </c>
      <c r="E1188" s="502">
        <v>11000</v>
      </c>
      <c r="F1188" s="502">
        <v>11000</v>
      </c>
      <c r="G1188" s="501">
        <v>0</v>
      </c>
    </row>
    <row r="1189" spans="1:7" ht="15.75" customHeight="1" x14ac:dyDescent="0.2">
      <c r="A1189" s="500" t="s">
        <v>1803</v>
      </c>
      <c r="B1189" s="501" t="s">
        <v>82</v>
      </c>
      <c r="C1189" s="502">
        <v>3914.07</v>
      </c>
      <c r="D1189" s="502">
        <v>4000</v>
      </c>
      <c r="E1189" s="502">
        <v>2500</v>
      </c>
      <c r="F1189" s="502">
        <v>2500</v>
      </c>
      <c r="G1189" s="501">
        <v>0</v>
      </c>
    </row>
    <row r="1190" spans="1:7" ht="15.75" customHeight="1" x14ac:dyDescent="0.2">
      <c r="A1190" s="500" t="s">
        <v>1804</v>
      </c>
      <c r="B1190" s="501" t="s">
        <v>115</v>
      </c>
      <c r="C1190" s="501">
        <v>0</v>
      </c>
      <c r="D1190" s="502">
        <v>1000</v>
      </c>
      <c r="E1190" s="501">
        <v>0</v>
      </c>
      <c r="F1190" s="501">
        <v>0</v>
      </c>
      <c r="G1190" s="501">
        <v>0</v>
      </c>
    </row>
    <row r="1191" spans="1:7" ht="15.75" customHeight="1" x14ac:dyDescent="0.2">
      <c r="A1191" s="500" t="s">
        <v>1805</v>
      </c>
      <c r="B1191" s="501" t="s">
        <v>84</v>
      </c>
      <c r="C1191" s="502">
        <v>1336</v>
      </c>
      <c r="D1191" s="502">
        <v>1500</v>
      </c>
      <c r="E1191" s="502">
        <v>2380.88</v>
      </c>
      <c r="F1191" s="502">
        <v>2380.88</v>
      </c>
      <c r="G1191" s="501">
        <v>0</v>
      </c>
    </row>
    <row r="1192" spans="1:7" ht="15.75" customHeight="1" x14ac:dyDescent="0.2">
      <c r="A1192" s="500" t="s">
        <v>1806</v>
      </c>
      <c r="B1192" s="501" t="s">
        <v>1807</v>
      </c>
      <c r="C1192" s="501">
        <v>0</v>
      </c>
      <c r="D1192" s="501">
        <v>0</v>
      </c>
      <c r="E1192" s="501">
        <v>0</v>
      </c>
      <c r="F1192" s="502">
        <v>50000</v>
      </c>
      <c r="G1192" s="502">
        <v>50000</v>
      </c>
    </row>
    <row r="1193" spans="1:7" ht="15.75" customHeight="1" x14ac:dyDescent="0.2">
      <c r="A1193" s="500" t="s">
        <v>1808</v>
      </c>
      <c r="B1193" s="501" t="s">
        <v>90</v>
      </c>
      <c r="C1193" s="501">
        <v>30.59</v>
      </c>
      <c r="D1193" s="502">
        <v>8000</v>
      </c>
      <c r="E1193" s="502">
        <v>8000</v>
      </c>
      <c r="F1193" s="502">
        <v>8000</v>
      </c>
      <c r="G1193" s="501">
        <v>0</v>
      </c>
    </row>
    <row r="1194" spans="1:7" ht="15.75" customHeight="1" x14ac:dyDescent="0.2">
      <c r="A1194" s="500" t="s">
        <v>1809</v>
      </c>
      <c r="B1194" s="501" t="s">
        <v>1810</v>
      </c>
      <c r="C1194" s="502">
        <v>11133.52</v>
      </c>
      <c r="D1194" s="502">
        <v>19759</v>
      </c>
      <c r="E1194" s="502">
        <v>29175</v>
      </c>
      <c r="F1194" s="502">
        <v>29175</v>
      </c>
      <c r="G1194" s="501">
        <v>0</v>
      </c>
    </row>
    <row r="1195" spans="1:7" ht="15.75" customHeight="1" x14ac:dyDescent="0.2">
      <c r="A1195" s="500" t="s">
        <v>1811</v>
      </c>
      <c r="B1195" s="501" t="s">
        <v>1812</v>
      </c>
      <c r="C1195" s="501">
        <v>0</v>
      </c>
      <c r="D1195" s="501">
        <v>0</v>
      </c>
      <c r="E1195" s="501">
        <v>0</v>
      </c>
      <c r="F1195" s="501">
        <v>0</v>
      </c>
      <c r="G1195" s="501">
        <v>0</v>
      </c>
    </row>
    <row r="1196" spans="1:7" ht="15.75" customHeight="1" x14ac:dyDescent="0.2">
      <c r="A1196" s="500" t="s">
        <v>1813</v>
      </c>
      <c r="B1196" s="501" t="s">
        <v>1814</v>
      </c>
      <c r="C1196" s="502">
        <v>27100</v>
      </c>
      <c r="D1196" s="502">
        <v>27500</v>
      </c>
      <c r="E1196" s="502">
        <v>27500</v>
      </c>
      <c r="F1196" s="502">
        <v>27500</v>
      </c>
      <c r="G1196" s="501">
        <v>0</v>
      </c>
    </row>
    <row r="1197" spans="1:7" ht="15.75" customHeight="1" x14ac:dyDescent="0.2">
      <c r="A1197" s="500" t="s">
        <v>1815</v>
      </c>
      <c r="B1197" s="501" t="s">
        <v>1816</v>
      </c>
      <c r="C1197" s="502">
        <v>451931.02</v>
      </c>
      <c r="D1197" s="502">
        <v>694000</v>
      </c>
      <c r="E1197" s="502">
        <v>697700</v>
      </c>
      <c r="F1197" s="502">
        <v>771400</v>
      </c>
      <c r="G1197" s="502">
        <v>73700</v>
      </c>
    </row>
    <row r="1198" spans="1:7" ht="15.75" customHeight="1" x14ac:dyDescent="0.2">
      <c r="A1198" s="500" t="s">
        <v>1817</v>
      </c>
      <c r="B1198" s="501" t="s">
        <v>1818</v>
      </c>
      <c r="C1198" s="501">
        <v>0</v>
      </c>
      <c r="D1198" s="502">
        <v>2000</v>
      </c>
      <c r="E1198" s="502">
        <v>3000</v>
      </c>
      <c r="F1198" s="502">
        <v>3000</v>
      </c>
      <c r="G1198" s="501">
        <v>0</v>
      </c>
    </row>
    <row r="1199" spans="1:7" ht="15.75" customHeight="1" x14ac:dyDescent="0.2">
      <c r="A1199" s="500" t="s">
        <v>1819</v>
      </c>
      <c r="B1199" s="501" t="s">
        <v>92</v>
      </c>
      <c r="C1199" s="502">
        <v>1695.95</v>
      </c>
      <c r="D1199" s="502">
        <v>1800</v>
      </c>
      <c r="E1199" s="502">
        <v>1800</v>
      </c>
      <c r="F1199" s="502">
        <v>1800</v>
      </c>
      <c r="G1199" s="501">
        <v>0</v>
      </c>
    </row>
    <row r="1200" spans="1:7" ht="15.75" customHeight="1" x14ac:dyDescent="0.2">
      <c r="A1200" s="500" t="s">
        <v>1820</v>
      </c>
      <c r="B1200" s="501" t="s">
        <v>1821</v>
      </c>
      <c r="C1200" s="501">
        <v>126.32</v>
      </c>
      <c r="D1200" s="501">
        <v>775</v>
      </c>
      <c r="E1200" s="501">
        <v>875</v>
      </c>
      <c r="F1200" s="501">
        <v>875</v>
      </c>
      <c r="G1200" s="501">
        <v>0</v>
      </c>
    </row>
    <row r="1201" spans="1:7" ht="15.75" customHeight="1" x14ac:dyDescent="0.2">
      <c r="A1201" s="500" t="s">
        <v>1822</v>
      </c>
      <c r="B1201" s="501" t="s">
        <v>1823</v>
      </c>
      <c r="C1201" s="501">
        <v>0</v>
      </c>
      <c r="D1201" s="502">
        <v>8400</v>
      </c>
      <c r="E1201" s="502">
        <v>8400</v>
      </c>
      <c r="F1201" s="502">
        <v>8400</v>
      </c>
      <c r="G1201" s="501">
        <v>0</v>
      </c>
    </row>
    <row r="1202" spans="1:7" ht="15.75" customHeight="1" x14ac:dyDescent="0.2">
      <c r="A1202" s="500" t="s">
        <v>1824</v>
      </c>
      <c r="B1202" s="501" t="s">
        <v>1825</v>
      </c>
      <c r="C1202" s="501">
        <v>644.71</v>
      </c>
      <c r="D1202" s="502">
        <v>1800</v>
      </c>
      <c r="E1202" s="502">
        <v>2000</v>
      </c>
      <c r="F1202" s="502">
        <v>2000</v>
      </c>
      <c r="G1202" s="501">
        <v>0</v>
      </c>
    </row>
    <row r="1203" spans="1:7" ht="15.75" customHeight="1" x14ac:dyDescent="0.2">
      <c r="A1203" s="500" t="s">
        <v>1826</v>
      </c>
      <c r="B1203" s="501" t="s">
        <v>1011</v>
      </c>
      <c r="C1203" s="501">
        <v>0</v>
      </c>
      <c r="D1203" s="502">
        <v>1000</v>
      </c>
      <c r="E1203" s="502">
        <v>1000</v>
      </c>
      <c r="F1203" s="502">
        <v>1000</v>
      </c>
      <c r="G1203" s="501">
        <v>0</v>
      </c>
    </row>
    <row r="1204" spans="1:7" ht="15.75" customHeight="1" x14ac:dyDescent="0.2">
      <c r="A1204" s="500" t="s">
        <v>1827</v>
      </c>
      <c r="B1204" s="501" t="s">
        <v>1828</v>
      </c>
      <c r="C1204" s="502">
        <v>17300</v>
      </c>
      <c r="D1204" s="502">
        <v>29800</v>
      </c>
      <c r="E1204" s="502">
        <v>39800</v>
      </c>
      <c r="F1204" s="502">
        <v>39800</v>
      </c>
      <c r="G1204" s="501">
        <v>0</v>
      </c>
    </row>
    <row r="1205" spans="1:7" ht="15.75" customHeight="1" x14ac:dyDescent="0.2">
      <c r="A1205" s="500" t="s">
        <v>1829</v>
      </c>
      <c r="B1205" s="501" t="s">
        <v>1830</v>
      </c>
      <c r="C1205" s="501">
        <v>750</v>
      </c>
      <c r="D1205" s="502">
        <v>8500</v>
      </c>
      <c r="E1205" s="502">
        <v>10000</v>
      </c>
      <c r="F1205" s="502">
        <v>10000</v>
      </c>
      <c r="G1205" s="501">
        <v>0</v>
      </c>
    </row>
    <row r="1206" spans="1:7" ht="15.75" customHeight="1" x14ac:dyDescent="0.2">
      <c r="A1206" s="500" t="s">
        <v>1831</v>
      </c>
      <c r="B1206" s="501" t="s">
        <v>1832</v>
      </c>
      <c r="C1206" s="502">
        <v>2500</v>
      </c>
      <c r="D1206" s="502">
        <v>11000</v>
      </c>
      <c r="E1206" s="502">
        <v>12750</v>
      </c>
      <c r="F1206" s="502">
        <v>12750</v>
      </c>
      <c r="G1206" s="501">
        <v>0</v>
      </c>
    </row>
    <row r="1207" spans="1:7" ht="15.75" customHeight="1" x14ac:dyDescent="0.2">
      <c r="A1207" s="500" t="s">
        <v>1833</v>
      </c>
      <c r="B1207" s="501" t="s">
        <v>1834</v>
      </c>
      <c r="C1207" s="502">
        <v>10941.95</v>
      </c>
      <c r="D1207" s="502">
        <v>22000</v>
      </c>
      <c r="E1207" s="502">
        <v>25000</v>
      </c>
      <c r="F1207" s="502">
        <v>25000</v>
      </c>
      <c r="G1207" s="501">
        <v>0</v>
      </c>
    </row>
    <row r="1208" spans="1:7" ht="15.75" customHeight="1" x14ac:dyDescent="0.2">
      <c r="A1208" s="500" t="s">
        <v>1835</v>
      </c>
      <c r="B1208" s="501" t="s">
        <v>1836</v>
      </c>
      <c r="C1208" s="502">
        <v>119600</v>
      </c>
      <c r="D1208" s="502">
        <v>334600</v>
      </c>
      <c r="E1208" s="502">
        <v>135000</v>
      </c>
      <c r="F1208" s="502">
        <v>135000</v>
      </c>
      <c r="G1208" s="501">
        <v>0</v>
      </c>
    </row>
    <row r="1209" spans="1:7" ht="15.75" customHeight="1" x14ac:dyDescent="0.2">
      <c r="A1209" s="500" t="s">
        <v>1837</v>
      </c>
      <c r="B1209" s="501" t="s">
        <v>1838</v>
      </c>
      <c r="C1209" s="501">
        <v>0</v>
      </c>
      <c r="D1209" s="502">
        <v>42025</v>
      </c>
      <c r="E1209" s="501">
        <v>0</v>
      </c>
      <c r="F1209" s="501">
        <v>0</v>
      </c>
      <c r="G1209" s="501">
        <v>0</v>
      </c>
    </row>
    <row r="1210" spans="1:7" ht="15.75" customHeight="1" x14ac:dyDescent="0.2">
      <c r="A1210" s="500" t="s">
        <v>1839</v>
      </c>
      <c r="B1210" s="501" t="s">
        <v>1840</v>
      </c>
      <c r="C1210" s="501">
        <v>0</v>
      </c>
      <c r="D1210" s="502">
        <v>7500</v>
      </c>
      <c r="E1210" s="501">
        <v>0</v>
      </c>
      <c r="F1210" s="501">
        <v>0</v>
      </c>
      <c r="G1210" s="501">
        <v>0</v>
      </c>
    </row>
    <row r="1211" spans="1:7" ht="15.75" customHeight="1" x14ac:dyDescent="0.2">
      <c r="A1211" s="500" t="s">
        <v>1841</v>
      </c>
      <c r="B1211" s="501" t="s">
        <v>1842</v>
      </c>
      <c r="C1211" s="501">
        <v>0</v>
      </c>
      <c r="D1211" s="502">
        <v>260800</v>
      </c>
      <c r="E1211" s="502">
        <v>260800</v>
      </c>
      <c r="F1211" s="502">
        <v>260800</v>
      </c>
      <c r="G1211" s="501">
        <v>0</v>
      </c>
    </row>
    <row r="1212" spans="1:7" ht="15.75" customHeight="1" x14ac:dyDescent="0.2">
      <c r="A1212" s="500" t="s">
        <v>1843</v>
      </c>
      <c r="B1212" s="501" t="s">
        <v>1844</v>
      </c>
      <c r="C1212" s="501">
        <v>0</v>
      </c>
      <c r="D1212" s="502">
        <v>30000</v>
      </c>
      <c r="E1212" s="501">
        <v>0</v>
      </c>
      <c r="F1212" s="501">
        <v>0</v>
      </c>
      <c r="G1212" s="501">
        <v>0</v>
      </c>
    </row>
    <row r="1213" spans="1:7" ht="15.75" customHeight="1" x14ac:dyDescent="0.2">
      <c r="A1213" s="500" t="s">
        <v>1883</v>
      </c>
      <c r="B1213" s="501" t="s">
        <v>1884</v>
      </c>
      <c r="C1213" s="502">
        <v>-21541.79</v>
      </c>
      <c r="D1213" s="502">
        <v>-99300</v>
      </c>
      <c r="E1213" s="502">
        <v>-49369</v>
      </c>
      <c r="F1213" s="502">
        <v>-49369</v>
      </c>
      <c r="G1213" s="501">
        <v>0</v>
      </c>
    </row>
    <row r="1214" spans="1:7" ht="15.75" customHeight="1" x14ac:dyDescent="0.2">
      <c r="A1214" s="500" t="s">
        <v>1885</v>
      </c>
      <c r="B1214" s="501" t="s">
        <v>1886</v>
      </c>
      <c r="C1214" s="502">
        <v>-9402.14</v>
      </c>
      <c r="D1214" s="502">
        <v>-21300</v>
      </c>
      <c r="E1214" s="502">
        <v>-18252</v>
      </c>
      <c r="F1214" s="502">
        <v>-18252</v>
      </c>
      <c r="G1214" s="501">
        <v>0</v>
      </c>
    </row>
    <row r="1215" spans="1:7" ht="15.75" customHeight="1" x14ac:dyDescent="0.2">
      <c r="A1215" s="500" t="s">
        <v>1887</v>
      </c>
      <c r="B1215" s="501" t="s">
        <v>1888</v>
      </c>
      <c r="C1215" s="502">
        <v>-6569.82</v>
      </c>
      <c r="D1215" s="502">
        <v>-4800</v>
      </c>
      <c r="E1215" s="502">
        <v>-7806</v>
      </c>
      <c r="F1215" s="502">
        <v>-7806</v>
      </c>
      <c r="G1215" s="501">
        <v>0</v>
      </c>
    </row>
    <row r="1216" spans="1:7" ht="15.75" customHeight="1" x14ac:dyDescent="0.2">
      <c r="A1216" s="500" t="s">
        <v>1889</v>
      </c>
      <c r="B1216" s="501" t="s">
        <v>1890</v>
      </c>
      <c r="C1216" s="501">
        <v>0</v>
      </c>
      <c r="D1216" s="502">
        <v>-88300</v>
      </c>
      <c r="E1216" s="502">
        <v>-120448</v>
      </c>
      <c r="F1216" s="502">
        <v>-120448</v>
      </c>
      <c r="G1216" s="501">
        <v>0</v>
      </c>
    </row>
    <row r="1217" spans="1:7" ht="15.75" customHeight="1" x14ac:dyDescent="0.2">
      <c r="A1217" s="500" t="s">
        <v>1891</v>
      </c>
      <c r="B1217" s="501" t="s">
        <v>1892</v>
      </c>
      <c r="C1217" s="501">
        <v>0</v>
      </c>
      <c r="D1217" s="502">
        <v>-21300</v>
      </c>
      <c r="E1217" s="502">
        <v>-18252</v>
      </c>
      <c r="F1217" s="502">
        <v>-18252</v>
      </c>
      <c r="G1217" s="501">
        <v>0</v>
      </c>
    </row>
    <row r="1218" spans="1:7" ht="15.75" customHeight="1" x14ac:dyDescent="0.2">
      <c r="A1218" s="500" t="s">
        <v>1893</v>
      </c>
      <c r="B1218" s="501" t="s">
        <v>1894</v>
      </c>
      <c r="C1218" s="501">
        <v>0</v>
      </c>
      <c r="D1218" s="502">
        <v>-3600</v>
      </c>
      <c r="E1218" s="502">
        <v>-7806</v>
      </c>
      <c r="F1218" s="502">
        <v>-7806</v>
      </c>
      <c r="G1218" s="501">
        <v>0</v>
      </c>
    </row>
    <row r="1219" spans="1:7" ht="15.75" customHeight="1" x14ac:dyDescent="0.2">
      <c r="A1219" s="500" t="s">
        <v>1895</v>
      </c>
      <c r="B1219" s="501" t="s">
        <v>1896</v>
      </c>
      <c r="C1219" s="502">
        <v>-41742.35</v>
      </c>
      <c r="D1219" s="502">
        <v>-59200</v>
      </c>
      <c r="E1219" s="502">
        <v>-99476</v>
      </c>
      <c r="F1219" s="502">
        <v>-99476</v>
      </c>
      <c r="G1219" s="501">
        <v>0</v>
      </c>
    </row>
    <row r="1220" spans="1:7" ht="15.75" customHeight="1" x14ac:dyDescent="0.2">
      <c r="A1220" s="500" t="s">
        <v>1930</v>
      </c>
      <c r="B1220" s="501" t="s">
        <v>1931</v>
      </c>
      <c r="C1220" s="502">
        <v>-6435.18</v>
      </c>
      <c r="D1220" s="502">
        <v>-52800</v>
      </c>
      <c r="E1220" s="502">
        <v>-40437</v>
      </c>
      <c r="F1220" s="502">
        <v>-40437</v>
      </c>
      <c r="G1220" s="501">
        <v>0</v>
      </c>
    </row>
    <row r="1221" spans="1:7" ht="15.75" customHeight="1" x14ac:dyDescent="0.2">
      <c r="A1221" s="500" t="s">
        <v>1957</v>
      </c>
      <c r="B1221" s="501" t="s">
        <v>1958</v>
      </c>
      <c r="C1221" s="502">
        <v>-26869.65</v>
      </c>
      <c r="D1221" s="502">
        <v>-30100</v>
      </c>
      <c r="E1221" s="502">
        <v>-26879</v>
      </c>
      <c r="F1221" s="502">
        <v>-26879</v>
      </c>
      <c r="G1221" s="501">
        <v>0</v>
      </c>
    </row>
    <row r="1222" spans="1:7" ht="15.75" customHeight="1" x14ac:dyDescent="0.2">
      <c r="A1222" s="500" t="s">
        <v>1959</v>
      </c>
      <c r="B1222" s="501" t="s">
        <v>1960</v>
      </c>
      <c r="C1222" s="501">
        <v>0</v>
      </c>
      <c r="D1222" s="502">
        <v>-3000</v>
      </c>
      <c r="E1222" s="501">
        <v>0</v>
      </c>
      <c r="F1222" s="501">
        <v>0</v>
      </c>
      <c r="G1222" s="501">
        <v>0</v>
      </c>
    </row>
    <row r="1223" spans="1:7" ht="15.75" customHeight="1" x14ac:dyDescent="0.2">
      <c r="A1223" s="500" t="s">
        <v>1932</v>
      </c>
      <c r="B1223" s="501" t="s">
        <v>1933</v>
      </c>
      <c r="C1223" s="502">
        <v>-3000</v>
      </c>
      <c r="D1223" s="502">
        <v>-4000</v>
      </c>
      <c r="E1223" s="502">
        <v>-7588</v>
      </c>
      <c r="F1223" s="502">
        <v>-7588</v>
      </c>
      <c r="G1223" s="501">
        <v>0</v>
      </c>
    </row>
    <row r="1224" spans="1:7" ht="15.75" customHeight="1" x14ac:dyDescent="0.2">
      <c r="A1224" s="500" t="s">
        <v>1934</v>
      </c>
      <c r="B1224" s="501" t="s">
        <v>1935</v>
      </c>
      <c r="C1224" s="502">
        <v>-1190.9100000000001</v>
      </c>
      <c r="D1224" s="502">
        <v>-4100</v>
      </c>
      <c r="E1224" s="502">
        <v>-4320</v>
      </c>
      <c r="F1224" s="502">
        <v>-4320</v>
      </c>
      <c r="G1224" s="501">
        <v>0</v>
      </c>
    </row>
    <row r="1225" spans="1:7" ht="15.75" customHeight="1" x14ac:dyDescent="0.2">
      <c r="A1225" s="500" t="s">
        <v>1936</v>
      </c>
      <c r="B1225" s="501" t="s">
        <v>1937</v>
      </c>
      <c r="C1225" s="502">
        <v>-1500</v>
      </c>
      <c r="D1225" s="502">
        <v>-2500</v>
      </c>
      <c r="E1225" s="502">
        <v>-4080</v>
      </c>
      <c r="F1225" s="502">
        <v>-4080</v>
      </c>
      <c r="G1225" s="501">
        <v>0</v>
      </c>
    </row>
    <row r="1226" spans="1:7" ht="15.75" customHeight="1" x14ac:dyDescent="0.2">
      <c r="A1226" s="500" t="s">
        <v>2237</v>
      </c>
      <c r="B1226" s="501" t="s">
        <v>2238</v>
      </c>
      <c r="C1226" s="501">
        <v>0</v>
      </c>
      <c r="D1226" s="502">
        <v>-32300</v>
      </c>
      <c r="E1226" s="501">
        <v>0</v>
      </c>
      <c r="F1226" s="501">
        <v>0</v>
      </c>
      <c r="G1226" s="501">
        <v>0</v>
      </c>
    </row>
    <row r="1227" spans="1:7" ht="15.75" customHeight="1" x14ac:dyDescent="0.2">
      <c r="A1227" s="500" t="s">
        <v>1939</v>
      </c>
      <c r="B1227" s="501" t="s">
        <v>512</v>
      </c>
      <c r="C1227" s="502">
        <v>-2689.83</v>
      </c>
      <c r="D1227" s="501">
        <v>0</v>
      </c>
      <c r="E1227" s="501">
        <v>0</v>
      </c>
      <c r="F1227" s="501">
        <v>0</v>
      </c>
      <c r="G1227" s="501">
        <v>0</v>
      </c>
    </row>
    <row r="1228" spans="1:7" ht="15.75" customHeight="1" x14ac:dyDescent="0.2">
      <c r="A1228" s="500" t="s">
        <v>1940</v>
      </c>
      <c r="B1228" s="501" t="s">
        <v>1941</v>
      </c>
      <c r="C1228" s="502">
        <v>-1295</v>
      </c>
      <c r="D1228" s="501">
        <v>-400</v>
      </c>
      <c r="E1228" s="502">
        <v>-1000</v>
      </c>
      <c r="F1228" s="502">
        <v>-1000</v>
      </c>
      <c r="G1228" s="501">
        <v>0</v>
      </c>
    </row>
    <row r="1229" spans="1:7" ht="15.75" customHeight="1" x14ac:dyDescent="0.2">
      <c r="A1229" s="500" t="s">
        <v>1942</v>
      </c>
      <c r="B1229" s="501" t="s">
        <v>1943</v>
      </c>
      <c r="C1229" s="502">
        <v>-3784.71</v>
      </c>
      <c r="D1229" s="502">
        <v>-8000</v>
      </c>
      <c r="E1229" s="502">
        <v>-4200</v>
      </c>
      <c r="F1229" s="502">
        <v>-4200</v>
      </c>
      <c r="G1229" s="501">
        <v>0</v>
      </c>
    </row>
    <row r="1230" spans="1:7" ht="15.75" customHeight="1" x14ac:dyDescent="0.2">
      <c r="A1230" s="500" t="s">
        <v>1944</v>
      </c>
      <c r="B1230" s="501" t="s">
        <v>1945</v>
      </c>
      <c r="C1230" s="501">
        <v>0</v>
      </c>
      <c r="D1230" s="501">
        <v>0</v>
      </c>
      <c r="E1230" s="501">
        <v>0</v>
      </c>
      <c r="F1230" s="501">
        <v>0</v>
      </c>
      <c r="G1230" s="501">
        <v>0</v>
      </c>
    </row>
    <row r="1231" spans="1:7" ht="15.75" customHeight="1" x14ac:dyDescent="0.2">
      <c r="A1231" s="500" t="s">
        <v>1946</v>
      </c>
      <c r="B1231" s="501" t="s">
        <v>1761</v>
      </c>
      <c r="C1231" s="502">
        <v>-2080.75</v>
      </c>
      <c r="D1231" s="501">
        <v>0</v>
      </c>
      <c r="E1231" s="501">
        <v>0</v>
      </c>
      <c r="F1231" s="501">
        <v>0</v>
      </c>
      <c r="G1231" s="501">
        <v>0</v>
      </c>
    </row>
    <row r="1232" spans="1:7" ht="15.75" customHeight="1" x14ac:dyDescent="0.2">
      <c r="A1232" s="500" t="s">
        <v>1897</v>
      </c>
      <c r="B1232" s="501" t="s">
        <v>1898</v>
      </c>
      <c r="C1232" s="501">
        <v>0</v>
      </c>
      <c r="D1232" s="502">
        <v>-1203049</v>
      </c>
      <c r="E1232" s="502">
        <v>-1070807</v>
      </c>
      <c r="F1232" s="502">
        <v>-1070807</v>
      </c>
      <c r="G1232" s="501">
        <v>0</v>
      </c>
    </row>
    <row r="1233" spans="1:7" ht="15.75" customHeight="1" x14ac:dyDescent="0.2">
      <c r="A1233" s="500" t="s">
        <v>1899</v>
      </c>
      <c r="B1233" s="501" t="s">
        <v>1900</v>
      </c>
      <c r="C1233" s="501">
        <v>0</v>
      </c>
      <c r="D1233" s="501">
        <v>0</v>
      </c>
      <c r="E1233" s="501">
        <v>0</v>
      </c>
      <c r="F1233" s="501">
        <v>0</v>
      </c>
      <c r="G1233" s="501">
        <v>0</v>
      </c>
    </row>
    <row r="1234" spans="1:7" ht="15.75" customHeight="1" x14ac:dyDescent="0.2">
      <c r="A1234" s="500" t="s">
        <v>1901</v>
      </c>
      <c r="B1234" s="501" t="s">
        <v>1902</v>
      </c>
      <c r="C1234" s="502">
        <v>-12234.17</v>
      </c>
      <c r="D1234" s="502">
        <v>-15000</v>
      </c>
      <c r="E1234" s="501">
        <v>0</v>
      </c>
      <c r="F1234" s="501">
        <v>0</v>
      </c>
      <c r="G1234" s="501">
        <v>0</v>
      </c>
    </row>
    <row r="1235" spans="1:7" ht="15.75" customHeight="1" x14ac:dyDescent="0.2">
      <c r="A1235" s="500" t="s">
        <v>1903</v>
      </c>
      <c r="B1235" s="501" t="s">
        <v>1904</v>
      </c>
      <c r="C1235" s="502">
        <v>-52710.75</v>
      </c>
      <c r="D1235" s="502">
        <v>-68000</v>
      </c>
      <c r="E1235" s="501">
        <v>0</v>
      </c>
      <c r="F1235" s="501">
        <v>0</v>
      </c>
      <c r="G1235" s="501">
        <v>0</v>
      </c>
    </row>
    <row r="1236" spans="1:7" ht="15.75" customHeight="1" x14ac:dyDescent="0.2">
      <c r="A1236" s="500" t="s">
        <v>1905</v>
      </c>
      <c r="B1236" s="501" t="s">
        <v>1906</v>
      </c>
      <c r="C1236" s="501">
        <v>-5.5</v>
      </c>
      <c r="D1236" s="501">
        <v>0</v>
      </c>
      <c r="E1236" s="501">
        <v>0</v>
      </c>
      <c r="F1236" s="501">
        <v>0</v>
      </c>
      <c r="G1236" s="501">
        <v>0</v>
      </c>
    </row>
    <row r="1237" spans="1:7" ht="15.75" customHeight="1" x14ac:dyDescent="0.2">
      <c r="A1237" s="500" t="s">
        <v>1907</v>
      </c>
      <c r="B1237" s="501" t="s">
        <v>1908</v>
      </c>
      <c r="C1237" s="501">
        <v>-278.43</v>
      </c>
      <c r="D1237" s="501">
        <v>0</v>
      </c>
      <c r="E1237" s="501">
        <v>0</v>
      </c>
      <c r="F1237" s="501">
        <v>0</v>
      </c>
      <c r="G1237" s="501">
        <v>0</v>
      </c>
    </row>
    <row r="1238" spans="1:7" ht="15.75" customHeight="1" x14ac:dyDescent="0.2">
      <c r="A1238" s="500" t="s">
        <v>2239</v>
      </c>
      <c r="B1238" s="501" t="s">
        <v>1766</v>
      </c>
      <c r="C1238" s="501">
        <v>0</v>
      </c>
      <c r="D1238" s="502">
        <v>-17451</v>
      </c>
      <c r="E1238" s="501">
        <v>0</v>
      </c>
      <c r="F1238" s="501">
        <v>0</v>
      </c>
      <c r="G1238" s="501">
        <v>0</v>
      </c>
    </row>
    <row r="1239" spans="1:7" ht="15.75" customHeight="1" x14ac:dyDescent="0.2">
      <c r="A1239" s="500" t="s">
        <v>1858</v>
      </c>
      <c r="B1239" s="501" t="s">
        <v>68</v>
      </c>
      <c r="C1239" s="502">
        <v>238478.35</v>
      </c>
      <c r="D1239" s="502">
        <v>327882</v>
      </c>
      <c r="E1239" s="502">
        <v>335700</v>
      </c>
      <c r="F1239" s="502">
        <v>335700</v>
      </c>
      <c r="G1239" s="501">
        <v>0</v>
      </c>
    </row>
    <row r="1240" spans="1:7" ht="15.75" customHeight="1" x14ac:dyDescent="0.2">
      <c r="A1240" s="500" t="s">
        <v>1859</v>
      </c>
      <c r="B1240" s="501" t="s">
        <v>70</v>
      </c>
      <c r="C1240" s="501">
        <v>203.49</v>
      </c>
      <c r="D1240" s="501">
        <v>500</v>
      </c>
      <c r="E1240" s="501">
        <v>500</v>
      </c>
      <c r="F1240" s="501">
        <v>500</v>
      </c>
      <c r="G1240" s="501">
        <v>0</v>
      </c>
    </row>
    <row r="1241" spans="1:7" ht="15.75" customHeight="1" x14ac:dyDescent="0.2">
      <c r="A1241" s="500" t="s">
        <v>1860</v>
      </c>
      <c r="B1241" s="501" t="s">
        <v>132</v>
      </c>
      <c r="C1241" s="502">
        <v>41076.42</v>
      </c>
      <c r="D1241" s="502">
        <v>51964.5</v>
      </c>
      <c r="E1241" s="502">
        <v>68600</v>
      </c>
      <c r="F1241" s="502">
        <v>68600</v>
      </c>
      <c r="G1241" s="501">
        <v>0</v>
      </c>
    </row>
    <row r="1242" spans="1:7" ht="15.75" customHeight="1" x14ac:dyDescent="0.2">
      <c r="A1242" s="500" t="s">
        <v>1861</v>
      </c>
      <c r="B1242" s="501" t="s">
        <v>72</v>
      </c>
      <c r="C1242" s="502">
        <v>140978.85999999999</v>
      </c>
      <c r="D1242" s="502">
        <v>261893.5</v>
      </c>
      <c r="E1242" s="502">
        <v>198300</v>
      </c>
      <c r="F1242" s="502">
        <v>198300</v>
      </c>
      <c r="G1242" s="501">
        <v>0</v>
      </c>
    </row>
    <row r="1243" spans="1:7" ht="15.75" customHeight="1" x14ac:dyDescent="0.2">
      <c r="A1243" s="500" t="s">
        <v>1862</v>
      </c>
      <c r="B1243" s="501" t="s">
        <v>74</v>
      </c>
      <c r="C1243" s="501">
        <v>162.87</v>
      </c>
      <c r="D1243" s="501">
        <v>300</v>
      </c>
      <c r="E1243" s="501">
        <v>300</v>
      </c>
      <c r="F1243" s="501">
        <v>300</v>
      </c>
      <c r="G1243" s="501">
        <v>0</v>
      </c>
    </row>
    <row r="1244" spans="1:7" ht="15.75" customHeight="1" x14ac:dyDescent="0.2">
      <c r="A1244" s="500" t="s">
        <v>1863</v>
      </c>
      <c r="B1244" s="501" t="s">
        <v>76</v>
      </c>
      <c r="C1244" s="501">
        <v>499.81</v>
      </c>
      <c r="D1244" s="501">
        <v>500</v>
      </c>
      <c r="E1244" s="501">
        <v>500</v>
      </c>
      <c r="F1244" s="501">
        <v>500</v>
      </c>
      <c r="G1244" s="501">
        <v>0</v>
      </c>
    </row>
    <row r="1245" spans="1:7" ht="15.75" customHeight="1" x14ac:dyDescent="0.2">
      <c r="A1245" s="500" t="s">
        <v>1864</v>
      </c>
      <c r="B1245" s="501" t="s">
        <v>80</v>
      </c>
      <c r="C1245" s="502">
        <v>2525.66</v>
      </c>
      <c r="D1245" s="502">
        <v>7000</v>
      </c>
      <c r="E1245" s="502">
        <v>7000</v>
      </c>
      <c r="F1245" s="502">
        <v>7000</v>
      </c>
      <c r="G1245" s="501">
        <v>0</v>
      </c>
    </row>
    <row r="1246" spans="1:7" ht="15.75" customHeight="1" x14ac:dyDescent="0.2">
      <c r="A1246" s="500" t="s">
        <v>1865</v>
      </c>
      <c r="B1246" s="501" t="s">
        <v>1866</v>
      </c>
      <c r="C1246" s="502">
        <v>10073.49</v>
      </c>
      <c r="D1246" s="502">
        <v>16000</v>
      </c>
      <c r="E1246" s="502">
        <v>17000</v>
      </c>
      <c r="F1246" s="502">
        <v>17000</v>
      </c>
      <c r="G1246" s="501">
        <v>0</v>
      </c>
    </row>
    <row r="1247" spans="1:7" ht="15.75" customHeight="1" x14ac:dyDescent="0.2">
      <c r="A1247" s="500" t="s">
        <v>1867</v>
      </c>
      <c r="B1247" s="501" t="s">
        <v>115</v>
      </c>
      <c r="C1247" s="501">
        <v>0</v>
      </c>
      <c r="D1247" s="501">
        <v>0</v>
      </c>
      <c r="E1247" s="501">
        <v>0</v>
      </c>
      <c r="F1247" s="501">
        <v>0</v>
      </c>
      <c r="G1247" s="501">
        <v>0</v>
      </c>
    </row>
    <row r="1248" spans="1:7" ht="15.75" customHeight="1" x14ac:dyDescent="0.2">
      <c r="A1248" s="500" t="s">
        <v>1868</v>
      </c>
      <c r="B1248" s="501" t="s">
        <v>1869</v>
      </c>
      <c r="C1248" s="502">
        <v>21323.26</v>
      </c>
      <c r="D1248" s="502">
        <v>26000</v>
      </c>
      <c r="E1248" s="502">
        <v>30700</v>
      </c>
      <c r="F1248" s="502">
        <v>30700</v>
      </c>
      <c r="G1248" s="501">
        <v>0</v>
      </c>
    </row>
    <row r="1249" spans="1:7" ht="15.75" customHeight="1" x14ac:dyDescent="0.2">
      <c r="A1249" s="500" t="s">
        <v>1870</v>
      </c>
      <c r="B1249" s="501" t="s">
        <v>1871</v>
      </c>
      <c r="C1249" s="502">
        <v>5032</v>
      </c>
      <c r="D1249" s="502">
        <v>9000</v>
      </c>
      <c r="E1249" s="502">
        <v>10000</v>
      </c>
      <c r="F1249" s="502">
        <v>10000</v>
      </c>
      <c r="G1249" s="501">
        <v>0</v>
      </c>
    </row>
    <row r="1250" spans="1:7" ht="15.75" customHeight="1" x14ac:dyDescent="0.2">
      <c r="A1250" s="500" t="s">
        <v>1872</v>
      </c>
      <c r="B1250" s="501" t="s">
        <v>1873</v>
      </c>
      <c r="C1250" s="502">
        <v>14634.58</v>
      </c>
      <c r="D1250" s="502">
        <v>19000</v>
      </c>
      <c r="E1250" s="502">
        <v>16000</v>
      </c>
      <c r="F1250" s="502">
        <v>16000</v>
      </c>
      <c r="G1250" s="501">
        <v>0</v>
      </c>
    </row>
    <row r="1251" spans="1:7" ht="15.75" customHeight="1" x14ac:dyDescent="0.2">
      <c r="A1251" s="500" t="s">
        <v>1874</v>
      </c>
      <c r="B1251" s="501" t="s">
        <v>277</v>
      </c>
      <c r="C1251" s="502">
        <v>9657.91</v>
      </c>
      <c r="D1251" s="502">
        <v>16000</v>
      </c>
      <c r="E1251" s="502">
        <v>16000</v>
      </c>
      <c r="F1251" s="502">
        <v>16000</v>
      </c>
      <c r="G1251" s="501">
        <v>0</v>
      </c>
    </row>
    <row r="1252" spans="1:7" ht="15.75" customHeight="1" x14ac:dyDescent="0.2">
      <c r="A1252" s="500" t="s">
        <v>1875</v>
      </c>
      <c r="B1252" s="501" t="s">
        <v>84</v>
      </c>
      <c r="C1252" s="502">
        <v>2263.42</v>
      </c>
      <c r="D1252" s="502">
        <v>3000</v>
      </c>
      <c r="E1252" s="502">
        <v>3000</v>
      </c>
      <c r="F1252" s="502">
        <v>3000</v>
      </c>
      <c r="G1252" s="501">
        <v>0</v>
      </c>
    </row>
    <row r="1253" spans="1:7" ht="15.75" customHeight="1" x14ac:dyDescent="0.2">
      <c r="A1253" s="500" t="s">
        <v>1876</v>
      </c>
      <c r="B1253" s="501" t="s">
        <v>608</v>
      </c>
      <c r="C1253" s="502">
        <v>11300.44</v>
      </c>
      <c r="D1253" s="502">
        <v>15500</v>
      </c>
      <c r="E1253" s="502">
        <v>15500</v>
      </c>
      <c r="F1253" s="502">
        <v>15500</v>
      </c>
      <c r="G1253" s="501">
        <v>0</v>
      </c>
    </row>
    <row r="1254" spans="1:7" ht="15.75" customHeight="1" x14ac:dyDescent="0.2">
      <c r="A1254" s="500" t="s">
        <v>1877</v>
      </c>
      <c r="B1254" s="501" t="s">
        <v>1878</v>
      </c>
      <c r="C1254" s="502">
        <v>42598.78</v>
      </c>
      <c r="D1254" s="502">
        <v>63000</v>
      </c>
      <c r="E1254" s="502">
        <v>63000</v>
      </c>
      <c r="F1254" s="502">
        <v>63000</v>
      </c>
      <c r="G1254" s="501">
        <v>0</v>
      </c>
    </row>
    <row r="1255" spans="1:7" ht="15.75" customHeight="1" x14ac:dyDescent="0.2">
      <c r="A1255" s="500" t="s">
        <v>1879</v>
      </c>
      <c r="B1255" s="501" t="s">
        <v>1880</v>
      </c>
      <c r="C1255" s="502">
        <v>51994.02</v>
      </c>
      <c r="D1255" s="502">
        <v>68000</v>
      </c>
      <c r="E1255" s="502">
        <v>68000</v>
      </c>
      <c r="F1255" s="502">
        <v>68000</v>
      </c>
      <c r="G1255" s="501">
        <v>0</v>
      </c>
    </row>
    <row r="1256" spans="1:7" ht="15.75" customHeight="1" x14ac:dyDescent="0.2">
      <c r="A1256" s="500" t="s">
        <v>1881</v>
      </c>
      <c r="B1256" s="501" t="s">
        <v>92</v>
      </c>
      <c r="C1256" s="502">
        <v>11387.53</v>
      </c>
      <c r="D1256" s="502">
        <v>5000</v>
      </c>
      <c r="E1256" s="502">
        <v>6000</v>
      </c>
      <c r="F1256" s="502">
        <v>6000</v>
      </c>
      <c r="G1256" s="501">
        <v>0</v>
      </c>
    </row>
    <row r="1257" spans="1:7" ht="15.75" customHeight="1" x14ac:dyDescent="0.2">
      <c r="A1257" s="500" t="s">
        <v>1909</v>
      </c>
      <c r="B1257" s="501" t="s">
        <v>68</v>
      </c>
      <c r="C1257" s="502">
        <v>129185.99</v>
      </c>
      <c r="D1257" s="502">
        <v>170950.5</v>
      </c>
      <c r="E1257" s="502">
        <v>180500</v>
      </c>
      <c r="F1257" s="502">
        <v>180500</v>
      </c>
      <c r="G1257" s="501">
        <v>0</v>
      </c>
    </row>
    <row r="1258" spans="1:7" ht="15.75" customHeight="1" x14ac:dyDescent="0.2">
      <c r="A1258" s="500" t="s">
        <v>1910</v>
      </c>
      <c r="B1258" s="501" t="s">
        <v>70</v>
      </c>
      <c r="C1258" s="501">
        <v>72.55</v>
      </c>
      <c r="D1258" s="501">
        <v>500</v>
      </c>
      <c r="E1258" s="501">
        <v>500</v>
      </c>
      <c r="F1258" s="501">
        <v>500</v>
      </c>
      <c r="G1258" s="501">
        <v>0</v>
      </c>
    </row>
    <row r="1259" spans="1:7" ht="15.75" customHeight="1" x14ac:dyDescent="0.2">
      <c r="A1259" s="500" t="s">
        <v>1911</v>
      </c>
      <c r="B1259" s="501" t="s">
        <v>132</v>
      </c>
      <c r="C1259" s="502">
        <v>22459.86</v>
      </c>
      <c r="D1259" s="502">
        <v>36323</v>
      </c>
      <c r="E1259" s="502">
        <v>35900</v>
      </c>
      <c r="F1259" s="502">
        <v>35900</v>
      </c>
      <c r="G1259" s="501">
        <v>0</v>
      </c>
    </row>
    <row r="1260" spans="1:7" ht="15.75" customHeight="1" x14ac:dyDescent="0.2">
      <c r="A1260" s="500" t="s">
        <v>1912</v>
      </c>
      <c r="B1260" s="501" t="s">
        <v>72</v>
      </c>
      <c r="C1260" s="502">
        <v>63080.45</v>
      </c>
      <c r="D1260" s="502">
        <v>175731</v>
      </c>
      <c r="E1260" s="502">
        <v>89400</v>
      </c>
      <c r="F1260" s="502">
        <v>89400</v>
      </c>
      <c r="G1260" s="501">
        <v>0</v>
      </c>
    </row>
    <row r="1261" spans="1:7" ht="15.75" customHeight="1" x14ac:dyDescent="0.2">
      <c r="A1261" s="500" t="s">
        <v>1913</v>
      </c>
      <c r="B1261" s="501" t="s">
        <v>74</v>
      </c>
      <c r="C1261" s="501">
        <v>154.87</v>
      </c>
      <c r="D1261" s="501">
        <v>400</v>
      </c>
      <c r="E1261" s="502">
        <v>1220</v>
      </c>
      <c r="F1261" s="502">
        <v>1220</v>
      </c>
      <c r="G1261" s="501">
        <v>0</v>
      </c>
    </row>
    <row r="1262" spans="1:7" ht="15.75" customHeight="1" x14ac:dyDescent="0.2">
      <c r="A1262" s="500" t="s">
        <v>1914</v>
      </c>
      <c r="B1262" s="501" t="s">
        <v>76</v>
      </c>
      <c r="C1262" s="501">
        <v>114.8</v>
      </c>
      <c r="D1262" s="501">
        <v>500</v>
      </c>
      <c r="E1262" s="501">
        <v>500</v>
      </c>
      <c r="F1262" s="501">
        <v>500</v>
      </c>
      <c r="G1262" s="501">
        <v>0</v>
      </c>
    </row>
    <row r="1263" spans="1:7" ht="15.75" customHeight="1" x14ac:dyDescent="0.2">
      <c r="A1263" s="500" t="s">
        <v>1915</v>
      </c>
      <c r="B1263" s="501" t="s">
        <v>80</v>
      </c>
      <c r="C1263" s="502">
        <v>3069.26</v>
      </c>
      <c r="D1263" s="502">
        <v>6500</v>
      </c>
      <c r="E1263" s="502">
        <v>6500</v>
      </c>
      <c r="F1263" s="502">
        <v>6500</v>
      </c>
      <c r="G1263" s="501">
        <v>0</v>
      </c>
    </row>
    <row r="1264" spans="1:7" ht="15.75" customHeight="1" x14ac:dyDescent="0.2">
      <c r="A1264" s="500" t="s">
        <v>1916</v>
      </c>
      <c r="B1264" s="501" t="s">
        <v>1866</v>
      </c>
      <c r="C1264" s="502">
        <v>5349.53</v>
      </c>
      <c r="D1264" s="502">
        <v>10000</v>
      </c>
      <c r="E1264" s="502">
        <v>10000</v>
      </c>
      <c r="F1264" s="502">
        <v>10000</v>
      </c>
      <c r="G1264" s="501">
        <v>0</v>
      </c>
    </row>
    <row r="1265" spans="1:7" ht="15.75" customHeight="1" x14ac:dyDescent="0.2">
      <c r="A1265" s="500" t="s">
        <v>1917</v>
      </c>
      <c r="B1265" s="501" t="s">
        <v>115</v>
      </c>
      <c r="C1265" s="502">
        <v>2823.46</v>
      </c>
      <c r="D1265" s="502">
        <v>4000</v>
      </c>
      <c r="E1265" s="501">
        <v>0</v>
      </c>
      <c r="F1265" s="501">
        <v>0</v>
      </c>
      <c r="G1265" s="501">
        <v>0</v>
      </c>
    </row>
    <row r="1266" spans="1:7" ht="15.75" customHeight="1" x14ac:dyDescent="0.2">
      <c r="A1266" s="500" t="s">
        <v>1918</v>
      </c>
      <c r="B1266" s="501" t="s">
        <v>1919</v>
      </c>
      <c r="C1266" s="502">
        <v>8597.85</v>
      </c>
      <c r="D1266" s="502">
        <v>10000</v>
      </c>
      <c r="E1266" s="502">
        <v>14300</v>
      </c>
      <c r="F1266" s="502">
        <v>14300</v>
      </c>
      <c r="G1266" s="501">
        <v>0</v>
      </c>
    </row>
    <row r="1267" spans="1:7" ht="15.75" customHeight="1" x14ac:dyDescent="0.2">
      <c r="A1267" s="500" t="s">
        <v>1920</v>
      </c>
      <c r="B1267" s="501" t="s">
        <v>277</v>
      </c>
      <c r="C1267" s="502">
        <v>5668.75</v>
      </c>
      <c r="D1267" s="502">
        <v>9000</v>
      </c>
      <c r="E1267" s="502">
        <v>9000</v>
      </c>
      <c r="F1267" s="502">
        <v>9000</v>
      </c>
      <c r="G1267" s="501">
        <v>0</v>
      </c>
    </row>
    <row r="1268" spans="1:7" ht="15.75" customHeight="1" x14ac:dyDescent="0.2">
      <c r="A1268" s="500" t="s">
        <v>1921</v>
      </c>
      <c r="B1268" s="501" t="s">
        <v>84</v>
      </c>
      <c r="C1268" s="502">
        <v>1317.53</v>
      </c>
      <c r="D1268" s="502">
        <v>1600</v>
      </c>
      <c r="E1268" s="502">
        <v>1600</v>
      </c>
      <c r="F1268" s="502">
        <v>1600</v>
      </c>
      <c r="G1268" s="501">
        <v>0</v>
      </c>
    </row>
    <row r="1269" spans="1:7" ht="15.75" customHeight="1" x14ac:dyDescent="0.2">
      <c r="A1269" s="500" t="s">
        <v>1922</v>
      </c>
      <c r="B1269" s="501" t="s">
        <v>86</v>
      </c>
      <c r="C1269" s="502">
        <v>4500</v>
      </c>
      <c r="D1269" s="502">
        <v>60000</v>
      </c>
      <c r="E1269" s="501">
        <v>0</v>
      </c>
      <c r="F1269" s="501">
        <v>0</v>
      </c>
      <c r="G1269" s="501">
        <v>0</v>
      </c>
    </row>
    <row r="1270" spans="1:7" ht="15.75" customHeight="1" x14ac:dyDescent="0.2">
      <c r="A1270" s="500" t="s">
        <v>1923</v>
      </c>
      <c r="B1270" s="501" t="s">
        <v>88</v>
      </c>
      <c r="C1270" s="502">
        <v>2500</v>
      </c>
      <c r="D1270" s="502">
        <v>3300</v>
      </c>
      <c r="E1270" s="502">
        <v>2500</v>
      </c>
      <c r="F1270" s="502">
        <v>2500</v>
      </c>
      <c r="G1270" s="501">
        <v>0</v>
      </c>
    </row>
    <row r="1271" spans="1:7" ht="15.75" customHeight="1" x14ac:dyDescent="0.2">
      <c r="A1271" s="500" t="s">
        <v>1924</v>
      </c>
      <c r="B1271" s="501" t="s">
        <v>252</v>
      </c>
      <c r="C1271" s="502">
        <v>1070.6600000000001</v>
      </c>
      <c r="D1271" s="502">
        <v>2500</v>
      </c>
      <c r="E1271" s="502">
        <v>3000</v>
      </c>
      <c r="F1271" s="502">
        <v>3000</v>
      </c>
      <c r="G1271" s="501">
        <v>0</v>
      </c>
    </row>
    <row r="1272" spans="1:7" ht="15.75" customHeight="1" x14ac:dyDescent="0.2">
      <c r="A1272" s="500" t="s">
        <v>1925</v>
      </c>
      <c r="B1272" s="501" t="s">
        <v>92</v>
      </c>
      <c r="C1272" s="502">
        <v>3274.37</v>
      </c>
      <c r="D1272" s="502">
        <v>3100</v>
      </c>
      <c r="E1272" s="502">
        <v>5100</v>
      </c>
      <c r="F1272" s="502">
        <v>5100</v>
      </c>
      <c r="G1272" s="501">
        <v>0</v>
      </c>
    </row>
    <row r="1273" spans="1:7" ht="15.75" customHeight="1" x14ac:dyDescent="0.2">
      <c r="A1273" s="500" t="s">
        <v>1926</v>
      </c>
      <c r="B1273" s="501" t="s">
        <v>1011</v>
      </c>
      <c r="C1273" s="502">
        <v>1120</v>
      </c>
      <c r="D1273" s="502">
        <v>2100</v>
      </c>
      <c r="E1273" s="502">
        <v>3100</v>
      </c>
      <c r="F1273" s="502">
        <v>3100</v>
      </c>
      <c r="G1273" s="501">
        <v>0</v>
      </c>
    </row>
    <row r="1274" spans="1:7" ht="15.75" customHeight="1" x14ac:dyDescent="0.2">
      <c r="A1274" s="500" t="s">
        <v>1927</v>
      </c>
      <c r="B1274" s="501" t="s">
        <v>1928</v>
      </c>
      <c r="C1274" s="502">
        <v>4332.51</v>
      </c>
      <c r="D1274" s="502">
        <v>6200</v>
      </c>
      <c r="E1274" s="502">
        <v>3000</v>
      </c>
      <c r="F1274" s="502">
        <v>3000</v>
      </c>
      <c r="G1274" s="501">
        <v>0</v>
      </c>
    </row>
    <row r="1275" spans="1:7" ht="15.75" customHeight="1" x14ac:dyDescent="0.2">
      <c r="A1275" s="500" t="s">
        <v>2240</v>
      </c>
      <c r="B1275" s="501" t="s">
        <v>532</v>
      </c>
      <c r="C1275" s="501">
        <v>0</v>
      </c>
      <c r="D1275" s="501">
        <v>0</v>
      </c>
      <c r="E1275" s="501">
        <v>0</v>
      </c>
      <c r="F1275" s="501">
        <v>0</v>
      </c>
      <c r="G1275" s="501">
        <v>0</v>
      </c>
    </row>
    <row r="1276" spans="1:7" ht="15.75" customHeight="1" x14ac:dyDescent="0.2">
      <c r="A1276" s="500" t="s">
        <v>1929</v>
      </c>
      <c r="B1276" s="501" t="s">
        <v>99</v>
      </c>
      <c r="C1276" s="501">
        <v>0</v>
      </c>
      <c r="D1276" s="501">
        <v>0</v>
      </c>
      <c r="E1276" s="501">
        <v>0</v>
      </c>
      <c r="F1276" s="501">
        <v>0</v>
      </c>
      <c r="G1276" s="501">
        <v>0</v>
      </c>
    </row>
    <row r="1277" spans="1:7" ht="15.75" customHeight="1" x14ac:dyDescent="0.2">
      <c r="A1277" s="500" t="s">
        <v>1947</v>
      </c>
      <c r="B1277" s="501" t="s">
        <v>68</v>
      </c>
      <c r="C1277" s="502">
        <v>108253.23</v>
      </c>
      <c r="D1277" s="502">
        <v>157371</v>
      </c>
      <c r="E1277" s="502">
        <v>165600</v>
      </c>
      <c r="F1277" s="502">
        <v>165600</v>
      </c>
      <c r="G1277" s="501">
        <v>0</v>
      </c>
    </row>
    <row r="1278" spans="1:7" ht="15.75" customHeight="1" x14ac:dyDescent="0.2">
      <c r="A1278" s="500" t="s">
        <v>1948</v>
      </c>
      <c r="B1278" s="501" t="s">
        <v>70</v>
      </c>
      <c r="C1278" s="501">
        <v>59.82</v>
      </c>
      <c r="D1278" s="501">
        <v>500</v>
      </c>
      <c r="E1278" s="501">
        <v>500</v>
      </c>
      <c r="F1278" s="501">
        <v>500</v>
      </c>
      <c r="G1278" s="501">
        <v>0</v>
      </c>
    </row>
    <row r="1279" spans="1:7" ht="15.75" customHeight="1" x14ac:dyDescent="0.2">
      <c r="A1279" s="500" t="s">
        <v>1949</v>
      </c>
      <c r="B1279" s="501" t="s">
        <v>72</v>
      </c>
      <c r="C1279" s="502">
        <v>49680.7</v>
      </c>
      <c r="D1279" s="502">
        <v>168084.5</v>
      </c>
      <c r="E1279" s="502">
        <v>75100</v>
      </c>
      <c r="F1279" s="502">
        <v>75100</v>
      </c>
      <c r="G1279" s="501">
        <v>0</v>
      </c>
    </row>
    <row r="1280" spans="1:7" ht="15.75" customHeight="1" x14ac:dyDescent="0.2">
      <c r="A1280" s="500" t="s">
        <v>1950</v>
      </c>
      <c r="B1280" s="501" t="s">
        <v>76</v>
      </c>
      <c r="C1280" s="501">
        <v>0</v>
      </c>
      <c r="D1280" s="501">
        <v>200</v>
      </c>
      <c r="E1280" s="501">
        <v>200</v>
      </c>
      <c r="F1280" s="501">
        <v>200</v>
      </c>
      <c r="G1280" s="501">
        <v>0</v>
      </c>
    </row>
    <row r="1281" spans="1:7" ht="15.75" customHeight="1" x14ac:dyDescent="0.2">
      <c r="A1281" s="500" t="s">
        <v>1951</v>
      </c>
      <c r="B1281" s="501" t="s">
        <v>80</v>
      </c>
      <c r="C1281" s="502">
        <v>1841.92</v>
      </c>
      <c r="D1281" s="502">
        <v>4000</v>
      </c>
      <c r="E1281" s="502">
        <v>4000</v>
      </c>
      <c r="F1281" s="502">
        <v>4000</v>
      </c>
      <c r="G1281" s="501">
        <v>0</v>
      </c>
    </row>
    <row r="1282" spans="1:7" ht="15.75" customHeight="1" x14ac:dyDescent="0.2">
      <c r="A1282" s="500" t="s">
        <v>1952</v>
      </c>
      <c r="B1282" s="501" t="s">
        <v>1866</v>
      </c>
      <c r="C1282" s="501">
        <v>883.94</v>
      </c>
      <c r="D1282" s="502">
        <v>1600</v>
      </c>
      <c r="E1282" s="502">
        <v>1600</v>
      </c>
      <c r="F1282" s="502">
        <v>1600</v>
      </c>
      <c r="G1282" s="501">
        <v>0</v>
      </c>
    </row>
    <row r="1283" spans="1:7" ht="15.75" customHeight="1" x14ac:dyDescent="0.2">
      <c r="A1283" s="500" t="s">
        <v>1953</v>
      </c>
      <c r="B1283" s="501" t="s">
        <v>1873</v>
      </c>
      <c r="C1283" s="501">
        <v>25.58</v>
      </c>
      <c r="D1283" s="502">
        <v>1000</v>
      </c>
      <c r="E1283" s="502">
        <v>1000</v>
      </c>
      <c r="F1283" s="502">
        <v>1000</v>
      </c>
      <c r="G1283" s="501">
        <v>0</v>
      </c>
    </row>
    <row r="1284" spans="1:7" ht="15.75" customHeight="1" x14ac:dyDescent="0.2">
      <c r="A1284" s="500" t="s">
        <v>1954</v>
      </c>
      <c r="B1284" s="501" t="s">
        <v>277</v>
      </c>
      <c r="C1284" s="502">
        <v>5668.75</v>
      </c>
      <c r="D1284" s="502">
        <v>9000</v>
      </c>
      <c r="E1284" s="502">
        <v>9000</v>
      </c>
      <c r="F1284" s="502">
        <v>9000</v>
      </c>
      <c r="G1284" s="501">
        <v>0</v>
      </c>
    </row>
    <row r="1285" spans="1:7" ht="15.75" customHeight="1" x14ac:dyDescent="0.2">
      <c r="A1285" s="500" t="s">
        <v>1955</v>
      </c>
      <c r="B1285" s="501" t="s">
        <v>84</v>
      </c>
      <c r="C1285" s="502">
        <v>1273.32</v>
      </c>
      <c r="D1285" s="502">
        <v>1500</v>
      </c>
      <c r="E1285" s="502">
        <v>1500</v>
      </c>
      <c r="F1285" s="502">
        <v>1500</v>
      </c>
      <c r="G1285" s="501">
        <v>0</v>
      </c>
    </row>
    <row r="1286" spans="1:7" ht="15.75" customHeight="1" x14ac:dyDescent="0.2">
      <c r="A1286" s="500" t="s">
        <v>1956</v>
      </c>
      <c r="B1286" s="501" t="s">
        <v>92</v>
      </c>
      <c r="C1286" s="502">
        <v>2908.93</v>
      </c>
      <c r="D1286" s="502">
        <v>2000</v>
      </c>
      <c r="E1286" s="501">
        <v>0</v>
      </c>
      <c r="F1286" s="501">
        <v>0</v>
      </c>
      <c r="G1286" s="501">
        <v>0</v>
      </c>
    </row>
    <row r="1287" spans="1:7" ht="15.75" customHeight="1" x14ac:dyDescent="0.2">
      <c r="A1287" s="500" t="s">
        <v>2241</v>
      </c>
      <c r="B1287" s="501" t="s">
        <v>2242</v>
      </c>
      <c r="C1287" s="502">
        <v>-2669892.41</v>
      </c>
      <c r="D1287" s="502">
        <v>-4200000</v>
      </c>
      <c r="E1287" s="501">
        <v>0</v>
      </c>
      <c r="F1287" s="501">
        <v>0</v>
      </c>
      <c r="G1287" s="501">
        <v>0</v>
      </c>
    </row>
    <row r="1288" spans="1:7" ht="15.75" customHeight="1" x14ac:dyDescent="0.2">
      <c r="A1288" s="500" t="s">
        <v>2243</v>
      </c>
      <c r="B1288" s="501" t="s">
        <v>1898</v>
      </c>
      <c r="C1288" s="501">
        <v>0</v>
      </c>
      <c r="D1288" s="502">
        <v>-380000</v>
      </c>
      <c r="E1288" s="502">
        <v>-475000</v>
      </c>
      <c r="F1288" s="501">
        <v>0</v>
      </c>
      <c r="G1288" s="502">
        <v>475000</v>
      </c>
    </row>
    <row r="1289" spans="1:7" ht="15.75" customHeight="1" x14ac:dyDescent="0.2">
      <c r="A1289" s="500" t="s">
        <v>2244</v>
      </c>
      <c r="B1289" s="501" t="s">
        <v>2245</v>
      </c>
      <c r="C1289" s="501">
        <v>0</v>
      </c>
      <c r="D1289" s="501">
        <v>0</v>
      </c>
      <c r="E1289" s="501">
        <v>0</v>
      </c>
      <c r="F1289" s="502">
        <v>-488100</v>
      </c>
      <c r="G1289" s="502">
        <v>-488100</v>
      </c>
    </row>
    <row r="1290" spans="1:7" ht="15.75" customHeight="1" x14ac:dyDescent="0.2">
      <c r="A1290" s="500" t="s">
        <v>2246</v>
      </c>
      <c r="B1290" s="501" t="s">
        <v>2247</v>
      </c>
      <c r="C1290" s="502">
        <v>-44324</v>
      </c>
      <c r="D1290" s="502">
        <v>-165000</v>
      </c>
      <c r="E1290" s="501">
        <v>0</v>
      </c>
      <c r="F1290" s="501">
        <v>0</v>
      </c>
      <c r="G1290" s="501">
        <v>0</v>
      </c>
    </row>
    <row r="1291" spans="1:7" ht="15.75" customHeight="1" x14ac:dyDescent="0.2">
      <c r="A1291" s="500" t="s">
        <v>2248</v>
      </c>
      <c r="B1291" s="501" t="s">
        <v>2249</v>
      </c>
      <c r="C1291" s="502">
        <v>-1972</v>
      </c>
      <c r="D1291" s="502">
        <v>-7000</v>
      </c>
      <c r="E1291" s="501">
        <v>0</v>
      </c>
      <c r="F1291" s="501">
        <v>0</v>
      </c>
      <c r="G1291" s="501">
        <v>0</v>
      </c>
    </row>
    <row r="1292" spans="1:7" ht="15.75" customHeight="1" x14ac:dyDescent="0.2">
      <c r="A1292" s="500" t="s">
        <v>2250</v>
      </c>
      <c r="B1292" s="501" t="s">
        <v>2251</v>
      </c>
      <c r="C1292" s="502">
        <v>2818730.66</v>
      </c>
      <c r="D1292" s="502">
        <v>4752000</v>
      </c>
      <c r="E1292" s="502">
        <v>475000</v>
      </c>
      <c r="F1292" s="502">
        <v>488100</v>
      </c>
      <c r="G1292" s="502">
        <v>13100</v>
      </c>
    </row>
    <row r="1293" spans="1:7" ht="15.75" customHeight="1" x14ac:dyDescent="0.2">
      <c r="A1293" s="500" t="s">
        <v>2252</v>
      </c>
      <c r="B1293" s="501" t="s">
        <v>2253</v>
      </c>
      <c r="C1293" s="502">
        <v>-1472575.44</v>
      </c>
      <c r="D1293" s="502">
        <v>-2553000</v>
      </c>
      <c r="E1293" s="502">
        <v>-2500000</v>
      </c>
      <c r="F1293" s="502">
        <v>-2500000</v>
      </c>
      <c r="G1293" s="501">
        <v>0</v>
      </c>
    </row>
    <row r="1294" spans="1:7" ht="15.75" customHeight="1" x14ac:dyDescent="0.2">
      <c r="A1294" s="500" t="s">
        <v>2254</v>
      </c>
      <c r="B1294" s="501" t="s">
        <v>1766</v>
      </c>
      <c r="C1294" s="501">
        <v>0</v>
      </c>
      <c r="D1294" s="502">
        <v>-2284571</v>
      </c>
      <c r="E1294" s="501">
        <v>0</v>
      </c>
      <c r="F1294" s="501">
        <v>0</v>
      </c>
      <c r="G1294" s="501">
        <v>0</v>
      </c>
    </row>
    <row r="1295" spans="1:7" ht="15.75" customHeight="1" x14ac:dyDescent="0.2">
      <c r="A1295" s="500" t="s">
        <v>2255</v>
      </c>
      <c r="B1295" s="501" t="s">
        <v>2256</v>
      </c>
      <c r="C1295" s="502">
        <v>150117.28</v>
      </c>
      <c r="D1295" s="502">
        <v>494350</v>
      </c>
      <c r="E1295" s="502">
        <v>373500</v>
      </c>
      <c r="F1295" s="502">
        <v>373500</v>
      </c>
      <c r="G1295" s="501">
        <v>0</v>
      </c>
    </row>
    <row r="1296" spans="1:7" ht="15.75" customHeight="1" x14ac:dyDescent="0.2">
      <c r="A1296" s="500" t="s">
        <v>2257</v>
      </c>
      <c r="B1296" s="501" t="s">
        <v>2258</v>
      </c>
      <c r="C1296" s="502">
        <v>200000</v>
      </c>
      <c r="D1296" s="502">
        <v>252700</v>
      </c>
      <c r="E1296" s="502">
        <v>124500</v>
      </c>
      <c r="F1296" s="502">
        <v>124500</v>
      </c>
      <c r="G1296" s="501">
        <v>0</v>
      </c>
    </row>
    <row r="1297" spans="1:7" ht="15.75" customHeight="1" x14ac:dyDescent="0.2">
      <c r="A1297" s="500" t="s">
        <v>2259</v>
      </c>
      <c r="B1297" s="501" t="s">
        <v>2260</v>
      </c>
      <c r="C1297" s="502">
        <v>1332467.6100000001</v>
      </c>
      <c r="D1297" s="502">
        <v>3237664</v>
      </c>
      <c r="E1297" s="502">
        <v>1992000</v>
      </c>
      <c r="F1297" s="502">
        <v>1992000</v>
      </c>
      <c r="G1297" s="501">
        <v>0</v>
      </c>
    </row>
    <row r="1298" spans="1:7" ht="15.75" customHeight="1" x14ac:dyDescent="0.2">
      <c r="A1298" s="500" t="s">
        <v>2261</v>
      </c>
      <c r="B1298" s="501" t="s">
        <v>1840</v>
      </c>
      <c r="C1298" s="501">
        <v>0</v>
      </c>
      <c r="D1298" s="502">
        <v>349557</v>
      </c>
      <c r="E1298" s="501">
        <v>0</v>
      </c>
      <c r="F1298" s="501">
        <v>0</v>
      </c>
      <c r="G1298" s="501">
        <v>0</v>
      </c>
    </row>
    <row r="1299" spans="1:7" ht="15.75" customHeight="1" x14ac:dyDescent="0.2">
      <c r="A1299" s="500" t="s">
        <v>2262</v>
      </c>
      <c r="B1299" s="501" t="s">
        <v>2263</v>
      </c>
      <c r="C1299" s="501">
        <v>0</v>
      </c>
      <c r="D1299" s="502">
        <v>70000</v>
      </c>
      <c r="E1299" s="501">
        <v>0</v>
      </c>
      <c r="F1299" s="501">
        <v>0</v>
      </c>
      <c r="G1299" s="501">
        <v>0</v>
      </c>
    </row>
    <row r="1300" spans="1:7" ht="15.75" customHeight="1" x14ac:dyDescent="0.2">
      <c r="A1300" s="500" t="s">
        <v>2264</v>
      </c>
      <c r="B1300" s="501" t="s">
        <v>1844</v>
      </c>
      <c r="C1300" s="501">
        <v>0</v>
      </c>
      <c r="D1300" s="502">
        <v>433300</v>
      </c>
      <c r="E1300" s="502">
        <v>10000</v>
      </c>
      <c r="F1300" s="502">
        <v>10000</v>
      </c>
      <c r="G1300" s="501">
        <v>0</v>
      </c>
    </row>
    <row r="1301" spans="1:7" ht="15.75" customHeight="1" x14ac:dyDescent="0.2">
      <c r="A1301" s="500" t="s">
        <v>2265</v>
      </c>
      <c r="B1301" s="501" t="s">
        <v>2266</v>
      </c>
      <c r="C1301" s="502">
        <v>-1619172.55</v>
      </c>
      <c r="D1301" s="502">
        <v>-3005000</v>
      </c>
      <c r="E1301" s="502">
        <v>-2830000</v>
      </c>
      <c r="F1301" s="502">
        <v>-2830000</v>
      </c>
      <c r="G1301" s="501">
        <v>0</v>
      </c>
    </row>
    <row r="1302" spans="1:7" ht="15.75" customHeight="1" x14ac:dyDescent="0.2">
      <c r="A1302" s="500" t="s">
        <v>2267</v>
      </c>
      <c r="B1302" s="501" t="s">
        <v>1766</v>
      </c>
      <c r="C1302" s="501">
        <v>0</v>
      </c>
      <c r="D1302" s="502">
        <v>-2263857</v>
      </c>
      <c r="E1302" s="501">
        <v>0</v>
      </c>
      <c r="F1302" s="501">
        <v>0</v>
      </c>
      <c r="G1302" s="501">
        <v>0</v>
      </c>
    </row>
    <row r="1303" spans="1:7" ht="15.75" customHeight="1" x14ac:dyDescent="0.2">
      <c r="A1303" s="500" t="s">
        <v>2268</v>
      </c>
      <c r="B1303" s="501" t="s">
        <v>2258</v>
      </c>
      <c r="C1303" s="501">
        <v>0</v>
      </c>
      <c r="D1303" s="502">
        <v>175000</v>
      </c>
      <c r="E1303" s="502">
        <v>90000</v>
      </c>
      <c r="F1303" s="502">
        <v>90000</v>
      </c>
      <c r="G1303" s="501">
        <v>0</v>
      </c>
    </row>
    <row r="1304" spans="1:7" ht="15.75" customHeight="1" x14ac:dyDescent="0.2">
      <c r="A1304" s="500" t="s">
        <v>2269</v>
      </c>
      <c r="B1304" s="501" t="s">
        <v>2260</v>
      </c>
      <c r="C1304" s="502">
        <v>557055</v>
      </c>
      <c r="D1304" s="502">
        <v>2269040</v>
      </c>
      <c r="E1304" s="502">
        <v>1393780</v>
      </c>
      <c r="F1304" s="502">
        <v>1393780</v>
      </c>
      <c r="G1304" s="501">
        <v>0</v>
      </c>
    </row>
    <row r="1305" spans="1:7" ht="15.75" customHeight="1" x14ac:dyDescent="0.2">
      <c r="A1305" s="500" t="s">
        <v>2270</v>
      </c>
      <c r="B1305" s="501" t="s">
        <v>2271</v>
      </c>
      <c r="C1305" s="502">
        <v>263949</v>
      </c>
      <c r="D1305" s="502">
        <v>662705</v>
      </c>
      <c r="E1305" s="502">
        <v>540530</v>
      </c>
      <c r="F1305" s="502">
        <v>540530</v>
      </c>
      <c r="G1305" s="501">
        <v>0</v>
      </c>
    </row>
    <row r="1306" spans="1:7" ht="15.75" customHeight="1" x14ac:dyDescent="0.2">
      <c r="A1306" s="500" t="s">
        <v>2272</v>
      </c>
      <c r="B1306" s="501" t="s">
        <v>2273</v>
      </c>
      <c r="C1306" s="502">
        <v>399177.57</v>
      </c>
      <c r="D1306" s="502">
        <v>1471588</v>
      </c>
      <c r="E1306" s="502">
        <v>484480</v>
      </c>
      <c r="F1306" s="502">
        <v>484480</v>
      </c>
      <c r="G1306" s="501">
        <v>0</v>
      </c>
    </row>
    <row r="1307" spans="1:7" ht="15.75" customHeight="1" x14ac:dyDescent="0.2">
      <c r="A1307" s="500" t="s">
        <v>2274</v>
      </c>
      <c r="B1307" s="501" t="s">
        <v>2275</v>
      </c>
      <c r="C1307" s="502">
        <v>274024</v>
      </c>
      <c r="D1307" s="502">
        <v>274924</v>
      </c>
      <c r="E1307" s="502">
        <v>278760</v>
      </c>
      <c r="F1307" s="502">
        <v>278760</v>
      </c>
      <c r="G1307" s="501">
        <v>0</v>
      </c>
    </row>
    <row r="1308" spans="1:7" ht="15.75" customHeight="1" x14ac:dyDescent="0.2">
      <c r="A1308" s="500" t="s">
        <v>2276</v>
      </c>
      <c r="B1308" s="501" t="s">
        <v>1840</v>
      </c>
      <c r="C1308" s="501">
        <v>0</v>
      </c>
      <c r="D1308" s="502">
        <v>197100</v>
      </c>
      <c r="E1308" s="502">
        <v>42450</v>
      </c>
      <c r="F1308" s="502">
        <v>42450</v>
      </c>
      <c r="G1308" s="501">
        <v>0</v>
      </c>
    </row>
    <row r="1309" spans="1:7" ht="15.75" customHeight="1" x14ac:dyDescent="0.2">
      <c r="A1309" s="500" t="s">
        <v>2277</v>
      </c>
      <c r="B1309" s="501" t="s">
        <v>2263</v>
      </c>
      <c r="C1309" s="501">
        <v>0</v>
      </c>
      <c r="D1309" s="502">
        <v>118500</v>
      </c>
      <c r="E1309" s="501">
        <v>0</v>
      </c>
      <c r="F1309" s="501">
        <v>0</v>
      </c>
      <c r="G1309" s="501">
        <v>0</v>
      </c>
    </row>
    <row r="1310" spans="1:7" ht="15.75" customHeight="1" x14ac:dyDescent="0.2">
      <c r="A1310" s="500" t="s">
        <v>2278</v>
      </c>
      <c r="B1310" s="501" t="s">
        <v>1844</v>
      </c>
      <c r="C1310" s="501">
        <v>0</v>
      </c>
      <c r="D1310" s="502">
        <v>100000</v>
      </c>
      <c r="E1310" s="501">
        <v>0</v>
      </c>
      <c r="F1310" s="501">
        <v>0</v>
      </c>
      <c r="G1310" s="501">
        <v>0</v>
      </c>
    </row>
    <row r="1311" spans="1:7" ht="15.75" customHeight="1" x14ac:dyDescent="0.2">
      <c r="A1311" s="500" t="s">
        <v>2279</v>
      </c>
      <c r="B1311" s="501" t="s">
        <v>2280</v>
      </c>
      <c r="C1311" s="502">
        <v>-724977.51</v>
      </c>
      <c r="D1311" s="502">
        <v>-1654000</v>
      </c>
      <c r="E1311" s="502">
        <v>-2125000</v>
      </c>
      <c r="F1311" s="502">
        <v>-2125000</v>
      </c>
      <c r="G1311" s="501">
        <v>0</v>
      </c>
    </row>
    <row r="1312" spans="1:7" ht="15.75" customHeight="1" x14ac:dyDescent="0.2">
      <c r="A1312" s="500" t="s">
        <v>2281</v>
      </c>
      <c r="B1312" s="501" t="s">
        <v>1766</v>
      </c>
      <c r="C1312" s="501">
        <v>0</v>
      </c>
      <c r="D1312" s="502">
        <v>1654000</v>
      </c>
      <c r="E1312" s="501">
        <v>0</v>
      </c>
      <c r="F1312" s="501">
        <v>0</v>
      </c>
      <c r="G1312" s="501">
        <v>0</v>
      </c>
    </row>
    <row r="1313" spans="1:7" ht="15.75" customHeight="1" x14ac:dyDescent="0.2">
      <c r="A1313" s="500" t="s">
        <v>2282</v>
      </c>
      <c r="B1313" s="501" t="s">
        <v>1866</v>
      </c>
      <c r="C1313" s="501">
        <v>0</v>
      </c>
      <c r="D1313" s="501">
        <v>0</v>
      </c>
      <c r="E1313" s="502">
        <v>2125000</v>
      </c>
      <c r="F1313" s="502">
        <v>2125000</v>
      </c>
      <c r="G1313" s="501">
        <v>0</v>
      </c>
    </row>
    <row r="1314" spans="1:7" ht="15.75" customHeight="1" x14ac:dyDescent="0.2">
      <c r="A1314" s="500" t="s">
        <v>2283</v>
      </c>
      <c r="B1314" s="501" t="s">
        <v>2284</v>
      </c>
      <c r="C1314" s="502">
        <v>-4050315.7</v>
      </c>
      <c r="D1314" s="502">
        <v>-7593000</v>
      </c>
      <c r="E1314" s="502">
        <v>-6618600</v>
      </c>
      <c r="F1314" s="502">
        <v>-6618600</v>
      </c>
      <c r="G1314" s="501">
        <v>0</v>
      </c>
    </row>
    <row r="1315" spans="1:7" ht="15.75" customHeight="1" x14ac:dyDescent="0.2">
      <c r="A1315" s="500" t="s">
        <v>2285</v>
      </c>
      <c r="B1315" s="501" t="s">
        <v>1752</v>
      </c>
      <c r="C1315" s="501">
        <v>0</v>
      </c>
      <c r="D1315" s="502">
        <v>-991000</v>
      </c>
      <c r="E1315" s="502">
        <v>-900000</v>
      </c>
      <c r="F1315" s="502">
        <v>-900000</v>
      </c>
      <c r="G1315" s="501">
        <v>0</v>
      </c>
    </row>
    <row r="1316" spans="1:7" ht="15.75" customHeight="1" x14ac:dyDescent="0.2">
      <c r="A1316" s="500" t="s">
        <v>2286</v>
      </c>
      <c r="B1316" s="501" t="s">
        <v>1766</v>
      </c>
      <c r="C1316" s="501">
        <v>0</v>
      </c>
      <c r="D1316" s="502">
        <v>-14726019</v>
      </c>
      <c r="E1316" s="501">
        <v>0</v>
      </c>
      <c r="F1316" s="501">
        <v>0</v>
      </c>
      <c r="G1316" s="501">
        <v>0</v>
      </c>
    </row>
    <row r="1317" spans="1:7" ht="15.75" customHeight="1" x14ac:dyDescent="0.2">
      <c r="A1317" s="500" t="s">
        <v>2287</v>
      </c>
      <c r="B1317" s="501" t="s">
        <v>2288</v>
      </c>
      <c r="C1317" s="502">
        <v>8147295.0999999996</v>
      </c>
      <c r="D1317" s="502">
        <v>20976819</v>
      </c>
      <c r="E1317" s="502">
        <v>3739300</v>
      </c>
      <c r="F1317" s="502">
        <v>3739300</v>
      </c>
      <c r="G1317" s="501">
        <v>0</v>
      </c>
    </row>
    <row r="1318" spans="1:7" ht="15.75" customHeight="1" x14ac:dyDescent="0.2">
      <c r="A1318" s="500" t="s">
        <v>2289</v>
      </c>
      <c r="B1318" s="501" t="s">
        <v>1840</v>
      </c>
      <c r="C1318" s="501">
        <v>0</v>
      </c>
      <c r="D1318" s="502">
        <v>113900</v>
      </c>
      <c r="E1318" s="502">
        <v>99300</v>
      </c>
      <c r="F1318" s="502">
        <v>99300</v>
      </c>
      <c r="G1318" s="501">
        <v>0</v>
      </c>
    </row>
    <row r="1319" spans="1:7" ht="15.75" customHeight="1" x14ac:dyDescent="0.2">
      <c r="A1319" s="500" t="s">
        <v>2290</v>
      </c>
      <c r="B1319" s="501" t="s">
        <v>2096</v>
      </c>
      <c r="C1319" s="501">
        <v>0</v>
      </c>
      <c r="D1319" s="501">
        <v>0</v>
      </c>
      <c r="E1319" s="501">
        <v>0</v>
      </c>
      <c r="F1319" s="501">
        <v>0</v>
      </c>
      <c r="G1319" s="501">
        <v>0</v>
      </c>
    </row>
    <row r="1320" spans="1:7" ht="15.75" customHeight="1" x14ac:dyDescent="0.2">
      <c r="A1320" s="500" t="s">
        <v>2291</v>
      </c>
      <c r="B1320" s="501" t="s">
        <v>1844</v>
      </c>
      <c r="C1320" s="501">
        <v>0</v>
      </c>
      <c r="D1320" s="502">
        <v>1947275</v>
      </c>
      <c r="E1320" s="502">
        <v>920000</v>
      </c>
      <c r="F1320" s="502">
        <v>920000</v>
      </c>
      <c r="G1320" s="501">
        <v>0</v>
      </c>
    </row>
    <row r="1321" spans="1:7" ht="15.75" customHeight="1" x14ac:dyDescent="0.2">
      <c r="A1321" s="500" t="s">
        <v>2292</v>
      </c>
      <c r="B1321" s="501" t="s">
        <v>2293</v>
      </c>
      <c r="C1321" s="501">
        <v>0</v>
      </c>
      <c r="D1321" s="502">
        <v>272025</v>
      </c>
      <c r="E1321" s="502">
        <v>2760000</v>
      </c>
      <c r="F1321" s="502">
        <v>2760000</v>
      </c>
      <c r="G1321" s="501">
        <v>0</v>
      </c>
    </row>
    <row r="1322" spans="1:7" ht="15.75" customHeight="1" x14ac:dyDescent="0.2">
      <c r="A1322" s="500" t="s">
        <v>1742</v>
      </c>
      <c r="B1322" s="501" t="s">
        <v>1743</v>
      </c>
      <c r="C1322" s="502">
        <v>132357.31</v>
      </c>
      <c r="D1322" s="501">
        <v>0</v>
      </c>
      <c r="E1322" s="501">
        <v>0</v>
      </c>
      <c r="F1322" s="501">
        <v>0</v>
      </c>
      <c r="G1322" s="501">
        <v>0</v>
      </c>
    </row>
    <row r="1323" spans="1:7" ht="15.75" customHeight="1" x14ac:dyDescent="0.2">
      <c r="A1323" s="500" t="s">
        <v>1744</v>
      </c>
      <c r="B1323" s="501" t="s">
        <v>1745</v>
      </c>
      <c r="C1323" s="501">
        <v>0</v>
      </c>
      <c r="D1323" s="501">
        <v>0</v>
      </c>
      <c r="E1323" s="501">
        <v>0</v>
      </c>
      <c r="F1323" s="501">
        <v>0</v>
      </c>
      <c r="G1323" s="501">
        <v>0</v>
      </c>
    </row>
    <row r="1324" spans="1:7" ht="15.75" customHeight="1" x14ac:dyDescent="0.2">
      <c r="A1324" s="500" t="s">
        <v>1746</v>
      </c>
      <c r="B1324" s="501" t="s">
        <v>1747</v>
      </c>
      <c r="C1324" s="502">
        <v>6842.03</v>
      </c>
      <c r="D1324" s="501">
        <v>0</v>
      </c>
      <c r="E1324" s="501">
        <v>0</v>
      </c>
      <c r="F1324" s="501">
        <v>0</v>
      </c>
      <c r="G1324" s="501">
        <v>0</v>
      </c>
    </row>
    <row r="1325" spans="1:7" ht="15.75" customHeight="1" x14ac:dyDescent="0.2">
      <c r="A1325" s="500" t="s">
        <v>1748</v>
      </c>
      <c r="B1325" s="501" t="s">
        <v>1749</v>
      </c>
      <c r="C1325" s="501">
        <v>0</v>
      </c>
      <c r="D1325" s="502">
        <v>-139400</v>
      </c>
      <c r="E1325" s="501">
        <v>0</v>
      </c>
      <c r="F1325" s="501">
        <v>0</v>
      </c>
      <c r="G1325" s="501">
        <v>0</v>
      </c>
    </row>
    <row r="1326" spans="1:7" ht="15.75" customHeight="1" x14ac:dyDescent="0.2">
      <c r="A1326" s="500" t="s">
        <v>1750</v>
      </c>
      <c r="B1326" s="501" t="s">
        <v>2294</v>
      </c>
      <c r="C1326" s="501">
        <v>0</v>
      </c>
      <c r="D1326" s="502">
        <v>-100000</v>
      </c>
      <c r="E1326" s="502">
        <v>-100000</v>
      </c>
      <c r="F1326" s="502">
        <v>-100000</v>
      </c>
      <c r="G1326" s="501">
        <v>0</v>
      </c>
    </row>
    <row r="1327" spans="1:7" ht="15.75" customHeight="1" x14ac:dyDescent="0.2">
      <c r="A1327" s="500" t="s">
        <v>1751</v>
      </c>
      <c r="B1327" s="501" t="s">
        <v>1752</v>
      </c>
      <c r="C1327" s="502">
        <v>-2000.49</v>
      </c>
      <c r="D1327" s="502">
        <v>-30000</v>
      </c>
      <c r="E1327" s="502">
        <v>-30000</v>
      </c>
      <c r="F1327" s="502">
        <v>-30000</v>
      </c>
      <c r="G1327" s="501">
        <v>0</v>
      </c>
    </row>
    <row r="1328" spans="1:7" ht="15.75" customHeight="1" x14ac:dyDescent="0.2">
      <c r="A1328" s="500" t="s">
        <v>1753</v>
      </c>
      <c r="B1328" s="501" t="s">
        <v>1754</v>
      </c>
      <c r="C1328" s="502">
        <v>-5767.17</v>
      </c>
      <c r="D1328" s="502">
        <v>-8000</v>
      </c>
      <c r="E1328" s="502">
        <v>-6500</v>
      </c>
      <c r="F1328" s="502">
        <v>-6500</v>
      </c>
      <c r="G1328" s="501">
        <v>0</v>
      </c>
    </row>
    <row r="1329" spans="1:7" ht="15.75" customHeight="1" x14ac:dyDescent="0.2">
      <c r="A1329" s="500" t="s">
        <v>1755</v>
      </c>
      <c r="B1329" s="501" t="s">
        <v>1756</v>
      </c>
      <c r="C1329" s="502">
        <v>-9402.7999999999993</v>
      </c>
      <c r="D1329" s="502">
        <v>-5500</v>
      </c>
      <c r="E1329" s="502">
        <v>-10000</v>
      </c>
      <c r="F1329" s="502">
        <v>-10000</v>
      </c>
      <c r="G1329" s="501">
        <v>0</v>
      </c>
    </row>
    <row r="1330" spans="1:7" ht="15.75" customHeight="1" x14ac:dyDescent="0.2">
      <c r="A1330" s="500" t="s">
        <v>1757</v>
      </c>
      <c r="B1330" s="501" t="s">
        <v>2295</v>
      </c>
      <c r="C1330" s="502">
        <v>-4317.46</v>
      </c>
      <c r="D1330" s="502">
        <v>-20000</v>
      </c>
      <c r="E1330" s="502">
        <v>-25000</v>
      </c>
      <c r="F1330" s="502">
        <v>-25000</v>
      </c>
      <c r="G1330" s="501">
        <v>0</v>
      </c>
    </row>
    <row r="1331" spans="1:7" ht="15.75" customHeight="1" x14ac:dyDescent="0.2">
      <c r="A1331" s="500" t="s">
        <v>1758</v>
      </c>
      <c r="B1331" s="501" t="s">
        <v>1759</v>
      </c>
      <c r="C1331" s="501">
        <v>0</v>
      </c>
      <c r="D1331" s="502">
        <v>-5000</v>
      </c>
      <c r="E1331" s="502">
        <v>-5000</v>
      </c>
      <c r="F1331" s="502">
        <v>-5000</v>
      </c>
      <c r="G1331" s="501">
        <v>0</v>
      </c>
    </row>
    <row r="1332" spans="1:7" ht="15.75" customHeight="1" x14ac:dyDescent="0.2">
      <c r="A1332" s="500" t="s">
        <v>1760</v>
      </c>
      <c r="B1332" s="501" t="s">
        <v>1761</v>
      </c>
      <c r="C1332" s="502">
        <v>-61043</v>
      </c>
      <c r="D1332" s="502">
        <v>-4000</v>
      </c>
      <c r="E1332" s="502">
        <v>-4000</v>
      </c>
      <c r="F1332" s="502">
        <v>-4000</v>
      </c>
      <c r="G1332" s="501">
        <v>0</v>
      </c>
    </row>
    <row r="1333" spans="1:7" ht="15.75" customHeight="1" x14ac:dyDescent="0.2">
      <c r="A1333" s="500" t="s">
        <v>1762</v>
      </c>
      <c r="B1333" s="501" t="s">
        <v>2296</v>
      </c>
      <c r="C1333" s="502">
        <v>-174325.53</v>
      </c>
      <c r="D1333" s="502">
        <v>-113400</v>
      </c>
      <c r="E1333" s="502">
        <v>-115000</v>
      </c>
      <c r="F1333" s="502">
        <v>-115000</v>
      </c>
      <c r="G1333" s="501">
        <v>0</v>
      </c>
    </row>
    <row r="1334" spans="1:7" ht="15.75" customHeight="1" x14ac:dyDescent="0.2">
      <c r="A1334" s="500" t="s">
        <v>1763</v>
      </c>
      <c r="B1334" s="501" t="s">
        <v>1764</v>
      </c>
      <c r="C1334" s="501">
        <v>0</v>
      </c>
      <c r="D1334" s="502">
        <v>-100000</v>
      </c>
      <c r="E1334" s="502">
        <v>-100000</v>
      </c>
      <c r="F1334" s="502">
        <v>-100000</v>
      </c>
      <c r="G1334" s="501">
        <v>0</v>
      </c>
    </row>
    <row r="1335" spans="1:7" ht="15.75" customHeight="1" x14ac:dyDescent="0.2">
      <c r="A1335" s="500" t="s">
        <v>1765</v>
      </c>
      <c r="B1335" s="501" t="s">
        <v>1766</v>
      </c>
      <c r="C1335" s="501">
        <v>0</v>
      </c>
      <c r="D1335" s="502">
        <v>-731000</v>
      </c>
      <c r="E1335" s="502">
        <v>-2249731.9900000002</v>
      </c>
      <c r="F1335" s="502">
        <v>-2249731.9900000002</v>
      </c>
      <c r="G1335" s="501">
        <v>0</v>
      </c>
    </row>
    <row r="1336" spans="1:7" ht="15.75" customHeight="1" x14ac:dyDescent="0.2">
      <c r="A1336" s="500" t="s">
        <v>1705</v>
      </c>
      <c r="B1336" s="501" t="s">
        <v>68</v>
      </c>
      <c r="C1336" s="502">
        <v>105867.78</v>
      </c>
      <c r="D1336" s="502">
        <v>165498</v>
      </c>
      <c r="E1336" s="502">
        <v>154200</v>
      </c>
      <c r="F1336" s="502">
        <v>154200</v>
      </c>
      <c r="G1336" s="501">
        <v>0</v>
      </c>
    </row>
    <row r="1337" spans="1:7" ht="15.75" customHeight="1" x14ac:dyDescent="0.2">
      <c r="A1337" s="500" t="s">
        <v>1706</v>
      </c>
      <c r="B1337" s="501" t="s">
        <v>70</v>
      </c>
      <c r="C1337" s="501">
        <v>420.26</v>
      </c>
      <c r="D1337" s="502">
        <v>3000</v>
      </c>
      <c r="E1337" s="502">
        <v>3000</v>
      </c>
      <c r="F1337" s="502">
        <v>3000</v>
      </c>
      <c r="G1337" s="501">
        <v>0</v>
      </c>
    </row>
    <row r="1338" spans="1:7" ht="15.75" customHeight="1" x14ac:dyDescent="0.2">
      <c r="A1338" s="500" t="s">
        <v>1707</v>
      </c>
      <c r="B1338" s="501" t="s">
        <v>132</v>
      </c>
      <c r="C1338" s="502">
        <v>33897.15</v>
      </c>
      <c r="D1338" s="502">
        <v>63614</v>
      </c>
      <c r="E1338" s="502">
        <v>80000</v>
      </c>
      <c r="F1338" s="502">
        <v>80000</v>
      </c>
      <c r="G1338" s="501">
        <v>0</v>
      </c>
    </row>
    <row r="1339" spans="1:7" ht="15.75" customHeight="1" x14ac:dyDescent="0.2">
      <c r="A1339" s="500" t="s">
        <v>1708</v>
      </c>
      <c r="B1339" s="501" t="s">
        <v>72</v>
      </c>
      <c r="C1339" s="502">
        <v>57215.88</v>
      </c>
      <c r="D1339" s="502">
        <v>115476</v>
      </c>
      <c r="E1339" s="502">
        <v>88300</v>
      </c>
      <c r="F1339" s="502">
        <v>88300</v>
      </c>
      <c r="G1339" s="501">
        <v>0</v>
      </c>
    </row>
    <row r="1340" spans="1:7" ht="15.75" customHeight="1" x14ac:dyDescent="0.2">
      <c r="A1340" s="500" t="s">
        <v>1709</v>
      </c>
      <c r="B1340" s="501" t="s">
        <v>74</v>
      </c>
      <c r="C1340" s="501">
        <v>128</v>
      </c>
      <c r="D1340" s="501">
        <v>100</v>
      </c>
      <c r="E1340" s="501">
        <v>300</v>
      </c>
      <c r="F1340" s="501">
        <v>300</v>
      </c>
      <c r="G1340" s="501">
        <v>0</v>
      </c>
    </row>
    <row r="1341" spans="1:7" ht="15.75" customHeight="1" x14ac:dyDescent="0.2">
      <c r="A1341" s="500" t="s">
        <v>1710</v>
      </c>
      <c r="B1341" s="501" t="s">
        <v>200</v>
      </c>
      <c r="C1341" s="501">
        <v>303.44</v>
      </c>
      <c r="D1341" s="501">
        <v>300</v>
      </c>
      <c r="E1341" s="501">
        <v>300</v>
      </c>
      <c r="F1341" s="501">
        <v>300</v>
      </c>
      <c r="G1341" s="501">
        <v>0</v>
      </c>
    </row>
    <row r="1342" spans="1:7" ht="15.75" customHeight="1" x14ac:dyDescent="0.2">
      <c r="A1342" s="500" t="s">
        <v>1711</v>
      </c>
      <c r="B1342" s="501" t="s">
        <v>76</v>
      </c>
      <c r="C1342" s="502">
        <v>3406.02</v>
      </c>
      <c r="D1342" s="502">
        <v>4000</v>
      </c>
      <c r="E1342" s="502">
        <v>4000</v>
      </c>
      <c r="F1342" s="502">
        <v>4000</v>
      </c>
      <c r="G1342" s="501">
        <v>0</v>
      </c>
    </row>
    <row r="1343" spans="1:7" ht="15.75" customHeight="1" x14ac:dyDescent="0.2">
      <c r="A1343" s="500" t="s">
        <v>1712</v>
      </c>
      <c r="B1343" s="501" t="s">
        <v>80</v>
      </c>
      <c r="C1343" s="502">
        <v>1445.94</v>
      </c>
      <c r="D1343" s="502">
        <v>1500</v>
      </c>
      <c r="E1343" s="502">
        <v>1700</v>
      </c>
      <c r="F1343" s="502">
        <v>1700</v>
      </c>
      <c r="G1343" s="501">
        <v>0</v>
      </c>
    </row>
    <row r="1344" spans="1:7" ht="15.75" customHeight="1" x14ac:dyDescent="0.2">
      <c r="A1344" s="500" t="s">
        <v>1713</v>
      </c>
      <c r="B1344" s="501" t="s">
        <v>82</v>
      </c>
      <c r="C1344" s="502">
        <v>30956.06</v>
      </c>
      <c r="D1344" s="502">
        <v>79276</v>
      </c>
      <c r="E1344" s="502">
        <v>47350</v>
      </c>
      <c r="F1344" s="502">
        <v>47350</v>
      </c>
      <c r="G1344" s="501">
        <v>0</v>
      </c>
    </row>
    <row r="1345" spans="1:7" ht="15.75" customHeight="1" x14ac:dyDescent="0.2">
      <c r="A1345" s="500" t="s">
        <v>1714</v>
      </c>
      <c r="B1345" s="501" t="s">
        <v>115</v>
      </c>
      <c r="C1345" s="502">
        <v>8008.69</v>
      </c>
      <c r="D1345" s="502">
        <v>13000</v>
      </c>
      <c r="E1345" s="502">
        <v>13000</v>
      </c>
      <c r="F1345" s="502">
        <v>13000</v>
      </c>
      <c r="G1345" s="501">
        <v>0</v>
      </c>
    </row>
    <row r="1346" spans="1:7" ht="15.75" customHeight="1" x14ac:dyDescent="0.2">
      <c r="A1346" s="500" t="s">
        <v>1715</v>
      </c>
      <c r="B1346" s="501" t="s">
        <v>523</v>
      </c>
      <c r="C1346" s="502">
        <v>15039.41</v>
      </c>
      <c r="D1346" s="502">
        <v>25000</v>
      </c>
      <c r="E1346" s="502">
        <v>25037.99</v>
      </c>
      <c r="F1346" s="502">
        <v>25037.99</v>
      </c>
      <c r="G1346" s="501">
        <v>0</v>
      </c>
    </row>
    <row r="1347" spans="1:7" ht="15.75" customHeight="1" x14ac:dyDescent="0.2">
      <c r="A1347" s="500" t="s">
        <v>1716</v>
      </c>
      <c r="B1347" s="501" t="s">
        <v>1717</v>
      </c>
      <c r="C1347" s="502">
        <v>15083.87</v>
      </c>
      <c r="D1347" s="502">
        <v>65000</v>
      </c>
      <c r="E1347" s="502">
        <v>65000</v>
      </c>
      <c r="F1347" s="502">
        <v>65000</v>
      </c>
      <c r="G1347" s="501">
        <v>0</v>
      </c>
    </row>
    <row r="1348" spans="1:7" ht="15.75" customHeight="1" x14ac:dyDescent="0.2">
      <c r="A1348" s="500" t="s">
        <v>1718</v>
      </c>
      <c r="B1348" s="501" t="s">
        <v>1719</v>
      </c>
      <c r="C1348" s="502">
        <v>2465</v>
      </c>
      <c r="D1348" s="502">
        <v>12000</v>
      </c>
      <c r="E1348" s="502">
        <v>12000</v>
      </c>
      <c r="F1348" s="502">
        <v>12000</v>
      </c>
      <c r="G1348" s="501">
        <v>0</v>
      </c>
    </row>
    <row r="1349" spans="1:7" ht="15.75" customHeight="1" x14ac:dyDescent="0.2">
      <c r="A1349" s="500" t="s">
        <v>1720</v>
      </c>
      <c r="B1349" s="501" t="s">
        <v>1721</v>
      </c>
      <c r="C1349" s="501">
        <v>0</v>
      </c>
      <c r="D1349" s="502">
        <v>5000</v>
      </c>
      <c r="E1349" s="502">
        <v>5000</v>
      </c>
      <c r="F1349" s="502">
        <v>5000</v>
      </c>
      <c r="G1349" s="501">
        <v>0</v>
      </c>
    </row>
    <row r="1350" spans="1:7" ht="15.75" customHeight="1" x14ac:dyDescent="0.2">
      <c r="A1350" s="500" t="s">
        <v>1722</v>
      </c>
      <c r="B1350" s="501" t="s">
        <v>277</v>
      </c>
      <c r="C1350" s="502">
        <v>19237.57</v>
      </c>
      <c r="D1350" s="502">
        <v>27000</v>
      </c>
      <c r="E1350" s="502">
        <v>27000</v>
      </c>
      <c r="F1350" s="502">
        <v>27000</v>
      </c>
      <c r="G1350" s="501">
        <v>0</v>
      </c>
    </row>
    <row r="1351" spans="1:7" ht="15.75" customHeight="1" x14ac:dyDescent="0.2">
      <c r="A1351" s="500" t="s">
        <v>1723</v>
      </c>
      <c r="B1351" s="501" t="s">
        <v>84</v>
      </c>
      <c r="C1351" s="502">
        <v>3783.98</v>
      </c>
      <c r="D1351" s="502">
        <v>5000</v>
      </c>
      <c r="E1351" s="502">
        <v>5000</v>
      </c>
      <c r="F1351" s="502">
        <v>5000</v>
      </c>
      <c r="G1351" s="501">
        <v>0</v>
      </c>
    </row>
    <row r="1352" spans="1:7" ht="15.75" customHeight="1" x14ac:dyDescent="0.2">
      <c r="A1352" s="500" t="s">
        <v>1724</v>
      </c>
      <c r="B1352" s="501" t="s">
        <v>210</v>
      </c>
      <c r="C1352" s="502">
        <v>5329.44</v>
      </c>
      <c r="D1352" s="502">
        <v>10000</v>
      </c>
      <c r="E1352" s="502">
        <v>10000</v>
      </c>
      <c r="F1352" s="502">
        <v>10000</v>
      </c>
      <c r="G1352" s="501">
        <v>0</v>
      </c>
    </row>
    <row r="1353" spans="1:7" ht="15.75" customHeight="1" x14ac:dyDescent="0.2">
      <c r="A1353" s="500" t="s">
        <v>1725</v>
      </c>
      <c r="B1353" s="501" t="s">
        <v>1726</v>
      </c>
      <c r="C1353" s="502">
        <v>9682</v>
      </c>
      <c r="D1353" s="502">
        <v>20000</v>
      </c>
      <c r="E1353" s="502">
        <v>20000</v>
      </c>
      <c r="F1353" s="502">
        <v>20000</v>
      </c>
      <c r="G1353" s="501">
        <v>0</v>
      </c>
    </row>
    <row r="1354" spans="1:7" ht="15.75" customHeight="1" x14ac:dyDescent="0.2">
      <c r="A1354" s="500" t="s">
        <v>1727</v>
      </c>
      <c r="B1354" s="501" t="s">
        <v>86</v>
      </c>
      <c r="C1354" s="501">
        <v>0</v>
      </c>
      <c r="D1354" s="501">
        <v>0</v>
      </c>
      <c r="E1354" s="502">
        <v>1000</v>
      </c>
      <c r="F1354" s="502">
        <v>1000</v>
      </c>
      <c r="G1354" s="501">
        <v>0</v>
      </c>
    </row>
    <row r="1355" spans="1:7" ht="15.75" customHeight="1" x14ac:dyDescent="0.2">
      <c r="A1355" s="500" t="s">
        <v>1728</v>
      </c>
      <c r="B1355" s="501" t="s">
        <v>88</v>
      </c>
      <c r="C1355" s="502">
        <v>6144</v>
      </c>
      <c r="D1355" s="502">
        <v>18000</v>
      </c>
      <c r="E1355" s="502">
        <v>6644</v>
      </c>
      <c r="F1355" s="502">
        <v>6644</v>
      </c>
      <c r="G1355" s="501">
        <v>0</v>
      </c>
    </row>
    <row r="1356" spans="1:7" ht="15.75" customHeight="1" x14ac:dyDescent="0.2">
      <c r="A1356" s="500" t="s">
        <v>1729</v>
      </c>
      <c r="B1356" s="501" t="s">
        <v>90</v>
      </c>
      <c r="C1356" s="502">
        <v>45658.2</v>
      </c>
      <c r="D1356" s="502">
        <v>85800</v>
      </c>
      <c r="E1356" s="502">
        <v>45000</v>
      </c>
      <c r="F1356" s="502">
        <v>45000</v>
      </c>
      <c r="G1356" s="501">
        <v>0</v>
      </c>
    </row>
    <row r="1357" spans="1:7" ht="15.75" customHeight="1" x14ac:dyDescent="0.2">
      <c r="A1357" s="500" t="s">
        <v>1730</v>
      </c>
      <c r="B1357" s="501" t="s">
        <v>92</v>
      </c>
      <c r="C1357" s="502">
        <v>14265.26</v>
      </c>
      <c r="D1357" s="502">
        <v>18000</v>
      </c>
      <c r="E1357" s="502">
        <v>18000</v>
      </c>
      <c r="F1357" s="502">
        <v>18000</v>
      </c>
      <c r="G1357" s="501">
        <v>0</v>
      </c>
    </row>
    <row r="1358" spans="1:7" ht="15.75" customHeight="1" x14ac:dyDescent="0.2">
      <c r="A1358" s="500" t="s">
        <v>1731</v>
      </c>
      <c r="B1358" s="501" t="s">
        <v>1732</v>
      </c>
      <c r="C1358" s="502">
        <v>1804.6</v>
      </c>
      <c r="D1358" s="501">
        <v>0</v>
      </c>
      <c r="E1358" s="501">
        <v>0</v>
      </c>
      <c r="F1358" s="501">
        <v>0</v>
      </c>
      <c r="G1358" s="501">
        <v>0</v>
      </c>
    </row>
    <row r="1359" spans="1:7" ht="15.75" customHeight="1" x14ac:dyDescent="0.2">
      <c r="A1359" s="500" t="s">
        <v>1733</v>
      </c>
      <c r="B1359" s="501" t="s">
        <v>1011</v>
      </c>
      <c r="C1359" s="501">
        <v>0</v>
      </c>
      <c r="D1359" s="501">
        <v>0</v>
      </c>
      <c r="E1359" s="501">
        <v>0</v>
      </c>
      <c r="F1359" s="501">
        <v>0</v>
      </c>
      <c r="G1359" s="501">
        <v>0</v>
      </c>
    </row>
    <row r="1360" spans="1:7" ht="15.75" customHeight="1" x14ac:dyDescent="0.2">
      <c r="A1360" s="500" t="s">
        <v>1734</v>
      </c>
      <c r="B1360" s="501" t="s">
        <v>1735</v>
      </c>
      <c r="C1360" s="502">
        <v>2803.64</v>
      </c>
      <c r="D1360" s="502">
        <v>8000</v>
      </c>
      <c r="E1360" s="502">
        <v>8000</v>
      </c>
      <c r="F1360" s="502">
        <v>8000</v>
      </c>
      <c r="G1360" s="501">
        <v>0</v>
      </c>
    </row>
    <row r="1361" spans="1:7" ht="15.75" customHeight="1" x14ac:dyDescent="0.2">
      <c r="A1361" s="500" t="s">
        <v>1736</v>
      </c>
      <c r="B1361" s="501" t="s">
        <v>1737</v>
      </c>
      <c r="C1361" s="502">
        <v>2044.5</v>
      </c>
      <c r="D1361" s="502">
        <v>8000</v>
      </c>
      <c r="E1361" s="502">
        <v>9000</v>
      </c>
      <c r="F1361" s="502">
        <v>9000</v>
      </c>
      <c r="G1361" s="501">
        <v>0</v>
      </c>
    </row>
    <row r="1362" spans="1:7" ht="15.75" customHeight="1" x14ac:dyDescent="0.2">
      <c r="A1362" s="500" t="s">
        <v>1738</v>
      </c>
      <c r="B1362" s="501" t="s">
        <v>532</v>
      </c>
      <c r="C1362" s="501">
        <v>0</v>
      </c>
      <c r="D1362" s="501">
        <v>0</v>
      </c>
      <c r="E1362" s="501">
        <v>0</v>
      </c>
      <c r="F1362" s="501">
        <v>0</v>
      </c>
      <c r="G1362" s="501">
        <v>0</v>
      </c>
    </row>
    <row r="1363" spans="1:7" ht="15.75" customHeight="1" x14ac:dyDescent="0.2">
      <c r="A1363" s="500" t="s">
        <v>1739</v>
      </c>
      <c r="B1363" s="501" t="s">
        <v>1740</v>
      </c>
      <c r="C1363" s="501">
        <v>0</v>
      </c>
      <c r="D1363" s="501">
        <v>0</v>
      </c>
      <c r="E1363" s="501">
        <v>0</v>
      </c>
      <c r="F1363" s="501">
        <v>0</v>
      </c>
      <c r="G1363" s="501">
        <v>0</v>
      </c>
    </row>
    <row r="1364" spans="1:7" ht="15.75" customHeight="1" x14ac:dyDescent="0.2">
      <c r="A1364" s="500" t="s">
        <v>1741</v>
      </c>
      <c r="B1364" s="501" t="s">
        <v>99</v>
      </c>
      <c r="C1364" s="501">
        <v>0</v>
      </c>
      <c r="D1364" s="501">
        <v>0</v>
      </c>
      <c r="E1364" s="501">
        <v>0</v>
      </c>
      <c r="F1364" s="501">
        <v>0</v>
      </c>
      <c r="G1364" s="501">
        <v>0</v>
      </c>
    </row>
    <row r="1365" spans="1:7" ht="15.75" customHeight="1" x14ac:dyDescent="0.2">
      <c r="A1365" s="500" t="s">
        <v>2297</v>
      </c>
      <c r="B1365" s="501" t="s">
        <v>2298</v>
      </c>
      <c r="C1365" s="501">
        <v>0</v>
      </c>
      <c r="D1365" s="502">
        <v>503736</v>
      </c>
      <c r="E1365" s="502">
        <v>1996400</v>
      </c>
      <c r="F1365" s="502">
        <v>1996400</v>
      </c>
      <c r="G1365" s="501">
        <v>0</v>
      </c>
    </row>
    <row r="1366" spans="1:7" ht="15.75" customHeight="1" x14ac:dyDescent="0.2">
      <c r="A1366" s="500" t="s">
        <v>534</v>
      </c>
      <c r="B1366" s="501" t="s">
        <v>508</v>
      </c>
      <c r="C1366" s="501">
        <v>0</v>
      </c>
      <c r="D1366" s="501">
        <v>0</v>
      </c>
      <c r="E1366" s="501">
        <v>0</v>
      </c>
      <c r="F1366" s="501">
        <v>0</v>
      </c>
      <c r="G1366" s="501">
        <v>0</v>
      </c>
    </row>
    <row r="1367" spans="1:7" ht="15.75" customHeight="1" x14ac:dyDescent="0.2">
      <c r="A1367" s="500" t="s">
        <v>535</v>
      </c>
      <c r="B1367" s="501" t="s">
        <v>536</v>
      </c>
      <c r="C1367" s="502">
        <v>-132209.63</v>
      </c>
      <c r="D1367" s="502">
        <v>-237800</v>
      </c>
      <c r="E1367" s="502">
        <v>-237800</v>
      </c>
      <c r="F1367" s="502">
        <v>-237800</v>
      </c>
      <c r="G1367" s="501">
        <v>0</v>
      </c>
    </row>
    <row r="1368" spans="1:7" ht="15.75" customHeight="1" x14ac:dyDescent="0.2">
      <c r="A1368" s="500" t="s">
        <v>537</v>
      </c>
      <c r="B1368" s="501" t="s">
        <v>538</v>
      </c>
      <c r="C1368" s="501">
        <v>0</v>
      </c>
      <c r="D1368" s="501">
        <v>0</v>
      </c>
      <c r="E1368" s="501">
        <v>0</v>
      </c>
      <c r="F1368" s="501">
        <v>0</v>
      </c>
      <c r="G1368" s="501">
        <v>0</v>
      </c>
    </row>
    <row r="1369" spans="1:7" ht="15.75" customHeight="1" x14ac:dyDescent="0.2">
      <c r="A1369" s="500" t="s">
        <v>539</v>
      </c>
      <c r="B1369" s="501" t="s">
        <v>540</v>
      </c>
      <c r="C1369" s="501">
        <v>0</v>
      </c>
      <c r="D1369" s="501">
        <v>0</v>
      </c>
      <c r="E1369" s="501">
        <v>0</v>
      </c>
      <c r="F1369" s="501">
        <v>0</v>
      </c>
      <c r="G1369" s="501">
        <v>0</v>
      </c>
    </row>
    <row r="1370" spans="1:7" ht="15.75" customHeight="1" x14ac:dyDescent="0.2">
      <c r="A1370" s="500" t="s">
        <v>2299</v>
      </c>
      <c r="B1370" s="501" t="s">
        <v>1898</v>
      </c>
      <c r="C1370" s="501">
        <v>0</v>
      </c>
      <c r="D1370" s="502">
        <v>-177979</v>
      </c>
      <c r="E1370" s="502">
        <v>-190800</v>
      </c>
      <c r="F1370" s="502">
        <v>-184100</v>
      </c>
      <c r="G1370" s="502">
        <v>6700</v>
      </c>
    </row>
    <row r="1371" spans="1:7" ht="15.75" customHeight="1" x14ac:dyDescent="0.2">
      <c r="A1371" s="500" t="s">
        <v>2300</v>
      </c>
      <c r="B1371" s="501" t="s">
        <v>2301</v>
      </c>
      <c r="C1371" s="501">
        <v>0</v>
      </c>
      <c r="D1371" s="502">
        <v>-1000</v>
      </c>
      <c r="E1371" s="501">
        <v>0</v>
      </c>
      <c r="F1371" s="501">
        <v>0</v>
      </c>
      <c r="G1371" s="501">
        <v>0</v>
      </c>
    </row>
    <row r="1372" spans="1:7" ht="15.75" customHeight="1" x14ac:dyDescent="0.2">
      <c r="A1372" s="500" t="s">
        <v>2302</v>
      </c>
      <c r="B1372" s="501" t="s">
        <v>1766</v>
      </c>
      <c r="C1372" s="501">
        <v>0</v>
      </c>
      <c r="D1372" s="502">
        <v>-5429.5</v>
      </c>
      <c r="E1372" s="501">
        <v>0</v>
      </c>
      <c r="F1372" s="501">
        <v>0</v>
      </c>
      <c r="G1372" s="501">
        <v>0</v>
      </c>
    </row>
    <row r="1373" spans="1:7" ht="15.75" customHeight="1" x14ac:dyDescent="0.2">
      <c r="A1373" s="500" t="s">
        <v>513</v>
      </c>
      <c r="B1373" s="501" t="s">
        <v>68</v>
      </c>
      <c r="C1373" s="502">
        <v>162340.79999999999</v>
      </c>
      <c r="D1373" s="502">
        <v>215004.5</v>
      </c>
      <c r="E1373" s="502">
        <v>231100</v>
      </c>
      <c r="F1373" s="502">
        <v>231100</v>
      </c>
      <c r="G1373" s="501">
        <v>0</v>
      </c>
    </row>
    <row r="1374" spans="1:7" ht="15.75" customHeight="1" x14ac:dyDescent="0.2">
      <c r="A1374" s="500" t="s">
        <v>514</v>
      </c>
      <c r="B1374" s="501" t="s">
        <v>70</v>
      </c>
      <c r="C1374" s="501">
        <v>123.37</v>
      </c>
      <c r="D1374" s="501">
        <v>0</v>
      </c>
      <c r="E1374" s="502">
        <v>1000</v>
      </c>
      <c r="F1374" s="502">
        <v>1000</v>
      </c>
      <c r="G1374" s="501">
        <v>0</v>
      </c>
    </row>
    <row r="1375" spans="1:7" ht="15.75" customHeight="1" x14ac:dyDescent="0.2">
      <c r="A1375" s="500" t="s">
        <v>515</v>
      </c>
      <c r="B1375" s="501" t="s">
        <v>132</v>
      </c>
      <c r="C1375" s="502">
        <v>6624.53</v>
      </c>
      <c r="D1375" s="502">
        <v>11616</v>
      </c>
      <c r="E1375" s="502">
        <v>14100</v>
      </c>
      <c r="F1375" s="502">
        <v>14100</v>
      </c>
      <c r="G1375" s="501">
        <v>0</v>
      </c>
    </row>
    <row r="1376" spans="1:7" ht="15.75" customHeight="1" x14ac:dyDescent="0.2">
      <c r="A1376" s="500" t="s">
        <v>516</v>
      </c>
      <c r="B1376" s="501" t="s">
        <v>72</v>
      </c>
      <c r="C1376" s="502">
        <v>80547.88</v>
      </c>
      <c r="D1376" s="502">
        <v>125788</v>
      </c>
      <c r="E1376" s="502">
        <v>117800</v>
      </c>
      <c r="F1376" s="502">
        <v>117800</v>
      </c>
      <c r="G1376" s="501">
        <v>0</v>
      </c>
    </row>
    <row r="1377" spans="1:7" ht="15.75" customHeight="1" x14ac:dyDescent="0.2">
      <c r="A1377" s="500" t="s">
        <v>517</v>
      </c>
      <c r="B1377" s="501" t="s">
        <v>451</v>
      </c>
      <c r="C1377" s="501">
        <v>0</v>
      </c>
      <c r="D1377" s="501">
        <v>0</v>
      </c>
      <c r="E1377" s="501">
        <v>0</v>
      </c>
      <c r="F1377" s="501">
        <v>0</v>
      </c>
      <c r="G1377" s="501">
        <v>0</v>
      </c>
    </row>
    <row r="1378" spans="1:7" ht="15.75" customHeight="1" x14ac:dyDescent="0.2">
      <c r="A1378" s="500" t="s">
        <v>518</v>
      </c>
      <c r="B1378" s="501" t="s">
        <v>74</v>
      </c>
      <c r="C1378" s="501">
        <v>0</v>
      </c>
      <c r="D1378" s="501">
        <v>0</v>
      </c>
      <c r="E1378" s="502">
        <v>1000</v>
      </c>
      <c r="F1378" s="502">
        <v>1000</v>
      </c>
      <c r="G1378" s="501">
        <v>0</v>
      </c>
    </row>
    <row r="1379" spans="1:7" ht="15.75" customHeight="1" x14ac:dyDescent="0.2">
      <c r="A1379" s="500" t="s">
        <v>519</v>
      </c>
      <c r="B1379" s="501" t="s">
        <v>76</v>
      </c>
      <c r="C1379" s="502">
        <v>1701.06</v>
      </c>
      <c r="D1379" s="502">
        <v>9500</v>
      </c>
      <c r="E1379" s="502">
        <v>13300</v>
      </c>
      <c r="F1379" s="502">
        <v>10000</v>
      </c>
      <c r="G1379" s="502">
        <v>-3300</v>
      </c>
    </row>
    <row r="1380" spans="1:7" ht="15.75" customHeight="1" x14ac:dyDescent="0.2">
      <c r="A1380" s="500" t="s">
        <v>520</v>
      </c>
      <c r="B1380" s="501" t="s">
        <v>80</v>
      </c>
      <c r="C1380" s="502">
        <v>5295.63</v>
      </c>
      <c r="D1380" s="502">
        <v>8400</v>
      </c>
      <c r="E1380" s="502">
        <v>8400</v>
      </c>
      <c r="F1380" s="502">
        <v>8400</v>
      </c>
      <c r="G1380" s="501">
        <v>0</v>
      </c>
    </row>
    <row r="1381" spans="1:7" ht="15.75" customHeight="1" x14ac:dyDescent="0.2">
      <c r="A1381" s="500" t="s">
        <v>521</v>
      </c>
      <c r="B1381" s="501" t="s">
        <v>115</v>
      </c>
      <c r="C1381" s="501">
        <v>0</v>
      </c>
      <c r="D1381" s="502">
        <v>2500</v>
      </c>
      <c r="E1381" s="502">
        <v>4500</v>
      </c>
      <c r="F1381" s="502">
        <v>4500</v>
      </c>
      <c r="G1381" s="501">
        <v>0</v>
      </c>
    </row>
    <row r="1382" spans="1:7" ht="15.75" customHeight="1" x14ac:dyDescent="0.2">
      <c r="A1382" s="500" t="s">
        <v>522</v>
      </c>
      <c r="B1382" s="501" t="s">
        <v>523</v>
      </c>
      <c r="C1382" s="502">
        <v>6837.26</v>
      </c>
      <c r="D1382" s="502">
        <v>9800</v>
      </c>
      <c r="E1382" s="502">
        <v>6900</v>
      </c>
      <c r="F1382" s="502">
        <v>6900</v>
      </c>
      <c r="G1382" s="501">
        <v>0</v>
      </c>
    </row>
    <row r="1383" spans="1:7" ht="15.75" customHeight="1" x14ac:dyDescent="0.2">
      <c r="A1383" s="500" t="s">
        <v>524</v>
      </c>
      <c r="B1383" s="501" t="s">
        <v>277</v>
      </c>
      <c r="C1383" s="502">
        <v>6281.31</v>
      </c>
      <c r="D1383" s="502">
        <v>13400</v>
      </c>
      <c r="E1383" s="502">
        <v>13400</v>
      </c>
      <c r="F1383" s="502">
        <v>10000</v>
      </c>
      <c r="G1383" s="502">
        <v>-3400</v>
      </c>
    </row>
    <row r="1384" spans="1:7" ht="15.75" customHeight="1" x14ac:dyDescent="0.2">
      <c r="A1384" s="500" t="s">
        <v>525</v>
      </c>
      <c r="B1384" s="501" t="s">
        <v>84</v>
      </c>
      <c r="C1384" s="502">
        <v>3487.25</v>
      </c>
      <c r="D1384" s="502">
        <v>8400</v>
      </c>
      <c r="E1384" s="502">
        <v>7000</v>
      </c>
      <c r="F1384" s="502">
        <v>7000</v>
      </c>
      <c r="G1384" s="501">
        <v>0</v>
      </c>
    </row>
    <row r="1385" spans="1:7" ht="15.75" customHeight="1" x14ac:dyDescent="0.2">
      <c r="A1385" s="500" t="s">
        <v>526</v>
      </c>
      <c r="B1385" s="501" t="s">
        <v>86</v>
      </c>
      <c r="C1385" s="501">
        <v>99</v>
      </c>
      <c r="D1385" s="502">
        <v>5000</v>
      </c>
      <c r="E1385" s="502">
        <v>1000</v>
      </c>
      <c r="F1385" s="502">
        <v>1000</v>
      </c>
      <c r="G1385" s="501">
        <v>0</v>
      </c>
    </row>
    <row r="1386" spans="1:7" ht="15.75" customHeight="1" x14ac:dyDescent="0.2">
      <c r="A1386" s="500" t="s">
        <v>527</v>
      </c>
      <c r="B1386" s="501" t="s">
        <v>90</v>
      </c>
      <c r="C1386" s="502">
        <v>4432</v>
      </c>
      <c r="D1386" s="502">
        <v>9300</v>
      </c>
      <c r="E1386" s="502">
        <v>5500</v>
      </c>
      <c r="F1386" s="502">
        <v>5500</v>
      </c>
      <c r="G1386" s="501">
        <v>0</v>
      </c>
    </row>
    <row r="1387" spans="1:7" ht="15.75" customHeight="1" x14ac:dyDescent="0.2">
      <c r="A1387" s="500" t="s">
        <v>528</v>
      </c>
      <c r="B1387" s="501" t="s">
        <v>490</v>
      </c>
      <c r="C1387" s="501">
        <v>0</v>
      </c>
      <c r="D1387" s="501">
        <v>0</v>
      </c>
      <c r="E1387" s="501">
        <v>0</v>
      </c>
      <c r="F1387" s="501">
        <v>0</v>
      </c>
      <c r="G1387" s="501">
        <v>0</v>
      </c>
    </row>
    <row r="1388" spans="1:7" ht="15.75" customHeight="1" x14ac:dyDescent="0.2">
      <c r="A1388" s="500" t="s">
        <v>529</v>
      </c>
      <c r="B1388" s="501" t="s">
        <v>92</v>
      </c>
      <c r="C1388" s="502">
        <v>3845.57</v>
      </c>
      <c r="D1388" s="502">
        <v>3500</v>
      </c>
      <c r="E1388" s="502">
        <v>3600</v>
      </c>
      <c r="F1388" s="502">
        <v>3600</v>
      </c>
      <c r="G1388" s="501">
        <v>0</v>
      </c>
    </row>
    <row r="1389" spans="1:7" ht="15.75" customHeight="1" x14ac:dyDescent="0.2">
      <c r="A1389" s="500" t="s">
        <v>530</v>
      </c>
      <c r="B1389" s="501" t="s">
        <v>180</v>
      </c>
      <c r="C1389" s="501">
        <v>0</v>
      </c>
      <c r="D1389" s="501">
        <v>0</v>
      </c>
      <c r="E1389" s="501">
        <v>0</v>
      </c>
      <c r="F1389" s="501">
        <v>0</v>
      </c>
      <c r="G1389" s="501">
        <v>0</v>
      </c>
    </row>
    <row r="1390" spans="1:7" ht="15.75" customHeight="1" x14ac:dyDescent="0.2">
      <c r="A1390" s="500" t="s">
        <v>531</v>
      </c>
      <c r="B1390" s="501" t="s">
        <v>532</v>
      </c>
      <c r="C1390" s="501">
        <v>0</v>
      </c>
      <c r="D1390" s="501">
        <v>0</v>
      </c>
      <c r="E1390" s="501">
        <v>0</v>
      </c>
      <c r="F1390" s="501">
        <v>0</v>
      </c>
      <c r="G1390" s="501">
        <v>0</v>
      </c>
    </row>
    <row r="1391" spans="1:7" ht="15.75" customHeight="1" x14ac:dyDescent="0.2">
      <c r="A1391" s="500" t="s">
        <v>533</v>
      </c>
      <c r="B1391" s="501" t="s">
        <v>99</v>
      </c>
      <c r="C1391" s="501">
        <v>0</v>
      </c>
      <c r="D1391" s="501">
        <v>0</v>
      </c>
      <c r="E1391" s="501">
        <v>0</v>
      </c>
      <c r="F1391" s="501">
        <v>0</v>
      </c>
      <c r="G1391" s="501">
        <v>0</v>
      </c>
    </row>
    <row r="1392" spans="1:7" ht="15.75" customHeight="1" x14ac:dyDescent="0.2">
      <c r="A1392" s="500" t="s">
        <v>2303</v>
      </c>
      <c r="B1392" s="501" t="s">
        <v>2304</v>
      </c>
      <c r="C1392" s="502">
        <v>-40744.620000000003</v>
      </c>
      <c r="D1392" s="502">
        <v>-50000</v>
      </c>
      <c r="E1392" s="502">
        <v>-46000</v>
      </c>
      <c r="F1392" s="502">
        <v>-46000</v>
      </c>
      <c r="G1392" s="501">
        <v>0</v>
      </c>
    </row>
    <row r="1393" spans="1:7" ht="15.75" customHeight="1" x14ac:dyDescent="0.2">
      <c r="A1393" s="500" t="s">
        <v>2305</v>
      </c>
      <c r="B1393" s="501" t="s">
        <v>1898</v>
      </c>
      <c r="C1393" s="501">
        <v>0</v>
      </c>
      <c r="D1393" s="502">
        <v>-2213650</v>
      </c>
      <c r="E1393" s="502">
        <v>-2060104.46</v>
      </c>
      <c r="F1393" s="502">
        <v>-2060104.46</v>
      </c>
      <c r="G1393" s="501">
        <v>0</v>
      </c>
    </row>
    <row r="1394" spans="1:7" ht="15.75" customHeight="1" x14ac:dyDescent="0.2">
      <c r="A1394" s="500" t="s">
        <v>2306</v>
      </c>
      <c r="B1394" s="501" t="s">
        <v>2307</v>
      </c>
      <c r="C1394" s="501">
        <v>0</v>
      </c>
      <c r="D1394" s="501">
        <v>0</v>
      </c>
      <c r="E1394" s="501">
        <v>0</v>
      </c>
      <c r="F1394" s="501">
        <v>0</v>
      </c>
      <c r="G1394" s="501">
        <v>0</v>
      </c>
    </row>
    <row r="1395" spans="1:7" ht="15.75" customHeight="1" x14ac:dyDescent="0.2">
      <c r="A1395" s="500" t="s">
        <v>2308</v>
      </c>
      <c r="B1395" s="501" t="s">
        <v>2309</v>
      </c>
      <c r="C1395" s="501">
        <v>0</v>
      </c>
      <c r="D1395" s="502">
        <v>-260800</v>
      </c>
      <c r="E1395" s="502">
        <v>-260800</v>
      </c>
      <c r="F1395" s="502">
        <v>-260800</v>
      </c>
      <c r="G1395" s="501">
        <v>0</v>
      </c>
    </row>
    <row r="1396" spans="1:7" ht="15.75" customHeight="1" x14ac:dyDescent="0.2">
      <c r="A1396" s="500" t="s">
        <v>2310</v>
      </c>
      <c r="B1396" s="501" t="s">
        <v>2311</v>
      </c>
      <c r="C1396" s="502">
        <v>631693.67000000004</v>
      </c>
      <c r="D1396" s="502">
        <v>845100</v>
      </c>
      <c r="E1396" s="502">
        <v>756504.46</v>
      </c>
      <c r="F1396" s="502">
        <v>756504.46</v>
      </c>
      <c r="G1396" s="501">
        <v>0</v>
      </c>
    </row>
    <row r="1397" spans="1:7" ht="15.75" customHeight="1" x14ac:dyDescent="0.2">
      <c r="A1397" s="500" t="s">
        <v>2312</v>
      </c>
      <c r="B1397" s="501" t="s">
        <v>2313</v>
      </c>
      <c r="C1397" s="501">
        <v>0</v>
      </c>
      <c r="D1397" s="502">
        <v>95000</v>
      </c>
      <c r="E1397" s="502">
        <v>60000</v>
      </c>
      <c r="F1397" s="502">
        <v>60000</v>
      </c>
      <c r="G1397" s="501">
        <v>0</v>
      </c>
    </row>
    <row r="1398" spans="1:7" ht="15.75" customHeight="1" x14ac:dyDescent="0.2">
      <c r="A1398" s="500" t="s">
        <v>2314</v>
      </c>
      <c r="B1398" s="501" t="s">
        <v>2315</v>
      </c>
      <c r="C1398" s="501">
        <v>0</v>
      </c>
      <c r="D1398" s="502">
        <v>752000</v>
      </c>
      <c r="E1398" s="502">
        <v>770000</v>
      </c>
      <c r="F1398" s="502">
        <v>770000</v>
      </c>
      <c r="G1398" s="501">
        <v>0</v>
      </c>
    </row>
    <row r="1399" spans="1:7" ht="15.75" customHeight="1" x14ac:dyDescent="0.2">
      <c r="A1399" s="500" t="s">
        <v>2316</v>
      </c>
      <c r="B1399" s="501" t="s">
        <v>2317</v>
      </c>
      <c r="C1399" s="502">
        <v>23267.7</v>
      </c>
      <c r="D1399" s="502">
        <v>326700</v>
      </c>
      <c r="E1399" s="502">
        <v>300000</v>
      </c>
      <c r="F1399" s="502">
        <v>300000</v>
      </c>
      <c r="G1399" s="501">
        <v>0</v>
      </c>
    </row>
    <row r="1400" spans="1:7" ht="15.75" customHeight="1" x14ac:dyDescent="0.2">
      <c r="A1400" s="500" t="s">
        <v>2318</v>
      </c>
      <c r="B1400" s="501" t="s">
        <v>2319</v>
      </c>
      <c r="C1400" s="502">
        <v>1750</v>
      </c>
      <c r="D1400" s="502">
        <v>4000</v>
      </c>
      <c r="E1400" s="502">
        <v>4000</v>
      </c>
      <c r="F1400" s="502">
        <v>4000</v>
      </c>
      <c r="G1400" s="501">
        <v>0</v>
      </c>
    </row>
    <row r="1401" spans="1:7" ht="15.75" customHeight="1" x14ac:dyDescent="0.2">
      <c r="A1401" s="500" t="s">
        <v>2320</v>
      </c>
      <c r="B1401" s="501" t="s">
        <v>2321</v>
      </c>
      <c r="C1401" s="501">
        <v>0</v>
      </c>
      <c r="D1401" s="502">
        <v>76500</v>
      </c>
      <c r="E1401" s="502">
        <v>52500</v>
      </c>
      <c r="F1401" s="502">
        <v>52500</v>
      </c>
      <c r="G1401" s="501">
        <v>0</v>
      </c>
    </row>
    <row r="1402" spans="1:7" ht="15.75" customHeight="1" x14ac:dyDescent="0.2">
      <c r="A1402" s="500" t="s">
        <v>2322</v>
      </c>
      <c r="B1402" s="501" t="s">
        <v>2323</v>
      </c>
      <c r="C1402" s="501">
        <v>0</v>
      </c>
      <c r="D1402" s="502">
        <v>3000</v>
      </c>
      <c r="E1402" s="502">
        <v>3000</v>
      </c>
      <c r="F1402" s="502">
        <v>3000</v>
      </c>
      <c r="G1402" s="501">
        <v>0</v>
      </c>
    </row>
    <row r="1403" spans="1:7" ht="15.75" customHeight="1" x14ac:dyDescent="0.2">
      <c r="A1403" s="500" t="s">
        <v>2324</v>
      </c>
      <c r="B1403" s="501" t="s">
        <v>2315</v>
      </c>
      <c r="C1403" s="501">
        <v>0</v>
      </c>
      <c r="D1403" s="502">
        <v>185000</v>
      </c>
      <c r="E1403" s="502">
        <v>190000</v>
      </c>
      <c r="F1403" s="502">
        <v>190000</v>
      </c>
      <c r="G1403" s="501">
        <v>0</v>
      </c>
    </row>
    <row r="1404" spans="1:7" ht="15.75" customHeight="1" x14ac:dyDescent="0.2">
      <c r="A1404" s="500" t="s">
        <v>2325</v>
      </c>
      <c r="B1404" s="501" t="s">
        <v>2317</v>
      </c>
      <c r="C1404" s="502">
        <v>118575</v>
      </c>
      <c r="D1404" s="502">
        <v>237150</v>
      </c>
      <c r="E1404" s="502">
        <v>227900</v>
      </c>
      <c r="F1404" s="502">
        <v>227900</v>
      </c>
      <c r="G1404" s="501">
        <v>0</v>
      </c>
    </row>
    <row r="1405" spans="1:7" ht="15.75" customHeight="1" x14ac:dyDescent="0.2">
      <c r="A1405" s="500" t="s">
        <v>2326</v>
      </c>
      <c r="B1405" s="501" t="s">
        <v>2319</v>
      </c>
      <c r="C1405" s="502">
        <v>5500</v>
      </c>
      <c r="D1405" s="501">
        <v>0</v>
      </c>
      <c r="E1405" s="502">
        <v>3000</v>
      </c>
      <c r="F1405" s="502">
        <v>3000</v>
      </c>
      <c r="G1405" s="501">
        <v>0</v>
      </c>
    </row>
    <row r="1406" spans="1:7" ht="15.75" customHeight="1" x14ac:dyDescent="0.2">
      <c r="A1406" s="500" t="s">
        <v>2327</v>
      </c>
      <c r="B1406" s="501" t="s">
        <v>1851</v>
      </c>
      <c r="C1406" s="501">
        <v>0</v>
      </c>
      <c r="D1406" s="502">
        <v>-1158914</v>
      </c>
      <c r="E1406" s="502">
        <v>-40000</v>
      </c>
      <c r="F1406" s="502">
        <v>-40000</v>
      </c>
      <c r="G1406" s="501">
        <v>0</v>
      </c>
    </row>
    <row r="1407" spans="1:7" ht="15.75" customHeight="1" x14ac:dyDescent="0.2">
      <c r="A1407" s="500" t="s">
        <v>2328</v>
      </c>
      <c r="B1407" s="501" t="s">
        <v>2019</v>
      </c>
      <c r="C1407" s="502">
        <v>-10695</v>
      </c>
      <c r="D1407" s="501">
        <v>0</v>
      </c>
      <c r="E1407" s="502">
        <v>-119500</v>
      </c>
      <c r="F1407" s="502">
        <v>-119500</v>
      </c>
      <c r="G1407" s="501">
        <v>0</v>
      </c>
    </row>
    <row r="1408" spans="1:7" ht="15.75" customHeight="1" x14ac:dyDescent="0.2">
      <c r="A1408" s="500" t="s">
        <v>1429</v>
      </c>
      <c r="B1408" s="501" t="s">
        <v>1420</v>
      </c>
      <c r="C1408" s="502">
        <v>-14000</v>
      </c>
      <c r="D1408" s="502">
        <v>-10000</v>
      </c>
      <c r="E1408" s="502">
        <v>-230000</v>
      </c>
      <c r="F1408" s="502">
        <v>-290000</v>
      </c>
      <c r="G1408" s="502">
        <v>-60000</v>
      </c>
    </row>
    <row r="1409" spans="1:7" ht="15.75" customHeight="1" x14ac:dyDescent="0.2">
      <c r="A1409" s="500" t="s">
        <v>2329</v>
      </c>
      <c r="B1409" s="501" t="s">
        <v>1945</v>
      </c>
      <c r="C1409" s="502">
        <v>-71260.09</v>
      </c>
      <c r="D1409" s="502">
        <v>-25700</v>
      </c>
      <c r="E1409" s="501">
        <v>0</v>
      </c>
      <c r="F1409" s="501">
        <v>0</v>
      </c>
      <c r="G1409" s="501">
        <v>0</v>
      </c>
    </row>
    <row r="1410" spans="1:7" ht="15.75" customHeight="1" x14ac:dyDescent="0.2">
      <c r="A1410" s="500" t="s">
        <v>2330</v>
      </c>
      <c r="B1410" s="501" t="s">
        <v>2331</v>
      </c>
      <c r="C1410" s="501">
        <v>0</v>
      </c>
      <c r="D1410" s="502">
        <v>-8000</v>
      </c>
      <c r="E1410" s="502">
        <v>-6000</v>
      </c>
      <c r="F1410" s="502">
        <v>-6000</v>
      </c>
      <c r="G1410" s="501">
        <v>0</v>
      </c>
    </row>
    <row r="1411" spans="1:7" ht="15.75" customHeight="1" x14ac:dyDescent="0.2">
      <c r="A1411" s="500" t="s">
        <v>2332</v>
      </c>
      <c r="B1411" s="501" t="s">
        <v>1898</v>
      </c>
      <c r="C1411" s="501">
        <v>0</v>
      </c>
      <c r="D1411" s="502">
        <v>-4182813</v>
      </c>
      <c r="E1411" s="502">
        <v>-3504350</v>
      </c>
      <c r="F1411" s="502">
        <v>-2613700</v>
      </c>
      <c r="G1411" s="502">
        <v>890650</v>
      </c>
    </row>
    <row r="1412" spans="1:7" ht="15.75" customHeight="1" x14ac:dyDescent="0.2">
      <c r="A1412" s="500" t="s">
        <v>2333</v>
      </c>
      <c r="B1412" s="501" t="s">
        <v>2334</v>
      </c>
      <c r="C1412" s="501">
        <v>0</v>
      </c>
      <c r="D1412" s="502">
        <v>-35000</v>
      </c>
      <c r="E1412" s="501">
        <v>0</v>
      </c>
      <c r="F1412" s="501">
        <v>0</v>
      </c>
      <c r="G1412" s="501">
        <v>0</v>
      </c>
    </row>
    <row r="1413" spans="1:7" ht="15.75" customHeight="1" x14ac:dyDescent="0.2">
      <c r="A1413" s="500" t="s">
        <v>2335</v>
      </c>
      <c r="B1413" s="501" t="s">
        <v>2336</v>
      </c>
      <c r="C1413" s="501">
        <v>0</v>
      </c>
      <c r="D1413" s="502">
        <v>-124000</v>
      </c>
      <c r="E1413" s="501">
        <v>0</v>
      </c>
      <c r="F1413" s="501">
        <v>0</v>
      </c>
      <c r="G1413" s="501">
        <v>0</v>
      </c>
    </row>
    <row r="1414" spans="1:7" ht="15.75" customHeight="1" x14ac:dyDescent="0.2">
      <c r="A1414" s="500" t="s">
        <v>2337</v>
      </c>
      <c r="B1414" s="501" t="s">
        <v>2309</v>
      </c>
      <c r="C1414" s="501">
        <v>0</v>
      </c>
      <c r="D1414" s="502">
        <v>-30000</v>
      </c>
      <c r="E1414" s="501">
        <v>0</v>
      </c>
      <c r="F1414" s="501">
        <v>0</v>
      </c>
      <c r="G1414" s="501">
        <v>0</v>
      </c>
    </row>
    <row r="1415" spans="1:7" ht="15.75" customHeight="1" x14ac:dyDescent="0.2">
      <c r="A1415" s="500" t="s">
        <v>2338</v>
      </c>
      <c r="B1415" s="501" t="s">
        <v>2034</v>
      </c>
      <c r="C1415" s="501">
        <v>0</v>
      </c>
      <c r="D1415" s="502">
        <v>-433300</v>
      </c>
      <c r="E1415" s="502">
        <v>-10000</v>
      </c>
      <c r="F1415" s="502">
        <v>-10000</v>
      </c>
      <c r="G1415" s="501">
        <v>0</v>
      </c>
    </row>
    <row r="1416" spans="1:7" ht="15.75" customHeight="1" x14ac:dyDescent="0.2">
      <c r="A1416" s="500" t="s">
        <v>2339</v>
      </c>
      <c r="B1416" s="501" t="s">
        <v>2189</v>
      </c>
      <c r="C1416" s="501">
        <v>0</v>
      </c>
      <c r="D1416" s="502">
        <v>-100000</v>
      </c>
      <c r="E1416" s="501">
        <v>0</v>
      </c>
      <c r="F1416" s="501">
        <v>0</v>
      </c>
      <c r="G1416" s="501">
        <v>0</v>
      </c>
    </row>
    <row r="1417" spans="1:7" ht="15.75" customHeight="1" x14ac:dyDescent="0.2">
      <c r="A1417" s="500" t="s">
        <v>1311</v>
      </c>
      <c r="B1417" s="501" t="s">
        <v>1312</v>
      </c>
      <c r="C1417" s="501">
        <v>0</v>
      </c>
      <c r="D1417" s="502">
        <v>-798775</v>
      </c>
      <c r="E1417" s="502">
        <v>-920000</v>
      </c>
      <c r="F1417" s="502">
        <v>-920000</v>
      </c>
      <c r="G1417" s="501">
        <v>0</v>
      </c>
    </row>
    <row r="1418" spans="1:7" ht="15.75" customHeight="1" x14ac:dyDescent="0.2">
      <c r="A1418" s="500" t="s">
        <v>2340</v>
      </c>
      <c r="B1418" s="501" t="s">
        <v>2041</v>
      </c>
      <c r="C1418" s="501">
        <v>0</v>
      </c>
      <c r="D1418" s="502">
        <v>-4940900</v>
      </c>
      <c r="E1418" s="502">
        <v>-3219700</v>
      </c>
      <c r="F1418" s="502">
        <v>-3219700</v>
      </c>
      <c r="G1418" s="501">
        <v>0</v>
      </c>
    </row>
    <row r="1419" spans="1:7" ht="15.75" customHeight="1" x14ac:dyDescent="0.2">
      <c r="A1419" s="500" t="s">
        <v>2341</v>
      </c>
      <c r="B1419" s="501" t="s">
        <v>2043</v>
      </c>
      <c r="C1419" s="501">
        <v>0</v>
      </c>
      <c r="D1419" s="502">
        <v>-30189</v>
      </c>
      <c r="E1419" s="501">
        <v>0</v>
      </c>
      <c r="F1419" s="501">
        <v>0</v>
      </c>
      <c r="G1419" s="501">
        <v>0</v>
      </c>
    </row>
    <row r="1420" spans="1:7" ht="15.75" customHeight="1" x14ac:dyDescent="0.2">
      <c r="A1420" s="500" t="s">
        <v>2342</v>
      </c>
      <c r="B1420" s="501" t="s">
        <v>1766</v>
      </c>
      <c r="C1420" s="501">
        <v>0</v>
      </c>
      <c r="D1420" s="502">
        <v>-390200</v>
      </c>
      <c r="E1420" s="501">
        <v>0</v>
      </c>
      <c r="F1420" s="501">
        <v>0</v>
      </c>
      <c r="G1420" s="501">
        <v>0</v>
      </c>
    </row>
    <row r="1421" spans="1:7" ht="15.75" customHeight="1" x14ac:dyDescent="0.2">
      <c r="A1421" s="500" t="s">
        <v>179</v>
      </c>
      <c r="B1421" s="501" t="s">
        <v>180</v>
      </c>
      <c r="C1421" s="502">
        <v>24443.45</v>
      </c>
      <c r="D1421" s="502">
        <v>21360.19</v>
      </c>
      <c r="E1421" s="501">
        <v>0</v>
      </c>
      <c r="F1421" s="501">
        <v>0</v>
      </c>
      <c r="G1421" s="501">
        <v>0</v>
      </c>
    </row>
    <row r="1422" spans="1:7" ht="15.75" customHeight="1" x14ac:dyDescent="0.2">
      <c r="A1422" s="500" t="s">
        <v>181</v>
      </c>
      <c r="B1422" s="501" t="s">
        <v>99</v>
      </c>
      <c r="C1422" s="501">
        <v>0</v>
      </c>
      <c r="D1422" s="502">
        <v>3800</v>
      </c>
      <c r="E1422" s="501">
        <v>0</v>
      </c>
      <c r="F1422" s="501">
        <v>0</v>
      </c>
      <c r="G1422" s="501">
        <v>0</v>
      </c>
    </row>
    <row r="1423" spans="1:7" ht="15.75" customHeight="1" x14ac:dyDescent="0.2">
      <c r="A1423" s="500" t="s">
        <v>1529</v>
      </c>
      <c r="B1423" s="501" t="s">
        <v>99</v>
      </c>
      <c r="C1423" s="502">
        <v>134990.75</v>
      </c>
      <c r="D1423" s="502">
        <v>155000</v>
      </c>
      <c r="E1423" s="502">
        <v>51500</v>
      </c>
      <c r="F1423" s="502">
        <v>51500</v>
      </c>
      <c r="G1423" s="501">
        <v>0</v>
      </c>
    </row>
    <row r="1424" spans="1:7" ht="15.75" customHeight="1" x14ac:dyDescent="0.2">
      <c r="A1424" s="500" t="s">
        <v>341</v>
      </c>
      <c r="B1424" s="501" t="s">
        <v>99</v>
      </c>
      <c r="C1424" s="501">
        <v>0</v>
      </c>
      <c r="D1424" s="502">
        <v>35000</v>
      </c>
      <c r="E1424" s="502">
        <v>36100</v>
      </c>
      <c r="F1424" s="501">
        <v>0</v>
      </c>
      <c r="G1424" s="502">
        <v>-36100</v>
      </c>
    </row>
    <row r="1425" spans="1:7" ht="15.75" customHeight="1" x14ac:dyDescent="0.2">
      <c r="A1425" s="500" t="s">
        <v>2343</v>
      </c>
      <c r="B1425" s="501" t="s">
        <v>532</v>
      </c>
      <c r="C1425" s="502">
        <v>5784.2</v>
      </c>
      <c r="D1425" s="502">
        <v>78800</v>
      </c>
      <c r="E1425" s="502">
        <v>16600</v>
      </c>
      <c r="F1425" s="502">
        <v>16600</v>
      </c>
      <c r="G1425" s="501">
        <v>0</v>
      </c>
    </row>
    <row r="1426" spans="1:7" ht="15.75" customHeight="1" x14ac:dyDescent="0.2">
      <c r="A1426" s="500" t="s">
        <v>1558</v>
      </c>
      <c r="B1426" s="501" t="s">
        <v>99</v>
      </c>
      <c r="C1426" s="502">
        <v>18390</v>
      </c>
      <c r="D1426" s="502">
        <v>16000</v>
      </c>
      <c r="E1426" s="502">
        <v>84600</v>
      </c>
      <c r="F1426" s="502">
        <v>24600</v>
      </c>
      <c r="G1426" s="502">
        <v>-60000</v>
      </c>
    </row>
    <row r="1427" spans="1:7" ht="15.75" customHeight="1" x14ac:dyDescent="0.2">
      <c r="A1427" s="500" t="s">
        <v>2344</v>
      </c>
      <c r="B1427" s="501" t="s">
        <v>99</v>
      </c>
      <c r="C1427" s="502">
        <v>125000</v>
      </c>
      <c r="D1427" s="502">
        <v>255000</v>
      </c>
      <c r="E1427" s="501">
        <v>0</v>
      </c>
      <c r="F1427" s="501">
        <v>0</v>
      </c>
      <c r="G1427" s="501">
        <v>0</v>
      </c>
    </row>
    <row r="1428" spans="1:7" ht="15.75" customHeight="1" x14ac:dyDescent="0.2">
      <c r="A1428" s="500" t="s">
        <v>616</v>
      </c>
      <c r="B1428" s="501" t="s">
        <v>617</v>
      </c>
      <c r="C1428" s="502">
        <v>372500</v>
      </c>
      <c r="D1428" s="502">
        <v>372500</v>
      </c>
      <c r="E1428" s="501">
        <v>0</v>
      </c>
      <c r="F1428" s="501">
        <v>0</v>
      </c>
      <c r="G1428" s="501">
        <v>0</v>
      </c>
    </row>
    <row r="1429" spans="1:7" ht="15.75" customHeight="1" x14ac:dyDescent="0.2">
      <c r="A1429" s="500" t="s">
        <v>615</v>
      </c>
      <c r="B1429" s="501" t="s">
        <v>532</v>
      </c>
      <c r="C1429" s="502">
        <v>9339.58</v>
      </c>
      <c r="D1429" s="502">
        <v>50000</v>
      </c>
      <c r="E1429" s="502">
        <v>100000</v>
      </c>
      <c r="F1429" s="502">
        <v>100000</v>
      </c>
      <c r="G1429" s="501">
        <v>0</v>
      </c>
    </row>
    <row r="1430" spans="1:7" ht="15.75" customHeight="1" x14ac:dyDescent="0.2">
      <c r="A1430" s="500" t="s">
        <v>618</v>
      </c>
      <c r="B1430" s="501" t="s">
        <v>99</v>
      </c>
      <c r="C1430" s="502">
        <v>222851.89</v>
      </c>
      <c r="D1430" s="502">
        <v>243100</v>
      </c>
      <c r="E1430" s="502">
        <v>65000</v>
      </c>
      <c r="F1430" s="502">
        <v>65000</v>
      </c>
      <c r="G1430" s="501">
        <v>0</v>
      </c>
    </row>
    <row r="1431" spans="1:7" ht="15.75" customHeight="1" x14ac:dyDescent="0.2">
      <c r="A1431" s="500" t="s">
        <v>2345</v>
      </c>
      <c r="B1431" s="501" t="s">
        <v>99</v>
      </c>
      <c r="C1431" s="501">
        <v>0</v>
      </c>
      <c r="D1431" s="502">
        <v>28000</v>
      </c>
      <c r="E1431" s="501">
        <v>0</v>
      </c>
      <c r="F1431" s="501">
        <v>0</v>
      </c>
      <c r="G1431" s="501">
        <v>0</v>
      </c>
    </row>
    <row r="1432" spans="1:7" ht="15.75" customHeight="1" x14ac:dyDescent="0.2">
      <c r="A1432" s="500" t="s">
        <v>2346</v>
      </c>
      <c r="B1432" s="501" t="s">
        <v>99</v>
      </c>
      <c r="C1432" s="501">
        <v>0</v>
      </c>
      <c r="D1432" s="502">
        <v>9700</v>
      </c>
      <c r="E1432" s="501">
        <v>0</v>
      </c>
      <c r="F1432" s="501">
        <v>0</v>
      </c>
      <c r="G1432" s="501">
        <v>0</v>
      </c>
    </row>
    <row r="1433" spans="1:7" ht="15.75" customHeight="1" x14ac:dyDescent="0.2">
      <c r="A1433" s="500" t="s">
        <v>1024</v>
      </c>
      <c r="B1433" s="501" t="s">
        <v>180</v>
      </c>
      <c r="C1433" s="502">
        <v>5366</v>
      </c>
      <c r="D1433" s="502">
        <v>45000</v>
      </c>
      <c r="E1433" s="501">
        <v>0</v>
      </c>
      <c r="F1433" s="501">
        <v>0</v>
      </c>
      <c r="G1433" s="501">
        <v>0</v>
      </c>
    </row>
    <row r="1434" spans="1:7" ht="15.75" customHeight="1" x14ac:dyDescent="0.2">
      <c r="A1434" s="500" t="s">
        <v>1025</v>
      </c>
      <c r="B1434" s="501" t="s">
        <v>99</v>
      </c>
      <c r="C1434" s="502">
        <v>181004.45</v>
      </c>
      <c r="D1434" s="502">
        <v>782400</v>
      </c>
      <c r="E1434" s="502">
        <v>1048500</v>
      </c>
      <c r="F1434" s="502">
        <v>1048500</v>
      </c>
      <c r="G1434" s="501">
        <v>0</v>
      </c>
    </row>
    <row r="1435" spans="1:7" ht="15.75" customHeight="1" x14ac:dyDescent="0.2">
      <c r="A1435" s="500" t="s">
        <v>1233</v>
      </c>
      <c r="B1435" s="501" t="s">
        <v>532</v>
      </c>
      <c r="C1435" s="501">
        <v>0</v>
      </c>
      <c r="D1435" s="502">
        <v>50000</v>
      </c>
      <c r="E1435" s="501">
        <v>0</v>
      </c>
      <c r="F1435" s="501">
        <v>0</v>
      </c>
      <c r="G1435" s="501">
        <v>0</v>
      </c>
    </row>
    <row r="1436" spans="1:7" ht="15.75" customHeight="1" x14ac:dyDescent="0.2">
      <c r="A1436" s="500" t="s">
        <v>1234</v>
      </c>
      <c r="B1436" s="501" t="s">
        <v>99</v>
      </c>
      <c r="C1436" s="501">
        <v>0</v>
      </c>
      <c r="D1436" s="502">
        <v>3750</v>
      </c>
      <c r="E1436" s="502">
        <v>23750</v>
      </c>
      <c r="F1436" s="501">
        <v>0</v>
      </c>
      <c r="G1436" s="502">
        <v>-23750</v>
      </c>
    </row>
    <row r="1437" spans="1:7" ht="15.75" customHeight="1" x14ac:dyDescent="0.2">
      <c r="A1437" s="500" t="s">
        <v>1393</v>
      </c>
      <c r="B1437" s="501" t="s">
        <v>1394</v>
      </c>
      <c r="C1437" s="501">
        <v>0</v>
      </c>
      <c r="D1437" s="502">
        <v>50000</v>
      </c>
      <c r="E1437" s="502">
        <v>50000</v>
      </c>
      <c r="F1437" s="502">
        <v>25000</v>
      </c>
      <c r="G1437" s="502">
        <v>-25000</v>
      </c>
    </row>
    <row r="1438" spans="1:7" ht="15.75" customHeight="1" x14ac:dyDescent="0.2">
      <c r="A1438" s="500" t="s">
        <v>1396</v>
      </c>
      <c r="B1438" s="501" t="s">
        <v>99</v>
      </c>
      <c r="C1438" s="502">
        <v>560029.54</v>
      </c>
      <c r="D1438" s="502">
        <v>968655</v>
      </c>
      <c r="E1438" s="502">
        <v>1273000</v>
      </c>
      <c r="F1438" s="502">
        <v>1033000</v>
      </c>
      <c r="G1438" s="502">
        <v>-240000</v>
      </c>
    </row>
    <row r="1439" spans="1:7" ht="15.75" customHeight="1" x14ac:dyDescent="0.2">
      <c r="A1439" s="500" t="s">
        <v>1397</v>
      </c>
      <c r="B1439" s="501" t="s">
        <v>1398</v>
      </c>
      <c r="C1439" s="502">
        <v>2078113.07</v>
      </c>
      <c r="D1439" s="502">
        <v>5390500</v>
      </c>
      <c r="E1439" s="502">
        <v>3219700</v>
      </c>
      <c r="F1439" s="502">
        <v>3219700</v>
      </c>
      <c r="G1439" s="501">
        <v>0</v>
      </c>
    </row>
    <row r="1440" spans="1:7" ht="15.75" customHeight="1" x14ac:dyDescent="0.2">
      <c r="A1440" s="500" t="s">
        <v>1399</v>
      </c>
      <c r="B1440" s="501" t="s">
        <v>1400</v>
      </c>
      <c r="C1440" s="501">
        <v>39.75</v>
      </c>
      <c r="D1440" s="502">
        <v>697500</v>
      </c>
      <c r="E1440" s="502">
        <v>500000</v>
      </c>
      <c r="F1440" s="502">
        <v>500000</v>
      </c>
      <c r="G1440" s="501">
        <v>0</v>
      </c>
    </row>
    <row r="1441" spans="1:7" ht="15.75" customHeight="1" x14ac:dyDescent="0.2">
      <c r="A1441" s="500" t="s">
        <v>1484</v>
      </c>
      <c r="B1441" s="501" t="s">
        <v>99</v>
      </c>
      <c r="C1441" s="502">
        <v>55781.01</v>
      </c>
      <c r="D1441" s="502">
        <v>63000</v>
      </c>
      <c r="E1441" s="502">
        <v>61000</v>
      </c>
      <c r="F1441" s="502">
        <v>46000</v>
      </c>
      <c r="G1441" s="502">
        <v>-15000</v>
      </c>
    </row>
    <row r="1442" spans="1:7" ht="15.75" customHeight="1" x14ac:dyDescent="0.2">
      <c r="A1442" s="500" t="s">
        <v>1293</v>
      </c>
      <c r="B1442" s="501" t="s">
        <v>532</v>
      </c>
      <c r="C1442" s="502">
        <v>1239.1099999999999</v>
      </c>
      <c r="D1442" s="502">
        <v>1891604</v>
      </c>
      <c r="E1442" s="502">
        <v>1000000</v>
      </c>
      <c r="F1442" s="502">
        <v>1000000</v>
      </c>
      <c r="G1442" s="501">
        <v>0</v>
      </c>
    </row>
    <row r="1443" spans="1:7" ht="15.75" customHeight="1" x14ac:dyDescent="0.2">
      <c r="A1443" s="500" t="s">
        <v>2347</v>
      </c>
      <c r="B1443" s="501" t="s">
        <v>180</v>
      </c>
      <c r="C1443" s="502">
        <v>1020</v>
      </c>
      <c r="D1443" s="501">
        <v>0</v>
      </c>
      <c r="E1443" s="501">
        <v>0</v>
      </c>
      <c r="F1443" s="501">
        <v>0</v>
      </c>
      <c r="G1443" s="501">
        <v>0</v>
      </c>
    </row>
    <row r="1444" spans="1:7" ht="15.75" customHeight="1" x14ac:dyDescent="0.2">
      <c r="A1444" s="500" t="s">
        <v>2348</v>
      </c>
      <c r="B1444" s="501" t="s">
        <v>532</v>
      </c>
      <c r="C1444" s="502">
        <v>1707.5</v>
      </c>
      <c r="D1444" s="502">
        <v>206357</v>
      </c>
      <c r="E1444" s="501">
        <v>0</v>
      </c>
      <c r="F1444" s="501">
        <v>0</v>
      </c>
      <c r="G1444" s="501">
        <v>0</v>
      </c>
    </row>
    <row r="1445" spans="1:7" ht="15.75" customHeight="1" x14ac:dyDescent="0.2">
      <c r="A1445" s="500" t="s">
        <v>2349</v>
      </c>
      <c r="B1445" s="501" t="s">
        <v>99</v>
      </c>
      <c r="C1445" s="502">
        <v>51615.72</v>
      </c>
      <c r="D1445" s="502">
        <v>625430</v>
      </c>
      <c r="E1445" s="502">
        <v>430800</v>
      </c>
      <c r="F1445" s="501">
        <v>0</v>
      </c>
      <c r="G1445" s="502">
        <v>-430800</v>
      </c>
    </row>
    <row r="1446" spans="1:7" ht="15.75" customHeight="1" x14ac:dyDescent="0.2">
      <c r="A1446" s="500" t="s">
        <v>1845</v>
      </c>
      <c r="B1446" s="501" t="s">
        <v>532</v>
      </c>
      <c r="C1446" s="501">
        <v>0</v>
      </c>
      <c r="D1446" s="502">
        <v>30000</v>
      </c>
      <c r="E1446" s="501">
        <v>0</v>
      </c>
      <c r="F1446" s="501">
        <v>0</v>
      </c>
      <c r="G1446" s="501">
        <v>0</v>
      </c>
    </row>
    <row r="1447" spans="1:7" ht="15.75" customHeight="1" x14ac:dyDescent="0.2">
      <c r="A1447" s="500" t="s">
        <v>1882</v>
      </c>
      <c r="B1447" s="501" t="s">
        <v>99</v>
      </c>
      <c r="C1447" s="502">
        <v>11450</v>
      </c>
      <c r="D1447" s="502">
        <v>23200</v>
      </c>
      <c r="E1447" s="502">
        <v>89000</v>
      </c>
      <c r="F1447" s="502">
        <v>89000</v>
      </c>
      <c r="G1447" s="501">
        <v>0</v>
      </c>
    </row>
    <row r="1448" spans="1:7" ht="15.75" customHeight="1" x14ac:dyDescent="0.2">
      <c r="A1448" s="500" t="s">
        <v>2350</v>
      </c>
      <c r="B1448" s="501" t="s">
        <v>99</v>
      </c>
      <c r="C1448" s="502">
        <v>44684.800000000003</v>
      </c>
      <c r="D1448" s="502">
        <v>173995</v>
      </c>
      <c r="E1448" s="501">
        <v>0</v>
      </c>
      <c r="F1448" s="501">
        <v>0</v>
      </c>
      <c r="G1448" s="501">
        <v>0</v>
      </c>
    </row>
    <row r="1449" spans="1:7" ht="15.75" customHeight="1" x14ac:dyDescent="0.2">
      <c r="A1449" s="500" t="s">
        <v>1300</v>
      </c>
      <c r="B1449" s="501" t="s">
        <v>1299</v>
      </c>
      <c r="C1449" s="501">
        <v>0</v>
      </c>
      <c r="D1449" s="502">
        <v>-25000</v>
      </c>
      <c r="E1449" s="502">
        <v>-120000</v>
      </c>
      <c r="F1449" s="502">
        <v>-120000</v>
      </c>
      <c r="G1449" s="501">
        <v>0</v>
      </c>
    </row>
    <row r="1450" spans="1:7" ht="15.75" customHeight="1" x14ac:dyDescent="0.2">
      <c r="A1450" s="500" t="s">
        <v>2351</v>
      </c>
      <c r="B1450" s="501" t="s">
        <v>2352</v>
      </c>
      <c r="C1450" s="502">
        <v>-12500</v>
      </c>
      <c r="D1450" s="501">
        <v>0</v>
      </c>
      <c r="E1450" s="501">
        <v>0</v>
      </c>
      <c r="F1450" s="501">
        <v>0</v>
      </c>
      <c r="G1450" s="501">
        <v>0</v>
      </c>
    </row>
    <row r="1451" spans="1:7" ht="15.75" customHeight="1" x14ac:dyDescent="0.2">
      <c r="A1451" s="500" t="s">
        <v>1174</v>
      </c>
      <c r="B1451" s="501" t="s">
        <v>1175</v>
      </c>
      <c r="C1451" s="501">
        <v>0</v>
      </c>
      <c r="D1451" s="501">
        <v>0</v>
      </c>
      <c r="E1451" s="501">
        <v>0</v>
      </c>
      <c r="F1451" s="502">
        <v>-65000</v>
      </c>
      <c r="G1451" s="502">
        <v>-65000</v>
      </c>
    </row>
    <row r="1452" spans="1:7" ht="15.75" customHeight="1" x14ac:dyDescent="0.2">
      <c r="A1452" s="500" t="s">
        <v>2353</v>
      </c>
      <c r="B1452" s="501" t="s">
        <v>2307</v>
      </c>
      <c r="C1452" s="501">
        <v>0</v>
      </c>
      <c r="D1452" s="502">
        <v>-2481791</v>
      </c>
      <c r="E1452" s="502">
        <v>-356250</v>
      </c>
      <c r="F1452" s="502">
        <v>-120000</v>
      </c>
      <c r="G1452" s="502">
        <v>236250</v>
      </c>
    </row>
    <row r="1453" spans="1:7" ht="15.75" customHeight="1" x14ac:dyDescent="0.2">
      <c r="A1453" s="500" t="s">
        <v>1313</v>
      </c>
      <c r="B1453" s="501" t="s">
        <v>1310</v>
      </c>
      <c r="C1453" s="501">
        <v>0</v>
      </c>
      <c r="D1453" s="502">
        <v>-272025</v>
      </c>
      <c r="E1453" s="502">
        <v>-2760000</v>
      </c>
      <c r="F1453" s="502">
        <v>-2760000</v>
      </c>
      <c r="G1453" s="501">
        <v>0</v>
      </c>
    </row>
    <row r="1454" spans="1:7" ht="15.75" customHeight="1" x14ac:dyDescent="0.2">
      <c r="A1454" s="500" t="s">
        <v>1163</v>
      </c>
      <c r="B1454" s="501" t="s">
        <v>99</v>
      </c>
      <c r="C1454" s="502">
        <v>127595.14</v>
      </c>
      <c r="D1454" s="502">
        <v>150000</v>
      </c>
      <c r="E1454" s="502">
        <v>165000</v>
      </c>
      <c r="F1454" s="502">
        <v>65000</v>
      </c>
      <c r="G1454" s="502">
        <v>-100000</v>
      </c>
    </row>
    <row r="1455" spans="1:7" ht="15.75" customHeight="1" x14ac:dyDescent="0.2">
      <c r="A1455" s="500" t="s">
        <v>2354</v>
      </c>
      <c r="B1455" s="501" t="s">
        <v>532</v>
      </c>
      <c r="C1455" s="502">
        <v>2268.42</v>
      </c>
      <c r="D1455" s="502">
        <v>214000</v>
      </c>
      <c r="E1455" s="501">
        <v>0</v>
      </c>
      <c r="F1455" s="501">
        <v>0</v>
      </c>
      <c r="G1455" s="501">
        <v>0</v>
      </c>
    </row>
    <row r="1456" spans="1:7" ht="15.75" customHeight="1" x14ac:dyDescent="0.2">
      <c r="A1456" s="500" t="s">
        <v>2355</v>
      </c>
      <c r="B1456" s="501" t="s">
        <v>99</v>
      </c>
      <c r="C1456" s="502">
        <v>147549</v>
      </c>
      <c r="D1456" s="502">
        <v>461250</v>
      </c>
      <c r="E1456" s="502">
        <v>71250</v>
      </c>
      <c r="F1456" s="501">
        <v>0</v>
      </c>
      <c r="G1456" s="502">
        <v>-71250</v>
      </c>
    </row>
    <row r="1457" spans="1:7" ht="15.75" customHeight="1" x14ac:dyDescent="0.2">
      <c r="A1457" s="500" t="s">
        <v>2356</v>
      </c>
      <c r="B1457" s="501" t="s">
        <v>99</v>
      </c>
      <c r="C1457" s="502">
        <v>143737</v>
      </c>
      <c r="D1457" s="502">
        <v>550000</v>
      </c>
      <c r="E1457" s="501">
        <v>0</v>
      </c>
      <c r="F1457" s="501">
        <v>0</v>
      </c>
      <c r="G1457" s="501">
        <v>0</v>
      </c>
    </row>
    <row r="1458" spans="1:7" ht="15.75" customHeight="1" x14ac:dyDescent="0.2">
      <c r="A1458" s="500" t="s">
        <v>2357</v>
      </c>
      <c r="B1458" s="501" t="s">
        <v>1400</v>
      </c>
      <c r="C1458" s="501">
        <v>119.25</v>
      </c>
      <c r="D1458" s="502">
        <v>292500</v>
      </c>
      <c r="E1458" s="501">
        <v>0</v>
      </c>
      <c r="F1458" s="501">
        <v>0</v>
      </c>
      <c r="G1458" s="501">
        <v>0</v>
      </c>
    </row>
    <row r="1459" spans="1:7" ht="15.75" customHeight="1" x14ac:dyDescent="0.2">
      <c r="A1459" s="500" t="s">
        <v>1290</v>
      </c>
      <c r="B1459" s="501" t="s">
        <v>532</v>
      </c>
      <c r="C1459" s="501">
        <v>0</v>
      </c>
      <c r="D1459" s="502">
        <v>50000</v>
      </c>
      <c r="E1459" s="502">
        <v>3000000</v>
      </c>
      <c r="F1459" s="502">
        <v>3000000</v>
      </c>
      <c r="G1459" s="501">
        <v>0</v>
      </c>
    </row>
    <row r="1460" spans="1:7" ht="15.75" customHeight="1" x14ac:dyDescent="0.2">
      <c r="A1460" s="500" t="s">
        <v>1291</v>
      </c>
      <c r="B1460" s="501" t="s">
        <v>1398</v>
      </c>
      <c r="C1460" s="502">
        <v>637084.72</v>
      </c>
      <c r="D1460" s="502">
        <v>1061066</v>
      </c>
      <c r="E1460" s="501">
        <v>0</v>
      </c>
      <c r="F1460" s="501">
        <v>0</v>
      </c>
      <c r="G1460" s="501">
        <v>0</v>
      </c>
    </row>
    <row r="1461" spans="1:7" ht="15.75" customHeight="1" x14ac:dyDescent="0.2">
      <c r="A1461" s="500" t="s">
        <v>2358</v>
      </c>
      <c r="B1461" s="501" t="s">
        <v>1743</v>
      </c>
      <c r="C1461" s="502">
        <v>-102721.08</v>
      </c>
      <c r="D1461" s="502">
        <v>-1224455</v>
      </c>
      <c r="E1461" s="502">
        <v>-12500</v>
      </c>
      <c r="F1461" s="502">
        <v>-12500</v>
      </c>
      <c r="G1461" s="501">
        <v>0</v>
      </c>
    </row>
    <row r="1462" spans="1:7" ht="15.75" customHeight="1" x14ac:dyDescent="0.2">
      <c r="A1462" s="500" t="s">
        <v>2359</v>
      </c>
      <c r="B1462" s="501" t="s">
        <v>1747</v>
      </c>
      <c r="C1462" s="501">
        <v>0</v>
      </c>
      <c r="D1462" s="502">
        <v>-863287</v>
      </c>
      <c r="E1462" s="502">
        <v>-225000</v>
      </c>
      <c r="F1462" s="502">
        <v>-225000</v>
      </c>
      <c r="G1462" s="501">
        <v>0</v>
      </c>
    </row>
    <row r="1463" spans="1:7" ht="15.75" customHeight="1" x14ac:dyDescent="0.2">
      <c r="A1463" s="500" t="s">
        <v>2360</v>
      </c>
      <c r="B1463" s="501" t="s">
        <v>2361</v>
      </c>
      <c r="C1463" s="501">
        <v>0</v>
      </c>
      <c r="D1463" s="502">
        <v>-503736</v>
      </c>
      <c r="E1463" s="502">
        <v>-1996400</v>
      </c>
      <c r="F1463" s="502">
        <v>-1996400</v>
      </c>
      <c r="G1463" s="501">
        <v>0</v>
      </c>
    </row>
    <row r="1464" spans="1:7" ht="15.75" customHeight="1" x14ac:dyDescent="0.2">
      <c r="A1464" s="500" t="s">
        <v>2362</v>
      </c>
      <c r="B1464" s="501" t="s">
        <v>532</v>
      </c>
      <c r="C1464" s="502">
        <v>72838.44</v>
      </c>
      <c r="D1464" s="502">
        <v>2276229</v>
      </c>
      <c r="E1464" s="502">
        <v>875000</v>
      </c>
      <c r="F1464" s="502">
        <v>875000</v>
      </c>
      <c r="G1464" s="501">
        <v>0</v>
      </c>
    </row>
    <row r="1465" spans="1:7" ht="15.75" customHeight="1" x14ac:dyDescent="0.2">
      <c r="A1465" s="500" t="s">
        <v>2363</v>
      </c>
      <c r="B1465" s="501" t="s">
        <v>99</v>
      </c>
      <c r="C1465" s="502">
        <v>17085.5</v>
      </c>
      <c r="D1465" s="502">
        <v>315249</v>
      </c>
      <c r="E1465" s="502">
        <v>1358900</v>
      </c>
      <c r="F1465" s="502">
        <v>1358900</v>
      </c>
      <c r="G1465" s="501">
        <v>0</v>
      </c>
    </row>
    <row r="1466" spans="1:7" ht="15.75" customHeight="1" x14ac:dyDescent="0.2">
      <c r="A1466" s="500" t="s">
        <v>2364</v>
      </c>
      <c r="B1466" s="501" t="s">
        <v>2365</v>
      </c>
      <c r="C1466" s="502">
        <v>-47914.31</v>
      </c>
      <c r="D1466" s="501">
        <v>0</v>
      </c>
      <c r="E1466" s="502">
        <v>-700000</v>
      </c>
      <c r="F1466" s="502">
        <v>-700000</v>
      </c>
      <c r="G1466" s="501">
        <v>0</v>
      </c>
    </row>
    <row r="1467" spans="1:7" ht="15.75" customHeight="1" x14ac:dyDescent="0.2">
      <c r="A1467" s="500" t="s">
        <v>2366</v>
      </c>
      <c r="B1467" s="501" t="s">
        <v>2129</v>
      </c>
      <c r="C1467" s="502">
        <v>-17336.900000000001</v>
      </c>
      <c r="D1467" s="501">
        <v>0</v>
      </c>
      <c r="E1467" s="502">
        <v>-10000</v>
      </c>
      <c r="F1467" s="502">
        <v>-10000</v>
      </c>
      <c r="G1467" s="501">
        <v>0</v>
      </c>
    </row>
    <row r="1468" spans="1:7" ht="15.75" customHeight="1" x14ac:dyDescent="0.2">
      <c r="A1468" s="500" t="s">
        <v>2367</v>
      </c>
      <c r="B1468" s="501" t="s">
        <v>2368</v>
      </c>
      <c r="C1468" s="501">
        <v>0</v>
      </c>
      <c r="D1468" s="502">
        <v>-1000000</v>
      </c>
      <c r="E1468" s="501">
        <v>0</v>
      </c>
      <c r="F1468" s="501">
        <v>0</v>
      </c>
      <c r="G1468" s="501">
        <v>0</v>
      </c>
    </row>
    <row r="1469" spans="1:7" ht="15.75" customHeight="1" x14ac:dyDescent="0.2">
      <c r="A1469" s="500" t="s">
        <v>2369</v>
      </c>
      <c r="B1469" s="501" t="s">
        <v>1851</v>
      </c>
      <c r="C1469" s="501">
        <v>0</v>
      </c>
      <c r="D1469" s="502">
        <v>-2000000</v>
      </c>
      <c r="E1469" s="501">
        <v>0</v>
      </c>
      <c r="F1469" s="501">
        <v>0</v>
      </c>
      <c r="G1469" s="501">
        <v>0</v>
      </c>
    </row>
    <row r="1470" spans="1:7" ht="15.75" customHeight="1" x14ac:dyDescent="0.2">
      <c r="A1470" s="500" t="s">
        <v>2370</v>
      </c>
      <c r="B1470" s="501" t="s">
        <v>1752</v>
      </c>
      <c r="C1470" s="502">
        <v>-71703.31</v>
      </c>
      <c r="D1470" s="501">
        <v>0</v>
      </c>
      <c r="E1470" s="502">
        <v>-50000</v>
      </c>
      <c r="F1470" s="502">
        <v>-50000</v>
      </c>
      <c r="G1470" s="501">
        <v>0</v>
      </c>
    </row>
    <row r="1471" spans="1:7" ht="15.75" customHeight="1" x14ac:dyDescent="0.2">
      <c r="A1471" s="500" t="s">
        <v>2371</v>
      </c>
      <c r="B1471" s="501" t="s">
        <v>2372</v>
      </c>
      <c r="C1471" s="501">
        <v>0</v>
      </c>
      <c r="D1471" s="501">
        <v>0</v>
      </c>
      <c r="E1471" s="501">
        <v>0</v>
      </c>
      <c r="F1471" s="501">
        <v>0</v>
      </c>
      <c r="G1471" s="501">
        <v>0</v>
      </c>
    </row>
    <row r="1472" spans="1:7" ht="15.75" customHeight="1" x14ac:dyDescent="0.2">
      <c r="A1472" s="500" t="s">
        <v>2373</v>
      </c>
      <c r="B1472" s="501" t="s">
        <v>1898</v>
      </c>
      <c r="C1472" s="501">
        <v>0</v>
      </c>
      <c r="D1472" s="502">
        <v>-3000000</v>
      </c>
      <c r="E1472" s="501">
        <v>0</v>
      </c>
      <c r="F1472" s="501">
        <v>0</v>
      </c>
      <c r="G1472" s="501">
        <v>0</v>
      </c>
    </row>
    <row r="1473" spans="1:7" ht="15.75" customHeight="1" x14ac:dyDescent="0.2">
      <c r="A1473" s="500" t="s">
        <v>2374</v>
      </c>
      <c r="B1473" s="501" t="s">
        <v>2043</v>
      </c>
      <c r="C1473" s="501">
        <v>0</v>
      </c>
      <c r="D1473" s="502">
        <v>-500000</v>
      </c>
      <c r="E1473" s="501">
        <v>0</v>
      </c>
      <c r="F1473" s="501">
        <v>0</v>
      </c>
      <c r="G1473" s="501">
        <v>0</v>
      </c>
    </row>
    <row r="1474" spans="1:7" ht="15.75" customHeight="1" x14ac:dyDescent="0.2">
      <c r="A1474" s="500" t="s">
        <v>2375</v>
      </c>
      <c r="B1474" s="501" t="s">
        <v>1766</v>
      </c>
      <c r="C1474" s="501">
        <v>0</v>
      </c>
      <c r="D1474" s="502">
        <v>-6010000</v>
      </c>
      <c r="E1474" s="501">
        <v>0</v>
      </c>
      <c r="F1474" s="501">
        <v>0</v>
      </c>
      <c r="G1474" s="501">
        <v>0</v>
      </c>
    </row>
    <row r="1475" spans="1:7" ht="15.75" customHeight="1" x14ac:dyDescent="0.2">
      <c r="A1475" s="500" t="s">
        <v>2376</v>
      </c>
      <c r="B1475" s="501" t="s">
        <v>2377</v>
      </c>
      <c r="C1475" s="502">
        <v>9417598.7699999996</v>
      </c>
      <c r="D1475" s="502">
        <v>9510000</v>
      </c>
      <c r="E1475" s="502">
        <v>760000</v>
      </c>
      <c r="F1475" s="502">
        <v>760000</v>
      </c>
      <c r="G1475" s="501">
        <v>0</v>
      </c>
    </row>
    <row r="1476" spans="1:7" ht="15.75" customHeight="1" x14ac:dyDescent="0.2">
      <c r="A1476" s="500" t="s">
        <v>2378</v>
      </c>
      <c r="B1476" s="501" t="s">
        <v>1840</v>
      </c>
      <c r="C1476" s="501">
        <v>0</v>
      </c>
      <c r="D1476" s="502">
        <v>3000000</v>
      </c>
      <c r="E1476" s="501">
        <v>0</v>
      </c>
      <c r="F1476" s="501">
        <v>0</v>
      </c>
      <c r="G1476" s="501">
        <v>0</v>
      </c>
    </row>
    <row r="1477" spans="1:7" ht="15.75" customHeight="1" x14ac:dyDescent="0.2">
      <c r="A1477" s="500" t="s">
        <v>2379</v>
      </c>
      <c r="B1477" s="501" t="s">
        <v>1988</v>
      </c>
      <c r="C1477" s="501">
        <v>0</v>
      </c>
      <c r="D1477" s="502">
        <v>-6903391</v>
      </c>
      <c r="E1477" s="502">
        <v>-4773000</v>
      </c>
      <c r="F1477" s="502">
        <v>-4773000</v>
      </c>
      <c r="G1477" s="501">
        <v>0</v>
      </c>
    </row>
    <row r="1478" spans="1:7" ht="15.75" customHeight="1" x14ac:dyDescent="0.2">
      <c r="A1478" s="500" t="s">
        <v>2380</v>
      </c>
      <c r="B1478" s="501" t="s">
        <v>1898</v>
      </c>
      <c r="C1478" s="501">
        <v>0</v>
      </c>
      <c r="D1478" s="502">
        <v>-9346</v>
      </c>
      <c r="E1478" s="501">
        <v>0</v>
      </c>
      <c r="F1478" s="501">
        <v>0</v>
      </c>
      <c r="G1478" s="501">
        <v>0</v>
      </c>
    </row>
    <row r="1479" spans="1:7" ht="15.75" customHeight="1" x14ac:dyDescent="0.2">
      <c r="A1479" s="500" t="s">
        <v>2381</v>
      </c>
      <c r="B1479" s="501" t="s">
        <v>86</v>
      </c>
      <c r="C1479" s="501">
        <v>0</v>
      </c>
      <c r="D1479" s="502">
        <v>20000</v>
      </c>
      <c r="E1479" s="502">
        <v>20000</v>
      </c>
      <c r="F1479" s="502">
        <v>20000</v>
      </c>
      <c r="G1479" s="501">
        <v>0</v>
      </c>
    </row>
    <row r="1480" spans="1:7" ht="15.75" customHeight="1" x14ac:dyDescent="0.2">
      <c r="A1480" s="500" t="s">
        <v>2382</v>
      </c>
      <c r="B1480" s="501" t="s">
        <v>88</v>
      </c>
      <c r="C1480" s="501">
        <v>0</v>
      </c>
      <c r="D1480" s="502">
        <v>56700</v>
      </c>
      <c r="E1480" s="502">
        <v>56700</v>
      </c>
      <c r="F1480" s="502">
        <v>56700</v>
      </c>
      <c r="G1480" s="501">
        <v>0</v>
      </c>
    </row>
    <row r="1481" spans="1:7" ht="15.75" customHeight="1" x14ac:dyDescent="0.2">
      <c r="A1481" s="500" t="s">
        <v>2383</v>
      </c>
      <c r="B1481" s="501" t="s">
        <v>86</v>
      </c>
      <c r="C1481" s="502">
        <v>68736.600000000006</v>
      </c>
      <c r="D1481" s="502">
        <v>105500</v>
      </c>
      <c r="E1481" s="502">
        <v>45000</v>
      </c>
      <c r="F1481" s="502">
        <v>45000</v>
      </c>
      <c r="G1481" s="501">
        <v>0</v>
      </c>
    </row>
    <row r="1482" spans="1:7" ht="15.75" customHeight="1" x14ac:dyDescent="0.2">
      <c r="A1482" s="500" t="s">
        <v>2384</v>
      </c>
      <c r="B1482" s="501" t="s">
        <v>99</v>
      </c>
      <c r="C1482" s="502">
        <v>6261.94</v>
      </c>
      <c r="D1482" s="502">
        <v>9346</v>
      </c>
      <c r="E1482" s="501">
        <v>0</v>
      </c>
      <c r="F1482" s="501">
        <v>0</v>
      </c>
      <c r="G1482" s="501">
        <v>0</v>
      </c>
    </row>
    <row r="1483" spans="1:7" ht="15.75" customHeight="1" x14ac:dyDescent="0.2">
      <c r="A1483" s="500" t="s">
        <v>2385</v>
      </c>
      <c r="B1483" s="501" t="s">
        <v>86</v>
      </c>
      <c r="C1483" s="502">
        <v>28503.51</v>
      </c>
      <c r="D1483" s="502">
        <v>29000</v>
      </c>
      <c r="E1483" s="501">
        <v>0</v>
      </c>
      <c r="F1483" s="501">
        <v>0</v>
      </c>
      <c r="G1483" s="501">
        <v>0</v>
      </c>
    </row>
    <row r="1484" spans="1:7" ht="15.75" customHeight="1" x14ac:dyDescent="0.2">
      <c r="A1484" s="500" t="s">
        <v>2386</v>
      </c>
      <c r="B1484" s="501" t="s">
        <v>99</v>
      </c>
      <c r="C1484" s="502">
        <v>84399.11</v>
      </c>
      <c r="D1484" s="502">
        <v>127291</v>
      </c>
      <c r="E1484" s="502">
        <v>40900</v>
      </c>
      <c r="F1484" s="502">
        <v>40900</v>
      </c>
      <c r="G1484" s="501">
        <v>0</v>
      </c>
    </row>
    <row r="1485" spans="1:7" ht="15.75" customHeight="1" x14ac:dyDescent="0.2">
      <c r="A1485" s="500" t="s">
        <v>2387</v>
      </c>
      <c r="B1485" s="501" t="s">
        <v>99</v>
      </c>
      <c r="C1485" s="502">
        <v>17168</v>
      </c>
      <c r="D1485" s="502">
        <v>17200</v>
      </c>
      <c r="E1485" s="501">
        <v>0</v>
      </c>
      <c r="F1485" s="501">
        <v>0</v>
      </c>
      <c r="G1485" s="501">
        <v>0</v>
      </c>
    </row>
    <row r="1486" spans="1:7" ht="15.75" customHeight="1" x14ac:dyDescent="0.2">
      <c r="A1486" s="500" t="s">
        <v>2388</v>
      </c>
      <c r="B1486" s="501" t="s">
        <v>88</v>
      </c>
      <c r="C1486" s="502">
        <v>4252.05</v>
      </c>
      <c r="D1486" s="502">
        <v>114500</v>
      </c>
      <c r="E1486" s="502">
        <v>19900</v>
      </c>
      <c r="F1486" s="502">
        <v>19900</v>
      </c>
      <c r="G1486" s="501">
        <v>0</v>
      </c>
    </row>
    <row r="1487" spans="1:7" ht="15.75" customHeight="1" x14ac:dyDescent="0.2">
      <c r="A1487" s="500" t="s">
        <v>2389</v>
      </c>
      <c r="B1487" s="501" t="s">
        <v>99</v>
      </c>
      <c r="C1487" s="501">
        <v>0</v>
      </c>
      <c r="D1487" s="502">
        <v>385000</v>
      </c>
      <c r="E1487" s="502">
        <v>385000</v>
      </c>
      <c r="F1487" s="502">
        <v>385000</v>
      </c>
      <c r="G1487" s="501">
        <v>0</v>
      </c>
    </row>
    <row r="1488" spans="1:7" ht="15.75" customHeight="1" x14ac:dyDescent="0.2">
      <c r="A1488" s="500" t="s">
        <v>2390</v>
      </c>
      <c r="B1488" s="501" t="s">
        <v>88</v>
      </c>
      <c r="C1488" s="502">
        <v>3585</v>
      </c>
      <c r="D1488" s="502">
        <v>31800</v>
      </c>
      <c r="E1488" s="502">
        <v>28300</v>
      </c>
      <c r="F1488" s="502">
        <v>28300</v>
      </c>
      <c r="G1488" s="501">
        <v>0</v>
      </c>
    </row>
    <row r="1489" spans="1:7" ht="15.75" customHeight="1" x14ac:dyDescent="0.2">
      <c r="A1489" s="500" t="s">
        <v>2391</v>
      </c>
      <c r="B1489" s="501" t="s">
        <v>532</v>
      </c>
      <c r="C1489" s="502">
        <v>49750.01</v>
      </c>
      <c r="D1489" s="502">
        <v>50000</v>
      </c>
      <c r="E1489" s="501">
        <v>0</v>
      </c>
      <c r="F1489" s="501">
        <v>0</v>
      </c>
      <c r="G1489" s="501">
        <v>0</v>
      </c>
    </row>
    <row r="1490" spans="1:7" ht="15.75" customHeight="1" x14ac:dyDescent="0.2">
      <c r="A1490" s="500" t="s">
        <v>2392</v>
      </c>
      <c r="B1490" s="501" t="s">
        <v>532</v>
      </c>
      <c r="C1490" s="502">
        <v>445289.35</v>
      </c>
      <c r="D1490" s="502">
        <v>489400</v>
      </c>
      <c r="E1490" s="502">
        <v>332200</v>
      </c>
      <c r="F1490" s="502">
        <v>332200</v>
      </c>
      <c r="G1490" s="501">
        <v>0</v>
      </c>
    </row>
    <row r="1491" spans="1:7" ht="15.75" customHeight="1" x14ac:dyDescent="0.2">
      <c r="A1491" s="500" t="s">
        <v>2393</v>
      </c>
      <c r="B1491" s="501" t="s">
        <v>1840</v>
      </c>
      <c r="C1491" s="501">
        <v>0</v>
      </c>
      <c r="D1491" s="502">
        <v>120000</v>
      </c>
      <c r="E1491" s="502">
        <v>217400</v>
      </c>
      <c r="F1491" s="502">
        <v>217400</v>
      </c>
      <c r="G1491" s="501">
        <v>0</v>
      </c>
    </row>
    <row r="1492" spans="1:7" ht="15.75" customHeight="1" x14ac:dyDescent="0.2">
      <c r="A1492" s="500" t="s">
        <v>2394</v>
      </c>
      <c r="B1492" s="501" t="s">
        <v>1844</v>
      </c>
      <c r="C1492" s="501">
        <v>0</v>
      </c>
      <c r="D1492" s="502">
        <v>4940900</v>
      </c>
      <c r="E1492" s="502">
        <v>3219700</v>
      </c>
      <c r="F1492" s="502">
        <v>3219700</v>
      </c>
      <c r="G1492" s="501">
        <v>0</v>
      </c>
    </row>
    <row r="1493" spans="1:7" ht="15.75" customHeight="1" x14ac:dyDescent="0.2">
      <c r="A1493" s="500" t="s">
        <v>2395</v>
      </c>
      <c r="B1493" s="501" t="s">
        <v>94</v>
      </c>
      <c r="C1493" s="502">
        <v>2626</v>
      </c>
      <c r="D1493" s="502">
        <v>411100</v>
      </c>
      <c r="E1493" s="502">
        <v>402900</v>
      </c>
      <c r="F1493" s="502">
        <v>402900</v>
      </c>
      <c r="G1493" s="501">
        <v>0</v>
      </c>
    </row>
    <row r="1494" spans="1:7" ht="15.75" customHeight="1" x14ac:dyDescent="0.2">
      <c r="A1494" s="500" t="s">
        <v>2396</v>
      </c>
      <c r="B1494" s="501" t="s">
        <v>88</v>
      </c>
      <c r="C1494" s="501">
        <v>0</v>
      </c>
      <c r="D1494" s="502">
        <v>5000</v>
      </c>
      <c r="E1494" s="502">
        <v>5000</v>
      </c>
      <c r="F1494" s="502">
        <v>5000</v>
      </c>
      <c r="G1494" s="501">
        <v>0</v>
      </c>
    </row>
    <row r="1495" spans="1:7" ht="15.75" customHeight="1" x14ac:dyDescent="0.2">
      <c r="A1495" s="500" t="s">
        <v>2397</v>
      </c>
      <c r="B1495" s="501" t="s">
        <v>2398</v>
      </c>
      <c r="C1495" s="502">
        <v>-27468</v>
      </c>
      <c r="D1495" s="502">
        <v>-20000</v>
      </c>
      <c r="E1495" s="502">
        <v>-20000</v>
      </c>
      <c r="F1495" s="502">
        <v>-20000</v>
      </c>
      <c r="G1495" s="501">
        <v>0</v>
      </c>
    </row>
    <row r="1496" spans="1:7" ht="15.75" customHeight="1" x14ac:dyDescent="0.2">
      <c r="A1496" s="500" t="s">
        <v>2399</v>
      </c>
      <c r="B1496" s="501" t="s">
        <v>2400</v>
      </c>
      <c r="C1496" s="502">
        <v>-53279.61</v>
      </c>
      <c r="D1496" s="502">
        <v>-100000</v>
      </c>
      <c r="E1496" s="502">
        <v>-100000</v>
      </c>
      <c r="F1496" s="502">
        <v>-100000</v>
      </c>
      <c r="G1496" s="501">
        <v>0</v>
      </c>
    </row>
    <row r="1497" spans="1:7" ht="15.75" customHeight="1" x14ac:dyDescent="0.2">
      <c r="A1497" s="500" t="s">
        <v>2401</v>
      </c>
      <c r="B1497" s="501" t="s">
        <v>1752</v>
      </c>
      <c r="C1497" s="502">
        <v>-12224.43</v>
      </c>
      <c r="D1497" s="502">
        <v>-1000</v>
      </c>
      <c r="E1497" s="502">
        <v>-1000</v>
      </c>
      <c r="F1497" s="502">
        <v>-1000</v>
      </c>
      <c r="G1497" s="501">
        <v>0</v>
      </c>
    </row>
    <row r="1498" spans="1:7" ht="15.75" customHeight="1" x14ac:dyDescent="0.2">
      <c r="A1498" s="500" t="s">
        <v>2402</v>
      </c>
      <c r="B1498" s="501" t="s">
        <v>1840</v>
      </c>
      <c r="C1498" s="501">
        <v>0</v>
      </c>
      <c r="D1498" s="502">
        <v>121000</v>
      </c>
      <c r="E1498" s="502">
        <v>121000</v>
      </c>
      <c r="F1498" s="502">
        <v>121000</v>
      </c>
      <c r="G1498" s="501">
        <v>0</v>
      </c>
    </row>
    <row r="1499" spans="1:7" ht="15.75" customHeight="1" x14ac:dyDescent="0.2">
      <c r="A1499" s="500" t="s">
        <v>2403</v>
      </c>
      <c r="B1499" s="501" t="s">
        <v>2404</v>
      </c>
      <c r="C1499" s="501">
        <v>0</v>
      </c>
      <c r="D1499" s="501">
        <v>0</v>
      </c>
      <c r="E1499" s="501">
        <v>0</v>
      </c>
      <c r="F1499" s="501">
        <v>0</v>
      </c>
      <c r="G1499" s="501">
        <v>0</v>
      </c>
    </row>
    <row r="1500" spans="1:7" ht="15.75" customHeight="1" x14ac:dyDescent="0.2">
      <c r="A1500" s="500" t="s">
        <v>2405</v>
      </c>
      <c r="B1500" s="501" t="s">
        <v>1752</v>
      </c>
      <c r="C1500" s="502">
        <v>-9284.52</v>
      </c>
      <c r="D1500" s="501">
        <v>-500</v>
      </c>
      <c r="E1500" s="501">
        <v>-500</v>
      </c>
      <c r="F1500" s="501">
        <v>-500</v>
      </c>
      <c r="G1500" s="501">
        <v>0</v>
      </c>
    </row>
    <row r="1501" spans="1:7" ht="15.75" customHeight="1" x14ac:dyDescent="0.2">
      <c r="A1501" s="500" t="s">
        <v>2406</v>
      </c>
      <c r="B1501" s="501" t="s">
        <v>1898</v>
      </c>
      <c r="C1501" s="501">
        <v>0</v>
      </c>
      <c r="D1501" s="502">
        <v>-5000</v>
      </c>
      <c r="E1501" s="501">
        <v>0</v>
      </c>
      <c r="F1501" s="501">
        <v>0</v>
      </c>
      <c r="G1501" s="501">
        <v>0</v>
      </c>
    </row>
    <row r="1502" spans="1:7" ht="15.75" customHeight="1" x14ac:dyDescent="0.2">
      <c r="A1502" s="500" t="s">
        <v>2407</v>
      </c>
      <c r="B1502" s="501" t="s">
        <v>2408</v>
      </c>
      <c r="C1502" s="502">
        <v>-500525</v>
      </c>
      <c r="D1502" s="501">
        <v>0</v>
      </c>
      <c r="E1502" s="501">
        <v>0</v>
      </c>
      <c r="F1502" s="501">
        <v>0</v>
      </c>
      <c r="G1502" s="501">
        <v>0</v>
      </c>
    </row>
    <row r="1503" spans="1:7" ht="15.75" customHeight="1" x14ac:dyDescent="0.2">
      <c r="A1503" s="500" t="s">
        <v>2409</v>
      </c>
      <c r="B1503" s="501" t="s">
        <v>2410</v>
      </c>
      <c r="C1503" s="502">
        <v>-12500</v>
      </c>
      <c r="D1503" s="502">
        <v>-42500</v>
      </c>
      <c r="E1503" s="502">
        <v>-42500</v>
      </c>
      <c r="F1503" s="502">
        <v>-42500</v>
      </c>
      <c r="G1503" s="501">
        <v>0</v>
      </c>
    </row>
    <row r="1504" spans="1:7" ht="15.75" customHeight="1" x14ac:dyDescent="0.2">
      <c r="A1504" s="500" t="s">
        <v>2411</v>
      </c>
      <c r="B1504" s="501" t="s">
        <v>2412</v>
      </c>
      <c r="C1504" s="501">
        <v>-45</v>
      </c>
      <c r="D1504" s="501">
        <v>0</v>
      </c>
      <c r="E1504" s="501">
        <v>0</v>
      </c>
      <c r="F1504" s="501">
        <v>0</v>
      </c>
      <c r="G1504" s="501">
        <v>0</v>
      </c>
    </row>
    <row r="1505" spans="1:7" ht="15.75" customHeight="1" x14ac:dyDescent="0.2">
      <c r="A1505" s="500" t="s">
        <v>2413</v>
      </c>
      <c r="B1505" s="501" t="s">
        <v>2414</v>
      </c>
      <c r="C1505" s="502">
        <v>-15000</v>
      </c>
      <c r="D1505" s="502">
        <v>-15000</v>
      </c>
      <c r="E1505" s="501">
        <v>0</v>
      </c>
      <c r="F1505" s="501">
        <v>0</v>
      </c>
      <c r="G1505" s="501">
        <v>0</v>
      </c>
    </row>
    <row r="1506" spans="1:7" ht="15.75" customHeight="1" x14ac:dyDescent="0.2">
      <c r="A1506" s="500" t="s">
        <v>2415</v>
      </c>
      <c r="B1506" s="501" t="s">
        <v>2416</v>
      </c>
      <c r="C1506" s="501">
        <v>0</v>
      </c>
      <c r="D1506" s="501">
        <v>0</v>
      </c>
      <c r="E1506" s="501">
        <v>0</v>
      </c>
      <c r="F1506" s="501">
        <v>0</v>
      </c>
      <c r="G1506" s="501">
        <v>0</v>
      </c>
    </row>
    <row r="1507" spans="1:7" ht="15.75" customHeight="1" x14ac:dyDescent="0.2">
      <c r="A1507" s="500" t="s">
        <v>2417</v>
      </c>
      <c r="B1507" s="501" t="s">
        <v>2418</v>
      </c>
      <c r="C1507" s="501">
        <v>0</v>
      </c>
      <c r="D1507" s="501">
        <v>0</v>
      </c>
      <c r="E1507" s="501">
        <v>0</v>
      </c>
      <c r="F1507" s="501">
        <v>0</v>
      </c>
      <c r="G1507" s="501">
        <v>0</v>
      </c>
    </row>
    <row r="1508" spans="1:7" ht="15.75" customHeight="1" x14ac:dyDescent="0.2">
      <c r="A1508" s="500" t="s">
        <v>2419</v>
      </c>
      <c r="B1508" s="501" t="s">
        <v>2420</v>
      </c>
      <c r="C1508" s="501">
        <v>0</v>
      </c>
      <c r="D1508" s="502">
        <v>-500000</v>
      </c>
      <c r="E1508" s="501">
        <v>0</v>
      </c>
      <c r="F1508" s="501">
        <v>0</v>
      </c>
      <c r="G1508" s="501">
        <v>0</v>
      </c>
    </row>
    <row r="1509" spans="1:7" ht="15.75" customHeight="1" x14ac:dyDescent="0.2">
      <c r="A1509" s="500" t="s">
        <v>2421</v>
      </c>
      <c r="B1509" s="501" t="s">
        <v>1766</v>
      </c>
      <c r="C1509" s="501">
        <v>0</v>
      </c>
      <c r="D1509" s="502">
        <v>-16789</v>
      </c>
      <c r="E1509" s="501">
        <v>-600</v>
      </c>
      <c r="F1509" s="501">
        <v>-600</v>
      </c>
      <c r="G1509" s="501">
        <v>0</v>
      </c>
    </row>
    <row r="1510" spans="1:7" ht="15.75" customHeight="1" x14ac:dyDescent="0.2">
      <c r="A1510" s="500" t="s">
        <v>2422</v>
      </c>
      <c r="B1510" s="501" t="s">
        <v>1840</v>
      </c>
      <c r="C1510" s="501">
        <v>0</v>
      </c>
      <c r="D1510" s="502">
        <v>42500</v>
      </c>
      <c r="E1510" s="502">
        <v>42500</v>
      </c>
      <c r="F1510" s="502">
        <v>42500</v>
      </c>
      <c r="G1510" s="501">
        <v>0</v>
      </c>
    </row>
    <row r="1511" spans="1:7" ht="15.75" customHeight="1" x14ac:dyDescent="0.2">
      <c r="A1511" s="500" t="s">
        <v>2423</v>
      </c>
      <c r="B1511" s="501" t="s">
        <v>2098</v>
      </c>
      <c r="C1511" s="501">
        <v>0</v>
      </c>
      <c r="D1511" s="501">
        <v>0</v>
      </c>
      <c r="E1511" s="501">
        <v>0</v>
      </c>
      <c r="F1511" s="501">
        <v>0</v>
      </c>
      <c r="G1511" s="501">
        <v>0</v>
      </c>
    </row>
    <row r="1512" spans="1:7" ht="15.75" customHeight="1" x14ac:dyDescent="0.2">
      <c r="A1512" s="500" t="s">
        <v>2424</v>
      </c>
      <c r="B1512" s="501" t="s">
        <v>2425</v>
      </c>
      <c r="C1512" s="501">
        <v>0</v>
      </c>
      <c r="D1512" s="502">
        <v>1000</v>
      </c>
      <c r="E1512" s="501">
        <v>0</v>
      </c>
      <c r="F1512" s="501">
        <v>0</v>
      </c>
      <c r="G1512" s="501">
        <v>0</v>
      </c>
    </row>
    <row r="1513" spans="1:7" ht="15.75" customHeight="1" x14ac:dyDescent="0.2">
      <c r="A1513" s="500" t="s">
        <v>2426</v>
      </c>
      <c r="B1513" s="501" t="s">
        <v>1844</v>
      </c>
      <c r="C1513" s="501">
        <v>0</v>
      </c>
      <c r="D1513" s="502">
        <v>30189</v>
      </c>
      <c r="E1513" s="501">
        <v>0</v>
      </c>
      <c r="F1513" s="501">
        <v>0</v>
      </c>
      <c r="G1513" s="501">
        <v>0</v>
      </c>
    </row>
    <row r="1514" spans="1:7" ht="15.75" customHeight="1" x14ac:dyDescent="0.2">
      <c r="A1514" s="500" t="s">
        <v>2427</v>
      </c>
      <c r="B1514" s="501" t="s">
        <v>2428</v>
      </c>
      <c r="C1514" s="501">
        <v>0</v>
      </c>
      <c r="D1514" s="502">
        <v>500000</v>
      </c>
      <c r="E1514" s="501">
        <v>0</v>
      </c>
      <c r="F1514" s="501">
        <v>0</v>
      </c>
      <c r="G1514" s="501">
        <v>0</v>
      </c>
    </row>
    <row r="1515" spans="1:7" ht="15.75" customHeight="1" x14ac:dyDescent="0.2">
      <c r="A1515" s="500" t="s">
        <v>2429</v>
      </c>
      <c r="B1515" s="501" t="s">
        <v>2117</v>
      </c>
      <c r="C1515" s="501">
        <v>0</v>
      </c>
      <c r="D1515" s="502">
        <v>6100</v>
      </c>
      <c r="E1515" s="502">
        <v>1100</v>
      </c>
      <c r="F1515" s="502">
        <v>1100</v>
      </c>
      <c r="G1515" s="501">
        <v>0</v>
      </c>
    </row>
  </sheetData>
  <printOptions horizontalCentered="1" verticalCentered="1"/>
  <pageMargins left="0.25" right="0.25" top="0.75" bottom="0.75" header="0.3" footer="0.3"/>
  <pageSetup scale="98" fitToHeight="0" orientation="landscape" r:id="rId1"/>
  <headerFooter>
    <oddHeader>&amp;A</oddHeader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000"/>
  <sheetViews>
    <sheetView topLeftCell="A4" workbookViewId="0"/>
  </sheetViews>
  <sheetFormatPr defaultColWidth="12.5703125" defaultRowHeight="15" customHeight="1" outlineLevelCol="1" x14ac:dyDescent="0.2"/>
  <cols>
    <col min="2" max="2" width="29" customWidth="1" collapsed="1"/>
    <col min="3" max="3" width="4.42578125" hidden="1" customWidth="1" outlineLevel="1"/>
    <col min="4" max="4" width="11.7109375" hidden="1" customWidth="1" outlineLevel="1"/>
    <col min="5" max="5" width="11.28515625" hidden="1" customWidth="1" outlineLevel="1"/>
    <col min="6" max="6" width="11.140625" hidden="1" customWidth="1" outlineLevel="1"/>
    <col min="7" max="7" width="10.42578125" hidden="1" customWidth="1" outlineLevel="1"/>
    <col min="8" max="8" width="10.85546875" hidden="1" customWidth="1" outlineLevel="1"/>
    <col min="9" max="9" width="11.28515625" hidden="1" customWidth="1" outlineLevel="1"/>
    <col min="10" max="10" width="10.42578125" hidden="1" customWidth="1" outlineLevel="1"/>
    <col min="11" max="11" width="10.5703125" hidden="1" customWidth="1" outlineLevel="1"/>
    <col min="12" max="12" width="4.42578125" hidden="1" customWidth="1" outlineLevel="1"/>
    <col min="13" max="13" width="12.28515625" hidden="1" customWidth="1" outlineLevel="1"/>
    <col min="14" max="14" width="10.28515625" customWidth="1"/>
    <col min="15" max="15" width="10.85546875" customWidth="1"/>
    <col min="16" max="16" width="11.7109375" customWidth="1"/>
    <col min="17" max="18" width="12.42578125" customWidth="1"/>
    <col min="21" max="21" width="3.140625" customWidth="1"/>
  </cols>
  <sheetData>
    <row r="1" spans="1:27" ht="15.75" hidden="1" customHeight="1" x14ac:dyDescent="0.25">
      <c r="C1" s="60"/>
      <c r="D1" s="54"/>
      <c r="E1" s="116" t="s">
        <v>48</v>
      </c>
      <c r="F1" s="116" t="s">
        <v>128</v>
      </c>
      <c r="G1" s="54"/>
      <c r="H1" s="54"/>
      <c r="I1" s="54"/>
      <c r="J1" s="54"/>
      <c r="K1" s="54"/>
      <c r="L1" s="60"/>
    </row>
    <row r="2" spans="1:27" ht="15.75" hidden="1" customHeight="1" x14ac:dyDescent="0.2">
      <c r="C2" s="60"/>
      <c r="D2" s="54"/>
      <c r="E2" s="54"/>
      <c r="F2" s="54"/>
      <c r="G2" s="54"/>
      <c r="H2" s="54"/>
      <c r="I2" s="54"/>
      <c r="J2" s="54"/>
      <c r="K2" s="54"/>
      <c r="L2" s="60"/>
    </row>
    <row r="3" spans="1:27" ht="15.75" hidden="1" customHeight="1" x14ac:dyDescent="0.2">
      <c r="C3" s="60"/>
      <c r="D3" s="54"/>
      <c r="E3" s="54"/>
      <c r="F3" s="54"/>
      <c r="G3" s="54"/>
      <c r="H3" s="54"/>
      <c r="I3" s="54"/>
      <c r="J3" s="54"/>
      <c r="K3" s="54"/>
      <c r="L3" s="60"/>
    </row>
    <row r="4" spans="1:27" ht="28.5" customHeight="1" x14ac:dyDescent="0.25">
      <c r="A4" s="1" t="s">
        <v>128</v>
      </c>
      <c r="B4" s="5"/>
      <c r="C4" s="15"/>
      <c r="D4" s="16"/>
      <c r="E4" s="16"/>
      <c r="F4" s="16"/>
      <c r="G4" s="16"/>
      <c r="H4" s="18"/>
      <c r="I4" s="16"/>
      <c r="J4" s="16"/>
      <c r="K4" s="15"/>
      <c r="L4" s="7"/>
      <c r="M4" s="7"/>
      <c r="N4" s="7"/>
      <c r="O4" s="7"/>
      <c r="P4" s="7"/>
      <c r="Q4" s="7"/>
      <c r="R4" s="7"/>
      <c r="S4" s="7"/>
      <c r="T4" s="5"/>
      <c r="W4" s="19"/>
      <c r="X4" s="20"/>
    </row>
    <row r="5" spans="1:27" ht="48.75" customHeight="1" x14ac:dyDescent="0.2">
      <c r="A5" s="3" t="s">
        <v>50</v>
      </c>
      <c r="B5" s="3" t="s">
        <v>51</v>
      </c>
      <c r="C5" s="21"/>
      <c r="D5" s="22" t="s">
        <v>52</v>
      </c>
      <c r="E5" s="22" t="s">
        <v>53</v>
      </c>
      <c r="F5" s="23" t="s">
        <v>54</v>
      </c>
      <c r="G5" s="22" t="s">
        <v>55</v>
      </c>
      <c r="H5" s="22" t="s">
        <v>59</v>
      </c>
      <c r="I5" s="25" t="s">
        <v>56</v>
      </c>
      <c r="J5" s="117" t="s">
        <v>57</v>
      </c>
      <c r="K5" s="26" t="s">
        <v>58</v>
      </c>
      <c r="L5" s="21"/>
      <c r="M5" s="27" t="s">
        <v>59</v>
      </c>
      <c r="N5" s="27" t="s">
        <v>60</v>
      </c>
      <c r="O5" s="27" t="s">
        <v>61</v>
      </c>
      <c r="P5" s="27" t="s">
        <v>62</v>
      </c>
      <c r="Q5" s="118" t="s">
        <v>63</v>
      </c>
      <c r="R5" s="118" t="s">
        <v>64</v>
      </c>
      <c r="S5" s="118" t="s">
        <v>65</v>
      </c>
      <c r="T5" s="118" t="s">
        <v>66</v>
      </c>
    </row>
    <row r="6" spans="1:27" ht="15.75" customHeight="1" x14ac:dyDescent="0.25">
      <c r="A6" s="30" t="s">
        <v>129</v>
      </c>
      <c r="B6" s="30" t="s">
        <v>68</v>
      </c>
      <c r="C6" s="31"/>
      <c r="D6" s="32">
        <v>146020</v>
      </c>
      <c r="E6" s="32" t="e">
        <f>D6*#REF!</f>
        <v>#REF!</v>
      </c>
      <c r="F6" s="32" t="e">
        <f>D6*#REF!</f>
        <v>#REF!</v>
      </c>
      <c r="G6" s="32" t="e">
        <f>(D6*#REF!)*#REF!</f>
        <v>#REF!</v>
      </c>
      <c r="H6" s="32">
        <v>229216</v>
      </c>
      <c r="I6" s="119">
        <f t="shared" ref="I6:I26" si="0">IFERROR(((Q6-D6)/D6),0)</f>
        <v>1.0248475756745652</v>
      </c>
      <c r="J6" s="34" t="e">
        <f t="shared" ref="J6:J25" si="1">Q6-G6</f>
        <v>#REF!</v>
      </c>
      <c r="K6" s="16"/>
      <c r="L6" s="31"/>
      <c r="M6" s="35">
        <v>229216</v>
      </c>
      <c r="N6" s="35">
        <v>265742.02</v>
      </c>
      <c r="O6" s="36">
        <f>VLOOKUP(A6,TB!A:F,4)</f>
        <v>338830.5</v>
      </c>
      <c r="P6" s="36">
        <f>VLOOKUP(A6,TB!A:F,3)</f>
        <v>227437.11</v>
      </c>
      <c r="Q6" s="32">
        <f t="shared" ref="Q6:Q9" si="2">P6/20*26</f>
        <v>295668.24300000002</v>
      </c>
      <c r="R6" s="32">
        <f>VLOOKUP(A6,TB!A:F,5)</f>
        <v>377200</v>
      </c>
      <c r="S6" s="120">
        <f>VLOOKUP(A6,TB!A:F,6)</f>
        <v>377200</v>
      </c>
      <c r="T6" s="36">
        <f t="shared" ref="T6:T25" si="3">S6-R6</f>
        <v>0</v>
      </c>
      <c r="U6" s="51"/>
      <c r="V6" s="51"/>
      <c r="W6" s="51"/>
      <c r="X6" s="51"/>
      <c r="Y6" s="51"/>
      <c r="Z6" s="51"/>
      <c r="AA6" s="51"/>
    </row>
    <row r="7" spans="1:27" ht="15.75" customHeight="1" x14ac:dyDescent="0.25">
      <c r="A7" s="30" t="s">
        <v>130</v>
      </c>
      <c r="B7" s="30" t="s">
        <v>70</v>
      </c>
      <c r="C7" s="31"/>
      <c r="D7" s="32">
        <v>0</v>
      </c>
      <c r="E7" s="32" t="e">
        <f>D7*#REF!</f>
        <v>#REF!</v>
      </c>
      <c r="F7" s="32" t="e">
        <f>D7*#REF!</f>
        <v>#REF!</v>
      </c>
      <c r="G7" s="32" t="e">
        <f>(D7*#REF!)*#REF!</f>
        <v>#REF!</v>
      </c>
      <c r="H7" s="32">
        <v>146</v>
      </c>
      <c r="I7" s="119">
        <f t="shared" si="0"/>
        <v>0</v>
      </c>
      <c r="J7" s="34" t="e">
        <f t="shared" si="1"/>
        <v>#REF!</v>
      </c>
      <c r="K7" s="34">
        <v>-1000</v>
      </c>
      <c r="L7" s="31"/>
      <c r="M7" s="35">
        <v>146</v>
      </c>
      <c r="N7" s="35">
        <v>64.489999999999995</v>
      </c>
      <c r="O7" s="36">
        <f>VLOOKUP(A7,TB!A:F,4)</f>
        <v>1000</v>
      </c>
      <c r="P7" s="36">
        <f>VLOOKUP(A7,TB!A:F,3)</f>
        <v>0</v>
      </c>
      <c r="Q7" s="32">
        <f t="shared" si="2"/>
        <v>0</v>
      </c>
      <c r="R7" s="32">
        <f>VLOOKUP(A7,TB!A:F,5)</f>
        <v>1000</v>
      </c>
      <c r="S7" s="120">
        <f>VLOOKUP(A7,TB!A:F,6)</f>
        <v>0</v>
      </c>
      <c r="T7" s="36">
        <f t="shared" si="3"/>
        <v>-1000</v>
      </c>
      <c r="U7" s="51"/>
      <c r="V7" s="51"/>
      <c r="W7" s="51"/>
      <c r="X7" s="51"/>
      <c r="Y7" s="51"/>
      <c r="Z7" s="51"/>
      <c r="AA7" s="51"/>
    </row>
    <row r="8" spans="1:27" ht="15.75" customHeight="1" x14ac:dyDescent="0.25">
      <c r="A8" s="30" t="s">
        <v>131</v>
      </c>
      <c r="B8" s="30" t="s">
        <v>132</v>
      </c>
      <c r="C8" s="31"/>
      <c r="D8" s="32">
        <v>0</v>
      </c>
      <c r="E8" s="32" t="e">
        <f>D8*#REF!</f>
        <v>#REF!</v>
      </c>
      <c r="F8" s="32" t="e">
        <f>D8*#REF!</f>
        <v>#REF!</v>
      </c>
      <c r="G8" s="32" t="e">
        <f>(D8*#REF!)*#REF!</f>
        <v>#REF!</v>
      </c>
      <c r="H8" s="32">
        <v>0</v>
      </c>
      <c r="I8" s="119">
        <f t="shared" si="0"/>
        <v>0</v>
      </c>
      <c r="J8" s="34" t="e">
        <f t="shared" si="1"/>
        <v>#REF!</v>
      </c>
      <c r="K8" s="34">
        <v>-21000</v>
      </c>
      <c r="L8" s="31"/>
      <c r="M8" s="35">
        <v>0</v>
      </c>
      <c r="N8" s="35">
        <v>0</v>
      </c>
      <c r="O8" s="36">
        <f>VLOOKUP(A8,TB!A:F,4)</f>
        <v>21000</v>
      </c>
      <c r="P8" s="36">
        <f>VLOOKUP(A8,TB!A:F,3)</f>
        <v>0</v>
      </c>
      <c r="Q8" s="32">
        <f t="shared" si="2"/>
        <v>0</v>
      </c>
      <c r="R8" s="32">
        <f>VLOOKUP(A8,TB!A:F,5)</f>
        <v>21000</v>
      </c>
      <c r="S8" s="120">
        <f>VLOOKUP(A8,TB!A:F,6)</f>
        <v>0</v>
      </c>
      <c r="T8" s="36">
        <f t="shared" si="3"/>
        <v>-21000</v>
      </c>
      <c r="U8" s="51"/>
      <c r="V8" s="51"/>
      <c r="W8" s="51"/>
      <c r="X8" s="51"/>
      <c r="Y8" s="51"/>
      <c r="Z8" s="51"/>
      <c r="AA8" s="51"/>
    </row>
    <row r="9" spans="1:27" ht="15.75" customHeight="1" x14ac:dyDescent="0.25">
      <c r="A9" s="30" t="s">
        <v>133</v>
      </c>
      <c r="B9" s="30" t="s">
        <v>72</v>
      </c>
      <c r="C9" s="31"/>
      <c r="D9" s="32">
        <v>64488</v>
      </c>
      <c r="E9" s="32" t="e">
        <f>D9*#REF!</f>
        <v>#REF!</v>
      </c>
      <c r="F9" s="32" t="e">
        <f>D9*#REF!</f>
        <v>#REF!</v>
      </c>
      <c r="G9" s="32" t="e">
        <f>(D9*#REF!)*#REF!</f>
        <v>#REF!</v>
      </c>
      <c r="H9" s="32">
        <v>102723</v>
      </c>
      <c r="I9" s="119">
        <f t="shared" si="0"/>
        <v>1.2255577471777697</v>
      </c>
      <c r="J9" s="34" t="e">
        <f t="shared" si="1"/>
        <v>#REF!</v>
      </c>
      <c r="K9" s="16"/>
      <c r="L9" s="31"/>
      <c r="M9" s="35">
        <v>102723</v>
      </c>
      <c r="N9" s="35">
        <v>133520.9</v>
      </c>
      <c r="O9" s="36">
        <f>VLOOKUP(A9,TB!A:F,4)</f>
        <v>200572.5</v>
      </c>
      <c r="P9" s="36">
        <f>VLOOKUP(A9,TB!A:F,3)</f>
        <v>110401.36</v>
      </c>
      <c r="Q9" s="32">
        <f t="shared" si="2"/>
        <v>143521.76800000001</v>
      </c>
      <c r="R9" s="32">
        <f>VLOOKUP(A9,TB!A:F,5)</f>
        <v>176000</v>
      </c>
      <c r="S9" s="120">
        <f>VLOOKUP(A9,TB!A:F,6)</f>
        <v>176000</v>
      </c>
      <c r="T9" s="36">
        <f t="shared" si="3"/>
        <v>0</v>
      </c>
      <c r="U9" s="51"/>
      <c r="V9" s="51"/>
      <c r="W9" s="51"/>
      <c r="X9" s="51"/>
      <c r="Y9" s="51"/>
      <c r="Z9" s="51"/>
      <c r="AA9" s="51"/>
    </row>
    <row r="10" spans="1:27" ht="15.75" customHeight="1" x14ac:dyDescent="0.25">
      <c r="A10" s="30" t="s">
        <v>134</v>
      </c>
      <c r="B10" s="30" t="s">
        <v>74</v>
      </c>
      <c r="C10" s="31"/>
      <c r="D10" s="32">
        <v>1041</v>
      </c>
      <c r="E10" s="32" t="e">
        <f>D10*#REF!</f>
        <v>#REF!</v>
      </c>
      <c r="F10" s="32" t="e">
        <f>D10*#REF!</f>
        <v>#REF!</v>
      </c>
      <c r="G10" s="32" t="e">
        <f>(D10*#REF!)*#REF!</f>
        <v>#REF!</v>
      </c>
      <c r="H10" s="32">
        <v>1955</v>
      </c>
      <c r="I10" s="119">
        <f t="shared" si="0"/>
        <v>2.2201857188600704</v>
      </c>
      <c r="J10" s="34" t="e">
        <f t="shared" si="1"/>
        <v>#REF!</v>
      </c>
      <c r="K10" s="16"/>
      <c r="L10" s="31"/>
      <c r="M10" s="35">
        <v>1955</v>
      </c>
      <c r="N10" s="35">
        <v>3003.47</v>
      </c>
      <c r="O10" s="36">
        <f>VLOOKUP(A10,TB!A:F,4)</f>
        <v>3012</v>
      </c>
      <c r="P10" s="36">
        <f>VLOOKUP(A10,TB!A:F,3)</f>
        <v>2514.16</v>
      </c>
      <c r="Q10" s="32">
        <f t="shared" ref="Q10:Q13" si="4">P10/9*12</f>
        <v>3352.2133333333331</v>
      </c>
      <c r="R10" s="32">
        <f>VLOOKUP(A10,TB!A:F,5)</f>
        <v>2467</v>
      </c>
      <c r="S10" s="120">
        <f>VLOOKUP(A10,TB!A:F,6)</f>
        <v>2467</v>
      </c>
      <c r="T10" s="36">
        <f t="shared" si="3"/>
        <v>0</v>
      </c>
      <c r="U10" s="51"/>
      <c r="V10" s="51"/>
      <c r="W10" s="51"/>
      <c r="X10" s="51"/>
      <c r="Y10" s="51"/>
      <c r="Z10" s="51"/>
      <c r="AA10" s="51"/>
    </row>
    <row r="11" spans="1:27" ht="15.75" customHeight="1" x14ac:dyDescent="0.25">
      <c r="A11" s="30" t="s">
        <v>135</v>
      </c>
      <c r="B11" s="30" t="s">
        <v>76</v>
      </c>
      <c r="C11" s="31"/>
      <c r="D11" s="32">
        <v>2521</v>
      </c>
      <c r="E11" s="32" t="e">
        <f>D11*#REF!</f>
        <v>#REF!</v>
      </c>
      <c r="F11" s="32" t="e">
        <f>D11*#REF!</f>
        <v>#REF!</v>
      </c>
      <c r="G11" s="32" t="e">
        <f>(D11*#REF!)*#REF!</f>
        <v>#REF!</v>
      </c>
      <c r="H11" s="32">
        <v>4090</v>
      </c>
      <c r="I11" s="119">
        <f t="shared" si="0"/>
        <v>1.3755282295385429</v>
      </c>
      <c r="J11" s="34" t="e">
        <f t="shared" si="1"/>
        <v>#REF!</v>
      </c>
      <c r="K11" s="16"/>
      <c r="L11" s="31"/>
      <c r="M11" s="35">
        <v>4090</v>
      </c>
      <c r="N11" s="35">
        <v>5897.24</v>
      </c>
      <c r="O11" s="36">
        <f>VLOOKUP(A11,TB!A:F,4)</f>
        <v>6000</v>
      </c>
      <c r="P11" s="36">
        <f>VLOOKUP(A11,TB!A:F,3)</f>
        <v>4491.53</v>
      </c>
      <c r="Q11" s="32">
        <f t="shared" si="4"/>
        <v>5988.7066666666669</v>
      </c>
      <c r="R11" s="32">
        <f>VLOOKUP(A11,TB!A:F,5)</f>
        <v>6000</v>
      </c>
      <c r="S11" s="120">
        <f>VLOOKUP(A11,TB!A:F,6)</f>
        <v>6000</v>
      </c>
      <c r="T11" s="36">
        <f t="shared" si="3"/>
        <v>0</v>
      </c>
      <c r="U11" s="51"/>
      <c r="V11" s="51"/>
      <c r="W11" s="51"/>
      <c r="X11" s="51"/>
      <c r="Y11" s="51"/>
      <c r="Z11" s="51"/>
      <c r="AA11" s="51"/>
    </row>
    <row r="12" spans="1:27" ht="15.75" customHeight="1" x14ac:dyDescent="0.25">
      <c r="A12" s="30" t="s">
        <v>136</v>
      </c>
      <c r="B12" s="30" t="s">
        <v>80</v>
      </c>
      <c r="C12" s="31"/>
      <c r="D12" s="32">
        <v>1938</v>
      </c>
      <c r="E12" s="32" t="e">
        <f>D12*#REF!</f>
        <v>#REF!</v>
      </c>
      <c r="F12" s="32" t="e">
        <f>D12*#REF!</f>
        <v>#REF!</v>
      </c>
      <c r="G12" s="32" t="e">
        <f>(D12*#REF!)*#REF!</f>
        <v>#REF!</v>
      </c>
      <c r="H12" s="32">
        <v>1871</v>
      </c>
      <c r="I12" s="121">
        <f t="shared" si="0"/>
        <v>-0.3626143790849673</v>
      </c>
      <c r="J12" s="34" t="e">
        <f t="shared" si="1"/>
        <v>#REF!</v>
      </c>
      <c r="K12" s="16"/>
      <c r="L12" s="31"/>
      <c r="M12" s="35">
        <v>1871</v>
      </c>
      <c r="N12" s="35">
        <v>2316.94</v>
      </c>
      <c r="O12" s="36">
        <f>VLOOKUP(A12,TB!A:F,4)</f>
        <v>3400</v>
      </c>
      <c r="P12" s="36">
        <f>VLOOKUP(A12,TB!A:F,3)</f>
        <v>926.44</v>
      </c>
      <c r="Q12" s="32">
        <f t="shared" si="4"/>
        <v>1235.2533333333333</v>
      </c>
      <c r="R12" s="32">
        <f>VLOOKUP(A12,TB!A:F,5)</f>
        <v>3000</v>
      </c>
      <c r="S12" s="120">
        <f>VLOOKUP(A12,TB!A:F,6)</f>
        <v>3000</v>
      </c>
      <c r="T12" s="36">
        <f t="shared" si="3"/>
        <v>0</v>
      </c>
      <c r="U12" s="51"/>
      <c r="V12" s="51"/>
      <c r="W12" s="51"/>
      <c r="X12" s="51"/>
      <c r="Y12" s="51"/>
      <c r="Z12" s="51"/>
      <c r="AA12" s="51"/>
    </row>
    <row r="13" spans="1:27" ht="15.75" customHeight="1" x14ac:dyDescent="0.25">
      <c r="A13" s="30" t="s">
        <v>137</v>
      </c>
      <c r="B13" s="30" t="s">
        <v>82</v>
      </c>
      <c r="C13" s="31"/>
      <c r="D13" s="32">
        <v>1207</v>
      </c>
      <c r="E13" s="32" t="e">
        <f>D13*#REF!</f>
        <v>#REF!</v>
      </c>
      <c r="F13" s="32" t="e">
        <f>D13*#REF!</f>
        <v>#REF!</v>
      </c>
      <c r="G13" s="32" t="e">
        <f>(D13*#REF!)*#REF!</f>
        <v>#REF!</v>
      </c>
      <c r="H13" s="32">
        <v>4063</v>
      </c>
      <c r="I13" s="119">
        <f t="shared" si="0"/>
        <v>1.2998398232532447</v>
      </c>
      <c r="J13" s="34" t="e">
        <f t="shared" si="1"/>
        <v>#REF!</v>
      </c>
      <c r="K13" s="34">
        <v>-7000</v>
      </c>
      <c r="L13" s="31"/>
      <c r="M13" s="35">
        <v>4063</v>
      </c>
      <c r="N13" s="35">
        <v>1043.1400000000001</v>
      </c>
      <c r="O13" s="36">
        <f>VLOOKUP(A13,TB!A:F,4)</f>
        <v>6000</v>
      </c>
      <c r="P13" s="36">
        <f>VLOOKUP(A13,TB!A:F,3)</f>
        <v>2081.9299999999998</v>
      </c>
      <c r="Q13" s="32">
        <f t="shared" si="4"/>
        <v>2775.9066666666663</v>
      </c>
      <c r="R13" s="32">
        <f>VLOOKUP(A13,TB!A:F,5)</f>
        <v>9500</v>
      </c>
      <c r="S13" s="120">
        <f>VLOOKUP(A13,TB!A:F,6)</f>
        <v>2500</v>
      </c>
      <c r="T13" s="36">
        <f t="shared" si="3"/>
        <v>-7000</v>
      </c>
      <c r="U13" s="51"/>
      <c r="V13" s="51"/>
      <c r="W13" s="51"/>
      <c r="X13" s="51"/>
      <c r="Y13" s="51"/>
      <c r="Z13" s="51"/>
      <c r="AA13" s="51"/>
    </row>
    <row r="14" spans="1:27" ht="15.75" customHeight="1" x14ac:dyDescent="0.25">
      <c r="A14" s="30" t="s">
        <v>138</v>
      </c>
      <c r="B14" s="30" t="s">
        <v>115</v>
      </c>
      <c r="C14" s="31"/>
      <c r="D14" s="32">
        <v>11847</v>
      </c>
      <c r="E14" s="32" t="e">
        <f>D14*#REF!</f>
        <v>#REF!</v>
      </c>
      <c r="F14" s="32" t="e">
        <f>D14*#REF!</f>
        <v>#REF!</v>
      </c>
      <c r="G14" s="32" t="e">
        <f>(D14*#REF!)*#REF!</f>
        <v>#REF!</v>
      </c>
      <c r="H14" s="32">
        <v>0</v>
      </c>
      <c r="I14" s="121">
        <f t="shared" si="0"/>
        <v>-1</v>
      </c>
      <c r="J14" s="34" t="e">
        <f t="shared" si="1"/>
        <v>#REF!</v>
      </c>
      <c r="K14" s="16"/>
      <c r="L14" s="31"/>
      <c r="M14" s="35">
        <v>0</v>
      </c>
      <c r="N14" s="35">
        <v>5490.4</v>
      </c>
      <c r="O14" s="36">
        <f>VLOOKUP(A14,TB!A:F,4)</f>
        <v>0</v>
      </c>
      <c r="P14" s="36">
        <f>VLOOKUP(A14,TB!A:F,3)</f>
        <v>0</v>
      </c>
      <c r="Q14" s="32">
        <f>IF(P14/9*12&lt;O14,O14,P14/9*12)</f>
        <v>0</v>
      </c>
      <c r="R14" s="32">
        <f>VLOOKUP(A14,TB!A:F,5)</f>
        <v>0</v>
      </c>
      <c r="S14" s="120">
        <f>VLOOKUP(A14,TB!A:F,6)</f>
        <v>0</v>
      </c>
      <c r="T14" s="36">
        <f t="shared" si="3"/>
        <v>0</v>
      </c>
      <c r="U14" s="51"/>
      <c r="V14" s="51"/>
      <c r="W14" s="51"/>
      <c r="X14" s="51"/>
      <c r="Y14" s="51"/>
      <c r="Z14" s="51"/>
      <c r="AA14" s="51"/>
    </row>
    <row r="15" spans="1:27" ht="15.75" customHeight="1" x14ac:dyDescent="0.25">
      <c r="A15" s="30" t="s">
        <v>139</v>
      </c>
      <c r="B15" s="30" t="s">
        <v>84</v>
      </c>
      <c r="C15" s="31"/>
      <c r="D15" s="32">
        <v>750</v>
      </c>
      <c r="E15" s="32" t="e">
        <f>D15*#REF!</f>
        <v>#REF!</v>
      </c>
      <c r="F15" s="32" t="e">
        <f>D15*#REF!</f>
        <v>#REF!</v>
      </c>
      <c r="G15" s="32" t="e">
        <f>(D15*#REF!)*#REF!</f>
        <v>#REF!</v>
      </c>
      <c r="H15" s="32">
        <v>1732</v>
      </c>
      <c r="I15" s="119">
        <f t="shared" si="0"/>
        <v>1.1783111111111111</v>
      </c>
      <c r="J15" s="34" t="e">
        <f t="shared" si="1"/>
        <v>#REF!</v>
      </c>
      <c r="K15" s="16"/>
      <c r="L15" s="31"/>
      <c r="M15" s="35">
        <v>1732</v>
      </c>
      <c r="N15" s="35">
        <v>1688.95</v>
      </c>
      <c r="O15" s="36">
        <f>VLOOKUP(A15,TB!A:F,4)</f>
        <v>2227</v>
      </c>
      <c r="P15" s="36">
        <f>VLOOKUP(A15,TB!A:F,3)</f>
        <v>1225.3</v>
      </c>
      <c r="Q15" s="32">
        <f>P15/9*12</f>
        <v>1633.7333333333333</v>
      </c>
      <c r="R15" s="32">
        <f>VLOOKUP(A15,TB!A:F,5)</f>
        <v>2227</v>
      </c>
      <c r="S15" s="120">
        <f>VLOOKUP(A15,TB!A:F,6)</f>
        <v>2227</v>
      </c>
      <c r="T15" s="36">
        <f t="shared" si="3"/>
        <v>0</v>
      </c>
      <c r="U15" s="51"/>
      <c r="V15" s="51"/>
      <c r="W15" s="51"/>
      <c r="X15" s="51"/>
      <c r="Y15" s="51"/>
      <c r="Z15" s="51"/>
      <c r="AA15" s="51"/>
    </row>
    <row r="16" spans="1:27" ht="15.75" customHeight="1" x14ac:dyDescent="0.25">
      <c r="A16" s="30" t="s">
        <v>140</v>
      </c>
      <c r="B16" s="30" t="s">
        <v>86</v>
      </c>
      <c r="C16" s="31"/>
      <c r="D16" s="32">
        <v>25731</v>
      </c>
      <c r="E16" s="32" t="e">
        <f>D16*#REF!</f>
        <v>#REF!</v>
      </c>
      <c r="F16" s="32" t="e">
        <f>D16*#REF!</f>
        <v>#REF!</v>
      </c>
      <c r="G16" s="32" t="e">
        <f>(D16*#REF!)*#REF!</f>
        <v>#REF!</v>
      </c>
      <c r="H16" s="32">
        <v>46600</v>
      </c>
      <c r="I16" s="119">
        <f t="shared" si="0"/>
        <v>6.1353620146904513</v>
      </c>
      <c r="J16" s="34" t="e">
        <f t="shared" si="1"/>
        <v>#REF!</v>
      </c>
      <c r="K16" s="34">
        <v>-18000</v>
      </c>
      <c r="L16" s="31"/>
      <c r="M16" s="35">
        <v>46600</v>
      </c>
      <c r="N16" s="35">
        <v>52268.93</v>
      </c>
      <c r="O16" s="36">
        <f>VLOOKUP(A16,TB!A:F,4)</f>
        <v>183600</v>
      </c>
      <c r="P16" s="36">
        <f>VLOOKUP(A16,TB!A:F,3)</f>
        <v>49149.5</v>
      </c>
      <c r="Q16" s="38">
        <f t="shared" ref="Q16:Q17" si="5">O16</f>
        <v>183600</v>
      </c>
      <c r="R16" s="32">
        <f>VLOOKUP(A16,TB!A:F,5)</f>
        <v>81500</v>
      </c>
      <c r="S16" s="120">
        <f>VLOOKUP(A16,TB!A:F,6)</f>
        <v>63500</v>
      </c>
      <c r="T16" s="36">
        <f t="shared" si="3"/>
        <v>-18000</v>
      </c>
      <c r="U16" s="51"/>
      <c r="V16" s="51"/>
      <c r="W16" s="51"/>
      <c r="X16" s="51"/>
      <c r="Y16" s="51"/>
      <c r="Z16" s="51"/>
      <c r="AA16" s="51"/>
    </row>
    <row r="17" spans="1:27" ht="15.75" customHeight="1" x14ac:dyDescent="0.25">
      <c r="A17" s="30" t="s">
        <v>141</v>
      </c>
      <c r="B17" s="30" t="s">
        <v>88</v>
      </c>
      <c r="C17" s="31"/>
      <c r="D17" s="32">
        <v>6272</v>
      </c>
      <c r="E17" s="32" t="e">
        <f>D17*#REF!</f>
        <v>#REF!</v>
      </c>
      <c r="F17" s="32" t="e">
        <f>D17*#REF!</f>
        <v>#REF!</v>
      </c>
      <c r="G17" s="32" t="e">
        <f>(D17*#REF!)*#REF!</f>
        <v>#REF!</v>
      </c>
      <c r="H17" s="32">
        <v>43548</v>
      </c>
      <c r="I17" s="119">
        <f t="shared" si="0"/>
        <v>7.0835459183673466</v>
      </c>
      <c r="J17" s="34" t="e">
        <f t="shared" si="1"/>
        <v>#REF!</v>
      </c>
      <c r="K17" s="16"/>
      <c r="L17" s="31"/>
      <c r="M17" s="35">
        <v>43548</v>
      </c>
      <c r="N17" s="35">
        <v>60913.73</v>
      </c>
      <c r="O17" s="36">
        <f>VLOOKUP(A17,TB!A:F,4)</f>
        <v>50700</v>
      </c>
      <c r="P17" s="36">
        <f>VLOOKUP(A17,TB!A:F,3)</f>
        <v>25871.87</v>
      </c>
      <c r="Q17" s="38">
        <f t="shared" si="5"/>
        <v>50700</v>
      </c>
      <c r="R17" s="32">
        <f>VLOOKUP(A17,TB!A:F,5)</f>
        <v>109000</v>
      </c>
      <c r="S17" s="120">
        <f>VLOOKUP(A17,TB!A:F,6)</f>
        <v>109000</v>
      </c>
      <c r="T17" s="36">
        <f t="shared" si="3"/>
        <v>0</v>
      </c>
      <c r="U17" s="51"/>
      <c r="V17" s="51"/>
      <c r="W17" s="51"/>
      <c r="X17" s="51"/>
      <c r="Y17" s="51"/>
      <c r="Z17" s="51"/>
      <c r="AA17" s="51"/>
    </row>
    <row r="18" spans="1:27" ht="15.75" customHeight="1" x14ac:dyDescent="0.25">
      <c r="A18" s="30" t="s">
        <v>142</v>
      </c>
      <c r="B18" s="30" t="s">
        <v>90</v>
      </c>
      <c r="C18" s="31"/>
      <c r="D18" s="32">
        <v>2419</v>
      </c>
      <c r="E18" s="32" t="e">
        <f>D18*#REF!</f>
        <v>#REF!</v>
      </c>
      <c r="F18" s="32" t="e">
        <f>D18*#REF!</f>
        <v>#REF!</v>
      </c>
      <c r="G18" s="32" t="e">
        <f>(D18*#REF!)*#REF!</f>
        <v>#REF!</v>
      </c>
      <c r="H18" s="32">
        <v>2188</v>
      </c>
      <c r="I18" s="121">
        <f t="shared" si="0"/>
        <v>-0.39654953837673979</v>
      </c>
      <c r="J18" s="34" t="e">
        <f t="shared" si="1"/>
        <v>#REF!</v>
      </c>
      <c r="K18" s="34">
        <v>-100</v>
      </c>
      <c r="L18" s="31"/>
      <c r="M18" s="35">
        <v>2188</v>
      </c>
      <c r="N18" s="35">
        <v>10472</v>
      </c>
      <c r="O18" s="36">
        <f>VLOOKUP(A18,TB!A:F,4)</f>
        <v>8000</v>
      </c>
      <c r="P18" s="36">
        <f>VLOOKUP(A18,TB!A:F,3)</f>
        <v>1094.81</v>
      </c>
      <c r="Q18" s="32">
        <f>P18/9*12</f>
        <v>1459.7466666666664</v>
      </c>
      <c r="R18" s="32">
        <f>VLOOKUP(A18,TB!A:F,5)</f>
        <v>11020</v>
      </c>
      <c r="S18" s="120">
        <f>VLOOKUP(A18,TB!A:F,6)</f>
        <v>10920</v>
      </c>
      <c r="T18" s="36">
        <f t="shared" si="3"/>
        <v>-100</v>
      </c>
      <c r="U18" s="51"/>
      <c r="V18" s="51"/>
      <c r="W18" s="51"/>
      <c r="X18" s="51"/>
      <c r="Y18" s="51"/>
      <c r="Z18" s="51"/>
      <c r="AA18" s="51"/>
    </row>
    <row r="19" spans="1:27" ht="15.75" customHeight="1" x14ac:dyDescent="0.25">
      <c r="A19" s="30" t="s">
        <v>143</v>
      </c>
      <c r="B19" s="30" t="s">
        <v>144</v>
      </c>
      <c r="C19" s="31"/>
      <c r="D19" s="32">
        <v>6859</v>
      </c>
      <c r="E19" s="32" t="e">
        <f>D19*#REF!</f>
        <v>#REF!</v>
      </c>
      <c r="F19" s="32" t="e">
        <f>D19*#REF!</f>
        <v>#REF!</v>
      </c>
      <c r="G19" s="32" t="e">
        <f>(D19*#REF!)*#REF!</f>
        <v>#REF!</v>
      </c>
      <c r="H19" s="32">
        <v>49001</v>
      </c>
      <c r="I19" s="119">
        <f t="shared" si="0"/>
        <v>7.2227729989794431</v>
      </c>
      <c r="J19" s="34" t="e">
        <f t="shared" si="1"/>
        <v>#REF!</v>
      </c>
      <c r="K19" s="16"/>
      <c r="L19" s="31"/>
      <c r="M19" s="35">
        <v>49001</v>
      </c>
      <c r="N19" s="35">
        <v>38227.980000000003</v>
      </c>
      <c r="O19" s="36">
        <f>VLOOKUP(A19,TB!A:F,4)</f>
        <v>56400</v>
      </c>
      <c r="P19" s="36">
        <f>VLOOKUP(A19,TB!A:F,3)</f>
        <v>10994.22</v>
      </c>
      <c r="Q19" s="38">
        <f>O19</f>
        <v>56400</v>
      </c>
      <c r="R19" s="32">
        <f>VLOOKUP(A19,TB!A:F,5)</f>
        <v>73075</v>
      </c>
      <c r="S19" s="120">
        <f>VLOOKUP(A19,TB!A:F,6)</f>
        <v>73075</v>
      </c>
      <c r="T19" s="36">
        <f t="shared" si="3"/>
        <v>0</v>
      </c>
      <c r="U19" s="51"/>
      <c r="V19" s="51"/>
      <c r="W19" s="51"/>
      <c r="X19" s="51"/>
      <c r="Y19" s="51"/>
      <c r="Z19" s="51"/>
      <c r="AA19" s="51"/>
    </row>
    <row r="20" spans="1:27" ht="15.75" customHeight="1" x14ac:dyDescent="0.25">
      <c r="A20" s="30" t="s">
        <v>145</v>
      </c>
      <c r="B20" s="30" t="s">
        <v>92</v>
      </c>
      <c r="C20" s="31"/>
      <c r="D20" s="32">
        <v>0</v>
      </c>
      <c r="E20" s="32" t="e">
        <f>D20*#REF!</f>
        <v>#REF!</v>
      </c>
      <c r="F20" s="32" t="e">
        <f>D20*#REF!</f>
        <v>#REF!</v>
      </c>
      <c r="G20" s="32" t="e">
        <f>(D20*#REF!)*#REF!</f>
        <v>#REF!</v>
      </c>
      <c r="H20" s="32">
        <v>2138</v>
      </c>
      <c r="I20" s="119">
        <f t="shared" si="0"/>
        <v>0</v>
      </c>
      <c r="J20" s="34" t="e">
        <f t="shared" si="1"/>
        <v>#REF!</v>
      </c>
      <c r="K20" s="16"/>
      <c r="L20" s="31"/>
      <c r="M20" s="35">
        <v>2138</v>
      </c>
      <c r="N20" s="35">
        <v>2512.08</v>
      </c>
      <c r="O20" s="36">
        <f>VLOOKUP(A20,TB!A:F,4)</f>
        <v>5700</v>
      </c>
      <c r="P20" s="36">
        <f>VLOOKUP(A20,TB!A:F,3)</f>
        <v>4404.1000000000004</v>
      </c>
      <c r="Q20" s="32">
        <f>IF(P20/9*12&lt;O20,O20,P20/9*12)</f>
        <v>5872.1333333333341</v>
      </c>
      <c r="R20" s="32">
        <f>VLOOKUP(A20,TB!A:F,5)</f>
        <v>5700</v>
      </c>
      <c r="S20" s="120">
        <f>VLOOKUP(A20,TB!A:F,6)</f>
        <v>5700</v>
      </c>
      <c r="T20" s="36">
        <f t="shared" si="3"/>
        <v>0</v>
      </c>
      <c r="U20" s="51"/>
      <c r="V20" s="51"/>
      <c r="W20" s="51"/>
      <c r="X20" s="51"/>
      <c r="Y20" s="51"/>
      <c r="Z20" s="51"/>
      <c r="AA20" s="51"/>
    </row>
    <row r="21" spans="1:27" ht="15.75" customHeight="1" x14ac:dyDescent="0.25">
      <c r="A21" s="30" t="s">
        <v>146</v>
      </c>
      <c r="B21" s="30" t="s">
        <v>147</v>
      </c>
      <c r="C21" s="31"/>
      <c r="D21" s="32">
        <v>9152</v>
      </c>
      <c r="E21" s="32" t="e">
        <f>D21*#REF!</f>
        <v>#REF!</v>
      </c>
      <c r="F21" s="32" t="e">
        <f>D21*#REF!</f>
        <v>#REF!</v>
      </c>
      <c r="G21" s="32" t="e">
        <f>(D21*#REF!)*#REF!</f>
        <v>#REF!</v>
      </c>
      <c r="H21" s="32">
        <v>19063</v>
      </c>
      <c r="I21" s="119">
        <f t="shared" si="0"/>
        <v>0.16404428904428911</v>
      </c>
      <c r="J21" s="34" t="e">
        <f t="shared" si="1"/>
        <v>#REF!</v>
      </c>
      <c r="K21" s="16"/>
      <c r="L21" s="31"/>
      <c r="M21" s="35">
        <v>19063</v>
      </c>
      <c r="N21" s="35">
        <v>19138.400000000001</v>
      </c>
      <c r="O21" s="36">
        <f>VLOOKUP(A21,TB!A:F,4)</f>
        <v>20000</v>
      </c>
      <c r="P21" s="36">
        <f>VLOOKUP(A21,TB!A:F,3)</f>
        <v>7990</v>
      </c>
      <c r="Q21" s="32">
        <f t="shared" ref="Q21:Q23" si="6">P21/9*12</f>
        <v>10653.333333333334</v>
      </c>
      <c r="R21" s="32">
        <f>VLOOKUP(A21,TB!A:F,5)</f>
        <v>112000</v>
      </c>
      <c r="S21" s="120">
        <f>VLOOKUP(A21,TB!A:F,6)</f>
        <v>112000</v>
      </c>
      <c r="T21" s="36">
        <f t="shared" si="3"/>
        <v>0</v>
      </c>
      <c r="U21" s="51"/>
      <c r="V21" s="51"/>
      <c r="W21" s="51"/>
      <c r="X21" s="51"/>
      <c r="Y21" s="51"/>
      <c r="Z21" s="51"/>
      <c r="AA21" s="51"/>
    </row>
    <row r="22" spans="1:27" ht="15.75" customHeight="1" x14ac:dyDescent="0.25">
      <c r="A22" s="30" t="s">
        <v>148</v>
      </c>
      <c r="B22" s="30" t="s">
        <v>149</v>
      </c>
      <c r="C22" s="31"/>
      <c r="D22" s="32">
        <v>0</v>
      </c>
      <c r="E22" s="32" t="e">
        <f>D22*#REF!</f>
        <v>#REF!</v>
      </c>
      <c r="F22" s="32" t="e">
        <f>D22*#REF!</f>
        <v>#REF!</v>
      </c>
      <c r="G22" s="32" t="e">
        <f>(D22*#REF!)*#REF!</f>
        <v>#REF!</v>
      </c>
      <c r="H22" s="32">
        <v>38040</v>
      </c>
      <c r="I22" s="119">
        <f t="shared" si="0"/>
        <v>0</v>
      </c>
      <c r="J22" s="34" t="e">
        <f t="shared" si="1"/>
        <v>#REF!</v>
      </c>
      <c r="K22" s="16"/>
      <c r="L22" s="31"/>
      <c r="M22" s="35">
        <v>38040</v>
      </c>
      <c r="N22" s="35">
        <v>35570</v>
      </c>
      <c r="O22" s="36">
        <f>VLOOKUP(A22,TB!A:F,4)</f>
        <v>48000</v>
      </c>
      <c r="P22" s="36">
        <f>VLOOKUP(A22,TB!A:F,3)</f>
        <v>17690</v>
      </c>
      <c r="Q22" s="32">
        <f t="shared" si="6"/>
        <v>23586.666666666668</v>
      </c>
      <c r="R22" s="32">
        <f>VLOOKUP(A22,TB!A:F,5)</f>
        <v>54000</v>
      </c>
      <c r="S22" s="120">
        <f>VLOOKUP(A22,TB!A:F,6)</f>
        <v>54000</v>
      </c>
      <c r="T22" s="36">
        <f t="shared" si="3"/>
        <v>0</v>
      </c>
      <c r="U22" s="51"/>
      <c r="V22" s="51"/>
      <c r="W22" s="51"/>
      <c r="X22" s="51"/>
      <c r="Y22" s="51"/>
      <c r="Z22" s="51"/>
      <c r="AA22" s="51"/>
    </row>
    <row r="23" spans="1:27" ht="15.75" customHeight="1" x14ac:dyDescent="0.25">
      <c r="A23" s="30" t="s">
        <v>150</v>
      </c>
      <c r="B23" s="30" t="s">
        <v>94</v>
      </c>
      <c r="C23" s="31"/>
      <c r="D23" s="32">
        <v>37622</v>
      </c>
      <c r="E23" s="32" t="e">
        <f>D23*#REF!</f>
        <v>#REF!</v>
      </c>
      <c r="F23" s="32" t="e">
        <f>D23*#REF!</f>
        <v>#REF!</v>
      </c>
      <c r="G23" s="32" t="e">
        <f>(D23*#REF!)*#REF!</f>
        <v>#REF!</v>
      </c>
      <c r="H23" s="32">
        <v>37184</v>
      </c>
      <c r="I23" s="121">
        <f t="shared" si="0"/>
        <v>-0.24760335264827324</v>
      </c>
      <c r="J23" s="34" t="e">
        <f t="shared" si="1"/>
        <v>#REF!</v>
      </c>
      <c r="K23" s="16"/>
      <c r="L23" s="31"/>
      <c r="M23" s="35">
        <v>37184</v>
      </c>
      <c r="N23" s="35">
        <v>38915.230000000003</v>
      </c>
      <c r="O23" s="36">
        <f>VLOOKUP(A23,TB!A:F,4)</f>
        <v>45000</v>
      </c>
      <c r="P23" s="36">
        <f>VLOOKUP(A23,TB!A:F,3)</f>
        <v>21230</v>
      </c>
      <c r="Q23" s="32">
        <f t="shared" si="6"/>
        <v>28306.666666666664</v>
      </c>
      <c r="R23" s="32">
        <f>VLOOKUP(A23,TB!A:F,5)</f>
        <v>0</v>
      </c>
      <c r="S23" s="120">
        <f>VLOOKUP(A23,TB!A:F,6)</f>
        <v>0</v>
      </c>
      <c r="T23" s="36">
        <f t="shared" si="3"/>
        <v>0</v>
      </c>
      <c r="U23" s="51"/>
      <c r="V23" s="51"/>
      <c r="W23" s="51"/>
      <c r="X23" s="51"/>
      <c r="Y23" s="51"/>
      <c r="Z23" s="51"/>
      <c r="AA23" s="51"/>
    </row>
    <row r="24" spans="1:27" ht="15.75" customHeight="1" x14ac:dyDescent="0.25">
      <c r="A24" s="30" t="s">
        <v>151</v>
      </c>
      <c r="B24" s="30" t="s">
        <v>152</v>
      </c>
      <c r="C24" s="31"/>
      <c r="D24" s="32">
        <v>3790</v>
      </c>
      <c r="E24" s="32" t="e">
        <f>D24*#REF!</f>
        <v>#REF!</v>
      </c>
      <c r="F24" s="32" t="e">
        <f>D24*#REF!</f>
        <v>#REF!</v>
      </c>
      <c r="G24" s="32" t="e">
        <f>(D24*#REF!)*#REF!</f>
        <v>#REF!</v>
      </c>
      <c r="H24" s="32">
        <v>7620</v>
      </c>
      <c r="I24" s="119">
        <f t="shared" si="0"/>
        <v>1.7308707124010554</v>
      </c>
      <c r="J24" s="34" t="e">
        <f t="shared" si="1"/>
        <v>#REF!</v>
      </c>
      <c r="K24" s="16"/>
      <c r="L24" s="31"/>
      <c r="M24" s="35">
        <v>7620</v>
      </c>
      <c r="N24" s="35">
        <v>6809.95</v>
      </c>
      <c r="O24" s="36">
        <f>VLOOKUP(A24,TB!A:F,4)</f>
        <v>10350</v>
      </c>
      <c r="P24" s="36">
        <f>VLOOKUP(A24,TB!A:F,3)</f>
        <v>4485.8999999999996</v>
      </c>
      <c r="Q24" s="38">
        <f>IF(P24/9*12&lt;O24,O24,P24/9*12)</f>
        <v>10350</v>
      </c>
      <c r="R24" s="32">
        <f>VLOOKUP(A24,TB!A:F,5)</f>
        <v>6700</v>
      </c>
      <c r="S24" s="120">
        <f>VLOOKUP(A24,TB!A:F,6)</f>
        <v>6700</v>
      </c>
      <c r="T24" s="36">
        <f t="shared" si="3"/>
        <v>0</v>
      </c>
      <c r="U24" s="51"/>
      <c r="V24" s="51"/>
      <c r="W24" s="51"/>
      <c r="X24" s="51"/>
      <c r="Y24" s="51"/>
      <c r="Z24" s="51"/>
      <c r="AA24" s="51"/>
    </row>
    <row r="25" spans="1:27" ht="15.75" customHeight="1" x14ac:dyDescent="0.25">
      <c r="A25" s="30" t="s">
        <v>153</v>
      </c>
      <c r="B25" s="30" t="s">
        <v>154</v>
      </c>
      <c r="C25" s="31"/>
      <c r="D25" s="32">
        <v>-48249</v>
      </c>
      <c r="E25" s="32" t="e">
        <f>D25*#REF!</f>
        <v>#REF!</v>
      </c>
      <c r="F25" s="32" t="e">
        <f>D25*#REF!</f>
        <v>#REF!</v>
      </c>
      <c r="G25" s="32" t="e">
        <f>(D25*#REF!)*#REF!</f>
        <v>#REF!</v>
      </c>
      <c r="H25" s="32">
        <v>-88677</v>
      </c>
      <c r="I25" s="119">
        <f t="shared" si="0"/>
        <v>1.532967639743829</v>
      </c>
      <c r="J25" s="34" t="e">
        <f t="shared" si="1"/>
        <v>#REF!</v>
      </c>
      <c r="K25" s="34">
        <v>7065</v>
      </c>
      <c r="L25" s="31"/>
      <c r="M25" s="35">
        <v>-88677</v>
      </c>
      <c r="N25" s="35">
        <v>-82133.83</v>
      </c>
      <c r="O25" s="36">
        <f>VLOOKUP(A25,TB!A:F,4)</f>
        <v>-151500.1</v>
      </c>
      <c r="P25" s="36">
        <f>VLOOKUP(A25,TB!A:F,3)</f>
        <v>-70384.92</v>
      </c>
      <c r="Q25" s="38">
        <f>SUM(Q6:Q23)*-0.15</f>
        <v>-122213.15565</v>
      </c>
      <c r="R25" s="32">
        <f>VLOOKUP(A25,TB!A:F,5)</f>
        <v>-157709</v>
      </c>
      <c r="S25" s="120">
        <f>VLOOKUP(A25,TB!A:F,6)</f>
        <v>-150644</v>
      </c>
      <c r="T25" s="36">
        <f t="shared" si="3"/>
        <v>7065</v>
      </c>
      <c r="U25" s="51"/>
      <c r="V25" s="51"/>
      <c r="W25" s="51"/>
      <c r="X25" s="51"/>
      <c r="Y25" s="51"/>
      <c r="Z25" s="51"/>
      <c r="AA25" s="51"/>
    </row>
    <row r="26" spans="1:27" ht="15.75" customHeight="1" x14ac:dyDescent="0.25">
      <c r="A26" s="47" t="s">
        <v>155</v>
      </c>
      <c r="B26" s="48"/>
      <c r="C26" s="49"/>
      <c r="D26" s="50">
        <f t="shared" ref="D26:H26" si="7">SUM(D6:D25)</f>
        <v>273408</v>
      </c>
      <c r="E26" s="50" t="e">
        <f t="shared" si="7"/>
        <v>#REF!</v>
      </c>
      <c r="F26" s="50" t="e">
        <f t="shared" si="7"/>
        <v>#REF!</v>
      </c>
      <c r="G26" s="50" t="e">
        <f t="shared" si="7"/>
        <v>#REF!</v>
      </c>
      <c r="H26" s="50">
        <f t="shared" si="7"/>
        <v>502501</v>
      </c>
      <c r="I26" s="122">
        <f t="shared" si="0"/>
        <v>1.5708509456563087</v>
      </c>
      <c r="J26" s="50" t="e">
        <f t="shared" ref="J26:K26" si="8">SUM(J6:J25)</f>
        <v>#REF!</v>
      </c>
      <c r="K26" s="50">
        <f t="shared" si="8"/>
        <v>-40035</v>
      </c>
      <c r="L26" s="49"/>
      <c r="M26" s="123">
        <f t="shared" ref="M26:T26" si="9">SUM(M6:M25)</f>
        <v>502501</v>
      </c>
      <c r="N26" s="123">
        <f t="shared" si="9"/>
        <v>601462.02</v>
      </c>
      <c r="O26" s="12">
        <f t="shared" si="9"/>
        <v>858291.9</v>
      </c>
      <c r="P26" s="12">
        <f t="shared" si="9"/>
        <v>421603.30999999994</v>
      </c>
      <c r="Q26" s="50">
        <f t="shared" si="9"/>
        <v>702891.21535000007</v>
      </c>
      <c r="R26" s="50">
        <f t="shared" si="9"/>
        <v>893680</v>
      </c>
      <c r="S26" s="124">
        <f t="shared" si="9"/>
        <v>853645</v>
      </c>
      <c r="T26" s="124">
        <f t="shared" si="9"/>
        <v>-40035</v>
      </c>
      <c r="U26" s="44"/>
      <c r="V26" s="44"/>
      <c r="W26" s="44"/>
      <c r="X26" s="44"/>
      <c r="Y26" s="44"/>
      <c r="Z26" s="44"/>
      <c r="AA26" s="44"/>
    </row>
    <row r="27" spans="1:27" ht="15.75" customHeight="1" x14ac:dyDescent="0.2">
      <c r="C27" s="60"/>
      <c r="D27" s="54"/>
      <c r="E27" s="54"/>
      <c r="F27" s="54"/>
      <c r="G27" s="54"/>
      <c r="H27" s="54"/>
      <c r="I27" s="54"/>
      <c r="J27" s="54"/>
      <c r="K27" s="54"/>
      <c r="L27" s="60"/>
      <c r="S27" s="83"/>
    </row>
    <row r="28" spans="1:27" ht="15.75" customHeight="1" x14ac:dyDescent="0.2">
      <c r="C28" s="60"/>
      <c r="D28" s="54"/>
      <c r="E28" s="54"/>
      <c r="F28" s="54"/>
      <c r="G28" s="54"/>
      <c r="H28" s="54"/>
      <c r="I28" s="54"/>
      <c r="J28" s="78"/>
      <c r="K28" s="54"/>
      <c r="L28" s="60"/>
      <c r="S28" s="83"/>
    </row>
    <row r="29" spans="1:27" ht="15.75" customHeight="1" x14ac:dyDescent="0.2">
      <c r="C29" s="60"/>
      <c r="D29" s="54"/>
      <c r="E29" s="54"/>
      <c r="F29" s="54"/>
      <c r="G29" s="54"/>
      <c r="H29" s="54"/>
      <c r="I29" s="54"/>
      <c r="J29" s="78"/>
      <c r="K29" s="54"/>
      <c r="L29" s="60"/>
    </row>
    <row r="30" spans="1:27" ht="15.75" customHeight="1" x14ac:dyDescent="0.2">
      <c r="A30" s="56"/>
      <c r="B30" s="57"/>
      <c r="C30" s="58"/>
      <c r="D30" s="59"/>
      <c r="E30" s="59"/>
      <c r="F30" s="59"/>
      <c r="G30" s="59"/>
      <c r="H30" s="59"/>
      <c r="I30" s="125"/>
      <c r="J30" s="125"/>
      <c r="K30" s="125"/>
      <c r="L30" s="58"/>
      <c r="M30" s="126" t="str">
        <f t="shared" ref="M30:S30" si="10">M5</f>
        <v>2023 Actual</v>
      </c>
      <c r="N30" s="61" t="str">
        <f t="shared" si="10"/>
        <v>2024 Actual</v>
      </c>
      <c r="O30" s="61" t="str">
        <f t="shared" si="10"/>
        <v>Approved
  2025
 Budget</v>
      </c>
      <c r="P30" s="61" t="str">
        <f t="shared" si="10"/>
        <v>2025 YTD Actual</v>
      </c>
      <c r="Q30" s="61" t="str">
        <f t="shared" si="10"/>
        <v xml:space="preserve">Projected 2025 </v>
      </c>
      <c r="R30" s="61" t="str">
        <f t="shared" si="10"/>
        <v>2026
 Requested
 Budget</v>
      </c>
      <c r="S30" s="61" t="str">
        <f t="shared" si="10"/>
        <v>2026 
Tentative 
Budget</v>
      </c>
      <c r="U30" s="56"/>
      <c r="V30" s="56"/>
      <c r="W30" s="56"/>
      <c r="X30" s="56"/>
      <c r="Y30" s="56"/>
      <c r="Z30" s="56"/>
      <c r="AA30" s="56"/>
    </row>
    <row r="31" spans="1:27" ht="15.75" customHeight="1" x14ac:dyDescent="0.2">
      <c r="C31" s="60"/>
      <c r="D31" s="54"/>
      <c r="E31" s="54"/>
      <c r="F31" s="54"/>
      <c r="G31" s="54"/>
      <c r="H31" s="54"/>
      <c r="I31" s="54"/>
      <c r="J31" s="54"/>
      <c r="K31" s="54"/>
      <c r="L31" s="60"/>
      <c r="M31" s="127">
        <f t="shared" ref="M31:S31" si="11">M26</f>
        <v>502501</v>
      </c>
      <c r="N31" s="63">
        <f t="shared" si="11"/>
        <v>601462.02</v>
      </c>
      <c r="O31" s="63">
        <f t="shared" si="11"/>
        <v>858291.9</v>
      </c>
      <c r="P31" s="63">
        <f t="shared" si="11"/>
        <v>421603.30999999994</v>
      </c>
      <c r="Q31" s="63">
        <f t="shared" si="11"/>
        <v>702891.21535000007</v>
      </c>
      <c r="R31" s="63">
        <f t="shared" si="11"/>
        <v>893680</v>
      </c>
      <c r="S31" s="63">
        <f t="shared" si="11"/>
        <v>853645</v>
      </c>
    </row>
    <row r="32" spans="1:27" ht="15.75" customHeight="1" x14ac:dyDescent="0.2">
      <c r="C32" s="60"/>
      <c r="D32" s="54"/>
      <c r="E32" s="54"/>
      <c r="F32" s="54"/>
      <c r="G32" s="54"/>
      <c r="H32" s="54"/>
      <c r="I32" s="54"/>
      <c r="J32" s="54"/>
      <c r="K32" s="54"/>
      <c r="L32" s="60"/>
    </row>
    <row r="33" spans="3:12" ht="15.75" customHeight="1" x14ac:dyDescent="0.2">
      <c r="C33" s="60"/>
      <c r="D33" s="54"/>
      <c r="E33" s="54"/>
      <c r="F33" s="54"/>
      <c r="G33" s="54"/>
      <c r="H33" s="54"/>
      <c r="I33" s="54"/>
      <c r="J33" s="54"/>
      <c r="K33" s="54"/>
      <c r="L33" s="60"/>
    </row>
    <row r="34" spans="3:12" ht="15.75" customHeight="1" x14ac:dyDescent="0.2">
      <c r="C34" s="60"/>
      <c r="D34" s="54"/>
      <c r="E34" s="54"/>
      <c r="F34" s="54"/>
      <c r="G34" s="54"/>
      <c r="H34" s="54"/>
      <c r="I34" s="54"/>
      <c r="J34" s="54"/>
      <c r="K34" s="54"/>
      <c r="L34" s="60"/>
    </row>
    <row r="35" spans="3:12" ht="15.75" customHeight="1" x14ac:dyDescent="0.2">
      <c r="C35" s="60"/>
      <c r="D35" s="54"/>
      <c r="E35" s="54"/>
      <c r="F35" s="54"/>
      <c r="G35" s="54"/>
      <c r="H35" s="54"/>
      <c r="I35" s="54"/>
      <c r="J35" s="54"/>
      <c r="K35" s="54"/>
      <c r="L35" s="60"/>
    </row>
    <row r="36" spans="3:12" ht="15.75" customHeight="1" x14ac:dyDescent="0.2">
      <c r="C36" s="60"/>
      <c r="D36" s="54"/>
      <c r="E36" s="54"/>
      <c r="F36" s="54"/>
      <c r="G36" s="54"/>
      <c r="H36" s="54"/>
      <c r="I36" s="54"/>
      <c r="J36" s="54"/>
      <c r="K36" s="54"/>
      <c r="L36" s="60"/>
    </row>
    <row r="37" spans="3:12" ht="15.75" customHeight="1" x14ac:dyDescent="0.2">
      <c r="C37" s="60"/>
      <c r="D37" s="54"/>
      <c r="E37" s="54"/>
      <c r="F37" s="54"/>
      <c r="G37" s="54"/>
      <c r="H37" s="54"/>
      <c r="I37" s="54"/>
      <c r="J37" s="54"/>
      <c r="K37" s="54"/>
      <c r="L37" s="60"/>
    </row>
    <row r="38" spans="3:12" ht="15.75" customHeight="1" x14ac:dyDescent="0.2">
      <c r="C38" s="60"/>
      <c r="D38" s="54"/>
      <c r="E38" s="54"/>
      <c r="F38" s="54"/>
      <c r="G38" s="54"/>
      <c r="H38" s="54"/>
      <c r="I38" s="54"/>
      <c r="J38" s="54"/>
      <c r="K38" s="54"/>
      <c r="L38" s="60"/>
    </row>
    <row r="39" spans="3:12" ht="15.75" customHeight="1" x14ac:dyDescent="0.2">
      <c r="C39" s="60"/>
      <c r="D39" s="54"/>
      <c r="E39" s="54"/>
      <c r="F39" s="54"/>
      <c r="G39" s="54"/>
      <c r="H39" s="54"/>
      <c r="I39" s="54"/>
      <c r="J39" s="54"/>
      <c r="K39" s="54"/>
      <c r="L39" s="60"/>
    </row>
    <row r="40" spans="3:12" ht="15.75" customHeight="1" x14ac:dyDescent="0.2">
      <c r="C40" s="60"/>
      <c r="D40" s="54"/>
      <c r="E40" s="54"/>
      <c r="F40" s="54"/>
      <c r="G40" s="54"/>
      <c r="H40" s="54"/>
      <c r="I40" s="54"/>
      <c r="J40" s="54"/>
      <c r="K40" s="54"/>
      <c r="L40" s="60"/>
    </row>
    <row r="41" spans="3:12" ht="15.75" customHeight="1" x14ac:dyDescent="0.2">
      <c r="C41" s="60"/>
      <c r="D41" s="54"/>
      <c r="E41" s="54"/>
      <c r="F41" s="54"/>
      <c r="G41" s="54"/>
      <c r="H41" s="54"/>
      <c r="I41" s="54"/>
      <c r="J41" s="54"/>
      <c r="K41" s="54"/>
      <c r="L41" s="60"/>
    </row>
    <row r="42" spans="3:12" ht="15.75" customHeight="1" x14ac:dyDescent="0.2">
      <c r="C42" s="60"/>
      <c r="D42" s="54"/>
      <c r="E42" s="54"/>
      <c r="F42" s="54"/>
      <c r="G42" s="54"/>
      <c r="H42" s="54"/>
      <c r="I42" s="54"/>
      <c r="J42" s="54"/>
      <c r="K42" s="54"/>
      <c r="L42" s="60"/>
    </row>
    <row r="43" spans="3:12" ht="15.75" customHeight="1" x14ac:dyDescent="0.2">
      <c r="C43" s="60"/>
      <c r="D43" s="54"/>
      <c r="E43" s="54"/>
      <c r="F43" s="54"/>
      <c r="G43" s="54"/>
      <c r="H43" s="54"/>
      <c r="I43" s="54"/>
      <c r="J43" s="54"/>
      <c r="K43" s="54"/>
      <c r="L43" s="60"/>
    </row>
    <row r="44" spans="3:12" ht="15.75" customHeight="1" x14ac:dyDescent="0.2">
      <c r="C44" s="60"/>
      <c r="D44" s="54"/>
      <c r="E44" s="54"/>
      <c r="F44" s="54"/>
      <c r="G44" s="54"/>
      <c r="H44" s="54"/>
      <c r="I44" s="54"/>
      <c r="J44" s="54"/>
      <c r="K44" s="54"/>
      <c r="L44" s="60"/>
    </row>
    <row r="45" spans="3:12" ht="15.75" customHeight="1" x14ac:dyDescent="0.2">
      <c r="C45" s="60"/>
      <c r="D45" s="54"/>
      <c r="E45" s="54"/>
      <c r="F45" s="54"/>
      <c r="G45" s="54"/>
      <c r="H45" s="54"/>
      <c r="I45" s="54"/>
      <c r="J45" s="54"/>
      <c r="K45" s="54"/>
      <c r="L45" s="60"/>
    </row>
    <row r="46" spans="3:12" ht="15.75" customHeight="1" x14ac:dyDescent="0.2">
      <c r="C46" s="60"/>
      <c r="D46" s="54"/>
      <c r="E46" s="54"/>
      <c r="F46" s="54"/>
      <c r="G46" s="54"/>
      <c r="H46" s="54"/>
      <c r="I46" s="54"/>
      <c r="J46" s="54"/>
      <c r="K46" s="54"/>
      <c r="L46" s="60"/>
    </row>
    <row r="47" spans="3:12" ht="15.75" customHeight="1" x14ac:dyDescent="0.2">
      <c r="C47" s="60"/>
      <c r="D47" s="54"/>
      <c r="E47" s="54"/>
      <c r="F47" s="54"/>
      <c r="G47" s="54"/>
      <c r="H47" s="54"/>
      <c r="I47" s="54"/>
      <c r="J47" s="54"/>
      <c r="K47" s="54"/>
      <c r="L47" s="60"/>
    </row>
    <row r="48" spans="3:12" ht="15.75" customHeight="1" x14ac:dyDescent="0.2">
      <c r="C48" s="60"/>
      <c r="D48" s="54"/>
      <c r="E48" s="54"/>
      <c r="F48" s="54"/>
      <c r="G48" s="54"/>
      <c r="H48" s="54"/>
      <c r="I48" s="54"/>
      <c r="J48" s="54"/>
      <c r="K48" s="54"/>
      <c r="L48" s="60"/>
    </row>
    <row r="49" spans="3:12" ht="15.75" customHeight="1" x14ac:dyDescent="0.2">
      <c r="C49" s="60"/>
      <c r="D49" s="54"/>
      <c r="E49" s="54"/>
      <c r="F49" s="54"/>
      <c r="G49" s="54"/>
      <c r="H49" s="54"/>
      <c r="I49" s="54"/>
      <c r="J49" s="54"/>
      <c r="K49" s="54"/>
      <c r="L49" s="60"/>
    </row>
    <row r="50" spans="3:12" ht="15.75" customHeight="1" x14ac:dyDescent="0.2">
      <c r="C50" s="60"/>
      <c r="D50" s="54"/>
      <c r="E50" s="54"/>
      <c r="F50" s="54"/>
      <c r="G50" s="54"/>
      <c r="H50" s="54"/>
      <c r="I50" s="54"/>
      <c r="J50" s="54"/>
      <c r="K50" s="54"/>
      <c r="L50" s="60"/>
    </row>
    <row r="51" spans="3:12" ht="15.75" customHeight="1" x14ac:dyDescent="0.2">
      <c r="C51" s="60"/>
      <c r="D51" s="54"/>
      <c r="E51" s="54"/>
      <c r="F51" s="54"/>
      <c r="G51" s="54"/>
      <c r="H51" s="54"/>
      <c r="I51" s="54"/>
      <c r="J51" s="54"/>
      <c r="K51" s="54"/>
      <c r="L51" s="60"/>
    </row>
    <row r="52" spans="3:12" ht="15.75" customHeight="1" x14ac:dyDescent="0.2">
      <c r="C52" s="60"/>
      <c r="D52" s="54"/>
      <c r="E52" s="54"/>
      <c r="F52" s="54"/>
      <c r="G52" s="54"/>
      <c r="H52" s="54"/>
      <c r="I52" s="54"/>
      <c r="J52" s="54"/>
      <c r="K52" s="54"/>
      <c r="L52" s="60"/>
    </row>
    <row r="53" spans="3:12" ht="15.75" customHeight="1" x14ac:dyDescent="0.2">
      <c r="C53" s="60"/>
      <c r="D53" s="54"/>
      <c r="E53" s="54"/>
      <c r="F53" s="54"/>
      <c r="G53" s="54"/>
      <c r="H53" s="54"/>
      <c r="I53" s="54"/>
      <c r="J53" s="54"/>
      <c r="K53" s="54"/>
      <c r="L53" s="60"/>
    </row>
    <row r="54" spans="3:12" ht="15.75" customHeight="1" x14ac:dyDescent="0.2">
      <c r="C54" s="60"/>
      <c r="D54" s="54"/>
      <c r="E54" s="54"/>
      <c r="F54" s="54"/>
      <c r="G54" s="54"/>
      <c r="H54" s="54"/>
      <c r="I54" s="54"/>
      <c r="J54" s="54"/>
      <c r="K54" s="54"/>
      <c r="L54" s="60"/>
    </row>
    <row r="55" spans="3:12" ht="15.75" customHeight="1" x14ac:dyDescent="0.2">
      <c r="C55" s="60"/>
      <c r="D55" s="54"/>
      <c r="E55" s="54"/>
      <c r="F55" s="54"/>
      <c r="G55" s="54"/>
      <c r="H55" s="54"/>
      <c r="I55" s="54"/>
      <c r="J55" s="54"/>
      <c r="K55" s="54"/>
      <c r="L55" s="60"/>
    </row>
    <row r="56" spans="3:12" ht="15.75" customHeight="1" x14ac:dyDescent="0.2">
      <c r="C56" s="60"/>
      <c r="D56" s="54"/>
      <c r="E56" s="54"/>
      <c r="F56" s="54"/>
      <c r="G56" s="54"/>
      <c r="H56" s="54"/>
      <c r="I56" s="54"/>
      <c r="J56" s="54"/>
      <c r="K56" s="54"/>
      <c r="L56" s="60"/>
    </row>
    <row r="57" spans="3:12" ht="15.75" customHeight="1" x14ac:dyDescent="0.2">
      <c r="C57" s="60"/>
      <c r="D57" s="54"/>
      <c r="E57" s="54"/>
      <c r="F57" s="54"/>
      <c r="G57" s="54"/>
      <c r="H57" s="54"/>
      <c r="I57" s="54"/>
      <c r="J57" s="54"/>
      <c r="K57" s="54"/>
      <c r="L57" s="60"/>
    </row>
    <row r="58" spans="3:12" ht="15.75" customHeight="1" x14ac:dyDescent="0.2">
      <c r="C58" s="60"/>
      <c r="D58" s="54"/>
      <c r="E58" s="54"/>
      <c r="F58" s="54"/>
      <c r="G58" s="54"/>
      <c r="H58" s="54"/>
      <c r="I58" s="54"/>
      <c r="J58" s="54"/>
      <c r="K58" s="54"/>
      <c r="L58" s="60"/>
    </row>
    <row r="59" spans="3:12" ht="15.75" customHeight="1" x14ac:dyDescent="0.2">
      <c r="C59" s="60"/>
      <c r="D59" s="54"/>
      <c r="E59" s="54"/>
      <c r="F59" s="54"/>
      <c r="G59" s="54"/>
      <c r="H59" s="54"/>
      <c r="I59" s="54"/>
      <c r="J59" s="54"/>
      <c r="K59" s="54"/>
      <c r="L59" s="60"/>
    </row>
    <row r="60" spans="3:12" ht="15.75" customHeight="1" x14ac:dyDescent="0.2">
      <c r="C60" s="60"/>
      <c r="D60" s="54"/>
      <c r="E60" s="54"/>
      <c r="F60" s="54"/>
      <c r="G60" s="54"/>
      <c r="H60" s="54"/>
      <c r="I60" s="54"/>
      <c r="J60" s="54"/>
      <c r="K60" s="54"/>
      <c r="L60" s="60"/>
    </row>
    <row r="61" spans="3:12" ht="15.75" customHeight="1" x14ac:dyDescent="0.2">
      <c r="C61" s="60"/>
      <c r="D61" s="54"/>
      <c r="E61" s="54"/>
      <c r="F61" s="54"/>
      <c r="G61" s="54"/>
      <c r="H61" s="54"/>
      <c r="I61" s="54"/>
      <c r="J61" s="54"/>
      <c r="K61" s="54"/>
      <c r="L61" s="60"/>
    </row>
    <row r="62" spans="3:12" ht="15.75" customHeight="1" x14ac:dyDescent="0.2">
      <c r="C62" s="60"/>
      <c r="D62" s="54"/>
      <c r="E62" s="54"/>
      <c r="F62" s="54"/>
      <c r="G62" s="54"/>
      <c r="H62" s="54"/>
      <c r="I62" s="54"/>
      <c r="J62" s="54"/>
      <c r="K62" s="54"/>
      <c r="L62" s="60"/>
    </row>
    <row r="63" spans="3:12" ht="15.75" customHeight="1" x14ac:dyDescent="0.2">
      <c r="C63" s="60"/>
      <c r="D63" s="54"/>
      <c r="E63" s="54"/>
      <c r="F63" s="54"/>
      <c r="G63" s="54"/>
      <c r="H63" s="54"/>
      <c r="I63" s="54"/>
      <c r="J63" s="54"/>
      <c r="K63" s="54"/>
      <c r="L63" s="60"/>
    </row>
    <row r="64" spans="3:12" ht="15.75" customHeight="1" x14ac:dyDescent="0.2">
      <c r="C64" s="60"/>
      <c r="D64" s="54"/>
      <c r="E64" s="54"/>
      <c r="F64" s="54"/>
      <c r="G64" s="54"/>
      <c r="H64" s="54"/>
      <c r="I64" s="54"/>
      <c r="J64" s="54"/>
      <c r="K64" s="54"/>
      <c r="L64" s="60"/>
    </row>
    <row r="65" spans="3:12" ht="15.75" customHeight="1" x14ac:dyDescent="0.2">
      <c r="C65" s="60"/>
      <c r="D65" s="54"/>
      <c r="E65" s="54"/>
      <c r="F65" s="54"/>
      <c r="G65" s="54"/>
      <c r="H65" s="54"/>
      <c r="I65" s="54"/>
      <c r="J65" s="54"/>
      <c r="K65" s="54"/>
      <c r="L65" s="60"/>
    </row>
    <row r="66" spans="3:12" ht="15.75" customHeight="1" x14ac:dyDescent="0.2">
      <c r="C66" s="60"/>
      <c r="D66" s="54"/>
      <c r="E66" s="54"/>
      <c r="F66" s="54"/>
      <c r="G66" s="54"/>
      <c r="H66" s="54"/>
      <c r="I66" s="54"/>
      <c r="J66" s="54"/>
      <c r="K66" s="54"/>
      <c r="L66" s="60"/>
    </row>
    <row r="67" spans="3:12" ht="15.75" customHeight="1" x14ac:dyDescent="0.2">
      <c r="C67" s="60"/>
      <c r="D67" s="54"/>
      <c r="E67" s="54"/>
      <c r="F67" s="54"/>
      <c r="G67" s="54"/>
      <c r="H67" s="54"/>
      <c r="I67" s="54"/>
      <c r="J67" s="54"/>
      <c r="K67" s="54"/>
      <c r="L67" s="60"/>
    </row>
    <row r="68" spans="3:12" ht="15.75" customHeight="1" x14ac:dyDescent="0.2">
      <c r="C68" s="60"/>
      <c r="D68" s="54"/>
      <c r="E68" s="54"/>
      <c r="F68" s="54"/>
      <c r="G68" s="54"/>
      <c r="H68" s="54"/>
      <c r="I68" s="54"/>
      <c r="J68" s="54"/>
      <c r="K68" s="54"/>
      <c r="L68" s="60"/>
    </row>
    <row r="69" spans="3:12" ht="15.75" customHeight="1" x14ac:dyDescent="0.2">
      <c r="C69" s="60"/>
      <c r="D69" s="54"/>
      <c r="E69" s="54"/>
      <c r="F69" s="54"/>
      <c r="G69" s="54"/>
      <c r="H69" s="54"/>
      <c r="I69" s="54"/>
      <c r="J69" s="54"/>
      <c r="K69" s="54"/>
      <c r="L69" s="60"/>
    </row>
    <row r="70" spans="3:12" ht="15.75" customHeight="1" x14ac:dyDescent="0.2">
      <c r="C70" s="60"/>
      <c r="D70" s="54"/>
      <c r="E70" s="54"/>
      <c r="F70" s="54"/>
      <c r="G70" s="54"/>
      <c r="H70" s="54"/>
      <c r="I70" s="54"/>
      <c r="J70" s="54"/>
      <c r="K70" s="54"/>
      <c r="L70" s="60"/>
    </row>
    <row r="71" spans="3:12" ht="15.75" customHeight="1" x14ac:dyDescent="0.2">
      <c r="C71" s="60"/>
      <c r="D71" s="54"/>
      <c r="E71" s="54"/>
      <c r="F71" s="54"/>
      <c r="G71" s="54"/>
      <c r="H71" s="54"/>
      <c r="I71" s="54"/>
      <c r="J71" s="54"/>
      <c r="K71" s="54"/>
      <c r="L71" s="60"/>
    </row>
    <row r="72" spans="3:12" ht="15.75" customHeight="1" x14ac:dyDescent="0.2">
      <c r="C72" s="60"/>
      <c r="D72" s="54"/>
      <c r="E72" s="54"/>
      <c r="F72" s="54"/>
      <c r="G72" s="54"/>
      <c r="H72" s="54"/>
      <c r="I72" s="54"/>
      <c r="J72" s="54"/>
      <c r="K72" s="54"/>
      <c r="L72" s="60"/>
    </row>
    <row r="73" spans="3:12" ht="15.75" customHeight="1" x14ac:dyDescent="0.2">
      <c r="C73" s="60"/>
      <c r="D73" s="54"/>
      <c r="E73" s="54"/>
      <c r="F73" s="54"/>
      <c r="G73" s="54"/>
      <c r="H73" s="54"/>
      <c r="I73" s="54"/>
      <c r="J73" s="54"/>
      <c r="K73" s="54"/>
      <c r="L73" s="60"/>
    </row>
    <row r="74" spans="3:12" ht="15.75" customHeight="1" x14ac:dyDescent="0.2">
      <c r="C74" s="60"/>
      <c r="D74" s="54"/>
      <c r="E74" s="54"/>
      <c r="F74" s="54"/>
      <c r="G74" s="54"/>
      <c r="H74" s="54"/>
      <c r="I74" s="54"/>
      <c r="J74" s="54"/>
      <c r="K74" s="54"/>
      <c r="L74" s="60"/>
    </row>
    <row r="75" spans="3:12" ht="15.75" customHeight="1" x14ac:dyDescent="0.2">
      <c r="C75" s="60"/>
      <c r="D75" s="54"/>
      <c r="E75" s="54"/>
      <c r="F75" s="54"/>
      <c r="G75" s="54"/>
      <c r="H75" s="54"/>
      <c r="I75" s="54"/>
      <c r="J75" s="54"/>
      <c r="K75" s="54"/>
      <c r="L75" s="60"/>
    </row>
    <row r="76" spans="3:12" ht="15.75" customHeight="1" x14ac:dyDescent="0.2">
      <c r="C76" s="60"/>
      <c r="D76" s="54"/>
      <c r="E76" s="54"/>
      <c r="F76" s="54"/>
      <c r="G76" s="54"/>
      <c r="H76" s="54"/>
      <c r="I76" s="54"/>
      <c r="J76" s="54"/>
      <c r="K76" s="54"/>
      <c r="L76" s="60"/>
    </row>
    <row r="77" spans="3:12" ht="15.75" customHeight="1" x14ac:dyDescent="0.2">
      <c r="C77" s="60"/>
      <c r="D77" s="54"/>
      <c r="E77" s="54"/>
      <c r="F77" s="54"/>
      <c r="G77" s="54"/>
      <c r="H77" s="54"/>
      <c r="I77" s="54"/>
      <c r="J77" s="54"/>
      <c r="K77" s="54"/>
      <c r="L77" s="60"/>
    </row>
    <row r="78" spans="3:12" ht="15.75" customHeight="1" x14ac:dyDescent="0.2">
      <c r="C78" s="60"/>
      <c r="D78" s="54"/>
      <c r="E78" s="54"/>
      <c r="F78" s="54"/>
      <c r="G78" s="54"/>
      <c r="H78" s="54"/>
      <c r="I78" s="54"/>
      <c r="J78" s="54"/>
      <c r="K78" s="54"/>
      <c r="L78" s="60"/>
    </row>
    <row r="79" spans="3:12" ht="15.75" customHeight="1" x14ac:dyDescent="0.2">
      <c r="C79" s="60"/>
      <c r="D79" s="54"/>
      <c r="E79" s="54"/>
      <c r="F79" s="54"/>
      <c r="G79" s="54"/>
      <c r="H79" s="54"/>
      <c r="I79" s="54"/>
      <c r="J79" s="54"/>
      <c r="K79" s="54"/>
      <c r="L79" s="60"/>
    </row>
    <row r="80" spans="3:12" ht="15.75" customHeight="1" x14ac:dyDescent="0.2">
      <c r="C80" s="60"/>
      <c r="D80" s="54"/>
      <c r="E80" s="54"/>
      <c r="F80" s="54"/>
      <c r="G80" s="54"/>
      <c r="H80" s="54"/>
      <c r="I80" s="54"/>
      <c r="J80" s="54"/>
      <c r="K80" s="54"/>
      <c r="L80" s="60"/>
    </row>
    <row r="81" spans="3:12" ht="15.75" customHeight="1" x14ac:dyDescent="0.2">
      <c r="C81" s="60"/>
      <c r="D81" s="54"/>
      <c r="E81" s="54"/>
      <c r="F81" s="54"/>
      <c r="G81" s="54"/>
      <c r="H81" s="54"/>
      <c r="I81" s="54"/>
      <c r="J81" s="54"/>
      <c r="K81" s="54"/>
      <c r="L81" s="60"/>
    </row>
    <row r="82" spans="3:12" ht="15.75" customHeight="1" x14ac:dyDescent="0.2">
      <c r="C82" s="60"/>
      <c r="D82" s="54"/>
      <c r="E82" s="54"/>
      <c r="F82" s="54"/>
      <c r="G82" s="54"/>
      <c r="H82" s="54"/>
      <c r="I82" s="54"/>
      <c r="J82" s="54"/>
      <c r="K82" s="54"/>
      <c r="L82" s="60"/>
    </row>
    <row r="83" spans="3:12" ht="15.75" customHeight="1" x14ac:dyDescent="0.2">
      <c r="C83" s="60"/>
      <c r="D83" s="54"/>
      <c r="E83" s="54"/>
      <c r="F83" s="54"/>
      <c r="G83" s="54"/>
      <c r="H83" s="54"/>
      <c r="I83" s="54"/>
      <c r="J83" s="54"/>
      <c r="K83" s="54"/>
      <c r="L83" s="60"/>
    </row>
    <row r="84" spans="3:12" ht="15.75" customHeight="1" x14ac:dyDescent="0.2">
      <c r="C84" s="60"/>
      <c r="D84" s="54"/>
      <c r="E84" s="54"/>
      <c r="F84" s="54"/>
      <c r="G84" s="54"/>
      <c r="H84" s="54"/>
      <c r="I84" s="54"/>
      <c r="J84" s="54"/>
      <c r="K84" s="54"/>
      <c r="L84" s="60"/>
    </row>
    <row r="85" spans="3:12" ht="15.75" customHeight="1" x14ac:dyDescent="0.2">
      <c r="C85" s="60"/>
      <c r="D85" s="54"/>
      <c r="E85" s="54"/>
      <c r="F85" s="54"/>
      <c r="G85" s="54"/>
      <c r="H85" s="54"/>
      <c r="I85" s="54"/>
      <c r="J85" s="54"/>
      <c r="K85" s="54"/>
      <c r="L85" s="60"/>
    </row>
    <row r="86" spans="3:12" ht="15.75" customHeight="1" x14ac:dyDescent="0.2">
      <c r="C86" s="60"/>
      <c r="D86" s="54"/>
      <c r="E86" s="54"/>
      <c r="F86" s="54"/>
      <c r="G86" s="54"/>
      <c r="H86" s="54"/>
      <c r="I86" s="54"/>
      <c r="J86" s="54"/>
      <c r="K86" s="54"/>
      <c r="L86" s="60"/>
    </row>
    <row r="87" spans="3:12" ht="15.75" customHeight="1" x14ac:dyDescent="0.2">
      <c r="C87" s="60"/>
      <c r="D87" s="54"/>
      <c r="E87" s="54"/>
      <c r="F87" s="54"/>
      <c r="G87" s="54"/>
      <c r="H87" s="54"/>
      <c r="I87" s="54"/>
      <c r="J87" s="54"/>
      <c r="K87" s="54"/>
      <c r="L87" s="60"/>
    </row>
    <row r="88" spans="3:12" ht="15.75" customHeight="1" x14ac:dyDescent="0.2">
      <c r="C88" s="60"/>
      <c r="D88" s="54"/>
      <c r="E88" s="54"/>
      <c r="F88" s="54"/>
      <c r="G88" s="54"/>
      <c r="H88" s="54"/>
      <c r="I88" s="54"/>
      <c r="J88" s="54"/>
      <c r="K88" s="54"/>
      <c r="L88" s="60"/>
    </row>
    <row r="89" spans="3:12" ht="15.75" customHeight="1" x14ac:dyDescent="0.2">
      <c r="C89" s="60"/>
      <c r="D89" s="54"/>
      <c r="E89" s="54"/>
      <c r="F89" s="54"/>
      <c r="G89" s="54"/>
      <c r="H89" s="54"/>
      <c r="I89" s="54"/>
      <c r="J89" s="54"/>
      <c r="K89" s="54"/>
      <c r="L89" s="60"/>
    </row>
    <row r="90" spans="3:12" ht="15.75" customHeight="1" x14ac:dyDescent="0.2">
      <c r="C90" s="60"/>
      <c r="D90" s="54"/>
      <c r="E90" s="54"/>
      <c r="F90" s="54"/>
      <c r="G90" s="54"/>
      <c r="H90" s="54"/>
      <c r="I90" s="54"/>
      <c r="J90" s="54"/>
      <c r="K90" s="54"/>
      <c r="L90" s="60"/>
    </row>
    <row r="91" spans="3:12" ht="15.75" customHeight="1" x14ac:dyDescent="0.2">
      <c r="C91" s="60"/>
      <c r="D91" s="54"/>
      <c r="E91" s="54"/>
      <c r="F91" s="54"/>
      <c r="G91" s="54"/>
      <c r="H91" s="54"/>
      <c r="I91" s="54"/>
      <c r="J91" s="54"/>
      <c r="K91" s="54"/>
      <c r="L91" s="60"/>
    </row>
    <row r="92" spans="3:12" ht="15.75" customHeight="1" x14ac:dyDescent="0.2">
      <c r="C92" s="60"/>
      <c r="D92" s="54"/>
      <c r="E92" s="54"/>
      <c r="F92" s="54"/>
      <c r="G92" s="54"/>
      <c r="H92" s="54"/>
      <c r="I92" s="54"/>
      <c r="J92" s="54"/>
      <c r="K92" s="54"/>
      <c r="L92" s="60"/>
    </row>
    <row r="93" spans="3:12" ht="15.75" customHeight="1" x14ac:dyDescent="0.2">
      <c r="C93" s="60"/>
      <c r="D93" s="54"/>
      <c r="E93" s="54"/>
      <c r="F93" s="54"/>
      <c r="G93" s="54"/>
      <c r="H93" s="54"/>
      <c r="I93" s="54"/>
      <c r="J93" s="54"/>
      <c r="K93" s="54"/>
      <c r="L93" s="60"/>
    </row>
    <row r="94" spans="3:12" ht="15.75" customHeight="1" x14ac:dyDescent="0.2">
      <c r="C94" s="60"/>
      <c r="D94" s="54"/>
      <c r="E94" s="54"/>
      <c r="F94" s="54"/>
      <c r="G94" s="54"/>
      <c r="H94" s="54"/>
      <c r="I94" s="54"/>
      <c r="J94" s="54"/>
      <c r="K94" s="54"/>
      <c r="L94" s="60"/>
    </row>
    <row r="95" spans="3:12" ht="15.75" customHeight="1" x14ac:dyDescent="0.2">
      <c r="C95" s="60"/>
      <c r="D95" s="54"/>
      <c r="E95" s="54"/>
      <c r="F95" s="54"/>
      <c r="G95" s="54"/>
      <c r="H95" s="54"/>
      <c r="I95" s="54"/>
      <c r="J95" s="54"/>
      <c r="K95" s="54"/>
      <c r="L95" s="60"/>
    </row>
    <row r="96" spans="3:12" ht="15.75" customHeight="1" x14ac:dyDescent="0.2">
      <c r="C96" s="60"/>
      <c r="D96" s="54"/>
      <c r="E96" s="54"/>
      <c r="F96" s="54"/>
      <c r="G96" s="54"/>
      <c r="H96" s="54"/>
      <c r="I96" s="54"/>
      <c r="J96" s="54"/>
      <c r="K96" s="54"/>
      <c r="L96" s="60"/>
    </row>
    <row r="97" spans="3:12" ht="15.75" customHeight="1" x14ac:dyDescent="0.2">
      <c r="C97" s="60"/>
      <c r="D97" s="54"/>
      <c r="E97" s="54"/>
      <c r="F97" s="54"/>
      <c r="G97" s="54"/>
      <c r="H97" s="54"/>
      <c r="I97" s="54"/>
      <c r="J97" s="54"/>
      <c r="K97" s="54"/>
      <c r="L97" s="60"/>
    </row>
    <row r="98" spans="3:12" ht="15.75" customHeight="1" x14ac:dyDescent="0.2">
      <c r="C98" s="60"/>
      <c r="D98" s="54"/>
      <c r="E98" s="54"/>
      <c r="F98" s="54"/>
      <c r="G98" s="54"/>
      <c r="H98" s="54"/>
      <c r="I98" s="54"/>
      <c r="J98" s="54"/>
      <c r="K98" s="54"/>
      <c r="L98" s="60"/>
    </row>
    <row r="99" spans="3:12" ht="15.75" customHeight="1" x14ac:dyDescent="0.2">
      <c r="C99" s="60"/>
      <c r="D99" s="54"/>
      <c r="E99" s="54"/>
      <c r="F99" s="54"/>
      <c r="G99" s="54"/>
      <c r="H99" s="54"/>
      <c r="I99" s="54"/>
      <c r="J99" s="54"/>
      <c r="K99" s="54"/>
      <c r="L99" s="60"/>
    </row>
    <row r="100" spans="3:12" ht="15.75" customHeight="1" x14ac:dyDescent="0.2">
      <c r="C100" s="60"/>
      <c r="D100" s="54"/>
      <c r="E100" s="54"/>
      <c r="F100" s="54"/>
      <c r="G100" s="54"/>
      <c r="H100" s="54"/>
      <c r="I100" s="54"/>
      <c r="J100" s="54"/>
      <c r="K100" s="54"/>
      <c r="L100" s="60"/>
    </row>
    <row r="101" spans="3:12" ht="15.75" customHeight="1" x14ac:dyDescent="0.2">
      <c r="C101" s="60"/>
      <c r="D101" s="54"/>
      <c r="E101" s="54"/>
      <c r="F101" s="54"/>
      <c r="G101" s="54"/>
      <c r="H101" s="54"/>
      <c r="I101" s="54"/>
      <c r="J101" s="54"/>
      <c r="K101" s="54"/>
      <c r="L101" s="60"/>
    </row>
    <row r="102" spans="3:12" ht="15.75" customHeight="1" x14ac:dyDescent="0.2">
      <c r="C102" s="60"/>
      <c r="D102" s="54"/>
      <c r="E102" s="54"/>
      <c r="F102" s="54"/>
      <c r="G102" s="54"/>
      <c r="H102" s="54"/>
      <c r="I102" s="54"/>
      <c r="J102" s="54"/>
      <c r="K102" s="54"/>
      <c r="L102" s="60"/>
    </row>
    <row r="103" spans="3:12" ht="15.75" customHeight="1" x14ac:dyDescent="0.2">
      <c r="C103" s="60"/>
      <c r="D103" s="54"/>
      <c r="E103" s="54"/>
      <c r="F103" s="54"/>
      <c r="G103" s="54"/>
      <c r="H103" s="54"/>
      <c r="I103" s="54"/>
      <c r="J103" s="54"/>
      <c r="K103" s="54"/>
      <c r="L103" s="60"/>
    </row>
    <row r="104" spans="3:12" ht="15.75" customHeight="1" x14ac:dyDescent="0.2">
      <c r="C104" s="60"/>
      <c r="D104" s="54"/>
      <c r="E104" s="54"/>
      <c r="F104" s="54"/>
      <c r="G104" s="54"/>
      <c r="H104" s="54"/>
      <c r="I104" s="54"/>
      <c r="J104" s="54"/>
      <c r="K104" s="54"/>
      <c r="L104" s="60"/>
    </row>
    <row r="105" spans="3:12" ht="15.75" customHeight="1" x14ac:dyDescent="0.2">
      <c r="C105" s="60"/>
      <c r="D105" s="54"/>
      <c r="E105" s="54"/>
      <c r="F105" s="54"/>
      <c r="G105" s="54"/>
      <c r="H105" s="54"/>
      <c r="I105" s="54"/>
      <c r="J105" s="54"/>
      <c r="K105" s="54"/>
      <c r="L105" s="60"/>
    </row>
    <row r="106" spans="3:12" ht="15.75" customHeight="1" x14ac:dyDescent="0.2">
      <c r="C106" s="60"/>
      <c r="D106" s="54"/>
      <c r="E106" s="54"/>
      <c r="F106" s="54"/>
      <c r="G106" s="54"/>
      <c r="H106" s="54"/>
      <c r="I106" s="54"/>
      <c r="J106" s="54"/>
      <c r="K106" s="54"/>
      <c r="L106" s="60"/>
    </row>
    <row r="107" spans="3:12" ht="15.75" customHeight="1" x14ac:dyDescent="0.2">
      <c r="C107" s="60"/>
      <c r="D107" s="54"/>
      <c r="E107" s="54"/>
      <c r="F107" s="54"/>
      <c r="G107" s="54"/>
      <c r="H107" s="54"/>
      <c r="I107" s="54"/>
      <c r="J107" s="54"/>
      <c r="K107" s="54"/>
      <c r="L107" s="60"/>
    </row>
    <row r="108" spans="3:12" ht="15.75" customHeight="1" x14ac:dyDescent="0.2">
      <c r="C108" s="60"/>
      <c r="D108" s="54"/>
      <c r="E108" s="54"/>
      <c r="F108" s="54"/>
      <c r="G108" s="54"/>
      <c r="H108" s="54"/>
      <c r="I108" s="54"/>
      <c r="J108" s="54"/>
      <c r="K108" s="54"/>
      <c r="L108" s="60"/>
    </row>
    <row r="109" spans="3:12" ht="15.75" customHeight="1" x14ac:dyDescent="0.2">
      <c r="C109" s="60"/>
      <c r="D109" s="54"/>
      <c r="E109" s="54"/>
      <c r="F109" s="54"/>
      <c r="G109" s="54"/>
      <c r="H109" s="54"/>
      <c r="I109" s="54"/>
      <c r="J109" s="54"/>
      <c r="K109" s="54"/>
      <c r="L109" s="60"/>
    </row>
    <row r="110" spans="3:12" ht="15.75" customHeight="1" x14ac:dyDescent="0.2">
      <c r="C110" s="60"/>
      <c r="D110" s="54"/>
      <c r="E110" s="54"/>
      <c r="F110" s="54"/>
      <c r="G110" s="54"/>
      <c r="H110" s="54"/>
      <c r="I110" s="54"/>
      <c r="J110" s="54"/>
      <c r="K110" s="54"/>
      <c r="L110" s="60"/>
    </row>
    <row r="111" spans="3:12" ht="15.75" customHeight="1" x14ac:dyDescent="0.2">
      <c r="C111" s="60"/>
      <c r="D111" s="54"/>
      <c r="E111" s="54"/>
      <c r="F111" s="54"/>
      <c r="G111" s="54"/>
      <c r="H111" s="54"/>
      <c r="I111" s="54"/>
      <c r="J111" s="54"/>
      <c r="K111" s="54"/>
      <c r="L111" s="60"/>
    </row>
    <row r="112" spans="3:12" ht="15.75" customHeight="1" x14ac:dyDescent="0.2">
      <c r="C112" s="60"/>
      <c r="D112" s="54"/>
      <c r="E112" s="54"/>
      <c r="F112" s="54"/>
      <c r="G112" s="54"/>
      <c r="H112" s="54"/>
      <c r="I112" s="54"/>
      <c r="J112" s="54"/>
      <c r="K112" s="54"/>
      <c r="L112" s="60"/>
    </row>
    <row r="113" spans="3:12" ht="15.75" customHeight="1" x14ac:dyDescent="0.2">
      <c r="C113" s="60"/>
      <c r="D113" s="54"/>
      <c r="E113" s="54"/>
      <c r="F113" s="54"/>
      <c r="G113" s="54"/>
      <c r="H113" s="54"/>
      <c r="I113" s="54"/>
      <c r="J113" s="54"/>
      <c r="K113" s="54"/>
      <c r="L113" s="60"/>
    </row>
    <row r="114" spans="3:12" ht="15.75" customHeight="1" x14ac:dyDescent="0.2">
      <c r="C114" s="60"/>
      <c r="D114" s="54"/>
      <c r="E114" s="54"/>
      <c r="F114" s="54"/>
      <c r="G114" s="54"/>
      <c r="H114" s="54"/>
      <c r="I114" s="54"/>
      <c r="J114" s="54"/>
      <c r="K114" s="54"/>
      <c r="L114" s="60"/>
    </row>
    <row r="115" spans="3:12" ht="15.75" customHeight="1" x14ac:dyDescent="0.2">
      <c r="C115" s="60"/>
      <c r="D115" s="54"/>
      <c r="E115" s="54"/>
      <c r="F115" s="54"/>
      <c r="G115" s="54"/>
      <c r="H115" s="54"/>
      <c r="I115" s="54"/>
      <c r="J115" s="54"/>
      <c r="K115" s="54"/>
      <c r="L115" s="60"/>
    </row>
    <row r="116" spans="3:12" ht="15.75" customHeight="1" x14ac:dyDescent="0.2">
      <c r="C116" s="60"/>
      <c r="D116" s="54"/>
      <c r="E116" s="54"/>
      <c r="F116" s="54"/>
      <c r="G116" s="54"/>
      <c r="H116" s="54"/>
      <c r="I116" s="54"/>
      <c r="J116" s="54"/>
      <c r="K116" s="54"/>
      <c r="L116" s="60"/>
    </row>
    <row r="117" spans="3:12" ht="15.75" customHeight="1" x14ac:dyDescent="0.2">
      <c r="C117" s="60"/>
      <c r="D117" s="54"/>
      <c r="E117" s="54"/>
      <c r="F117" s="54"/>
      <c r="G117" s="54"/>
      <c r="H117" s="54"/>
      <c r="I117" s="54"/>
      <c r="J117" s="54"/>
      <c r="K117" s="54"/>
      <c r="L117" s="60"/>
    </row>
    <row r="118" spans="3:12" ht="15.75" customHeight="1" x14ac:dyDescent="0.2">
      <c r="C118" s="60"/>
      <c r="D118" s="54"/>
      <c r="E118" s="54"/>
      <c r="F118" s="54"/>
      <c r="G118" s="54"/>
      <c r="H118" s="54"/>
      <c r="I118" s="54"/>
      <c r="J118" s="54"/>
      <c r="K118" s="54"/>
      <c r="L118" s="60"/>
    </row>
    <row r="119" spans="3:12" ht="15.75" customHeight="1" x14ac:dyDescent="0.2">
      <c r="C119" s="60"/>
      <c r="D119" s="54"/>
      <c r="E119" s="54"/>
      <c r="F119" s="54"/>
      <c r="G119" s="54"/>
      <c r="H119" s="54"/>
      <c r="I119" s="54"/>
      <c r="J119" s="54"/>
      <c r="K119" s="54"/>
      <c r="L119" s="60"/>
    </row>
    <row r="120" spans="3:12" ht="15.75" customHeight="1" x14ac:dyDescent="0.2">
      <c r="C120" s="60"/>
      <c r="D120" s="54"/>
      <c r="E120" s="54"/>
      <c r="F120" s="54"/>
      <c r="G120" s="54"/>
      <c r="H120" s="54"/>
      <c r="I120" s="54"/>
      <c r="J120" s="54"/>
      <c r="K120" s="54"/>
      <c r="L120" s="60"/>
    </row>
    <row r="121" spans="3:12" ht="15.75" customHeight="1" x14ac:dyDescent="0.2">
      <c r="C121" s="60"/>
      <c r="D121" s="54"/>
      <c r="E121" s="54"/>
      <c r="F121" s="54"/>
      <c r="G121" s="54"/>
      <c r="H121" s="54"/>
      <c r="I121" s="54"/>
      <c r="J121" s="54"/>
      <c r="K121" s="54"/>
      <c r="L121" s="60"/>
    </row>
    <row r="122" spans="3:12" ht="15.75" customHeight="1" x14ac:dyDescent="0.2">
      <c r="C122" s="60"/>
      <c r="D122" s="54"/>
      <c r="E122" s="54"/>
      <c r="F122" s="54"/>
      <c r="G122" s="54"/>
      <c r="H122" s="54"/>
      <c r="I122" s="54"/>
      <c r="J122" s="54"/>
      <c r="K122" s="54"/>
      <c r="L122" s="60"/>
    </row>
    <row r="123" spans="3:12" ht="15.75" customHeight="1" x14ac:dyDescent="0.2">
      <c r="C123" s="60"/>
      <c r="D123" s="54"/>
      <c r="E123" s="54"/>
      <c r="F123" s="54"/>
      <c r="G123" s="54"/>
      <c r="H123" s="54"/>
      <c r="I123" s="54"/>
      <c r="J123" s="54"/>
      <c r="K123" s="54"/>
      <c r="L123" s="60"/>
    </row>
    <row r="124" spans="3:12" ht="15.75" customHeight="1" x14ac:dyDescent="0.2">
      <c r="C124" s="60"/>
      <c r="D124" s="54"/>
      <c r="E124" s="54"/>
      <c r="F124" s="54"/>
      <c r="G124" s="54"/>
      <c r="H124" s="54"/>
      <c r="I124" s="54"/>
      <c r="J124" s="54"/>
      <c r="K124" s="54"/>
      <c r="L124" s="60"/>
    </row>
    <row r="125" spans="3:12" ht="15.75" customHeight="1" x14ac:dyDescent="0.2">
      <c r="C125" s="60"/>
      <c r="D125" s="54"/>
      <c r="E125" s="54"/>
      <c r="F125" s="54"/>
      <c r="G125" s="54"/>
      <c r="H125" s="54"/>
      <c r="I125" s="54"/>
      <c r="J125" s="54"/>
      <c r="K125" s="54"/>
      <c r="L125" s="60"/>
    </row>
    <row r="126" spans="3:12" ht="15.75" customHeight="1" x14ac:dyDescent="0.2">
      <c r="C126" s="60"/>
      <c r="D126" s="54"/>
      <c r="E126" s="54"/>
      <c r="F126" s="54"/>
      <c r="G126" s="54"/>
      <c r="H126" s="54"/>
      <c r="I126" s="54"/>
      <c r="J126" s="54"/>
      <c r="K126" s="54"/>
      <c r="L126" s="60"/>
    </row>
    <row r="127" spans="3:12" ht="15.75" customHeight="1" x14ac:dyDescent="0.2">
      <c r="C127" s="60"/>
      <c r="D127" s="54"/>
      <c r="E127" s="54"/>
      <c r="F127" s="54"/>
      <c r="G127" s="54"/>
      <c r="H127" s="54"/>
      <c r="I127" s="54"/>
      <c r="J127" s="54"/>
      <c r="K127" s="54"/>
      <c r="L127" s="60"/>
    </row>
    <row r="128" spans="3:12" ht="15.75" customHeight="1" x14ac:dyDescent="0.2">
      <c r="C128" s="60"/>
      <c r="D128" s="54"/>
      <c r="E128" s="54"/>
      <c r="F128" s="54"/>
      <c r="G128" s="54"/>
      <c r="H128" s="54"/>
      <c r="I128" s="54"/>
      <c r="J128" s="54"/>
      <c r="K128" s="54"/>
      <c r="L128" s="60"/>
    </row>
    <row r="129" spans="3:12" ht="15.75" customHeight="1" x14ac:dyDescent="0.2">
      <c r="C129" s="60"/>
      <c r="D129" s="54"/>
      <c r="E129" s="54"/>
      <c r="F129" s="54"/>
      <c r="G129" s="54"/>
      <c r="H129" s="54"/>
      <c r="I129" s="54"/>
      <c r="J129" s="54"/>
      <c r="K129" s="54"/>
      <c r="L129" s="60"/>
    </row>
    <row r="130" spans="3:12" ht="15.75" customHeight="1" x14ac:dyDescent="0.2">
      <c r="C130" s="60"/>
      <c r="D130" s="54"/>
      <c r="E130" s="54"/>
      <c r="F130" s="54"/>
      <c r="G130" s="54"/>
      <c r="H130" s="54"/>
      <c r="I130" s="54"/>
      <c r="J130" s="54"/>
      <c r="K130" s="54"/>
      <c r="L130" s="60"/>
    </row>
    <row r="131" spans="3:12" ht="15.75" customHeight="1" x14ac:dyDescent="0.2">
      <c r="C131" s="60"/>
      <c r="D131" s="54"/>
      <c r="E131" s="54"/>
      <c r="F131" s="54"/>
      <c r="G131" s="54"/>
      <c r="H131" s="54"/>
      <c r="I131" s="54"/>
      <c r="J131" s="54"/>
      <c r="K131" s="54"/>
      <c r="L131" s="60"/>
    </row>
    <row r="132" spans="3:12" ht="15.75" customHeight="1" x14ac:dyDescent="0.2">
      <c r="C132" s="60"/>
      <c r="D132" s="54"/>
      <c r="E132" s="54"/>
      <c r="F132" s="54"/>
      <c r="G132" s="54"/>
      <c r="H132" s="54"/>
      <c r="I132" s="54"/>
      <c r="J132" s="54"/>
      <c r="K132" s="54"/>
      <c r="L132" s="60"/>
    </row>
    <row r="133" spans="3:12" ht="15.75" customHeight="1" x14ac:dyDescent="0.2">
      <c r="C133" s="60"/>
      <c r="D133" s="54"/>
      <c r="E133" s="54"/>
      <c r="F133" s="54"/>
      <c r="G133" s="54"/>
      <c r="H133" s="54"/>
      <c r="I133" s="54"/>
      <c r="J133" s="54"/>
      <c r="K133" s="54"/>
      <c r="L133" s="60"/>
    </row>
    <row r="134" spans="3:12" ht="15.75" customHeight="1" x14ac:dyDescent="0.2">
      <c r="C134" s="60"/>
      <c r="D134" s="54"/>
      <c r="E134" s="54"/>
      <c r="F134" s="54"/>
      <c r="G134" s="54"/>
      <c r="H134" s="54"/>
      <c r="I134" s="54"/>
      <c r="J134" s="54"/>
      <c r="K134" s="54"/>
      <c r="L134" s="60"/>
    </row>
    <row r="135" spans="3:12" ht="15.75" customHeight="1" x14ac:dyDescent="0.2">
      <c r="C135" s="60"/>
      <c r="D135" s="54"/>
      <c r="E135" s="54"/>
      <c r="F135" s="54"/>
      <c r="G135" s="54"/>
      <c r="H135" s="54"/>
      <c r="I135" s="54"/>
      <c r="J135" s="54"/>
      <c r="K135" s="54"/>
      <c r="L135" s="60"/>
    </row>
    <row r="136" spans="3:12" ht="15.75" customHeight="1" x14ac:dyDescent="0.2">
      <c r="C136" s="60"/>
      <c r="D136" s="54"/>
      <c r="E136" s="54"/>
      <c r="F136" s="54"/>
      <c r="G136" s="54"/>
      <c r="H136" s="54"/>
      <c r="I136" s="54"/>
      <c r="J136" s="54"/>
      <c r="K136" s="54"/>
      <c r="L136" s="60"/>
    </row>
    <row r="137" spans="3:12" ht="15.75" customHeight="1" x14ac:dyDescent="0.2">
      <c r="C137" s="60"/>
      <c r="D137" s="54"/>
      <c r="E137" s="54"/>
      <c r="F137" s="54"/>
      <c r="G137" s="54"/>
      <c r="H137" s="54"/>
      <c r="I137" s="54"/>
      <c r="J137" s="54"/>
      <c r="K137" s="54"/>
      <c r="L137" s="60"/>
    </row>
    <row r="138" spans="3:12" ht="15.75" customHeight="1" x14ac:dyDescent="0.2">
      <c r="C138" s="60"/>
      <c r="D138" s="54"/>
      <c r="E138" s="54"/>
      <c r="F138" s="54"/>
      <c r="G138" s="54"/>
      <c r="H138" s="54"/>
      <c r="I138" s="54"/>
      <c r="J138" s="54"/>
      <c r="K138" s="54"/>
      <c r="L138" s="60"/>
    </row>
    <row r="139" spans="3:12" ht="15.75" customHeight="1" x14ac:dyDescent="0.2">
      <c r="C139" s="60"/>
      <c r="D139" s="54"/>
      <c r="E139" s="54"/>
      <c r="F139" s="54"/>
      <c r="G139" s="54"/>
      <c r="H139" s="54"/>
      <c r="I139" s="54"/>
      <c r="J139" s="54"/>
      <c r="K139" s="54"/>
      <c r="L139" s="60"/>
    </row>
    <row r="140" spans="3:12" ht="15.75" customHeight="1" x14ac:dyDescent="0.2">
      <c r="C140" s="60"/>
      <c r="D140" s="54"/>
      <c r="E140" s="54"/>
      <c r="F140" s="54"/>
      <c r="G140" s="54"/>
      <c r="H140" s="54"/>
      <c r="I140" s="54"/>
      <c r="J140" s="54"/>
      <c r="K140" s="54"/>
      <c r="L140" s="60"/>
    </row>
    <row r="141" spans="3:12" ht="15.75" customHeight="1" x14ac:dyDescent="0.2">
      <c r="C141" s="60"/>
      <c r="D141" s="54"/>
      <c r="E141" s="54"/>
      <c r="F141" s="54"/>
      <c r="G141" s="54"/>
      <c r="H141" s="54"/>
      <c r="I141" s="54"/>
      <c r="J141" s="54"/>
      <c r="K141" s="54"/>
      <c r="L141" s="60"/>
    </row>
    <row r="142" spans="3:12" ht="15.75" customHeight="1" x14ac:dyDescent="0.2">
      <c r="C142" s="60"/>
      <c r="D142" s="54"/>
      <c r="E142" s="54"/>
      <c r="F142" s="54"/>
      <c r="G142" s="54"/>
      <c r="H142" s="54"/>
      <c r="I142" s="54"/>
      <c r="J142" s="54"/>
      <c r="K142" s="54"/>
      <c r="L142" s="60"/>
    </row>
    <row r="143" spans="3:12" ht="15.75" customHeight="1" x14ac:dyDescent="0.2">
      <c r="C143" s="60"/>
      <c r="D143" s="54"/>
      <c r="E143" s="54"/>
      <c r="F143" s="54"/>
      <c r="G143" s="54"/>
      <c r="H143" s="54"/>
      <c r="I143" s="54"/>
      <c r="J143" s="54"/>
      <c r="K143" s="54"/>
      <c r="L143" s="60"/>
    </row>
    <row r="144" spans="3:12" ht="15.75" customHeight="1" x14ac:dyDescent="0.2">
      <c r="C144" s="60"/>
      <c r="D144" s="54"/>
      <c r="E144" s="54"/>
      <c r="F144" s="54"/>
      <c r="G144" s="54"/>
      <c r="H144" s="54"/>
      <c r="I144" s="54"/>
      <c r="J144" s="54"/>
      <c r="K144" s="54"/>
      <c r="L144" s="60"/>
    </row>
    <row r="145" spans="3:12" ht="15.75" customHeight="1" x14ac:dyDescent="0.2">
      <c r="C145" s="60"/>
      <c r="D145" s="54"/>
      <c r="E145" s="54"/>
      <c r="F145" s="54"/>
      <c r="G145" s="54"/>
      <c r="H145" s="54"/>
      <c r="I145" s="54"/>
      <c r="J145" s="54"/>
      <c r="K145" s="54"/>
      <c r="L145" s="60"/>
    </row>
    <row r="146" spans="3:12" ht="15.75" customHeight="1" x14ac:dyDescent="0.2">
      <c r="C146" s="60"/>
      <c r="D146" s="54"/>
      <c r="E146" s="54"/>
      <c r="F146" s="54"/>
      <c r="G146" s="54"/>
      <c r="H146" s="54"/>
      <c r="I146" s="54"/>
      <c r="J146" s="54"/>
      <c r="K146" s="54"/>
      <c r="L146" s="60"/>
    </row>
    <row r="147" spans="3:12" ht="15.75" customHeight="1" x14ac:dyDescent="0.2">
      <c r="C147" s="60"/>
      <c r="D147" s="54"/>
      <c r="E147" s="54"/>
      <c r="F147" s="54"/>
      <c r="G147" s="54"/>
      <c r="H147" s="54"/>
      <c r="I147" s="54"/>
      <c r="J147" s="54"/>
      <c r="K147" s="54"/>
      <c r="L147" s="60"/>
    </row>
    <row r="148" spans="3:12" ht="15.75" customHeight="1" x14ac:dyDescent="0.2">
      <c r="C148" s="60"/>
      <c r="D148" s="54"/>
      <c r="E148" s="54"/>
      <c r="F148" s="54"/>
      <c r="G148" s="54"/>
      <c r="H148" s="54"/>
      <c r="I148" s="54"/>
      <c r="J148" s="54"/>
      <c r="K148" s="54"/>
      <c r="L148" s="60"/>
    </row>
    <row r="149" spans="3:12" ht="15.75" customHeight="1" x14ac:dyDescent="0.2">
      <c r="C149" s="60"/>
      <c r="D149" s="54"/>
      <c r="E149" s="54"/>
      <c r="F149" s="54"/>
      <c r="G149" s="54"/>
      <c r="H149" s="54"/>
      <c r="I149" s="54"/>
      <c r="J149" s="54"/>
      <c r="K149" s="54"/>
      <c r="L149" s="60"/>
    </row>
    <row r="150" spans="3:12" ht="15.75" customHeight="1" x14ac:dyDescent="0.2">
      <c r="C150" s="60"/>
      <c r="D150" s="54"/>
      <c r="E150" s="54"/>
      <c r="F150" s="54"/>
      <c r="G150" s="54"/>
      <c r="H150" s="54"/>
      <c r="I150" s="54"/>
      <c r="J150" s="54"/>
      <c r="K150" s="54"/>
      <c r="L150" s="60"/>
    </row>
    <row r="151" spans="3:12" ht="15.75" customHeight="1" x14ac:dyDescent="0.2">
      <c r="C151" s="60"/>
      <c r="D151" s="54"/>
      <c r="E151" s="54"/>
      <c r="F151" s="54"/>
      <c r="G151" s="54"/>
      <c r="H151" s="54"/>
      <c r="I151" s="54"/>
      <c r="J151" s="54"/>
      <c r="K151" s="54"/>
      <c r="L151" s="60"/>
    </row>
    <row r="152" spans="3:12" ht="15.75" customHeight="1" x14ac:dyDescent="0.2">
      <c r="C152" s="60"/>
      <c r="D152" s="54"/>
      <c r="E152" s="54"/>
      <c r="F152" s="54"/>
      <c r="G152" s="54"/>
      <c r="H152" s="54"/>
      <c r="I152" s="54"/>
      <c r="J152" s="54"/>
      <c r="K152" s="54"/>
      <c r="L152" s="60"/>
    </row>
    <row r="153" spans="3:12" ht="15.75" customHeight="1" x14ac:dyDescent="0.2">
      <c r="C153" s="60"/>
      <c r="D153" s="54"/>
      <c r="E153" s="54"/>
      <c r="F153" s="54"/>
      <c r="G153" s="54"/>
      <c r="H153" s="54"/>
      <c r="I153" s="54"/>
      <c r="J153" s="54"/>
      <c r="K153" s="54"/>
      <c r="L153" s="60"/>
    </row>
    <row r="154" spans="3:12" ht="15.75" customHeight="1" x14ac:dyDescent="0.2">
      <c r="C154" s="60"/>
      <c r="D154" s="54"/>
      <c r="E154" s="54"/>
      <c r="F154" s="54"/>
      <c r="G154" s="54"/>
      <c r="H154" s="54"/>
      <c r="I154" s="54"/>
      <c r="J154" s="54"/>
      <c r="K154" s="54"/>
      <c r="L154" s="60"/>
    </row>
    <row r="155" spans="3:12" ht="15.75" customHeight="1" x14ac:dyDescent="0.2">
      <c r="C155" s="60"/>
      <c r="D155" s="54"/>
      <c r="E155" s="54"/>
      <c r="F155" s="54"/>
      <c r="G155" s="54"/>
      <c r="H155" s="54"/>
      <c r="I155" s="54"/>
      <c r="J155" s="54"/>
      <c r="K155" s="54"/>
      <c r="L155" s="60"/>
    </row>
    <row r="156" spans="3:12" ht="15.75" customHeight="1" x14ac:dyDescent="0.2">
      <c r="C156" s="60"/>
      <c r="D156" s="54"/>
      <c r="E156" s="54"/>
      <c r="F156" s="54"/>
      <c r="G156" s="54"/>
      <c r="H156" s="54"/>
      <c r="I156" s="54"/>
      <c r="J156" s="54"/>
      <c r="K156" s="54"/>
      <c r="L156" s="60"/>
    </row>
    <row r="157" spans="3:12" ht="15.75" customHeight="1" x14ac:dyDescent="0.2">
      <c r="C157" s="60"/>
      <c r="D157" s="54"/>
      <c r="E157" s="54"/>
      <c r="F157" s="54"/>
      <c r="G157" s="54"/>
      <c r="H157" s="54"/>
      <c r="I157" s="54"/>
      <c r="J157" s="54"/>
      <c r="K157" s="54"/>
      <c r="L157" s="60"/>
    </row>
    <row r="158" spans="3:12" ht="15.75" customHeight="1" x14ac:dyDescent="0.2">
      <c r="C158" s="60"/>
      <c r="D158" s="54"/>
      <c r="E158" s="54"/>
      <c r="F158" s="54"/>
      <c r="G158" s="54"/>
      <c r="H158" s="54"/>
      <c r="I158" s="54"/>
      <c r="J158" s="54"/>
      <c r="K158" s="54"/>
      <c r="L158" s="60"/>
    </row>
    <row r="159" spans="3:12" ht="15.75" customHeight="1" x14ac:dyDescent="0.2">
      <c r="C159" s="60"/>
      <c r="D159" s="54"/>
      <c r="E159" s="54"/>
      <c r="F159" s="54"/>
      <c r="G159" s="54"/>
      <c r="H159" s="54"/>
      <c r="I159" s="54"/>
      <c r="J159" s="54"/>
      <c r="K159" s="54"/>
      <c r="L159" s="60"/>
    </row>
    <row r="160" spans="3:12" ht="15.75" customHeight="1" x14ac:dyDescent="0.2">
      <c r="C160" s="60"/>
      <c r="D160" s="54"/>
      <c r="E160" s="54"/>
      <c r="F160" s="54"/>
      <c r="G160" s="54"/>
      <c r="H160" s="54"/>
      <c r="I160" s="54"/>
      <c r="J160" s="54"/>
      <c r="K160" s="54"/>
      <c r="L160" s="60"/>
    </row>
    <row r="161" spans="3:12" ht="15.75" customHeight="1" x14ac:dyDescent="0.2">
      <c r="C161" s="60"/>
      <c r="D161" s="54"/>
      <c r="E161" s="54"/>
      <c r="F161" s="54"/>
      <c r="G161" s="54"/>
      <c r="H161" s="54"/>
      <c r="I161" s="54"/>
      <c r="J161" s="54"/>
      <c r="K161" s="54"/>
      <c r="L161" s="60"/>
    </row>
    <row r="162" spans="3:12" ht="15.75" customHeight="1" x14ac:dyDescent="0.2">
      <c r="C162" s="60"/>
      <c r="D162" s="54"/>
      <c r="E162" s="54"/>
      <c r="F162" s="54"/>
      <c r="G162" s="54"/>
      <c r="H162" s="54"/>
      <c r="I162" s="54"/>
      <c r="J162" s="54"/>
      <c r="K162" s="54"/>
      <c r="L162" s="60"/>
    </row>
    <row r="163" spans="3:12" ht="15.75" customHeight="1" x14ac:dyDescent="0.2">
      <c r="C163" s="60"/>
      <c r="D163" s="54"/>
      <c r="E163" s="54"/>
      <c r="F163" s="54"/>
      <c r="G163" s="54"/>
      <c r="H163" s="54"/>
      <c r="I163" s="54"/>
      <c r="J163" s="54"/>
      <c r="K163" s="54"/>
      <c r="L163" s="60"/>
    </row>
    <row r="164" spans="3:12" ht="15.75" customHeight="1" x14ac:dyDescent="0.2">
      <c r="C164" s="60"/>
      <c r="D164" s="54"/>
      <c r="E164" s="54"/>
      <c r="F164" s="54"/>
      <c r="G164" s="54"/>
      <c r="H164" s="54"/>
      <c r="I164" s="54"/>
      <c r="J164" s="54"/>
      <c r="K164" s="54"/>
      <c r="L164" s="60"/>
    </row>
    <row r="165" spans="3:12" ht="15.75" customHeight="1" x14ac:dyDescent="0.2">
      <c r="C165" s="60"/>
      <c r="D165" s="54"/>
      <c r="E165" s="54"/>
      <c r="F165" s="54"/>
      <c r="G165" s="54"/>
      <c r="H165" s="54"/>
      <c r="I165" s="54"/>
      <c r="J165" s="54"/>
      <c r="K165" s="54"/>
      <c r="L165" s="60"/>
    </row>
    <row r="166" spans="3:12" ht="15.75" customHeight="1" x14ac:dyDescent="0.2">
      <c r="C166" s="60"/>
      <c r="D166" s="54"/>
      <c r="E166" s="54"/>
      <c r="F166" s="54"/>
      <c r="G166" s="54"/>
      <c r="H166" s="54"/>
      <c r="I166" s="54"/>
      <c r="J166" s="54"/>
      <c r="K166" s="54"/>
      <c r="L166" s="60"/>
    </row>
    <row r="167" spans="3:12" ht="15.75" customHeight="1" x14ac:dyDescent="0.2">
      <c r="C167" s="60"/>
      <c r="D167" s="54"/>
      <c r="E167" s="54"/>
      <c r="F167" s="54"/>
      <c r="G167" s="54"/>
      <c r="H167" s="54"/>
      <c r="I167" s="54"/>
      <c r="J167" s="54"/>
      <c r="K167" s="54"/>
      <c r="L167" s="60"/>
    </row>
    <row r="168" spans="3:12" ht="15.75" customHeight="1" x14ac:dyDescent="0.2">
      <c r="C168" s="60"/>
      <c r="D168" s="54"/>
      <c r="E168" s="54"/>
      <c r="F168" s="54"/>
      <c r="G168" s="54"/>
      <c r="H168" s="54"/>
      <c r="I168" s="54"/>
      <c r="J168" s="54"/>
      <c r="K168" s="54"/>
      <c r="L168" s="60"/>
    </row>
    <row r="169" spans="3:12" ht="15.75" customHeight="1" x14ac:dyDescent="0.2">
      <c r="C169" s="60"/>
      <c r="D169" s="54"/>
      <c r="E169" s="54"/>
      <c r="F169" s="54"/>
      <c r="G169" s="54"/>
      <c r="H169" s="54"/>
      <c r="I169" s="54"/>
      <c r="J169" s="54"/>
      <c r="K169" s="54"/>
      <c r="L169" s="60"/>
    </row>
    <row r="170" spans="3:12" ht="15.75" customHeight="1" x14ac:dyDescent="0.2">
      <c r="C170" s="60"/>
      <c r="D170" s="54"/>
      <c r="E170" s="54"/>
      <c r="F170" s="54"/>
      <c r="G170" s="54"/>
      <c r="H170" s="54"/>
      <c r="I170" s="54"/>
      <c r="J170" s="54"/>
      <c r="K170" s="54"/>
      <c r="L170" s="60"/>
    </row>
    <row r="171" spans="3:12" ht="15.75" customHeight="1" x14ac:dyDescent="0.2">
      <c r="C171" s="60"/>
      <c r="D171" s="54"/>
      <c r="E171" s="54"/>
      <c r="F171" s="54"/>
      <c r="G171" s="54"/>
      <c r="H171" s="54"/>
      <c r="I171" s="54"/>
      <c r="J171" s="54"/>
      <c r="K171" s="54"/>
      <c r="L171" s="60"/>
    </row>
    <row r="172" spans="3:12" ht="15.75" customHeight="1" x14ac:dyDescent="0.2">
      <c r="C172" s="60"/>
      <c r="D172" s="54"/>
      <c r="E172" s="54"/>
      <c r="F172" s="54"/>
      <c r="G172" s="54"/>
      <c r="H172" s="54"/>
      <c r="I172" s="54"/>
      <c r="J172" s="54"/>
      <c r="K172" s="54"/>
      <c r="L172" s="60"/>
    </row>
    <row r="173" spans="3:12" ht="15.75" customHeight="1" x14ac:dyDescent="0.2">
      <c r="C173" s="60"/>
      <c r="D173" s="54"/>
      <c r="E173" s="54"/>
      <c r="F173" s="54"/>
      <c r="G173" s="54"/>
      <c r="H173" s="54"/>
      <c r="I173" s="54"/>
      <c r="J173" s="54"/>
      <c r="K173" s="54"/>
      <c r="L173" s="60"/>
    </row>
    <row r="174" spans="3:12" ht="15.75" customHeight="1" x14ac:dyDescent="0.2">
      <c r="C174" s="60"/>
      <c r="D174" s="54"/>
      <c r="E174" s="54"/>
      <c r="F174" s="54"/>
      <c r="G174" s="54"/>
      <c r="H174" s="54"/>
      <c r="I174" s="54"/>
      <c r="J174" s="54"/>
      <c r="K174" s="54"/>
      <c r="L174" s="60"/>
    </row>
    <row r="175" spans="3:12" ht="15.75" customHeight="1" x14ac:dyDescent="0.2">
      <c r="C175" s="60"/>
      <c r="D175" s="54"/>
      <c r="E175" s="54"/>
      <c r="F175" s="54"/>
      <c r="G175" s="54"/>
      <c r="H175" s="54"/>
      <c r="I175" s="54"/>
      <c r="J175" s="54"/>
      <c r="K175" s="54"/>
      <c r="L175" s="60"/>
    </row>
    <row r="176" spans="3:12" ht="15.75" customHeight="1" x14ac:dyDescent="0.2">
      <c r="C176" s="60"/>
      <c r="D176" s="54"/>
      <c r="E176" s="54"/>
      <c r="F176" s="54"/>
      <c r="G176" s="54"/>
      <c r="H176" s="54"/>
      <c r="I176" s="54"/>
      <c r="J176" s="54"/>
      <c r="K176" s="54"/>
      <c r="L176" s="60"/>
    </row>
    <row r="177" spans="3:12" ht="15.75" customHeight="1" x14ac:dyDescent="0.2">
      <c r="C177" s="60"/>
      <c r="D177" s="54"/>
      <c r="E177" s="54"/>
      <c r="F177" s="54"/>
      <c r="G177" s="54"/>
      <c r="H177" s="54"/>
      <c r="I177" s="54"/>
      <c r="J177" s="54"/>
      <c r="K177" s="54"/>
      <c r="L177" s="60"/>
    </row>
    <row r="178" spans="3:12" ht="15.75" customHeight="1" x14ac:dyDescent="0.2">
      <c r="C178" s="60"/>
      <c r="D178" s="54"/>
      <c r="E178" s="54"/>
      <c r="F178" s="54"/>
      <c r="G178" s="54"/>
      <c r="H178" s="54"/>
      <c r="I178" s="54"/>
      <c r="J178" s="54"/>
      <c r="K178" s="54"/>
      <c r="L178" s="60"/>
    </row>
    <row r="179" spans="3:12" ht="15.75" customHeight="1" x14ac:dyDescent="0.2">
      <c r="C179" s="60"/>
      <c r="D179" s="54"/>
      <c r="E179" s="54"/>
      <c r="F179" s="54"/>
      <c r="G179" s="54"/>
      <c r="H179" s="54"/>
      <c r="I179" s="54"/>
      <c r="J179" s="54"/>
      <c r="K179" s="54"/>
      <c r="L179" s="60"/>
    </row>
    <row r="180" spans="3:12" ht="15.75" customHeight="1" x14ac:dyDescent="0.2">
      <c r="C180" s="60"/>
      <c r="D180" s="54"/>
      <c r="E180" s="54"/>
      <c r="F180" s="54"/>
      <c r="G180" s="54"/>
      <c r="H180" s="54"/>
      <c r="I180" s="54"/>
      <c r="J180" s="54"/>
      <c r="K180" s="54"/>
      <c r="L180" s="60"/>
    </row>
    <row r="181" spans="3:12" ht="15.75" customHeight="1" x14ac:dyDescent="0.2">
      <c r="C181" s="60"/>
      <c r="D181" s="54"/>
      <c r="E181" s="54"/>
      <c r="F181" s="54"/>
      <c r="G181" s="54"/>
      <c r="H181" s="54"/>
      <c r="I181" s="54"/>
      <c r="J181" s="54"/>
      <c r="K181" s="54"/>
      <c r="L181" s="60"/>
    </row>
    <row r="182" spans="3:12" ht="15.75" customHeight="1" x14ac:dyDescent="0.2">
      <c r="C182" s="60"/>
      <c r="D182" s="54"/>
      <c r="E182" s="54"/>
      <c r="F182" s="54"/>
      <c r="G182" s="54"/>
      <c r="H182" s="54"/>
      <c r="I182" s="54"/>
      <c r="J182" s="54"/>
      <c r="K182" s="54"/>
      <c r="L182" s="60"/>
    </row>
    <row r="183" spans="3:12" ht="15.75" customHeight="1" x14ac:dyDescent="0.2">
      <c r="C183" s="60"/>
      <c r="D183" s="54"/>
      <c r="E183" s="54"/>
      <c r="F183" s="54"/>
      <c r="G183" s="54"/>
      <c r="H183" s="54"/>
      <c r="I183" s="54"/>
      <c r="J183" s="54"/>
      <c r="K183" s="54"/>
      <c r="L183" s="60"/>
    </row>
    <row r="184" spans="3:12" ht="15.75" customHeight="1" x14ac:dyDescent="0.2">
      <c r="C184" s="60"/>
      <c r="D184" s="54"/>
      <c r="E184" s="54"/>
      <c r="F184" s="54"/>
      <c r="G184" s="54"/>
      <c r="H184" s="54"/>
      <c r="I184" s="54"/>
      <c r="J184" s="54"/>
      <c r="K184" s="54"/>
      <c r="L184" s="60"/>
    </row>
    <row r="185" spans="3:12" ht="15.75" customHeight="1" x14ac:dyDescent="0.2">
      <c r="C185" s="60"/>
      <c r="D185" s="54"/>
      <c r="E185" s="54"/>
      <c r="F185" s="54"/>
      <c r="G185" s="54"/>
      <c r="H185" s="54"/>
      <c r="I185" s="54"/>
      <c r="J185" s="54"/>
      <c r="K185" s="54"/>
      <c r="L185" s="60"/>
    </row>
    <row r="186" spans="3:12" ht="15.75" customHeight="1" x14ac:dyDescent="0.2">
      <c r="C186" s="60"/>
      <c r="D186" s="54"/>
      <c r="E186" s="54"/>
      <c r="F186" s="54"/>
      <c r="G186" s="54"/>
      <c r="H186" s="54"/>
      <c r="I186" s="54"/>
      <c r="J186" s="54"/>
      <c r="K186" s="54"/>
      <c r="L186" s="60"/>
    </row>
    <row r="187" spans="3:12" ht="15.75" customHeight="1" x14ac:dyDescent="0.2">
      <c r="C187" s="60"/>
      <c r="D187" s="54"/>
      <c r="E187" s="54"/>
      <c r="F187" s="54"/>
      <c r="G187" s="54"/>
      <c r="H187" s="54"/>
      <c r="I187" s="54"/>
      <c r="J187" s="54"/>
      <c r="K187" s="54"/>
      <c r="L187" s="60"/>
    </row>
    <row r="188" spans="3:12" ht="15.75" customHeight="1" x14ac:dyDescent="0.2">
      <c r="C188" s="60"/>
      <c r="D188" s="54"/>
      <c r="E188" s="54"/>
      <c r="F188" s="54"/>
      <c r="G188" s="54"/>
      <c r="H188" s="54"/>
      <c r="I188" s="54"/>
      <c r="J188" s="54"/>
      <c r="K188" s="54"/>
      <c r="L188" s="60"/>
    </row>
    <row r="189" spans="3:12" ht="15.75" customHeight="1" x14ac:dyDescent="0.2">
      <c r="C189" s="60"/>
      <c r="D189" s="54"/>
      <c r="E189" s="54"/>
      <c r="F189" s="54"/>
      <c r="G189" s="54"/>
      <c r="H189" s="54"/>
      <c r="I189" s="54"/>
      <c r="J189" s="54"/>
      <c r="K189" s="54"/>
      <c r="L189" s="60"/>
    </row>
    <row r="190" spans="3:12" ht="15.75" customHeight="1" x14ac:dyDescent="0.2">
      <c r="C190" s="60"/>
      <c r="D190" s="54"/>
      <c r="E190" s="54"/>
      <c r="F190" s="54"/>
      <c r="G190" s="54"/>
      <c r="H190" s="54"/>
      <c r="I190" s="54"/>
      <c r="J190" s="54"/>
      <c r="K190" s="54"/>
      <c r="L190" s="60"/>
    </row>
    <row r="191" spans="3:12" ht="15.75" customHeight="1" x14ac:dyDescent="0.2">
      <c r="C191" s="60"/>
      <c r="D191" s="54"/>
      <c r="E191" s="54"/>
      <c r="F191" s="54"/>
      <c r="G191" s="54"/>
      <c r="H191" s="54"/>
      <c r="I191" s="54"/>
      <c r="J191" s="54"/>
      <c r="K191" s="54"/>
      <c r="L191" s="60"/>
    </row>
    <row r="192" spans="3:12" ht="15.75" customHeight="1" x14ac:dyDescent="0.2">
      <c r="C192" s="60"/>
      <c r="D192" s="54"/>
      <c r="E192" s="54"/>
      <c r="F192" s="54"/>
      <c r="G192" s="54"/>
      <c r="H192" s="54"/>
      <c r="I192" s="54"/>
      <c r="J192" s="54"/>
      <c r="K192" s="54"/>
      <c r="L192" s="60"/>
    </row>
    <row r="193" spans="3:12" ht="15.75" customHeight="1" x14ac:dyDescent="0.2">
      <c r="C193" s="60"/>
      <c r="D193" s="54"/>
      <c r="E193" s="54"/>
      <c r="F193" s="54"/>
      <c r="G193" s="54"/>
      <c r="H193" s="54"/>
      <c r="I193" s="54"/>
      <c r="J193" s="54"/>
      <c r="K193" s="54"/>
      <c r="L193" s="60"/>
    </row>
    <row r="194" spans="3:12" ht="15.75" customHeight="1" x14ac:dyDescent="0.2">
      <c r="C194" s="60"/>
      <c r="D194" s="54"/>
      <c r="E194" s="54"/>
      <c r="F194" s="54"/>
      <c r="G194" s="54"/>
      <c r="H194" s="54"/>
      <c r="I194" s="54"/>
      <c r="J194" s="54"/>
      <c r="K194" s="54"/>
      <c r="L194" s="60"/>
    </row>
    <row r="195" spans="3:12" ht="15.75" customHeight="1" x14ac:dyDescent="0.2">
      <c r="C195" s="60"/>
      <c r="D195" s="54"/>
      <c r="E195" s="54"/>
      <c r="F195" s="54"/>
      <c r="G195" s="54"/>
      <c r="H195" s="54"/>
      <c r="I195" s="54"/>
      <c r="J195" s="54"/>
      <c r="K195" s="54"/>
      <c r="L195" s="60"/>
    </row>
    <row r="196" spans="3:12" ht="15.75" customHeight="1" x14ac:dyDescent="0.2">
      <c r="C196" s="60"/>
      <c r="D196" s="54"/>
      <c r="E196" s="54"/>
      <c r="F196" s="54"/>
      <c r="G196" s="54"/>
      <c r="H196" s="54"/>
      <c r="I196" s="54"/>
      <c r="J196" s="54"/>
      <c r="K196" s="54"/>
      <c r="L196" s="60"/>
    </row>
    <row r="197" spans="3:12" ht="15.75" customHeight="1" x14ac:dyDescent="0.2">
      <c r="C197" s="60"/>
      <c r="D197" s="54"/>
      <c r="E197" s="54"/>
      <c r="F197" s="54"/>
      <c r="G197" s="54"/>
      <c r="H197" s="54"/>
      <c r="I197" s="54"/>
      <c r="J197" s="54"/>
      <c r="K197" s="54"/>
      <c r="L197" s="60"/>
    </row>
    <row r="198" spans="3:12" ht="15.75" customHeight="1" x14ac:dyDescent="0.2">
      <c r="C198" s="60"/>
      <c r="D198" s="54"/>
      <c r="E198" s="54"/>
      <c r="F198" s="54"/>
      <c r="G198" s="54"/>
      <c r="H198" s="54"/>
      <c r="I198" s="54"/>
      <c r="J198" s="54"/>
      <c r="K198" s="54"/>
      <c r="L198" s="60"/>
    </row>
    <row r="199" spans="3:12" ht="15.75" customHeight="1" x14ac:dyDescent="0.2">
      <c r="C199" s="60"/>
      <c r="D199" s="54"/>
      <c r="E199" s="54"/>
      <c r="F199" s="54"/>
      <c r="G199" s="54"/>
      <c r="H199" s="54"/>
      <c r="I199" s="54"/>
      <c r="J199" s="54"/>
      <c r="K199" s="54"/>
      <c r="L199" s="60"/>
    </row>
    <row r="200" spans="3:12" ht="15.75" customHeight="1" x14ac:dyDescent="0.2">
      <c r="C200" s="60"/>
      <c r="D200" s="54"/>
      <c r="E200" s="54"/>
      <c r="F200" s="54"/>
      <c r="G200" s="54"/>
      <c r="H200" s="54"/>
      <c r="I200" s="54"/>
      <c r="J200" s="54"/>
      <c r="K200" s="54"/>
      <c r="L200" s="60"/>
    </row>
    <row r="201" spans="3:12" ht="15.75" customHeight="1" x14ac:dyDescent="0.2">
      <c r="C201" s="60"/>
      <c r="D201" s="54"/>
      <c r="E201" s="54"/>
      <c r="F201" s="54"/>
      <c r="G201" s="54"/>
      <c r="H201" s="54"/>
      <c r="I201" s="54"/>
      <c r="J201" s="54"/>
      <c r="K201" s="54"/>
      <c r="L201" s="60"/>
    </row>
    <row r="202" spans="3:12" ht="15.75" customHeight="1" x14ac:dyDescent="0.2">
      <c r="C202" s="60"/>
      <c r="D202" s="54"/>
      <c r="E202" s="54"/>
      <c r="F202" s="54"/>
      <c r="G202" s="54"/>
      <c r="H202" s="54"/>
      <c r="I202" s="54"/>
      <c r="J202" s="54"/>
      <c r="K202" s="54"/>
      <c r="L202" s="60"/>
    </row>
    <row r="203" spans="3:12" ht="15.75" customHeight="1" x14ac:dyDescent="0.2">
      <c r="C203" s="60"/>
      <c r="D203" s="54"/>
      <c r="E203" s="54"/>
      <c r="F203" s="54"/>
      <c r="G203" s="54"/>
      <c r="H203" s="54"/>
      <c r="I203" s="54"/>
      <c r="J203" s="54"/>
      <c r="K203" s="54"/>
      <c r="L203" s="60"/>
    </row>
    <row r="204" spans="3:12" ht="15.75" customHeight="1" x14ac:dyDescent="0.2">
      <c r="C204" s="60"/>
      <c r="D204" s="54"/>
      <c r="E204" s="54"/>
      <c r="F204" s="54"/>
      <c r="G204" s="54"/>
      <c r="H204" s="54"/>
      <c r="I204" s="54"/>
      <c r="J204" s="54"/>
      <c r="K204" s="54"/>
      <c r="L204" s="60"/>
    </row>
    <row r="205" spans="3:12" ht="15.75" customHeight="1" x14ac:dyDescent="0.2">
      <c r="C205" s="60"/>
      <c r="D205" s="54"/>
      <c r="E205" s="54"/>
      <c r="F205" s="54"/>
      <c r="G205" s="54"/>
      <c r="H205" s="54"/>
      <c r="I205" s="54"/>
      <c r="J205" s="54"/>
      <c r="K205" s="54"/>
      <c r="L205" s="60"/>
    </row>
    <row r="206" spans="3:12" ht="15.75" customHeight="1" x14ac:dyDescent="0.2">
      <c r="C206" s="60"/>
      <c r="D206" s="54"/>
      <c r="E206" s="54"/>
      <c r="F206" s="54"/>
      <c r="G206" s="54"/>
      <c r="H206" s="54"/>
      <c r="I206" s="54"/>
      <c r="J206" s="54"/>
      <c r="K206" s="54"/>
      <c r="L206" s="60"/>
    </row>
    <row r="207" spans="3:12" ht="15.75" customHeight="1" x14ac:dyDescent="0.2">
      <c r="C207" s="60"/>
      <c r="D207" s="54"/>
      <c r="E207" s="54"/>
      <c r="F207" s="54"/>
      <c r="G207" s="54"/>
      <c r="H207" s="54"/>
      <c r="I207" s="54"/>
      <c r="J207" s="54"/>
      <c r="K207" s="54"/>
      <c r="L207" s="60"/>
    </row>
    <row r="208" spans="3:12" ht="15.75" customHeight="1" x14ac:dyDescent="0.2">
      <c r="C208" s="60"/>
      <c r="D208" s="54"/>
      <c r="E208" s="54"/>
      <c r="F208" s="54"/>
      <c r="G208" s="54"/>
      <c r="H208" s="54"/>
      <c r="I208" s="54"/>
      <c r="J208" s="54"/>
      <c r="K208" s="54"/>
      <c r="L208" s="60"/>
    </row>
    <row r="209" spans="3:12" ht="15.75" customHeight="1" x14ac:dyDescent="0.2">
      <c r="C209" s="60"/>
      <c r="D209" s="54"/>
      <c r="E209" s="54"/>
      <c r="F209" s="54"/>
      <c r="G209" s="54"/>
      <c r="H209" s="54"/>
      <c r="I209" s="54"/>
      <c r="J209" s="54"/>
      <c r="K209" s="54"/>
      <c r="L209" s="60"/>
    </row>
    <row r="210" spans="3:12" ht="15.75" customHeight="1" x14ac:dyDescent="0.2">
      <c r="C210" s="60"/>
      <c r="D210" s="54"/>
      <c r="E210" s="54"/>
      <c r="F210" s="54"/>
      <c r="G210" s="54"/>
      <c r="H210" s="54"/>
      <c r="I210" s="54"/>
      <c r="J210" s="54"/>
      <c r="K210" s="54"/>
      <c r="L210" s="60"/>
    </row>
    <row r="211" spans="3:12" ht="15.75" customHeight="1" x14ac:dyDescent="0.2">
      <c r="C211" s="60"/>
      <c r="D211" s="54"/>
      <c r="E211" s="54"/>
      <c r="F211" s="54"/>
      <c r="G211" s="54"/>
      <c r="H211" s="54"/>
      <c r="I211" s="54"/>
      <c r="J211" s="54"/>
      <c r="K211" s="54"/>
      <c r="L211" s="60"/>
    </row>
    <row r="212" spans="3:12" ht="15.75" customHeight="1" x14ac:dyDescent="0.2">
      <c r="C212" s="60"/>
      <c r="D212" s="54"/>
      <c r="E212" s="54"/>
      <c r="F212" s="54"/>
      <c r="G212" s="54"/>
      <c r="H212" s="54"/>
      <c r="I212" s="54"/>
      <c r="J212" s="54"/>
      <c r="K212" s="54"/>
      <c r="L212" s="60"/>
    </row>
    <row r="213" spans="3:12" ht="15.75" customHeight="1" x14ac:dyDescent="0.2">
      <c r="C213" s="60"/>
      <c r="D213" s="54"/>
      <c r="E213" s="54"/>
      <c r="F213" s="54"/>
      <c r="G213" s="54"/>
      <c r="H213" s="54"/>
      <c r="I213" s="54"/>
      <c r="J213" s="54"/>
      <c r="K213" s="54"/>
      <c r="L213" s="60"/>
    </row>
    <row r="214" spans="3:12" ht="15.75" customHeight="1" x14ac:dyDescent="0.2">
      <c r="C214" s="60"/>
      <c r="D214" s="54"/>
      <c r="E214" s="54"/>
      <c r="F214" s="54"/>
      <c r="G214" s="54"/>
      <c r="H214" s="54"/>
      <c r="I214" s="54"/>
      <c r="J214" s="54"/>
      <c r="K214" s="54"/>
      <c r="L214" s="60"/>
    </row>
    <row r="215" spans="3:12" ht="15.75" customHeight="1" x14ac:dyDescent="0.2">
      <c r="C215" s="60"/>
      <c r="D215" s="54"/>
      <c r="E215" s="54"/>
      <c r="F215" s="54"/>
      <c r="G215" s="54"/>
      <c r="H215" s="54"/>
      <c r="I215" s="54"/>
      <c r="J215" s="54"/>
      <c r="K215" s="54"/>
      <c r="L215" s="60"/>
    </row>
    <row r="216" spans="3:12" ht="15.75" customHeight="1" x14ac:dyDescent="0.2">
      <c r="C216" s="60"/>
      <c r="D216" s="54"/>
      <c r="E216" s="54"/>
      <c r="F216" s="54"/>
      <c r="G216" s="54"/>
      <c r="H216" s="54"/>
      <c r="I216" s="54"/>
      <c r="J216" s="54"/>
      <c r="K216" s="54"/>
      <c r="L216" s="60"/>
    </row>
    <row r="217" spans="3:12" ht="15.75" customHeight="1" x14ac:dyDescent="0.2">
      <c r="C217" s="60"/>
      <c r="D217" s="54"/>
      <c r="E217" s="54"/>
      <c r="F217" s="54"/>
      <c r="G217" s="54"/>
      <c r="H217" s="54"/>
      <c r="I217" s="54"/>
      <c r="J217" s="54"/>
      <c r="K217" s="54"/>
      <c r="L217" s="60"/>
    </row>
    <row r="218" spans="3:12" ht="15.75" customHeight="1" x14ac:dyDescent="0.2">
      <c r="C218" s="60"/>
      <c r="D218" s="54"/>
      <c r="E218" s="54"/>
      <c r="F218" s="54"/>
      <c r="G218" s="54"/>
      <c r="H218" s="54"/>
      <c r="I218" s="54"/>
      <c r="J218" s="54"/>
      <c r="K218" s="54"/>
      <c r="L218" s="60"/>
    </row>
    <row r="219" spans="3:12" ht="15.75" customHeight="1" x14ac:dyDescent="0.2">
      <c r="C219" s="60"/>
      <c r="D219" s="54"/>
      <c r="E219" s="54"/>
      <c r="F219" s="54"/>
      <c r="G219" s="54"/>
      <c r="H219" s="54"/>
      <c r="I219" s="54"/>
      <c r="J219" s="54"/>
      <c r="K219" s="54"/>
      <c r="L219" s="60"/>
    </row>
    <row r="220" spans="3:12" ht="15.75" customHeight="1" x14ac:dyDescent="0.2">
      <c r="C220" s="60"/>
      <c r="D220" s="54"/>
      <c r="E220" s="54"/>
      <c r="F220" s="54"/>
      <c r="G220" s="54"/>
      <c r="H220" s="54"/>
      <c r="I220" s="54"/>
      <c r="J220" s="54"/>
      <c r="K220" s="54"/>
      <c r="L220" s="60"/>
    </row>
    <row r="221" spans="3:12" ht="15.75" customHeight="1" x14ac:dyDescent="0.2">
      <c r="C221" s="60"/>
      <c r="D221" s="54"/>
      <c r="E221" s="54"/>
      <c r="F221" s="54"/>
      <c r="G221" s="54"/>
      <c r="H221" s="54"/>
      <c r="I221" s="54"/>
      <c r="J221" s="54"/>
      <c r="K221" s="54"/>
      <c r="L221" s="60"/>
    </row>
    <row r="222" spans="3:12" ht="15.75" customHeight="1" x14ac:dyDescent="0.2">
      <c r="C222" s="60"/>
      <c r="D222" s="54"/>
      <c r="E222" s="54"/>
      <c r="F222" s="54"/>
      <c r="G222" s="54"/>
      <c r="H222" s="54"/>
      <c r="I222" s="54"/>
      <c r="J222" s="54"/>
      <c r="K222" s="54"/>
      <c r="L222" s="60"/>
    </row>
    <row r="223" spans="3:12" ht="15.75" customHeight="1" x14ac:dyDescent="0.2">
      <c r="C223" s="60"/>
      <c r="D223" s="54"/>
      <c r="E223" s="54"/>
      <c r="F223" s="54"/>
      <c r="G223" s="54"/>
      <c r="H223" s="54"/>
      <c r="I223" s="54"/>
      <c r="J223" s="54"/>
      <c r="K223" s="54"/>
      <c r="L223" s="60"/>
    </row>
    <row r="224" spans="3:12" ht="15.75" customHeight="1" x14ac:dyDescent="0.2">
      <c r="C224" s="60"/>
      <c r="D224" s="54"/>
      <c r="E224" s="54"/>
      <c r="F224" s="54"/>
      <c r="G224" s="54"/>
      <c r="H224" s="54"/>
      <c r="I224" s="54"/>
      <c r="J224" s="54"/>
      <c r="K224" s="54"/>
      <c r="L224" s="60"/>
    </row>
    <row r="225" spans="3:12" ht="15.75" customHeight="1" x14ac:dyDescent="0.2">
      <c r="C225" s="60"/>
      <c r="D225" s="54"/>
      <c r="E225" s="54"/>
      <c r="F225" s="54"/>
      <c r="G225" s="54"/>
      <c r="H225" s="54"/>
      <c r="I225" s="54"/>
      <c r="J225" s="54"/>
      <c r="K225" s="54"/>
      <c r="L225" s="60"/>
    </row>
    <row r="226" spans="3:12" ht="15.75" customHeight="1" x14ac:dyDescent="0.2">
      <c r="C226" s="60"/>
      <c r="D226" s="54"/>
      <c r="E226" s="54"/>
      <c r="F226" s="54"/>
      <c r="G226" s="54"/>
      <c r="H226" s="54"/>
      <c r="I226" s="54"/>
      <c r="J226" s="54"/>
      <c r="K226" s="54"/>
      <c r="L226" s="60"/>
    </row>
    <row r="227" spans="3:12" ht="15.75" customHeight="1" x14ac:dyDescent="0.2">
      <c r="C227" s="60"/>
      <c r="D227" s="54"/>
      <c r="E227" s="54"/>
      <c r="F227" s="54"/>
      <c r="G227" s="54"/>
      <c r="H227" s="54"/>
      <c r="I227" s="54"/>
      <c r="J227" s="54"/>
      <c r="K227" s="54"/>
      <c r="L227" s="60"/>
    </row>
    <row r="228" spans="3:12" ht="15.75" customHeight="1" x14ac:dyDescent="0.2">
      <c r="C228" s="60"/>
      <c r="D228" s="54"/>
      <c r="E228" s="54"/>
      <c r="F228" s="54"/>
      <c r="G228" s="54"/>
      <c r="H228" s="54"/>
      <c r="I228" s="54"/>
      <c r="J228" s="54"/>
      <c r="K228" s="54"/>
      <c r="L228" s="60"/>
    </row>
    <row r="229" spans="3:12" ht="15.75" customHeight="1" x14ac:dyDescent="0.2">
      <c r="C229" s="60"/>
      <c r="D229" s="54"/>
      <c r="E229" s="54"/>
      <c r="F229" s="54"/>
      <c r="G229" s="54"/>
      <c r="H229" s="54"/>
      <c r="I229" s="54"/>
      <c r="J229" s="54"/>
      <c r="K229" s="54"/>
      <c r="L229" s="60"/>
    </row>
    <row r="230" spans="3:12" ht="15.75" customHeight="1" x14ac:dyDescent="0.2">
      <c r="C230" s="60"/>
      <c r="D230" s="54"/>
      <c r="E230" s="54"/>
      <c r="F230" s="54"/>
      <c r="G230" s="54"/>
      <c r="H230" s="54"/>
      <c r="I230" s="54"/>
      <c r="J230" s="54"/>
      <c r="K230" s="54"/>
      <c r="L230" s="60"/>
    </row>
    <row r="231" spans="3:12" ht="15.75" customHeight="1" x14ac:dyDescent="0.2">
      <c r="C231" s="60"/>
      <c r="D231" s="54"/>
      <c r="E231" s="54"/>
      <c r="F231" s="54"/>
      <c r="G231" s="54"/>
      <c r="H231" s="54"/>
      <c r="I231" s="54"/>
      <c r="J231" s="54"/>
      <c r="K231" s="54"/>
      <c r="L231" s="60"/>
    </row>
    <row r="232" spans="3:12" ht="15.75" customHeight="1" x14ac:dyDescent="0.2"/>
    <row r="233" spans="3:12" ht="15.75" customHeight="1" x14ac:dyDescent="0.2"/>
    <row r="234" spans="3:12" ht="15.75" customHeight="1" x14ac:dyDescent="0.2"/>
    <row r="235" spans="3:12" ht="15.75" customHeight="1" x14ac:dyDescent="0.2"/>
    <row r="236" spans="3:12" ht="15.75" customHeight="1" x14ac:dyDescent="0.2"/>
    <row r="237" spans="3:12" ht="15.75" customHeight="1" x14ac:dyDescent="0.2"/>
    <row r="238" spans="3:12" ht="15.75" customHeight="1" x14ac:dyDescent="0.2"/>
    <row r="239" spans="3:12" ht="15.75" customHeight="1" x14ac:dyDescent="0.2"/>
    <row r="240" spans="3:12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conditionalFormatting sqref="I6:I29">
    <cfRule type="cellIs" dxfId="28" priority="1" operator="lessThan">
      <formula>0</formula>
    </cfRule>
  </conditionalFormatting>
  <printOptions horizontalCentered="1" verticalCentered="1"/>
  <pageMargins left="0.25" right="0.25" top="0.75" bottom="0.75" header="0.3" footer="0.3"/>
  <pageSetup fitToHeight="0" orientation="landscape" r:id="rId1"/>
  <headerFooter>
    <oddHeader>&amp;A</oddHeader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1000"/>
  <sheetViews>
    <sheetView topLeftCell="A4" workbookViewId="0"/>
  </sheetViews>
  <sheetFormatPr defaultColWidth="12.5703125" defaultRowHeight="15" customHeight="1" outlineLevelRow="1" outlineLevelCol="1" x14ac:dyDescent="0.2"/>
  <cols>
    <col min="2" max="2" width="26" customWidth="1" collapsed="1"/>
    <col min="3" max="3" width="3.5703125" hidden="1" customWidth="1" outlineLevel="1"/>
    <col min="4" max="4" width="11.42578125" hidden="1" customWidth="1" outlineLevel="1"/>
    <col min="5" max="5" width="12.140625" hidden="1" customWidth="1" outlineLevel="1"/>
    <col min="6" max="6" width="11.140625" hidden="1" customWidth="1" outlineLevel="1"/>
    <col min="7" max="7" width="11.7109375" hidden="1" customWidth="1" outlineLevel="1"/>
    <col min="8" max="10" width="12" hidden="1" customWidth="1" outlineLevel="1"/>
    <col min="11" max="11" width="3.5703125" hidden="1" customWidth="1" outlineLevel="1"/>
    <col min="12" max="12" width="12" customWidth="1"/>
    <col min="13" max="13" width="14.85546875" customWidth="1"/>
    <col min="18" max="18" width="12.42578125" customWidth="1"/>
    <col min="19" max="19" width="13.7109375" customWidth="1"/>
    <col min="20" max="20" width="11.140625" customWidth="1"/>
    <col min="21" max="21" width="11.42578125" customWidth="1"/>
    <col min="22" max="22" width="3.42578125" customWidth="1"/>
  </cols>
  <sheetData>
    <row r="1" spans="1:32" ht="15.75" hidden="1" customHeight="1" x14ac:dyDescent="0.25">
      <c r="A1" s="5"/>
      <c r="B1" s="5"/>
      <c r="C1" s="15"/>
      <c r="D1" s="7"/>
      <c r="E1" s="128" t="s">
        <v>48</v>
      </c>
      <c r="F1" s="128" t="s">
        <v>156</v>
      </c>
      <c r="G1" s="7"/>
      <c r="H1" s="5"/>
      <c r="I1" s="7"/>
      <c r="J1" s="7"/>
      <c r="K1" s="15"/>
      <c r="L1" s="5"/>
      <c r="M1" s="5"/>
      <c r="N1" s="5"/>
      <c r="O1" s="5"/>
      <c r="P1" s="5"/>
      <c r="Q1" s="5"/>
      <c r="R1" s="5"/>
      <c r="S1" s="5"/>
    </row>
    <row r="2" spans="1:32" ht="15.75" hidden="1" customHeight="1" x14ac:dyDescent="0.2">
      <c r="A2" s="5"/>
      <c r="B2" s="5"/>
      <c r="C2" s="15"/>
      <c r="D2" s="7"/>
      <c r="E2" s="7" t="s">
        <v>157</v>
      </c>
      <c r="F2" s="7"/>
      <c r="G2" s="7"/>
      <c r="H2" s="5"/>
      <c r="I2" s="7"/>
      <c r="J2" s="7"/>
      <c r="K2" s="15"/>
      <c r="L2" s="5"/>
      <c r="M2" s="5"/>
      <c r="N2" s="5"/>
      <c r="O2" s="5"/>
      <c r="P2" s="5"/>
      <c r="Q2" s="5"/>
      <c r="R2" s="5"/>
      <c r="S2" s="5"/>
    </row>
    <row r="3" spans="1:32" ht="15.75" hidden="1" customHeight="1" x14ac:dyDescent="0.25">
      <c r="A3" s="5"/>
      <c r="B3" s="5"/>
      <c r="C3" s="15"/>
      <c r="D3" s="7"/>
      <c r="E3" s="7"/>
      <c r="F3" s="7"/>
      <c r="G3" s="7"/>
      <c r="H3" s="5"/>
      <c r="I3" s="7"/>
      <c r="J3" s="7"/>
      <c r="K3" s="15"/>
      <c r="L3" s="5"/>
      <c r="M3" s="5"/>
      <c r="N3" s="5"/>
      <c r="O3" s="5"/>
      <c r="P3" s="5"/>
      <c r="Q3" s="5"/>
      <c r="R3" s="5"/>
      <c r="S3" s="5"/>
      <c r="W3" s="19"/>
      <c r="X3" s="20"/>
    </row>
    <row r="4" spans="1:32" ht="28.5" customHeight="1" x14ac:dyDescent="0.25">
      <c r="A4" s="1" t="s">
        <v>158</v>
      </c>
      <c r="B4" s="5"/>
      <c r="C4" s="15"/>
      <c r="D4" s="16"/>
      <c r="E4" s="16"/>
      <c r="F4" s="16"/>
      <c r="G4" s="16"/>
      <c r="H4" s="18"/>
      <c r="I4" s="16"/>
      <c r="J4" s="16"/>
      <c r="K4" s="15"/>
      <c r="L4" s="7"/>
      <c r="M4" s="7"/>
      <c r="N4" s="7"/>
      <c r="O4" s="7"/>
      <c r="P4" s="7"/>
      <c r="Q4" s="7"/>
      <c r="R4" s="7"/>
      <c r="S4" s="7"/>
      <c r="W4" s="19"/>
      <c r="X4" s="20"/>
    </row>
    <row r="5" spans="1:32" ht="60" x14ac:dyDescent="0.2">
      <c r="A5" s="3" t="s">
        <v>50</v>
      </c>
      <c r="B5" s="3" t="s">
        <v>51</v>
      </c>
      <c r="C5" s="21"/>
      <c r="D5" s="22" t="s">
        <v>52</v>
      </c>
      <c r="E5" s="23" t="s">
        <v>53</v>
      </c>
      <c r="F5" s="23" t="s">
        <v>54</v>
      </c>
      <c r="G5" s="23" t="s">
        <v>55</v>
      </c>
      <c r="H5" s="100" t="s">
        <v>56</v>
      </c>
      <c r="I5" s="23" t="s">
        <v>57</v>
      </c>
      <c r="J5" s="129" t="s">
        <v>58</v>
      </c>
      <c r="K5" s="130"/>
      <c r="L5" s="27" t="s">
        <v>59</v>
      </c>
      <c r="M5" s="27" t="s">
        <v>60</v>
      </c>
      <c r="N5" s="27" t="s">
        <v>61</v>
      </c>
      <c r="O5" s="27" t="s">
        <v>62</v>
      </c>
      <c r="P5" s="27" t="s">
        <v>63</v>
      </c>
      <c r="Q5" s="27" t="s">
        <v>64</v>
      </c>
      <c r="R5" s="27" t="s">
        <v>65</v>
      </c>
      <c r="S5" s="27" t="s">
        <v>66</v>
      </c>
      <c r="V5" s="28"/>
      <c r="W5" s="19"/>
      <c r="Y5" s="28"/>
      <c r="Z5" s="28"/>
      <c r="AA5" s="28"/>
      <c r="AB5" s="28"/>
      <c r="AC5" s="28"/>
      <c r="AD5" s="28"/>
      <c r="AE5" s="28"/>
      <c r="AF5" s="28"/>
    </row>
    <row r="6" spans="1:32" ht="15.75" customHeight="1" x14ac:dyDescent="0.25">
      <c r="A6" s="30" t="s">
        <v>159</v>
      </c>
      <c r="B6" s="30" t="s">
        <v>68</v>
      </c>
      <c r="C6" s="31"/>
      <c r="D6" s="32">
        <v>313247</v>
      </c>
      <c r="E6" s="32" t="e">
        <f>D6*#REF!</f>
        <v>#REF!</v>
      </c>
      <c r="F6" s="32" t="e">
        <f>D6*#REF!</f>
        <v>#REF!</v>
      </c>
      <c r="G6" s="32" t="e">
        <f>(D6*#REF!)*#REF!</f>
        <v>#REF!</v>
      </c>
      <c r="H6" s="131">
        <f t="shared" ref="H6:H22" si="0">IFERROR(((Q6-G6)/G6),0)</f>
        <v>0</v>
      </c>
      <c r="I6" s="32" t="e">
        <f t="shared" ref="I6:I21" si="1">Q6-G6</f>
        <v>#REF!</v>
      </c>
      <c r="J6" s="32">
        <v>-100000</v>
      </c>
      <c r="K6" s="31"/>
      <c r="L6" s="35">
        <v>556976</v>
      </c>
      <c r="M6" s="35">
        <v>536271.82999999996</v>
      </c>
      <c r="N6" s="35">
        <v>589173</v>
      </c>
      <c r="O6" s="35">
        <v>422206.53</v>
      </c>
      <c r="P6" s="32">
        <f t="shared" ref="P6:P9" si="2">O6/20*26</f>
        <v>548868.48900000006</v>
      </c>
      <c r="Q6" s="32">
        <v>706500</v>
      </c>
      <c r="R6" s="132">
        <v>606500</v>
      </c>
      <c r="S6" s="132">
        <f t="shared" ref="S6:S21" si="3">R6-Q6</f>
        <v>-100000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2" ht="15.75" customHeight="1" x14ac:dyDescent="0.25">
      <c r="A7" s="30" t="s">
        <v>160</v>
      </c>
      <c r="B7" s="30" t="s">
        <v>70</v>
      </c>
      <c r="C7" s="31"/>
      <c r="D7" s="32">
        <v>4264</v>
      </c>
      <c r="E7" s="32" t="e">
        <f>D7*#REF!</f>
        <v>#REF!</v>
      </c>
      <c r="F7" s="32" t="e">
        <f>D7*#REF!</f>
        <v>#REF!</v>
      </c>
      <c r="G7" s="32" t="e">
        <f>(D7*#REF!)*#REF!</f>
        <v>#REF!</v>
      </c>
      <c r="H7" s="131">
        <f t="shared" si="0"/>
        <v>0</v>
      </c>
      <c r="I7" s="32" t="e">
        <f t="shared" si="1"/>
        <v>#REF!</v>
      </c>
      <c r="J7" s="16"/>
      <c r="K7" s="31"/>
      <c r="L7" s="35">
        <v>6104</v>
      </c>
      <c r="M7" s="35">
        <v>5212.79</v>
      </c>
      <c r="N7" s="35">
        <v>6500</v>
      </c>
      <c r="O7" s="35">
        <v>6304.22</v>
      </c>
      <c r="P7" s="38">
        <f t="shared" si="2"/>
        <v>8195.4860000000008</v>
      </c>
      <c r="Q7" s="32">
        <v>6500</v>
      </c>
      <c r="R7" s="133">
        <v>12000</v>
      </c>
      <c r="S7" s="132">
        <f t="shared" si="3"/>
        <v>5500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2" ht="15.75" customHeight="1" x14ac:dyDescent="0.25">
      <c r="A8" s="30" t="s">
        <v>161</v>
      </c>
      <c r="B8" s="30" t="s">
        <v>132</v>
      </c>
      <c r="C8" s="31"/>
      <c r="D8" s="32">
        <v>3075</v>
      </c>
      <c r="E8" s="32" t="e">
        <f>D8*#REF!</f>
        <v>#REF!</v>
      </c>
      <c r="F8" s="32" t="e">
        <f>D8*#REF!</f>
        <v>#REF!</v>
      </c>
      <c r="G8" s="32" t="e">
        <f>(D8*#REF!)*#REF!</f>
        <v>#REF!</v>
      </c>
      <c r="H8" s="131">
        <f t="shared" si="0"/>
        <v>0</v>
      </c>
      <c r="I8" s="32" t="e">
        <f t="shared" si="1"/>
        <v>#REF!</v>
      </c>
      <c r="J8" s="32">
        <v>-10000</v>
      </c>
      <c r="K8" s="31"/>
      <c r="L8" s="35">
        <v>24305</v>
      </c>
      <c r="M8" s="35">
        <v>32372.78</v>
      </c>
      <c r="N8" s="35">
        <v>24089</v>
      </c>
      <c r="O8" s="35">
        <v>9938.4</v>
      </c>
      <c r="P8" s="32">
        <f t="shared" si="2"/>
        <v>12919.919999999998</v>
      </c>
      <c r="Q8" s="32">
        <v>21400</v>
      </c>
      <c r="R8" s="132">
        <v>11400</v>
      </c>
      <c r="S8" s="132">
        <f t="shared" si="3"/>
        <v>-10000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2" ht="15.75" customHeight="1" x14ac:dyDescent="0.25">
      <c r="A9" s="30" t="s">
        <v>162</v>
      </c>
      <c r="B9" s="30" t="s">
        <v>72</v>
      </c>
      <c r="C9" s="31"/>
      <c r="D9" s="32">
        <v>173460</v>
      </c>
      <c r="E9" s="32" t="e">
        <f>D9*#REF!</f>
        <v>#REF!</v>
      </c>
      <c r="F9" s="32" t="e">
        <f>D9*#REF!</f>
        <v>#REF!</v>
      </c>
      <c r="G9" s="32" t="e">
        <f>(D9*#REF!)*#REF!</f>
        <v>#REF!</v>
      </c>
      <c r="H9" s="131">
        <f t="shared" si="0"/>
        <v>0</v>
      </c>
      <c r="I9" s="32" t="e">
        <f t="shared" si="1"/>
        <v>#REF!</v>
      </c>
      <c r="J9" s="32">
        <v>-30000</v>
      </c>
      <c r="K9" s="31"/>
      <c r="L9" s="35">
        <v>225162</v>
      </c>
      <c r="M9" s="35">
        <v>253251.97</v>
      </c>
      <c r="N9" s="35">
        <v>305863</v>
      </c>
      <c r="O9" s="35">
        <v>195359.43</v>
      </c>
      <c r="P9" s="32">
        <f t="shared" si="2"/>
        <v>253967.25899999999</v>
      </c>
      <c r="Q9" s="32">
        <v>360800</v>
      </c>
      <c r="R9" s="132">
        <v>330800</v>
      </c>
      <c r="S9" s="132">
        <f t="shared" si="3"/>
        <v>-30000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2" ht="15.75" customHeight="1" x14ac:dyDescent="0.25">
      <c r="A10" s="30" t="s">
        <v>163</v>
      </c>
      <c r="B10" s="30" t="s">
        <v>74</v>
      </c>
      <c r="C10" s="31"/>
      <c r="D10" s="32">
        <v>1291</v>
      </c>
      <c r="E10" s="32" t="e">
        <f>D10*#REF!</f>
        <v>#REF!</v>
      </c>
      <c r="F10" s="32" t="e">
        <f>D10*#REF!</f>
        <v>#REF!</v>
      </c>
      <c r="G10" s="32" t="e">
        <f>(D10*#REF!)*#REF!</f>
        <v>#REF!</v>
      </c>
      <c r="H10" s="131">
        <f t="shared" si="0"/>
        <v>0</v>
      </c>
      <c r="I10" s="32" t="e">
        <f t="shared" si="1"/>
        <v>#REF!</v>
      </c>
      <c r="J10" s="16"/>
      <c r="K10" s="31"/>
      <c r="L10" s="35">
        <v>1364</v>
      </c>
      <c r="M10" s="35">
        <v>1225</v>
      </c>
      <c r="N10" s="35">
        <v>1800</v>
      </c>
      <c r="O10" s="35">
        <v>930.25</v>
      </c>
      <c r="P10" s="38">
        <f>N10</f>
        <v>1800</v>
      </c>
      <c r="Q10" s="32">
        <v>2140</v>
      </c>
      <c r="R10" s="132">
        <v>2140</v>
      </c>
      <c r="S10" s="132">
        <f t="shared" si="3"/>
        <v>0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2" ht="15.75" customHeight="1" x14ac:dyDescent="0.25">
      <c r="A11" s="30" t="s">
        <v>164</v>
      </c>
      <c r="B11" s="30" t="s">
        <v>76</v>
      </c>
      <c r="C11" s="31"/>
      <c r="D11" s="32">
        <v>6713</v>
      </c>
      <c r="E11" s="32" t="e">
        <f>D11*#REF!</f>
        <v>#REF!</v>
      </c>
      <c r="F11" s="32" t="e">
        <f>D11*#REF!</f>
        <v>#REF!</v>
      </c>
      <c r="G11" s="32" t="e">
        <f>(D11*#REF!)*#REF!</f>
        <v>#REF!</v>
      </c>
      <c r="H11" s="134">
        <f t="shared" si="0"/>
        <v>0</v>
      </c>
      <c r="I11" s="32" t="e">
        <f t="shared" si="1"/>
        <v>#REF!</v>
      </c>
      <c r="J11" s="32">
        <v>-3500</v>
      </c>
      <c r="K11" s="31"/>
      <c r="L11" s="35">
        <v>2150</v>
      </c>
      <c r="M11" s="35">
        <v>4616.42</v>
      </c>
      <c r="N11" s="35">
        <v>9000</v>
      </c>
      <c r="O11" s="35">
        <v>4383.5</v>
      </c>
      <c r="P11" s="32">
        <f>O11/9*12</f>
        <v>5844.6666666666661</v>
      </c>
      <c r="Q11" s="32">
        <v>8500</v>
      </c>
      <c r="R11" s="132">
        <v>5000</v>
      </c>
      <c r="S11" s="132">
        <f t="shared" si="3"/>
        <v>-3500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2" ht="15.75" customHeight="1" x14ac:dyDescent="0.25">
      <c r="A12" s="30" t="s">
        <v>165</v>
      </c>
      <c r="B12" s="30" t="s">
        <v>80</v>
      </c>
      <c r="C12" s="31"/>
      <c r="D12" s="32">
        <v>8994</v>
      </c>
      <c r="E12" s="32" t="e">
        <f>D12*#REF!</f>
        <v>#REF!</v>
      </c>
      <c r="F12" s="32" t="e">
        <f>D12*#REF!</f>
        <v>#REF!</v>
      </c>
      <c r="G12" s="32" t="e">
        <f>(D12*#REF!)*#REF!</f>
        <v>#REF!</v>
      </c>
      <c r="H12" s="131">
        <f t="shared" si="0"/>
        <v>0</v>
      </c>
      <c r="I12" s="32" t="e">
        <f t="shared" si="1"/>
        <v>#REF!</v>
      </c>
      <c r="J12" s="32">
        <v>-5000</v>
      </c>
      <c r="K12" s="31"/>
      <c r="L12" s="35">
        <v>20060</v>
      </c>
      <c r="M12" s="35">
        <v>14497.07</v>
      </c>
      <c r="N12" s="35">
        <v>23000</v>
      </c>
      <c r="O12" s="35">
        <v>12883.46</v>
      </c>
      <c r="P12" s="38">
        <f>N12</f>
        <v>23000</v>
      </c>
      <c r="Q12" s="32">
        <v>22180</v>
      </c>
      <c r="R12" s="132">
        <v>17180</v>
      </c>
      <c r="S12" s="132">
        <f t="shared" si="3"/>
        <v>-5000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2" ht="15.75" customHeight="1" x14ac:dyDescent="0.25">
      <c r="A13" s="30" t="s">
        <v>166</v>
      </c>
      <c r="B13" s="30" t="s">
        <v>115</v>
      </c>
      <c r="C13" s="31"/>
      <c r="D13" s="32">
        <v>5101</v>
      </c>
      <c r="E13" s="32" t="e">
        <f>D13*#REF!</f>
        <v>#REF!</v>
      </c>
      <c r="F13" s="32" t="e">
        <f>D13*#REF!</f>
        <v>#REF!</v>
      </c>
      <c r="G13" s="32" t="e">
        <f>(D13*#REF!)*#REF!</f>
        <v>#REF!</v>
      </c>
      <c r="H13" s="134">
        <f t="shared" si="0"/>
        <v>0</v>
      </c>
      <c r="I13" s="32" t="e">
        <f t="shared" si="1"/>
        <v>#REF!</v>
      </c>
      <c r="J13" s="16"/>
      <c r="K13" s="31"/>
      <c r="L13" s="35">
        <v>1501</v>
      </c>
      <c r="M13" s="35">
        <v>3574.6</v>
      </c>
      <c r="N13" s="35">
        <v>2000</v>
      </c>
      <c r="O13" s="35">
        <v>0</v>
      </c>
      <c r="P13" s="32">
        <f t="shared" ref="P13:P15" si="4">O13/9*12</f>
        <v>0</v>
      </c>
      <c r="Q13" s="32">
        <v>5000</v>
      </c>
      <c r="R13" s="132">
        <v>5000</v>
      </c>
      <c r="S13" s="132">
        <f t="shared" si="3"/>
        <v>0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2" ht="15.75" customHeight="1" x14ac:dyDescent="0.25">
      <c r="A14" s="30" t="s">
        <v>167</v>
      </c>
      <c r="B14" s="30" t="s">
        <v>84</v>
      </c>
      <c r="C14" s="31"/>
      <c r="D14" s="32">
        <v>1627</v>
      </c>
      <c r="E14" s="32" t="e">
        <f>D14*#REF!</f>
        <v>#REF!</v>
      </c>
      <c r="F14" s="32" t="e">
        <f>D14*#REF!</f>
        <v>#REF!</v>
      </c>
      <c r="G14" s="32" t="e">
        <f>(D14*#REF!)*#REF!</f>
        <v>#REF!</v>
      </c>
      <c r="H14" s="131">
        <f t="shared" si="0"/>
        <v>0</v>
      </c>
      <c r="I14" s="32" t="e">
        <f t="shared" si="1"/>
        <v>#REF!</v>
      </c>
      <c r="J14" s="16"/>
      <c r="K14" s="31"/>
      <c r="L14" s="35">
        <v>1500</v>
      </c>
      <c r="M14" s="35">
        <v>1525.66</v>
      </c>
      <c r="N14" s="35">
        <v>1900</v>
      </c>
      <c r="O14" s="35">
        <v>1204.27</v>
      </c>
      <c r="P14" s="32">
        <f t="shared" si="4"/>
        <v>1605.6933333333332</v>
      </c>
      <c r="Q14" s="32">
        <v>2860</v>
      </c>
      <c r="R14" s="132">
        <v>2860</v>
      </c>
      <c r="S14" s="132">
        <f t="shared" si="3"/>
        <v>0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2" ht="15.75" customHeight="1" x14ac:dyDescent="0.25">
      <c r="A15" s="30" t="s">
        <v>168</v>
      </c>
      <c r="B15" s="30" t="s">
        <v>86</v>
      </c>
      <c r="C15" s="31"/>
      <c r="D15" s="32">
        <v>0</v>
      </c>
      <c r="E15" s="32" t="e">
        <f>D15*#REF!</f>
        <v>#REF!</v>
      </c>
      <c r="F15" s="32" t="e">
        <f>D15*#REF!</f>
        <v>#REF!</v>
      </c>
      <c r="G15" s="32" t="e">
        <f>(D15*#REF!)*#REF!</f>
        <v>#REF!</v>
      </c>
      <c r="H15" s="131">
        <f t="shared" si="0"/>
        <v>0</v>
      </c>
      <c r="I15" s="32" t="e">
        <f t="shared" si="1"/>
        <v>#REF!</v>
      </c>
      <c r="J15" s="16"/>
      <c r="K15" s="31"/>
      <c r="L15" s="35">
        <v>5155</v>
      </c>
      <c r="M15" s="35">
        <v>11418.75</v>
      </c>
      <c r="N15" s="35">
        <v>10000</v>
      </c>
      <c r="O15" s="35">
        <v>2814.5</v>
      </c>
      <c r="P15" s="32">
        <f t="shared" si="4"/>
        <v>3752.666666666667</v>
      </c>
      <c r="Q15" s="32">
        <v>10000</v>
      </c>
      <c r="R15" s="132">
        <v>10000</v>
      </c>
      <c r="S15" s="132">
        <f t="shared" si="3"/>
        <v>0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2" ht="15.75" customHeight="1" x14ac:dyDescent="0.25">
      <c r="A16" s="30" t="s">
        <v>169</v>
      </c>
      <c r="B16" s="30" t="s">
        <v>88</v>
      </c>
      <c r="C16" s="31"/>
      <c r="D16" s="32">
        <v>36851</v>
      </c>
      <c r="E16" s="32" t="e">
        <f>D16*#REF!</f>
        <v>#REF!</v>
      </c>
      <c r="F16" s="32" t="e">
        <f>D16*#REF!</f>
        <v>#REF!</v>
      </c>
      <c r="G16" s="32" t="e">
        <f>(D16*#REF!)*#REF!</f>
        <v>#REF!</v>
      </c>
      <c r="H16" s="131">
        <f t="shared" si="0"/>
        <v>0</v>
      </c>
      <c r="I16" s="32" t="e">
        <f t="shared" si="1"/>
        <v>#REF!</v>
      </c>
      <c r="J16" s="16"/>
      <c r="K16" s="31"/>
      <c r="L16" s="35">
        <v>363142</v>
      </c>
      <c r="M16" s="35">
        <v>90755.26</v>
      </c>
      <c r="N16" s="35">
        <v>101000</v>
      </c>
      <c r="O16" s="35">
        <v>36689.06</v>
      </c>
      <c r="P16" s="38">
        <f>N16</f>
        <v>101000</v>
      </c>
      <c r="Q16" s="32">
        <v>103500</v>
      </c>
      <c r="R16" s="132">
        <v>103500</v>
      </c>
      <c r="S16" s="132">
        <f t="shared" si="3"/>
        <v>0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5.75" customHeight="1" x14ac:dyDescent="0.25">
      <c r="A17" s="30" t="s">
        <v>170</v>
      </c>
      <c r="B17" s="30" t="s">
        <v>90</v>
      </c>
      <c r="C17" s="31"/>
      <c r="D17" s="32">
        <v>159</v>
      </c>
      <c r="E17" s="32" t="e">
        <f>D17*#REF!</f>
        <v>#REF!</v>
      </c>
      <c r="F17" s="32" t="e">
        <f>D17*#REF!</f>
        <v>#REF!</v>
      </c>
      <c r="G17" s="32" t="e">
        <f>(D17*#REF!)*#REF!</f>
        <v>#REF!</v>
      </c>
      <c r="H17" s="131">
        <f t="shared" si="0"/>
        <v>0</v>
      </c>
      <c r="I17" s="32" t="e">
        <f t="shared" si="1"/>
        <v>#REF!</v>
      </c>
      <c r="J17" s="16"/>
      <c r="K17" s="31"/>
      <c r="L17" s="35">
        <v>5385</v>
      </c>
      <c r="M17" s="35">
        <v>3190.12</v>
      </c>
      <c r="N17" s="35">
        <v>9640</v>
      </c>
      <c r="O17" s="35">
        <v>1565.01</v>
      </c>
      <c r="P17" s="32">
        <f t="shared" ref="P17:P18" si="5">O17/9*12</f>
        <v>2086.6799999999998</v>
      </c>
      <c r="Q17" s="32">
        <v>10815</v>
      </c>
      <c r="R17" s="132">
        <v>10815</v>
      </c>
      <c r="S17" s="132">
        <f t="shared" si="3"/>
        <v>0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5.75" customHeight="1" x14ac:dyDescent="0.25">
      <c r="A18" s="30" t="s">
        <v>171</v>
      </c>
      <c r="B18" s="30" t="s">
        <v>92</v>
      </c>
      <c r="C18" s="31"/>
      <c r="D18" s="32">
        <v>0</v>
      </c>
      <c r="E18" s="32" t="e">
        <f>D18*#REF!</f>
        <v>#REF!</v>
      </c>
      <c r="F18" s="32" t="e">
        <f>D18*#REF!</f>
        <v>#REF!</v>
      </c>
      <c r="G18" s="32" t="e">
        <f>(D18*#REF!)*#REF!</f>
        <v>#REF!</v>
      </c>
      <c r="H18" s="131">
        <f t="shared" si="0"/>
        <v>0</v>
      </c>
      <c r="I18" s="32" t="e">
        <f t="shared" si="1"/>
        <v>#REF!</v>
      </c>
      <c r="J18" s="16"/>
      <c r="K18" s="31"/>
      <c r="L18" s="35">
        <v>5130</v>
      </c>
      <c r="M18" s="35">
        <v>5049.17</v>
      </c>
      <c r="N18" s="35">
        <v>5500</v>
      </c>
      <c r="O18" s="35">
        <v>6673.16</v>
      </c>
      <c r="P18" s="32">
        <f t="shared" si="5"/>
        <v>8897.5466666666653</v>
      </c>
      <c r="Q18" s="32">
        <v>5665</v>
      </c>
      <c r="R18" s="132">
        <v>5665</v>
      </c>
      <c r="S18" s="132">
        <f t="shared" si="3"/>
        <v>0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5.75" customHeight="1" x14ac:dyDescent="0.25">
      <c r="A19" s="30" t="s">
        <v>172</v>
      </c>
      <c r="B19" s="30" t="s">
        <v>173</v>
      </c>
      <c r="C19" s="31"/>
      <c r="D19" s="32">
        <v>0</v>
      </c>
      <c r="E19" s="32" t="e">
        <f>D19*#REF!</f>
        <v>#REF!</v>
      </c>
      <c r="F19" s="32" t="e">
        <f>D19*#REF!</f>
        <v>#REF!</v>
      </c>
      <c r="G19" s="32" t="e">
        <f>(D19*#REF!)*#REF!</f>
        <v>#REF!</v>
      </c>
      <c r="H19" s="131">
        <f t="shared" si="0"/>
        <v>0</v>
      </c>
      <c r="I19" s="32" t="e">
        <f t="shared" si="1"/>
        <v>#REF!</v>
      </c>
      <c r="J19" s="16"/>
      <c r="K19" s="31"/>
      <c r="L19" s="35">
        <v>30253</v>
      </c>
      <c r="M19" s="35">
        <v>26300.39</v>
      </c>
      <c r="N19" s="35">
        <v>28800</v>
      </c>
      <c r="O19" s="35">
        <v>22542.81</v>
      </c>
      <c r="P19" s="38">
        <f>N19</f>
        <v>28800</v>
      </c>
      <c r="Q19" s="32">
        <v>29664</v>
      </c>
      <c r="R19" s="132">
        <v>29664</v>
      </c>
      <c r="S19" s="132">
        <f t="shared" si="3"/>
        <v>0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5.75" customHeight="1" x14ac:dyDescent="0.25">
      <c r="A20" s="30" t="s">
        <v>174</v>
      </c>
      <c r="B20" s="30" t="s">
        <v>94</v>
      </c>
      <c r="C20" s="31"/>
      <c r="D20" s="32">
        <v>0</v>
      </c>
      <c r="E20" s="32" t="e">
        <f>D20*#REF!</f>
        <v>#REF!</v>
      </c>
      <c r="F20" s="32" t="e">
        <f>D20*#REF!</f>
        <v>#REF!</v>
      </c>
      <c r="G20" s="32" t="e">
        <f>(D20*#REF!)*#REF!</f>
        <v>#REF!</v>
      </c>
      <c r="H20" s="131">
        <f t="shared" si="0"/>
        <v>0</v>
      </c>
      <c r="I20" s="32" t="e">
        <f t="shared" si="1"/>
        <v>#REF!</v>
      </c>
      <c r="J20" s="16"/>
      <c r="K20" s="31"/>
      <c r="L20" s="35">
        <v>0</v>
      </c>
      <c r="M20" s="35">
        <v>0</v>
      </c>
      <c r="N20" s="35">
        <v>0</v>
      </c>
      <c r="O20" s="35">
        <v>0</v>
      </c>
      <c r="P20" s="32">
        <f>O20/9*12</f>
        <v>0</v>
      </c>
      <c r="Q20" s="32">
        <v>0</v>
      </c>
      <c r="R20" s="132">
        <v>0</v>
      </c>
      <c r="S20" s="132">
        <f t="shared" si="3"/>
        <v>0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5.75" customHeight="1" x14ac:dyDescent="0.25">
      <c r="A21" s="30" t="s">
        <v>175</v>
      </c>
      <c r="B21" s="30" t="s">
        <v>176</v>
      </c>
      <c r="C21" s="31"/>
      <c r="D21" s="32">
        <v>-56211</v>
      </c>
      <c r="E21" s="32" t="e">
        <f>D21*#REF!</f>
        <v>#REF!</v>
      </c>
      <c r="F21" s="32" t="e">
        <f>D21*#REF!</f>
        <v>#REF!</v>
      </c>
      <c r="G21" s="32" t="e">
        <f>(D21*#REF!)*#REF!</f>
        <v>#REF!</v>
      </c>
      <c r="H21" s="131">
        <f t="shared" si="0"/>
        <v>0</v>
      </c>
      <c r="I21" s="32" t="e">
        <f t="shared" si="1"/>
        <v>#REF!</v>
      </c>
      <c r="J21" s="32">
        <v>14851</v>
      </c>
      <c r="K21" s="31"/>
      <c r="L21" s="35">
        <v>-99048</v>
      </c>
      <c r="M21" s="35">
        <v>-98926.18</v>
      </c>
      <c r="N21" s="35">
        <v>-112100</v>
      </c>
      <c r="O21" s="35">
        <v>-69256.09</v>
      </c>
      <c r="P21" s="32">
        <f>SUM(P6:P20)*-0.1</f>
        <v>-100073.84073333335</v>
      </c>
      <c r="Q21" s="32">
        <v>-129553</v>
      </c>
      <c r="R21" s="132">
        <v>-114702</v>
      </c>
      <c r="S21" s="132">
        <f t="shared" si="3"/>
        <v>14851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5.75" customHeight="1" x14ac:dyDescent="0.25">
      <c r="A22" s="47" t="s">
        <v>177</v>
      </c>
      <c r="B22" s="135"/>
      <c r="C22" s="136"/>
      <c r="D22" s="111">
        <f t="shared" ref="D22:G22" si="6">SUM(D5:D21)</f>
        <v>498571</v>
      </c>
      <c r="E22" s="111" t="e">
        <f t="shared" si="6"/>
        <v>#REF!</v>
      </c>
      <c r="F22" s="111" t="e">
        <f t="shared" si="6"/>
        <v>#REF!</v>
      </c>
      <c r="G22" s="111" t="e">
        <f t="shared" si="6"/>
        <v>#REF!</v>
      </c>
      <c r="H22" s="137">
        <f t="shared" si="0"/>
        <v>0</v>
      </c>
      <c r="I22" s="111" t="e">
        <f t="shared" ref="I22:J22" si="7">SUM(I6:I21)</f>
        <v>#REF!</v>
      </c>
      <c r="J22" s="111">
        <f t="shared" si="7"/>
        <v>-133649</v>
      </c>
      <c r="K22" s="136"/>
      <c r="L22" s="110">
        <f t="shared" ref="L22:S22" si="8">SUM(L5:L21)</f>
        <v>1149139</v>
      </c>
      <c r="M22" s="110">
        <f t="shared" si="8"/>
        <v>890335.63000000012</v>
      </c>
      <c r="N22" s="110">
        <f t="shared" si="8"/>
        <v>1006165</v>
      </c>
      <c r="O22" s="110">
        <f t="shared" si="8"/>
        <v>654238.51000000024</v>
      </c>
      <c r="P22" s="111">
        <f t="shared" si="8"/>
        <v>900664.56660000002</v>
      </c>
      <c r="Q22" s="111">
        <f t="shared" si="8"/>
        <v>1165971</v>
      </c>
      <c r="R22" s="110">
        <f t="shared" si="8"/>
        <v>1037822</v>
      </c>
      <c r="S22" s="110">
        <f t="shared" si="8"/>
        <v>-128149</v>
      </c>
      <c r="T22" s="138"/>
      <c r="Y22" s="44"/>
      <c r="Z22" s="44"/>
      <c r="AA22" s="44"/>
      <c r="AB22" s="44"/>
      <c r="AC22" s="44"/>
      <c r="AD22" s="44"/>
      <c r="AE22" s="44"/>
    </row>
    <row r="23" spans="1:31" ht="15.75" customHeight="1" x14ac:dyDescent="0.25">
      <c r="A23" s="30"/>
      <c r="B23" s="30"/>
      <c r="C23" s="139"/>
      <c r="D23" s="140"/>
      <c r="E23" s="140"/>
      <c r="F23" s="140"/>
      <c r="G23" s="140"/>
      <c r="H23" s="141"/>
      <c r="I23" s="23"/>
      <c r="J23" s="142"/>
      <c r="K23" s="139"/>
      <c r="L23" s="30"/>
      <c r="M23" s="30"/>
      <c r="N23" s="30"/>
      <c r="O23" s="30"/>
      <c r="P23" s="30"/>
      <c r="Q23" s="30"/>
      <c r="R23" s="30"/>
      <c r="S23" s="30"/>
      <c r="T23" s="138"/>
      <c r="V23" s="143"/>
    </row>
    <row r="24" spans="1:31" ht="15.75" customHeight="1" x14ac:dyDescent="0.25">
      <c r="A24" s="144" t="s">
        <v>178</v>
      </c>
      <c r="B24" s="30"/>
      <c r="C24" s="139"/>
      <c r="D24" s="140"/>
      <c r="E24" s="140"/>
      <c r="F24" s="140"/>
      <c r="G24" s="140"/>
      <c r="H24" s="141"/>
      <c r="I24" s="140"/>
      <c r="J24" s="140"/>
      <c r="K24" s="139"/>
      <c r="L24" s="30"/>
      <c r="M24" s="30"/>
      <c r="N24" s="30"/>
      <c r="O24" s="30"/>
      <c r="P24" s="30"/>
      <c r="Q24" s="30"/>
      <c r="R24" s="30"/>
      <c r="S24" s="30"/>
      <c r="T24" s="138"/>
      <c r="V24" s="143"/>
    </row>
    <row r="25" spans="1:31" ht="15.75" customHeight="1" x14ac:dyDescent="0.25">
      <c r="A25" s="30" t="s">
        <v>179</v>
      </c>
      <c r="B25" s="30" t="s">
        <v>180</v>
      </c>
      <c r="C25" s="31"/>
      <c r="D25" s="32">
        <v>0</v>
      </c>
      <c r="E25" s="32" t="e">
        <f>D25*#REF!</f>
        <v>#REF!</v>
      </c>
      <c r="F25" s="32" t="e">
        <f>D25*#REF!</f>
        <v>#REF!</v>
      </c>
      <c r="G25" s="32" t="e">
        <f>(D25*#REF!)*#REF!</f>
        <v>#REF!</v>
      </c>
      <c r="H25" s="131">
        <f t="shared" ref="H25:H27" si="9">IFERROR(((Q25-G25)/G25),0)</f>
        <v>0</v>
      </c>
      <c r="I25" s="32" t="e">
        <f t="shared" ref="I25:I27" si="10">Q25-G25</f>
        <v>#REF!</v>
      </c>
      <c r="J25" s="16"/>
      <c r="K25" s="31"/>
      <c r="L25" s="35">
        <v>0</v>
      </c>
      <c r="M25" s="35">
        <v>0</v>
      </c>
      <c r="N25" s="35">
        <v>21360</v>
      </c>
      <c r="O25" s="35">
        <v>24443.45</v>
      </c>
      <c r="P25" s="38">
        <v>24443.45</v>
      </c>
      <c r="Q25" s="32">
        <v>0</v>
      </c>
      <c r="R25" s="145">
        <v>0</v>
      </c>
      <c r="S25" s="35">
        <f t="shared" ref="S25:S26" si="11">R25-Q25</f>
        <v>0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5.75" customHeight="1" x14ac:dyDescent="0.25">
      <c r="A26" s="30" t="s">
        <v>181</v>
      </c>
      <c r="B26" s="30" t="s">
        <v>99</v>
      </c>
      <c r="C26" s="31"/>
      <c r="D26" s="32">
        <v>0</v>
      </c>
      <c r="E26" s="32" t="e">
        <f>D26*#REF!</f>
        <v>#REF!</v>
      </c>
      <c r="F26" s="32" t="e">
        <f>D26*#REF!</f>
        <v>#REF!</v>
      </c>
      <c r="G26" s="32" t="e">
        <f>(D26*#REF!)*#REF!</f>
        <v>#REF!</v>
      </c>
      <c r="H26" s="131">
        <f t="shared" si="9"/>
        <v>0</v>
      </c>
      <c r="I26" s="32" t="e">
        <f t="shared" si="10"/>
        <v>#REF!</v>
      </c>
      <c r="J26" s="16"/>
      <c r="K26" s="31"/>
      <c r="L26" s="35">
        <v>0</v>
      </c>
      <c r="M26" s="35">
        <v>0</v>
      </c>
      <c r="N26" s="35">
        <v>3800</v>
      </c>
      <c r="O26" s="35">
        <v>0</v>
      </c>
      <c r="P26" s="32">
        <v>0</v>
      </c>
      <c r="Q26" s="32">
        <v>0</v>
      </c>
      <c r="R26" s="145">
        <v>0</v>
      </c>
      <c r="S26" s="35">
        <f t="shared" si="11"/>
        <v>0</v>
      </c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</row>
    <row r="27" spans="1:31" ht="15.75" customHeight="1" x14ac:dyDescent="0.25">
      <c r="A27" s="47" t="s">
        <v>182</v>
      </c>
      <c r="B27" s="135"/>
      <c r="C27" s="136"/>
      <c r="D27" s="111">
        <f t="shared" ref="D27:G27" si="12">SUM(D25:D26)</f>
        <v>0</v>
      </c>
      <c r="E27" s="111" t="e">
        <f t="shared" si="12"/>
        <v>#REF!</v>
      </c>
      <c r="F27" s="111" t="e">
        <f t="shared" si="12"/>
        <v>#REF!</v>
      </c>
      <c r="G27" s="111" t="e">
        <f t="shared" si="12"/>
        <v>#REF!</v>
      </c>
      <c r="H27" s="137">
        <f t="shared" si="9"/>
        <v>0</v>
      </c>
      <c r="I27" s="111" t="e">
        <f t="shared" si="10"/>
        <v>#REF!</v>
      </c>
      <c r="J27" s="111">
        <f>R27-H27</f>
        <v>0</v>
      </c>
      <c r="K27" s="136"/>
      <c r="L27" s="110">
        <f t="shared" ref="L27:S27" si="13">SUM(L25:L26)</f>
        <v>0</v>
      </c>
      <c r="M27" s="110">
        <f t="shared" si="13"/>
        <v>0</v>
      </c>
      <c r="N27" s="110">
        <f t="shared" si="13"/>
        <v>25160</v>
      </c>
      <c r="O27" s="110">
        <f t="shared" si="13"/>
        <v>24443.45</v>
      </c>
      <c r="P27" s="111">
        <f t="shared" si="13"/>
        <v>24443.45</v>
      </c>
      <c r="Q27" s="111">
        <f t="shared" si="13"/>
        <v>0</v>
      </c>
      <c r="R27" s="110">
        <f t="shared" si="13"/>
        <v>0</v>
      </c>
      <c r="S27" s="110">
        <f t="shared" si="13"/>
        <v>0</v>
      </c>
      <c r="T27" s="138"/>
    </row>
    <row r="28" spans="1:31" ht="15.75" customHeight="1" x14ac:dyDescent="0.25">
      <c r="A28" s="30"/>
      <c r="B28" s="30"/>
      <c r="C28" s="139"/>
      <c r="D28" s="140"/>
      <c r="E28" s="140"/>
      <c r="F28" s="140"/>
      <c r="G28" s="140"/>
      <c r="H28" s="131"/>
      <c r="I28" s="140"/>
      <c r="J28" s="140"/>
      <c r="K28" s="139"/>
      <c r="L28" s="30"/>
      <c r="M28" s="30"/>
      <c r="N28" s="30"/>
      <c r="O28" s="30"/>
      <c r="P28" s="30"/>
      <c r="Q28" s="30"/>
      <c r="R28" s="30"/>
      <c r="S28" s="30"/>
      <c r="T28" s="138"/>
    </row>
    <row r="29" spans="1:31" ht="15.75" customHeight="1" x14ac:dyDescent="0.25">
      <c r="A29" s="47" t="s">
        <v>183</v>
      </c>
      <c r="B29" s="135"/>
      <c r="C29" s="136"/>
      <c r="D29" s="111">
        <f t="shared" ref="D29:G29" si="14">D27+D22</f>
        <v>498571</v>
      </c>
      <c r="E29" s="111" t="e">
        <f t="shared" si="14"/>
        <v>#REF!</v>
      </c>
      <c r="F29" s="111" t="e">
        <f t="shared" si="14"/>
        <v>#REF!</v>
      </c>
      <c r="G29" s="111" t="e">
        <f t="shared" si="14"/>
        <v>#REF!</v>
      </c>
      <c r="H29" s="137">
        <f>IFERROR(((Q29-G29)/G29),0)</f>
        <v>0</v>
      </c>
      <c r="I29" s="111" t="e">
        <f>Q29-G29</f>
        <v>#REF!</v>
      </c>
      <c r="J29" s="111">
        <f>J27+J22</f>
        <v>-133649</v>
      </c>
      <c r="K29" s="136"/>
      <c r="L29" s="110">
        <f t="shared" ref="L29:S29" si="15">L27+L22</f>
        <v>1149139</v>
      </c>
      <c r="M29" s="110">
        <f t="shared" si="15"/>
        <v>890335.63000000012</v>
      </c>
      <c r="N29" s="110">
        <f t="shared" si="15"/>
        <v>1031325</v>
      </c>
      <c r="O29" s="110">
        <f t="shared" si="15"/>
        <v>678681.9600000002</v>
      </c>
      <c r="P29" s="111">
        <f t="shared" si="15"/>
        <v>925108.01659999997</v>
      </c>
      <c r="Q29" s="111">
        <f t="shared" si="15"/>
        <v>1165971</v>
      </c>
      <c r="R29" s="110">
        <f t="shared" si="15"/>
        <v>1037822</v>
      </c>
      <c r="S29" s="110">
        <f t="shared" si="15"/>
        <v>-128149</v>
      </c>
      <c r="T29" s="138"/>
    </row>
    <row r="30" spans="1:31" ht="15.75" customHeight="1" x14ac:dyDescent="0.25">
      <c r="A30" s="30"/>
      <c r="B30" s="30"/>
      <c r="C30" s="139"/>
      <c r="D30" s="140"/>
      <c r="E30" s="140"/>
      <c r="F30" s="140"/>
      <c r="G30" s="140"/>
      <c r="H30" s="141"/>
      <c r="I30" s="140"/>
      <c r="J30" s="140"/>
      <c r="K30" s="139"/>
      <c r="L30" s="30"/>
      <c r="M30" s="30"/>
      <c r="N30" s="30"/>
      <c r="O30" s="30"/>
      <c r="P30" s="30"/>
      <c r="Q30" s="30"/>
      <c r="R30" s="30"/>
      <c r="S30" s="30"/>
      <c r="T30" s="138"/>
    </row>
    <row r="31" spans="1:31" ht="15.75" customHeight="1" x14ac:dyDescent="0.25">
      <c r="A31" s="144" t="s">
        <v>184</v>
      </c>
      <c r="B31" s="30"/>
      <c r="C31" s="139"/>
      <c r="D31" s="140"/>
      <c r="E31" s="140"/>
      <c r="F31" s="140"/>
      <c r="G31" s="140"/>
      <c r="H31" s="141"/>
      <c r="I31" s="140"/>
      <c r="J31" s="140"/>
      <c r="K31" s="139"/>
      <c r="L31" s="30"/>
      <c r="M31" s="30"/>
      <c r="N31" s="30"/>
      <c r="O31" s="30"/>
      <c r="P31" s="30"/>
      <c r="Q31" s="30"/>
      <c r="R31" s="30"/>
      <c r="S31" s="30"/>
      <c r="T31" s="138"/>
    </row>
    <row r="32" spans="1:31" ht="15.75" customHeight="1" x14ac:dyDescent="0.25">
      <c r="A32" s="30" t="s">
        <v>185</v>
      </c>
      <c r="B32" s="30" t="s">
        <v>186</v>
      </c>
      <c r="C32" s="15"/>
      <c r="D32" s="32">
        <v>-23750.86</v>
      </c>
      <c r="E32" s="32" t="e">
        <f>D32*#REF!</f>
        <v>#REF!</v>
      </c>
      <c r="F32" s="32" t="e">
        <f>D32*#REF!</f>
        <v>#REF!</v>
      </c>
      <c r="G32" s="32" t="e">
        <f>(D32*#REF!)*#REF!</f>
        <v>#REF!</v>
      </c>
      <c r="H32" s="134">
        <f t="shared" ref="H32:H34" si="16">IFERROR(((Q32-G32)/G32),0)</f>
        <v>0</v>
      </c>
      <c r="I32" s="32" t="e">
        <f t="shared" ref="I32:I34" si="17">Q32-G32</f>
        <v>#REF!</v>
      </c>
      <c r="J32" s="16"/>
      <c r="K32" s="15"/>
      <c r="L32" s="35">
        <v>-1000</v>
      </c>
      <c r="M32" s="35">
        <v>0</v>
      </c>
      <c r="N32" s="35">
        <v>-1000</v>
      </c>
      <c r="O32" s="35">
        <v>0</v>
      </c>
      <c r="P32" s="38">
        <f>N32</f>
        <v>-1000</v>
      </c>
      <c r="Q32" s="32">
        <v>-1000</v>
      </c>
      <c r="R32" s="35">
        <v>-51000</v>
      </c>
      <c r="S32" s="35">
        <f t="shared" ref="S32:S33" si="18">R32-Q32</f>
        <v>-50000</v>
      </c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</row>
    <row r="33" spans="1:31" ht="15.75" customHeight="1" x14ac:dyDescent="0.25">
      <c r="A33" s="30" t="s">
        <v>187</v>
      </c>
      <c r="B33" s="30" t="s">
        <v>188</v>
      </c>
      <c r="C33" s="15"/>
      <c r="D33" s="32">
        <v>0</v>
      </c>
      <c r="E33" s="32" t="e">
        <f>D33*#REF!</f>
        <v>#REF!</v>
      </c>
      <c r="F33" s="32" t="e">
        <f>D33*#REF!</f>
        <v>#REF!</v>
      </c>
      <c r="G33" s="32" t="e">
        <f>(D33*#REF!)*#REF!</f>
        <v>#REF!</v>
      </c>
      <c r="H33" s="131">
        <f t="shared" si="16"/>
        <v>0</v>
      </c>
      <c r="I33" s="32" t="e">
        <f t="shared" si="17"/>
        <v>#REF!</v>
      </c>
      <c r="J33" s="16"/>
      <c r="K33" s="31"/>
      <c r="L33" s="35">
        <v>-33390</v>
      </c>
      <c r="M33" s="35">
        <v>-1109</v>
      </c>
      <c r="N33" s="145">
        <v>0</v>
      </c>
      <c r="O33" s="145">
        <v>0</v>
      </c>
      <c r="P33" s="146">
        <v>0</v>
      </c>
      <c r="Q33" s="146">
        <v>0</v>
      </c>
      <c r="R33" s="35">
        <v>0</v>
      </c>
      <c r="S33" s="35">
        <f t="shared" si="18"/>
        <v>0</v>
      </c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</row>
    <row r="34" spans="1:31" ht="15.75" customHeight="1" x14ac:dyDescent="0.25">
      <c r="A34" s="144" t="s">
        <v>189</v>
      </c>
      <c r="B34" s="144"/>
      <c r="C34" s="136"/>
      <c r="D34" s="111">
        <f t="shared" ref="D34:G34" si="19">SUM(D31:D33)</f>
        <v>-23750.86</v>
      </c>
      <c r="E34" s="111" t="e">
        <f t="shared" si="19"/>
        <v>#REF!</v>
      </c>
      <c r="F34" s="111" t="e">
        <f t="shared" si="19"/>
        <v>#REF!</v>
      </c>
      <c r="G34" s="111" t="e">
        <f t="shared" si="19"/>
        <v>#REF!</v>
      </c>
      <c r="H34" s="131">
        <f t="shared" si="16"/>
        <v>0</v>
      </c>
      <c r="I34" s="111" t="e">
        <f t="shared" si="17"/>
        <v>#REF!</v>
      </c>
      <c r="J34" s="111">
        <f>SUM(J32:J33)</f>
        <v>0</v>
      </c>
      <c r="K34" s="136"/>
      <c r="L34" s="110">
        <f t="shared" ref="L34:S34" si="20">SUM(L31:L33)</f>
        <v>-34390</v>
      </c>
      <c r="M34" s="110">
        <f t="shared" si="20"/>
        <v>-1109</v>
      </c>
      <c r="N34" s="110">
        <f t="shared" si="20"/>
        <v>-1000</v>
      </c>
      <c r="O34" s="110">
        <f t="shared" si="20"/>
        <v>0</v>
      </c>
      <c r="P34" s="110">
        <f t="shared" si="20"/>
        <v>-1000</v>
      </c>
      <c r="Q34" s="110">
        <f t="shared" si="20"/>
        <v>-1000</v>
      </c>
      <c r="R34" s="110">
        <f t="shared" si="20"/>
        <v>-51000</v>
      </c>
      <c r="S34" s="110">
        <f t="shared" si="20"/>
        <v>-50000</v>
      </c>
      <c r="T34" s="138"/>
      <c r="V34" s="69"/>
      <c r="W34" s="69"/>
      <c r="X34" s="69"/>
      <c r="Y34" s="69"/>
      <c r="Z34" s="69"/>
      <c r="AA34" s="69"/>
      <c r="AB34" s="69"/>
      <c r="AC34" s="69"/>
      <c r="AD34" s="69"/>
      <c r="AE34" s="69"/>
    </row>
    <row r="35" spans="1:31" ht="15.75" customHeight="1" x14ac:dyDescent="0.25">
      <c r="A35" s="30"/>
      <c r="B35" s="30"/>
      <c r="C35" s="139"/>
      <c r="D35" s="140"/>
      <c r="E35" s="140"/>
      <c r="F35" s="140"/>
      <c r="G35" s="140"/>
      <c r="H35" s="141"/>
      <c r="I35" s="140"/>
      <c r="J35" s="140"/>
      <c r="K35" s="139"/>
      <c r="L35" s="30"/>
      <c r="M35" s="30"/>
      <c r="N35" s="30"/>
      <c r="O35" s="30"/>
      <c r="P35" s="30"/>
      <c r="Q35" s="30"/>
      <c r="R35" s="30"/>
      <c r="S35" s="30"/>
      <c r="T35" s="138"/>
    </row>
    <row r="36" spans="1:31" ht="15.75" customHeight="1" x14ac:dyDescent="0.25">
      <c r="A36" s="144" t="s">
        <v>190</v>
      </c>
      <c r="B36" s="30"/>
      <c r="C36" s="136"/>
      <c r="D36" s="111">
        <f t="shared" ref="D36:G36" si="21">D34+D29</f>
        <v>474820.14</v>
      </c>
      <c r="E36" s="111" t="e">
        <f t="shared" si="21"/>
        <v>#REF!</v>
      </c>
      <c r="F36" s="111" t="e">
        <f t="shared" si="21"/>
        <v>#REF!</v>
      </c>
      <c r="G36" s="111" t="e">
        <f t="shared" si="21"/>
        <v>#REF!</v>
      </c>
      <c r="H36" s="137">
        <f>IFERROR(((Q36-G36)/G36),0)</f>
        <v>0</v>
      </c>
      <c r="I36" s="111" t="e">
        <f>Q36-G36</f>
        <v>#REF!</v>
      </c>
      <c r="J36" s="111">
        <f>SUM(J34+J29)</f>
        <v>-133649</v>
      </c>
      <c r="K36" s="136"/>
      <c r="L36" s="110">
        <f t="shared" ref="L36:S36" si="22">L34+L29</f>
        <v>1114749</v>
      </c>
      <c r="M36" s="110">
        <f t="shared" si="22"/>
        <v>889226.63000000012</v>
      </c>
      <c r="N36" s="110">
        <f t="shared" si="22"/>
        <v>1030325</v>
      </c>
      <c r="O36" s="110">
        <f t="shared" si="22"/>
        <v>678681.9600000002</v>
      </c>
      <c r="P36" s="111">
        <f t="shared" si="22"/>
        <v>924108.01659999997</v>
      </c>
      <c r="Q36" s="111">
        <f t="shared" si="22"/>
        <v>1164971</v>
      </c>
      <c r="R36" s="110">
        <f t="shared" si="22"/>
        <v>986822</v>
      </c>
      <c r="S36" s="110">
        <f t="shared" si="22"/>
        <v>-178149</v>
      </c>
      <c r="T36" s="138"/>
    </row>
    <row r="37" spans="1:31" ht="15.75" customHeight="1" x14ac:dyDescent="0.2">
      <c r="C37" s="60"/>
      <c r="D37" s="147"/>
      <c r="E37" s="147"/>
      <c r="F37" s="147"/>
      <c r="G37" s="147"/>
      <c r="H37" s="97"/>
      <c r="I37" s="147"/>
      <c r="J37" s="147"/>
      <c r="K37" s="60"/>
    </row>
    <row r="38" spans="1:31" ht="15.75" customHeight="1" x14ac:dyDescent="0.2">
      <c r="B38" s="94"/>
      <c r="C38" s="95"/>
      <c r="D38" s="148"/>
      <c r="E38" s="148"/>
      <c r="F38" s="147"/>
      <c r="G38" s="147"/>
      <c r="H38" s="97"/>
      <c r="I38" s="147"/>
      <c r="J38" s="147"/>
      <c r="K38" s="60"/>
      <c r="L38" s="149" t="s">
        <v>102</v>
      </c>
      <c r="M38" s="126" t="s">
        <v>59</v>
      </c>
      <c r="N38" s="150" t="s">
        <v>60</v>
      </c>
      <c r="O38" s="150" t="s">
        <v>61</v>
      </c>
      <c r="P38" s="150" t="s">
        <v>62</v>
      </c>
      <c r="Q38" s="150" t="s">
        <v>63</v>
      </c>
      <c r="R38" s="151" t="s">
        <v>64</v>
      </c>
      <c r="S38" s="151" t="s">
        <v>65</v>
      </c>
    </row>
    <row r="39" spans="1:31" ht="15.75" customHeight="1" x14ac:dyDescent="0.2">
      <c r="C39" s="60"/>
      <c r="D39" s="147"/>
      <c r="E39" s="147"/>
      <c r="F39" s="147"/>
      <c r="G39" s="147"/>
      <c r="H39" s="97"/>
      <c r="I39" s="147"/>
      <c r="J39" s="147"/>
      <c r="K39" s="60"/>
      <c r="L39" s="152" t="s">
        <v>103</v>
      </c>
      <c r="M39" s="127">
        <v>1114749</v>
      </c>
      <c r="N39" s="127">
        <v>889226.63000000012</v>
      </c>
      <c r="O39" s="127">
        <v>1030325</v>
      </c>
      <c r="P39" s="127">
        <v>678681.9600000002</v>
      </c>
      <c r="Q39" s="127">
        <v>924108.01659999997</v>
      </c>
      <c r="R39" s="153">
        <v>1164971</v>
      </c>
      <c r="S39" s="153">
        <v>981322</v>
      </c>
      <c r="T39" s="54"/>
    </row>
    <row r="40" spans="1:31" ht="15.75" customHeight="1" x14ac:dyDescent="0.2">
      <c r="C40" s="60"/>
      <c r="D40" s="147"/>
      <c r="E40" s="147"/>
      <c r="F40" s="147"/>
      <c r="G40" s="147"/>
      <c r="H40" s="97"/>
      <c r="I40" s="147"/>
      <c r="J40" s="147"/>
      <c r="K40" s="60"/>
    </row>
    <row r="41" spans="1:31" ht="15.75" customHeight="1" x14ac:dyDescent="0.2">
      <c r="C41" s="60"/>
      <c r="D41" s="147"/>
      <c r="E41" s="147"/>
      <c r="F41" s="147"/>
      <c r="G41" s="147"/>
      <c r="H41" s="97"/>
      <c r="I41" s="147"/>
      <c r="J41" s="147"/>
      <c r="K41" s="60"/>
    </row>
    <row r="42" spans="1:31" ht="15.75" customHeight="1" x14ac:dyDescent="0.2">
      <c r="C42" s="60"/>
      <c r="D42" s="147"/>
      <c r="E42" s="147"/>
      <c r="F42" s="147"/>
      <c r="G42" s="147"/>
      <c r="H42" s="97"/>
      <c r="I42" s="147"/>
      <c r="J42" s="147"/>
      <c r="K42" s="60"/>
    </row>
    <row r="43" spans="1:31" ht="15.75" customHeight="1" x14ac:dyDescent="0.2">
      <c r="C43" s="60"/>
      <c r="D43" s="147"/>
      <c r="E43" s="147"/>
      <c r="F43" s="147"/>
      <c r="G43" s="147"/>
      <c r="H43" s="97"/>
      <c r="I43" s="147"/>
      <c r="J43" s="147"/>
      <c r="K43" s="60"/>
    </row>
    <row r="44" spans="1:31" ht="15.75" customHeight="1" x14ac:dyDescent="0.2">
      <c r="C44" s="60"/>
      <c r="D44" s="147"/>
      <c r="E44" s="147"/>
      <c r="F44" s="147"/>
      <c r="G44" s="147"/>
      <c r="H44" s="97"/>
      <c r="I44" s="147"/>
      <c r="J44" s="147"/>
      <c r="K44" s="60"/>
    </row>
    <row r="45" spans="1:31" ht="15.75" customHeight="1" x14ac:dyDescent="0.2">
      <c r="C45" s="60"/>
      <c r="D45" s="147"/>
      <c r="E45" s="147"/>
      <c r="F45" s="147"/>
      <c r="G45" s="147"/>
      <c r="H45" s="97"/>
      <c r="I45" s="147"/>
      <c r="J45" s="147"/>
      <c r="K45" s="60"/>
    </row>
    <row r="46" spans="1:31" ht="15.75" customHeight="1" x14ac:dyDescent="0.2">
      <c r="C46" s="60"/>
      <c r="D46" s="147"/>
      <c r="E46" s="147"/>
      <c r="F46" s="147"/>
      <c r="G46" s="147"/>
      <c r="H46" s="97"/>
      <c r="I46" s="147"/>
      <c r="J46" s="147"/>
      <c r="K46" s="60"/>
    </row>
    <row r="47" spans="1:31" ht="15.75" customHeight="1" x14ac:dyDescent="0.2">
      <c r="C47" s="60"/>
      <c r="D47" s="147"/>
      <c r="E47" s="147"/>
      <c r="F47" s="147"/>
      <c r="G47" s="147"/>
      <c r="H47" s="97"/>
      <c r="I47" s="147"/>
      <c r="J47" s="147"/>
      <c r="K47" s="60"/>
    </row>
    <row r="48" spans="1:31" ht="15.75" customHeight="1" x14ac:dyDescent="0.2">
      <c r="C48" s="60"/>
      <c r="D48" s="147"/>
      <c r="E48" s="147"/>
      <c r="F48" s="147"/>
      <c r="G48" s="147"/>
      <c r="H48" s="97"/>
      <c r="I48" s="147"/>
      <c r="J48" s="147"/>
      <c r="K48" s="60"/>
    </row>
    <row r="49" spans="3:11" ht="15.75" customHeight="1" x14ac:dyDescent="0.2">
      <c r="C49" s="60"/>
      <c r="D49" s="147"/>
      <c r="E49" s="147"/>
      <c r="F49" s="147"/>
      <c r="G49" s="147"/>
      <c r="H49" s="97"/>
      <c r="I49" s="147"/>
      <c r="J49" s="147"/>
      <c r="K49" s="60"/>
    </row>
    <row r="50" spans="3:11" ht="15.75" customHeight="1" x14ac:dyDescent="0.2">
      <c r="C50" s="60"/>
      <c r="D50" s="147"/>
      <c r="E50" s="147"/>
      <c r="F50" s="147"/>
      <c r="G50" s="147"/>
      <c r="H50" s="97"/>
      <c r="I50" s="147"/>
      <c r="J50" s="147"/>
      <c r="K50" s="60"/>
    </row>
    <row r="51" spans="3:11" ht="15.75" customHeight="1" x14ac:dyDescent="0.2">
      <c r="C51" s="60"/>
      <c r="D51" s="147"/>
      <c r="E51" s="147"/>
      <c r="F51" s="147"/>
      <c r="G51" s="147"/>
      <c r="H51" s="97"/>
      <c r="I51" s="147"/>
      <c r="J51" s="147"/>
      <c r="K51" s="60"/>
    </row>
    <row r="52" spans="3:11" ht="15.75" customHeight="1" x14ac:dyDescent="0.2">
      <c r="C52" s="60"/>
      <c r="D52" s="147"/>
      <c r="E52" s="147"/>
      <c r="F52" s="147"/>
      <c r="G52" s="147"/>
      <c r="H52" s="97"/>
      <c r="I52" s="147"/>
      <c r="J52" s="147"/>
      <c r="K52" s="60"/>
    </row>
    <row r="53" spans="3:11" ht="15.75" customHeight="1" x14ac:dyDescent="0.2">
      <c r="C53" s="60"/>
      <c r="D53" s="147"/>
      <c r="E53" s="147"/>
      <c r="F53" s="147"/>
      <c r="G53" s="147"/>
      <c r="H53" s="97"/>
      <c r="I53" s="147"/>
      <c r="J53" s="147"/>
      <c r="K53" s="60"/>
    </row>
    <row r="54" spans="3:11" ht="15.75" customHeight="1" x14ac:dyDescent="0.2">
      <c r="C54" s="60"/>
      <c r="D54" s="147"/>
      <c r="E54" s="147"/>
      <c r="F54" s="147"/>
      <c r="G54" s="147"/>
      <c r="H54" s="97"/>
      <c r="I54" s="147"/>
      <c r="J54" s="147"/>
      <c r="K54" s="60"/>
    </row>
    <row r="55" spans="3:11" ht="15.75" customHeight="1" x14ac:dyDescent="0.2">
      <c r="C55" s="60"/>
      <c r="D55" s="147"/>
      <c r="E55" s="147"/>
      <c r="F55" s="147"/>
      <c r="G55" s="147"/>
      <c r="H55" s="97"/>
      <c r="I55" s="147"/>
      <c r="J55" s="147"/>
      <c r="K55" s="60"/>
    </row>
    <row r="56" spans="3:11" ht="15.75" customHeight="1" x14ac:dyDescent="0.2">
      <c r="C56" s="60"/>
      <c r="D56" s="147"/>
      <c r="E56" s="147"/>
      <c r="F56" s="147"/>
      <c r="G56" s="147"/>
      <c r="H56" s="97"/>
      <c r="I56" s="147"/>
      <c r="J56" s="147"/>
      <c r="K56" s="60"/>
    </row>
    <row r="57" spans="3:11" ht="15.75" customHeight="1" x14ac:dyDescent="0.2">
      <c r="C57" s="60"/>
      <c r="D57" s="147"/>
      <c r="E57" s="147"/>
      <c r="F57" s="147"/>
      <c r="G57" s="147"/>
      <c r="H57" s="97"/>
      <c r="I57" s="147"/>
      <c r="J57" s="147"/>
      <c r="K57" s="60"/>
    </row>
    <row r="58" spans="3:11" ht="15.75" customHeight="1" x14ac:dyDescent="0.2">
      <c r="C58" s="60"/>
      <c r="D58" s="147"/>
      <c r="E58" s="147"/>
      <c r="F58" s="147"/>
      <c r="G58" s="147"/>
      <c r="H58" s="97"/>
      <c r="I58" s="147"/>
      <c r="J58" s="147"/>
      <c r="K58" s="60"/>
    </row>
    <row r="59" spans="3:11" ht="15.75" customHeight="1" x14ac:dyDescent="0.2">
      <c r="C59" s="60"/>
      <c r="D59" s="147"/>
      <c r="E59" s="147"/>
      <c r="F59" s="147"/>
      <c r="G59" s="147"/>
      <c r="H59" s="97"/>
      <c r="I59" s="147"/>
      <c r="J59" s="147"/>
      <c r="K59" s="60"/>
    </row>
    <row r="60" spans="3:11" ht="15.75" customHeight="1" x14ac:dyDescent="0.2">
      <c r="C60" s="60"/>
      <c r="D60" s="147"/>
      <c r="E60" s="147"/>
      <c r="F60" s="147"/>
      <c r="G60" s="147"/>
      <c r="H60" s="97"/>
      <c r="I60" s="147"/>
      <c r="J60" s="147"/>
      <c r="K60" s="60"/>
    </row>
    <row r="61" spans="3:11" ht="15.75" customHeight="1" x14ac:dyDescent="0.2">
      <c r="C61" s="60"/>
      <c r="D61" s="147"/>
      <c r="E61" s="147"/>
      <c r="F61" s="147"/>
      <c r="G61" s="147"/>
      <c r="H61" s="97"/>
      <c r="I61" s="147"/>
      <c r="J61" s="147"/>
      <c r="K61" s="60"/>
    </row>
    <row r="62" spans="3:11" ht="15.75" customHeight="1" x14ac:dyDescent="0.2">
      <c r="C62" s="60"/>
      <c r="D62" s="147"/>
      <c r="E62" s="147"/>
      <c r="F62" s="147"/>
      <c r="G62" s="147"/>
      <c r="H62" s="97"/>
      <c r="I62" s="147"/>
      <c r="J62" s="147"/>
      <c r="K62" s="60"/>
    </row>
    <row r="63" spans="3:11" ht="15.75" customHeight="1" x14ac:dyDescent="0.2">
      <c r="C63" s="60"/>
      <c r="D63" s="147"/>
      <c r="E63" s="147"/>
      <c r="F63" s="147"/>
      <c r="G63" s="147"/>
      <c r="H63" s="97"/>
      <c r="I63" s="147"/>
      <c r="J63" s="147"/>
      <c r="K63" s="60"/>
    </row>
    <row r="64" spans="3:11" ht="15.75" customHeight="1" x14ac:dyDescent="0.2">
      <c r="C64" s="60"/>
      <c r="D64" s="147"/>
      <c r="E64" s="147"/>
      <c r="F64" s="147"/>
      <c r="G64" s="147"/>
      <c r="H64" s="97"/>
      <c r="I64" s="147"/>
      <c r="J64" s="147"/>
      <c r="K64" s="60"/>
    </row>
    <row r="65" spans="3:11" ht="15.75" customHeight="1" x14ac:dyDescent="0.2">
      <c r="C65" s="60"/>
      <c r="D65" s="147"/>
      <c r="E65" s="147"/>
      <c r="F65" s="147"/>
      <c r="G65" s="147"/>
      <c r="H65" s="97"/>
      <c r="I65" s="147"/>
      <c r="J65" s="147"/>
      <c r="K65" s="60"/>
    </row>
    <row r="66" spans="3:11" ht="15.75" customHeight="1" x14ac:dyDescent="0.2">
      <c r="C66" s="60"/>
      <c r="D66" s="147"/>
      <c r="E66" s="147"/>
      <c r="F66" s="147"/>
      <c r="G66" s="147"/>
      <c r="H66" s="97"/>
      <c r="I66" s="147"/>
      <c r="J66" s="147"/>
      <c r="K66" s="60"/>
    </row>
    <row r="67" spans="3:11" ht="15.75" customHeight="1" x14ac:dyDescent="0.2">
      <c r="C67" s="60"/>
      <c r="D67" s="147"/>
      <c r="E67" s="147"/>
      <c r="F67" s="147"/>
      <c r="G67" s="147"/>
      <c r="H67" s="97"/>
      <c r="I67" s="147"/>
      <c r="J67" s="147"/>
      <c r="K67" s="60"/>
    </row>
    <row r="68" spans="3:11" ht="15.75" customHeight="1" x14ac:dyDescent="0.2">
      <c r="C68" s="60"/>
      <c r="D68" s="147"/>
      <c r="E68" s="147"/>
      <c r="F68" s="147"/>
      <c r="G68" s="147"/>
      <c r="H68" s="97"/>
      <c r="I68" s="147"/>
      <c r="J68" s="147"/>
      <c r="K68" s="60"/>
    </row>
    <row r="69" spans="3:11" ht="15.75" customHeight="1" x14ac:dyDescent="0.2">
      <c r="C69" s="60"/>
      <c r="D69" s="147"/>
      <c r="E69" s="147"/>
      <c r="F69" s="147"/>
      <c r="G69" s="147"/>
      <c r="H69" s="97"/>
      <c r="I69" s="147"/>
      <c r="J69" s="147"/>
      <c r="K69" s="60"/>
    </row>
    <row r="70" spans="3:11" ht="15.75" customHeight="1" x14ac:dyDescent="0.2">
      <c r="C70" s="60"/>
      <c r="D70" s="147"/>
      <c r="E70" s="147"/>
      <c r="F70" s="147"/>
      <c r="G70" s="147"/>
      <c r="H70" s="97"/>
      <c r="I70" s="147"/>
      <c r="J70" s="147"/>
      <c r="K70" s="60"/>
    </row>
    <row r="71" spans="3:11" ht="15.75" customHeight="1" x14ac:dyDescent="0.2">
      <c r="C71" s="60"/>
      <c r="D71" s="147"/>
      <c r="E71" s="147"/>
      <c r="F71" s="147"/>
      <c r="G71" s="147"/>
      <c r="H71" s="97"/>
      <c r="I71" s="147"/>
      <c r="J71" s="147"/>
      <c r="K71" s="60"/>
    </row>
    <row r="72" spans="3:11" ht="15.75" customHeight="1" x14ac:dyDescent="0.2">
      <c r="C72" s="60"/>
      <c r="D72" s="147"/>
      <c r="E72" s="147"/>
      <c r="F72" s="147"/>
      <c r="G72" s="147"/>
      <c r="H72" s="97"/>
      <c r="I72" s="147"/>
      <c r="J72" s="147"/>
      <c r="K72" s="60"/>
    </row>
    <row r="73" spans="3:11" ht="15.75" customHeight="1" x14ac:dyDescent="0.2">
      <c r="C73" s="60"/>
      <c r="D73" s="147"/>
      <c r="E73" s="147"/>
      <c r="F73" s="147"/>
      <c r="G73" s="147"/>
      <c r="H73" s="97"/>
      <c r="I73" s="147"/>
      <c r="J73" s="147"/>
      <c r="K73" s="60"/>
    </row>
    <row r="74" spans="3:11" ht="15.75" customHeight="1" x14ac:dyDescent="0.2">
      <c r="C74" s="60"/>
      <c r="D74" s="147"/>
      <c r="E74" s="147"/>
      <c r="F74" s="147"/>
      <c r="G74" s="147"/>
      <c r="H74" s="97"/>
      <c r="I74" s="147"/>
      <c r="J74" s="147"/>
      <c r="K74" s="60"/>
    </row>
    <row r="75" spans="3:11" ht="15.75" customHeight="1" x14ac:dyDescent="0.2">
      <c r="C75" s="60"/>
      <c r="D75" s="147"/>
      <c r="E75" s="147"/>
      <c r="F75" s="147"/>
      <c r="G75" s="147"/>
      <c r="H75" s="97"/>
      <c r="I75" s="147"/>
      <c r="J75" s="147"/>
      <c r="K75" s="60"/>
    </row>
    <row r="76" spans="3:11" ht="15.75" customHeight="1" x14ac:dyDescent="0.2">
      <c r="C76" s="60"/>
      <c r="D76" s="147"/>
      <c r="E76" s="147"/>
      <c r="F76" s="147"/>
      <c r="G76" s="147"/>
      <c r="H76" s="97"/>
      <c r="I76" s="147"/>
      <c r="J76" s="147"/>
      <c r="K76" s="60"/>
    </row>
    <row r="77" spans="3:11" ht="15.75" customHeight="1" x14ac:dyDescent="0.2">
      <c r="C77" s="60"/>
      <c r="D77" s="147"/>
      <c r="E77" s="147"/>
      <c r="F77" s="147"/>
      <c r="G77" s="147"/>
      <c r="H77" s="97"/>
      <c r="I77" s="147"/>
      <c r="J77" s="147"/>
      <c r="K77" s="60"/>
    </row>
    <row r="78" spans="3:11" ht="15.75" customHeight="1" x14ac:dyDescent="0.2">
      <c r="C78" s="60"/>
      <c r="D78" s="147"/>
      <c r="E78" s="147"/>
      <c r="F78" s="147"/>
      <c r="G78" s="147"/>
      <c r="H78" s="97"/>
      <c r="I78" s="147"/>
      <c r="J78" s="147"/>
      <c r="K78" s="60"/>
    </row>
    <row r="79" spans="3:11" ht="15.75" customHeight="1" x14ac:dyDescent="0.2">
      <c r="C79" s="60"/>
      <c r="D79" s="147"/>
      <c r="E79" s="147"/>
      <c r="F79" s="147"/>
      <c r="G79" s="147"/>
      <c r="H79" s="97"/>
      <c r="I79" s="147"/>
      <c r="J79" s="147"/>
      <c r="K79" s="60"/>
    </row>
    <row r="80" spans="3:11" ht="15.75" customHeight="1" x14ac:dyDescent="0.2">
      <c r="C80" s="60"/>
      <c r="D80" s="147"/>
      <c r="E80" s="147"/>
      <c r="F80" s="147"/>
      <c r="G80" s="147"/>
      <c r="H80" s="97"/>
      <c r="I80" s="147"/>
      <c r="J80" s="147"/>
      <c r="K80" s="60"/>
    </row>
    <row r="81" spans="1:32" ht="15.75" customHeight="1" x14ac:dyDescent="0.2">
      <c r="C81" s="60"/>
      <c r="D81" s="147"/>
      <c r="E81" s="147"/>
      <c r="F81" s="147"/>
      <c r="G81" s="147"/>
      <c r="H81" s="97"/>
      <c r="I81" s="147"/>
      <c r="J81" s="147"/>
      <c r="K81" s="60"/>
    </row>
    <row r="82" spans="1:32" ht="15.75" customHeight="1" x14ac:dyDescent="0.2">
      <c r="C82" s="60"/>
      <c r="D82" s="147"/>
      <c r="E82" s="147"/>
      <c r="F82" s="147"/>
      <c r="G82" s="147"/>
      <c r="H82" s="97"/>
      <c r="I82" s="147"/>
      <c r="J82" s="147"/>
      <c r="K82" s="60"/>
    </row>
    <row r="83" spans="1:32" ht="15.75" customHeight="1" x14ac:dyDescent="0.25">
      <c r="C83" s="60"/>
      <c r="D83" s="147"/>
      <c r="E83" s="154" t="s">
        <v>48</v>
      </c>
      <c r="F83" s="154" t="s">
        <v>8</v>
      </c>
      <c r="G83" s="147"/>
      <c r="H83" s="97"/>
      <c r="I83" s="147"/>
      <c r="J83" s="147"/>
      <c r="K83" s="60"/>
    </row>
    <row r="84" spans="1:32" ht="15" customHeight="1" x14ac:dyDescent="0.2">
      <c r="C84" s="60"/>
      <c r="D84" s="147"/>
      <c r="E84" s="147"/>
      <c r="F84" s="147"/>
      <c r="G84" s="147"/>
      <c r="H84" s="97"/>
      <c r="I84" s="147"/>
      <c r="J84" s="147"/>
      <c r="K84" s="60"/>
    </row>
    <row r="85" spans="1:32" ht="34.5" customHeight="1" x14ac:dyDescent="0.25">
      <c r="A85" s="155" t="s">
        <v>191</v>
      </c>
      <c r="C85" s="60"/>
      <c r="D85" s="147"/>
      <c r="E85" s="147"/>
      <c r="F85" s="147"/>
      <c r="G85" s="147"/>
      <c r="H85" s="97"/>
      <c r="I85" s="147"/>
      <c r="J85" s="147"/>
      <c r="K85" s="60"/>
      <c r="W85" s="19"/>
      <c r="X85" s="20"/>
    </row>
    <row r="86" spans="1:32" ht="60" x14ac:dyDescent="0.2">
      <c r="A86" s="3" t="s">
        <v>50</v>
      </c>
      <c r="B86" s="3" t="s">
        <v>51</v>
      </c>
      <c r="C86" s="21"/>
      <c r="D86" s="22" t="s">
        <v>52</v>
      </c>
      <c r="E86" s="23" t="s">
        <v>53</v>
      </c>
      <c r="F86" s="23" t="s">
        <v>54</v>
      </c>
      <c r="G86" s="23" t="s">
        <v>55</v>
      </c>
      <c r="H86" s="100" t="s">
        <v>56</v>
      </c>
      <c r="I86" s="23" t="s">
        <v>57</v>
      </c>
      <c r="J86" s="129" t="s">
        <v>58</v>
      </c>
      <c r="K86" s="130"/>
      <c r="L86" s="27" t="s">
        <v>59</v>
      </c>
      <c r="M86" s="27" t="s">
        <v>60</v>
      </c>
      <c r="N86" s="27" t="s">
        <v>61</v>
      </c>
      <c r="O86" s="27" t="s">
        <v>62</v>
      </c>
      <c r="P86" s="27" t="s">
        <v>63</v>
      </c>
      <c r="Q86" s="27" t="s">
        <v>64</v>
      </c>
      <c r="R86" s="27" t="s">
        <v>65</v>
      </c>
      <c r="S86" s="27" t="s">
        <v>66</v>
      </c>
      <c r="V86" s="28"/>
      <c r="W86" s="19"/>
      <c r="Y86" s="28"/>
      <c r="Z86" s="28"/>
      <c r="AA86" s="28"/>
      <c r="AB86" s="28"/>
      <c r="AC86" s="28"/>
      <c r="AD86" s="28"/>
      <c r="AE86" s="28"/>
      <c r="AF86" s="28"/>
    </row>
    <row r="87" spans="1:32" ht="15.75" customHeight="1" x14ac:dyDescent="0.25">
      <c r="A87" s="156" t="s">
        <v>192</v>
      </c>
      <c r="B87" s="66"/>
      <c r="C87" s="64"/>
      <c r="D87" s="157"/>
      <c r="E87" s="158"/>
      <c r="F87" s="158"/>
      <c r="G87" s="158"/>
      <c r="H87" s="159"/>
      <c r="I87" s="158"/>
      <c r="J87" s="158"/>
      <c r="K87" s="64"/>
      <c r="L87" s="66"/>
      <c r="M87" s="66"/>
      <c r="N87" s="66"/>
      <c r="O87" s="66"/>
      <c r="P87" s="66"/>
      <c r="Q87" s="66"/>
      <c r="R87" s="66"/>
      <c r="S87" s="138"/>
      <c r="X87" s="106"/>
    </row>
    <row r="88" spans="1:32" ht="15.75" customHeight="1" x14ac:dyDescent="0.25">
      <c r="A88" s="66" t="s">
        <v>193</v>
      </c>
      <c r="B88" s="66" t="s">
        <v>68</v>
      </c>
      <c r="C88" s="67"/>
      <c r="D88" s="160">
        <v>78084</v>
      </c>
      <c r="E88" s="161">
        <v>0</v>
      </c>
      <c r="F88" s="161">
        <v>0</v>
      </c>
      <c r="G88" s="161">
        <v>0</v>
      </c>
      <c r="H88" s="159">
        <f t="shared" ref="H88:H93" si="23">IFERROR(((Q88-G88)/G88),0)</f>
        <v>0</v>
      </c>
      <c r="I88" s="158">
        <f t="shared" ref="I88:I93" si="24">Q88-G88</f>
        <v>149900</v>
      </c>
      <c r="J88" s="158"/>
      <c r="K88" s="67"/>
      <c r="L88" s="20">
        <v>91991</v>
      </c>
      <c r="M88" s="20">
        <v>112722.71</v>
      </c>
      <c r="N88" s="20">
        <v>193340</v>
      </c>
      <c r="O88" s="20">
        <v>145464.51</v>
      </c>
      <c r="P88" s="160">
        <f t="shared" ref="P88:P92" si="25">O88/20*26</f>
        <v>189103.86300000001</v>
      </c>
      <c r="Q88" s="160">
        <v>149900</v>
      </c>
      <c r="R88" s="65">
        <v>149900</v>
      </c>
      <c r="S88" s="162">
        <f t="shared" ref="S88:S109" si="26">R88-Q88</f>
        <v>0</v>
      </c>
    </row>
    <row r="89" spans="1:32" ht="15.75" customHeight="1" x14ac:dyDescent="0.25">
      <c r="A89" s="66" t="s">
        <v>194</v>
      </c>
      <c r="B89" s="66" t="s">
        <v>70</v>
      </c>
      <c r="C89" s="67"/>
      <c r="D89" s="160">
        <v>2920</v>
      </c>
      <c r="E89" s="161">
        <v>0</v>
      </c>
      <c r="F89" s="161">
        <v>0</v>
      </c>
      <c r="G89" s="161">
        <v>0</v>
      </c>
      <c r="H89" s="159">
        <f t="shared" si="23"/>
        <v>0</v>
      </c>
      <c r="I89" s="158">
        <f t="shared" si="24"/>
        <v>5700</v>
      </c>
      <c r="J89" s="158"/>
      <c r="K89" s="67"/>
      <c r="L89" s="20">
        <v>4818</v>
      </c>
      <c r="M89" s="20">
        <v>4929.68</v>
      </c>
      <c r="N89" s="20">
        <v>1000</v>
      </c>
      <c r="O89" s="20">
        <v>4463.2700000000004</v>
      </c>
      <c r="P89" s="163">
        <f t="shared" si="25"/>
        <v>5802.2510000000011</v>
      </c>
      <c r="Q89" s="160">
        <v>5700</v>
      </c>
      <c r="R89" s="65">
        <v>5700</v>
      </c>
      <c r="S89" s="162">
        <f t="shared" si="26"/>
        <v>0</v>
      </c>
      <c r="W89" s="19"/>
    </row>
    <row r="90" spans="1:32" ht="15.75" customHeight="1" x14ac:dyDescent="0.25">
      <c r="A90" s="66" t="s">
        <v>195</v>
      </c>
      <c r="B90" s="66" t="s">
        <v>132</v>
      </c>
      <c r="C90" s="67"/>
      <c r="D90" s="160">
        <v>0</v>
      </c>
      <c r="E90" s="161">
        <v>0</v>
      </c>
      <c r="F90" s="161">
        <v>0</v>
      </c>
      <c r="G90" s="161">
        <v>0</v>
      </c>
      <c r="H90" s="159">
        <f t="shared" si="23"/>
        <v>0</v>
      </c>
      <c r="I90" s="158">
        <f t="shared" si="24"/>
        <v>36500</v>
      </c>
      <c r="J90" s="158"/>
      <c r="K90" s="67"/>
      <c r="L90" s="20">
        <v>22873</v>
      </c>
      <c r="M90" s="20">
        <v>27570.5</v>
      </c>
      <c r="N90" s="20">
        <v>30886</v>
      </c>
      <c r="O90" s="20">
        <v>22048.17</v>
      </c>
      <c r="P90" s="160">
        <f t="shared" si="25"/>
        <v>28662.620999999999</v>
      </c>
      <c r="Q90" s="160">
        <v>36500</v>
      </c>
      <c r="R90" s="65">
        <v>36500</v>
      </c>
      <c r="S90" s="162">
        <f t="shared" si="26"/>
        <v>0</v>
      </c>
    </row>
    <row r="91" spans="1:32" ht="15.75" customHeight="1" x14ac:dyDescent="0.25">
      <c r="A91" s="66" t="s">
        <v>196</v>
      </c>
      <c r="B91" s="66" t="s">
        <v>108</v>
      </c>
      <c r="C91" s="67"/>
      <c r="D91" s="160">
        <v>8316</v>
      </c>
      <c r="E91" s="161">
        <v>0</v>
      </c>
      <c r="F91" s="161">
        <v>0</v>
      </c>
      <c r="G91" s="161">
        <v>0</v>
      </c>
      <c r="H91" s="159">
        <f t="shared" si="23"/>
        <v>0</v>
      </c>
      <c r="I91" s="158">
        <f t="shared" si="24"/>
        <v>23500</v>
      </c>
      <c r="J91" s="158"/>
      <c r="K91" s="67"/>
      <c r="L91" s="20">
        <v>4898</v>
      </c>
      <c r="M91" s="20">
        <v>13309.35</v>
      </c>
      <c r="N91" s="20">
        <v>23500</v>
      </c>
      <c r="O91" s="20">
        <v>11910.11</v>
      </c>
      <c r="P91" s="160">
        <f t="shared" si="25"/>
        <v>15483.143</v>
      </c>
      <c r="Q91" s="160">
        <v>23500</v>
      </c>
      <c r="R91" s="65">
        <v>23500</v>
      </c>
      <c r="S91" s="162">
        <f t="shared" si="26"/>
        <v>0</v>
      </c>
    </row>
    <row r="92" spans="1:32" ht="15.75" customHeight="1" x14ac:dyDescent="0.25">
      <c r="A92" s="66" t="s">
        <v>197</v>
      </c>
      <c r="B92" s="66" t="s">
        <v>72</v>
      </c>
      <c r="C92" s="67"/>
      <c r="D92" s="160">
        <v>40367</v>
      </c>
      <c r="E92" s="161">
        <v>0</v>
      </c>
      <c r="F92" s="161">
        <v>0</v>
      </c>
      <c r="G92" s="161">
        <v>0</v>
      </c>
      <c r="H92" s="159">
        <f t="shared" si="23"/>
        <v>0</v>
      </c>
      <c r="I92" s="158">
        <f t="shared" si="24"/>
        <v>79500</v>
      </c>
      <c r="J92" s="158"/>
      <c r="K92" s="67"/>
      <c r="L92" s="20">
        <v>46185</v>
      </c>
      <c r="M92" s="20">
        <v>55427.17</v>
      </c>
      <c r="N92" s="20">
        <v>105949</v>
      </c>
      <c r="O92" s="20">
        <v>73589.8</v>
      </c>
      <c r="P92" s="160">
        <f t="shared" si="25"/>
        <v>95666.74</v>
      </c>
      <c r="Q92" s="160">
        <v>79500</v>
      </c>
      <c r="R92" s="65">
        <v>79500</v>
      </c>
      <c r="S92" s="162">
        <f t="shared" si="26"/>
        <v>0</v>
      </c>
    </row>
    <row r="93" spans="1:32" ht="15.75" customHeight="1" x14ac:dyDescent="0.25">
      <c r="A93" s="66" t="s">
        <v>198</v>
      </c>
      <c r="B93" s="66" t="s">
        <v>74</v>
      </c>
      <c r="C93" s="67"/>
      <c r="D93" s="160">
        <v>186</v>
      </c>
      <c r="E93" s="161">
        <v>0</v>
      </c>
      <c r="F93" s="161">
        <v>0</v>
      </c>
      <c r="G93" s="161">
        <v>0</v>
      </c>
      <c r="H93" s="159">
        <f t="shared" si="23"/>
        <v>0</v>
      </c>
      <c r="I93" s="158">
        <f t="shared" si="24"/>
        <v>7475</v>
      </c>
      <c r="J93" s="158"/>
      <c r="K93" s="67"/>
      <c r="L93" s="20">
        <v>655</v>
      </c>
      <c r="M93" s="20">
        <v>573.52</v>
      </c>
      <c r="N93" s="20">
        <v>4700</v>
      </c>
      <c r="O93" s="20">
        <v>5228.68</v>
      </c>
      <c r="P93" s="163">
        <f>O93</f>
        <v>5228.68</v>
      </c>
      <c r="Q93" s="160">
        <v>7475</v>
      </c>
      <c r="R93" s="65">
        <v>7475</v>
      </c>
      <c r="S93" s="162">
        <f t="shared" si="26"/>
        <v>0</v>
      </c>
    </row>
    <row r="94" spans="1:32" ht="15.75" customHeight="1" x14ac:dyDescent="0.25">
      <c r="A94" s="66" t="s">
        <v>199</v>
      </c>
      <c r="B94" s="66" t="s">
        <v>200</v>
      </c>
      <c r="C94" s="67"/>
      <c r="D94" s="160"/>
      <c r="E94" s="161"/>
      <c r="F94" s="161"/>
      <c r="G94" s="161"/>
      <c r="H94" s="159"/>
      <c r="I94" s="158"/>
      <c r="J94" s="158"/>
      <c r="K94" s="67"/>
      <c r="L94" s="20">
        <v>0</v>
      </c>
      <c r="M94" s="20">
        <v>0</v>
      </c>
      <c r="N94" s="20">
        <v>0</v>
      </c>
      <c r="O94" s="20">
        <v>0.03</v>
      </c>
      <c r="P94" s="160">
        <f>O94/9*12</f>
        <v>3.9999999999999994E-2</v>
      </c>
      <c r="Q94" s="160"/>
      <c r="R94" s="65">
        <v>0</v>
      </c>
      <c r="S94" s="162">
        <f t="shared" si="26"/>
        <v>0</v>
      </c>
    </row>
    <row r="95" spans="1:32" ht="15.75" customHeight="1" x14ac:dyDescent="0.25">
      <c r="A95" s="66" t="s">
        <v>201</v>
      </c>
      <c r="B95" s="66" t="s">
        <v>76</v>
      </c>
      <c r="C95" s="67"/>
      <c r="D95" s="160">
        <v>3003</v>
      </c>
      <c r="E95" s="161">
        <v>0</v>
      </c>
      <c r="F95" s="161">
        <v>0</v>
      </c>
      <c r="G95" s="161">
        <v>0</v>
      </c>
      <c r="H95" s="159">
        <f t="shared" ref="H95:H109" si="27">IFERROR(((Q95-G95)/G95),0)</f>
        <v>0</v>
      </c>
      <c r="I95" s="158">
        <f t="shared" ref="I95:I109" si="28">Q95-G95</f>
        <v>16370</v>
      </c>
      <c r="J95" s="158">
        <v>-6000</v>
      </c>
      <c r="K95" s="67"/>
      <c r="L95" s="20">
        <v>4087</v>
      </c>
      <c r="M95" s="20">
        <v>3228.77</v>
      </c>
      <c r="N95" s="20">
        <v>7100</v>
      </c>
      <c r="O95" s="20">
        <v>5467.01</v>
      </c>
      <c r="P95" s="163">
        <f t="shared" ref="P95:P96" si="29">N95</f>
        <v>7100</v>
      </c>
      <c r="Q95" s="160">
        <v>16370</v>
      </c>
      <c r="R95" s="65">
        <v>10370</v>
      </c>
      <c r="S95" s="162">
        <f t="shared" si="26"/>
        <v>-6000</v>
      </c>
    </row>
    <row r="96" spans="1:32" ht="15.75" customHeight="1" x14ac:dyDescent="0.25">
      <c r="A96" s="66" t="s">
        <v>202</v>
      </c>
      <c r="B96" s="66" t="s">
        <v>80</v>
      </c>
      <c r="C96" s="67"/>
      <c r="D96" s="160">
        <v>3922</v>
      </c>
      <c r="E96" s="161">
        <v>0</v>
      </c>
      <c r="F96" s="161">
        <v>0</v>
      </c>
      <c r="G96" s="161">
        <v>0</v>
      </c>
      <c r="H96" s="159">
        <f t="shared" si="27"/>
        <v>0</v>
      </c>
      <c r="I96" s="158">
        <f t="shared" si="28"/>
        <v>8100</v>
      </c>
      <c r="J96" s="158"/>
      <c r="K96" s="67"/>
      <c r="L96" s="20">
        <v>4393</v>
      </c>
      <c r="M96" s="20">
        <v>4741.7700000000004</v>
      </c>
      <c r="N96" s="20">
        <v>41400</v>
      </c>
      <c r="O96" s="20">
        <v>33927.5</v>
      </c>
      <c r="P96" s="163">
        <f t="shared" si="29"/>
        <v>41400</v>
      </c>
      <c r="Q96" s="160">
        <v>8100</v>
      </c>
      <c r="R96" s="65">
        <v>8100</v>
      </c>
      <c r="S96" s="162">
        <f t="shared" si="26"/>
        <v>0</v>
      </c>
    </row>
    <row r="97" spans="1:31" ht="15.75" customHeight="1" x14ac:dyDescent="0.25">
      <c r="A97" s="66" t="s">
        <v>203</v>
      </c>
      <c r="B97" s="66" t="s">
        <v>204</v>
      </c>
      <c r="C97" s="67"/>
      <c r="D97" s="160">
        <v>21700</v>
      </c>
      <c r="E97" s="161">
        <v>0</v>
      </c>
      <c r="F97" s="161">
        <v>0</v>
      </c>
      <c r="G97" s="161">
        <v>0</v>
      </c>
      <c r="H97" s="159">
        <f t="shared" si="27"/>
        <v>0</v>
      </c>
      <c r="I97" s="158">
        <f t="shared" si="28"/>
        <v>36000</v>
      </c>
      <c r="J97" s="158"/>
      <c r="K97" s="67"/>
      <c r="L97" s="20">
        <v>27425</v>
      </c>
      <c r="M97" s="20">
        <v>29085.14</v>
      </c>
      <c r="N97" s="20">
        <v>0</v>
      </c>
      <c r="O97" s="54">
        <v>0</v>
      </c>
      <c r="P97" s="160">
        <f>O97/9*12</f>
        <v>0</v>
      </c>
      <c r="Q97" s="160">
        <v>36000</v>
      </c>
      <c r="R97" s="65">
        <v>36000</v>
      </c>
      <c r="S97" s="162">
        <f t="shared" si="26"/>
        <v>0</v>
      </c>
    </row>
    <row r="98" spans="1:31" ht="15.75" customHeight="1" x14ac:dyDescent="0.25">
      <c r="A98" s="66" t="s">
        <v>205</v>
      </c>
      <c r="B98" s="66" t="s">
        <v>206</v>
      </c>
      <c r="C98" s="67"/>
      <c r="D98" s="160">
        <v>2092</v>
      </c>
      <c r="E98" s="161">
        <v>0</v>
      </c>
      <c r="F98" s="161">
        <v>0</v>
      </c>
      <c r="G98" s="161">
        <v>0</v>
      </c>
      <c r="H98" s="159">
        <f t="shared" si="27"/>
        <v>0</v>
      </c>
      <c r="I98" s="158">
        <f t="shared" si="28"/>
        <v>4000</v>
      </c>
      <c r="J98" s="158"/>
      <c r="K98" s="67"/>
      <c r="L98" s="20">
        <v>1519</v>
      </c>
      <c r="M98" s="20">
        <v>1137.45</v>
      </c>
      <c r="N98" s="20">
        <v>2000</v>
      </c>
      <c r="O98" s="20">
        <v>1236.5899999999999</v>
      </c>
      <c r="P98" s="163">
        <f>N98</f>
        <v>2000</v>
      </c>
      <c r="Q98" s="160">
        <v>4000</v>
      </c>
      <c r="R98" s="65">
        <v>4000</v>
      </c>
      <c r="S98" s="162">
        <f t="shared" si="26"/>
        <v>0</v>
      </c>
    </row>
    <row r="99" spans="1:31" ht="15.75" customHeight="1" x14ac:dyDescent="0.25">
      <c r="A99" s="66" t="s">
        <v>207</v>
      </c>
      <c r="B99" s="66" t="s">
        <v>115</v>
      </c>
      <c r="C99" s="67"/>
      <c r="D99" s="160">
        <v>0</v>
      </c>
      <c r="E99" s="161">
        <v>0</v>
      </c>
      <c r="F99" s="161">
        <v>0</v>
      </c>
      <c r="G99" s="161">
        <v>0</v>
      </c>
      <c r="H99" s="159">
        <f t="shared" si="27"/>
        <v>0</v>
      </c>
      <c r="I99" s="158">
        <f t="shared" si="28"/>
        <v>2400</v>
      </c>
      <c r="J99" s="158"/>
      <c r="K99" s="67"/>
      <c r="L99" s="20">
        <v>3695</v>
      </c>
      <c r="M99" s="20">
        <v>1148.3800000000001</v>
      </c>
      <c r="N99" s="20">
        <v>2400</v>
      </c>
      <c r="O99" s="20">
        <v>2655</v>
      </c>
      <c r="P99" s="163">
        <f>O99</f>
        <v>2655</v>
      </c>
      <c r="Q99" s="160">
        <v>2400</v>
      </c>
      <c r="R99" s="65">
        <v>2400</v>
      </c>
      <c r="S99" s="162">
        <f t="shared" si="26"/>
        <v>0</v>
      </c>
    </row>
    <row r="100" spans="1:31" ht="15.75" customHeight="1" x14ac:dyDescent="0.25">
      <c r="A100" s="66" t="s">
        <v>208</v>
      </c>
      <c r="B100" s="66" t="s">
        <v>84</v>
      </c>
      <c r="C100" s="67"/>
      <c r="D100" s="160">
        <v>349</v>
      </c>
      <c r="E100" s="161">
        <v>0</v>
      </c>
      <c r="F100" s="161">
        <v>0</v>
      </c>
      <c r="G100" s="161">
        <v>0</v>
      </c>
      <c r="H100" s="159">
        <f t="shared" si="27"/>
        <v>0</v>
      </c>
      <c r="I100" s="158">
        <f t="shared" si="28"/>
        <v>1420</v>
      </c>
      <c r="J100" s="158"/>
      <c r="K100" s="67"/>
      <c r="L100" s="20">
        <v>316</v>
      </c>
      <c r="M100" s="20">
        <v>242.82</v>
      </c>
      <c r="N100" s="20">
        <v>1100</v>
      </c>
      <c r="O100" s="20">
        <v>108.97</v>
      </c>
      <c r="P100" s="160">
        <f t="shared" ref="P100:P102" si="30">O100/9*12</f>
        <v>145.29333333333332</v>
      </c>
      <c r="Q100" s="160">
        <v>1420</v>
      </c>
      <c r="R100" s="65">
        <v>1420</v>
      </c>
      <c r="S100" s="162">
        <f t="shared" si="26"/>
        <v>0</v>
      </c>
    </row>
    <row r="101" spans="1:31" ht="15.75" customHeight="1" x14ac:dyDescent="0.25">
      <c r="A101" s="66" t="s">
        <v>209</v>
      </c>
      <c r="B101" s="66" t="s">
        <v>210</v>
      </c>
      <c r="C101" s="164"/>
      <c r="D101" s="160">
        <v>0</v>
      </c>
      <c r="E101" s="161">
        <v>0</v>
      </c>
      <c r="F101" s="161">
        <v>0</v>
      </c>
      <c r="G101" s="161">
        <v>0</v>
      </c>
      <c r="H101" s="159">
        <f t="shared" si="27"/>
        <v>0</v>
      </c>
      <c r="I101" s="158">
        <f t="shared" si="28"/>
        <v>0</v>
      </c>
      <c r="J101" s="158"/>
      <c r="K101" s="67"/>
      <c r="L101" s="20">
        <v>0</v>
      </c>
      <c r="M101" s="20">
        <v>0</v>
      </c>
      <c r="N101" s="20">
        <v>400</v>
      </c>
      <c r="O101" s="20">
        <v>0</v>
      </c>
      <c r="P101" s="160">
        <f t="shared" si="30"/>
        <v>0</v>
      </c>
      <c r="Q101" s="160">
        <v>0</v>
      </c>
      <c r="R101" s="65">
        <v>0</v>
      </c>
      <c r="S101" s="162">
        <f t="shared" si="26"/>
        <v>0</v>
      </c>
    </row>
    <row r="102" spans="1:31" ht="15.75" customHeight="1" x14ac:dyDescent="0.25">
      <c r="A102" s="66" t="s">
        <v>211</v>
      </c>
      <c r="B102" s="66" t="s">
        <v>86</v>
      </c>
      <c r="C102" s="67"/>
      <c r="D102" s="160">
        <v>16710</v>
      </c>
      <c r="E102" s="161">
        <v>0</v>
      </c>
      <c r="F102" s="161">
        <v>0</v>
      </c>
      <c r="G102" s="161">
        <v>0</v>
      </c>
      <c r="H102" s="159">
        <f t="shared" si="27"/>
        <v>0</v>
      </c>
      <c r="I102" s="158">
        <f t="shared" si="28"/>
        <v>32000</v>
      </c>
      <c r="J102" s="158">
        <v>-10000</v>
      </c>
      <c r="K102" s="67"/>
      <c r="L102" s="20">
        <v>30620</v>
      </c>
      <c r="M102" s="20">
        <v>0</v>
      </c>
      <c r="N102" s="20">
        <v>32000</v>
      </c>
      <c r="O102" s="20">
        <v>355</v>
      </c>
      <c r="P102" s="160">
        <f t="shared" si="30"/>
        <v>473.33333333333331</v>
      </c>
      <c r="Q102" s="160">
        <v>32000</v>
      </c>
      <c r="R102" s="65">
        <v>22000</v>
      </c>
      <c r="S102" s="162">
        <f t="shared" si="26"/>
        <v>-10000</v>
      </c>
    </row>
    <row r="103" spans="1:31" ht="15.75" customHeight="1" x14ac:dyDescent="0.25">
      <c r="A103" s="66" t="s">
        <v>212</v>
      </c>
      <c r="B103" s="66" t="s">
        <v>88</v>
      </c>
      <c r="C103" s="164"/>
      <c r="D103" s="160">
        <v>134</v>
      </c>
      <c r="E103" s="161">
        <v>0</v>
      </c>
      <c r="F103" s="161">
        <v>0</v>
      </c>
      <c r="G103" s="161">
        <v>0</v>
      </c>
      <c r="H103" s="159">
        <f t="shared" si="27"/>
        <v>0</v>
      </c>
      <c r="I103" s="158">
        <f t="shared" si="28"/>
        <v>5320</v>
      </c>
      <c r="J103" s="158">
        <v>50000</v>
      </c>
      <c r="K103" s="164"/>
      <c r="L103" s="20">
        <v>89</v>
      </c>
      <c r="M103" s="20">
        <v>0</v>
      </c>
      <c r="N103" s="20">
        <v>96500</v>
      </c>
      <c r="O103" s="20">
        <v>92245.01</v>
      </c>
      <c r="P103" s="163">
        <f>N103</f>
        <v>96500</v>
      </c>
      <c r="Q103" s="160">
        <v>5320</v>
      </c>
      <c r="R103" s="65">
        <v>55320</v>
      </c>
      <c r="S103" s="162">
        <f t="shared" si="26"/>
        <v>50000</v>
      </c>
    </row>
    <row r="104" spans="1:31" ht="15.75" customHeight="1" x14ac:dyDescent="0.25">
      <c r="A104" s="66" t="s">
        <v>213</v>
      </c>
      <c r="B104" s="66" t="s">
        <v>90</v>
      </c>
      <c r="C104" s="67"/>
      <c r="D104" s="160">
        <v>0</v>
      </c>
      <c r="E104" s="161">
        <v>0</v>
      </c>
      <c r="F104" s="161">
        <v>0</v>
      </c>
      <c r="G104" s="161">
        <v>0</v>
      </c>
      <c r="H104" s="159">
        <f t="shared" si="27"/>
        <v>0</v>
      </c>
      <c r="I104" s="158">
        <f t="shared" si="28"/>
        <v>5700</v>
      </c>
      <c r="J104" s="158"/>
      <c r="K104" s="67"/>
      <c r="L104" s="20">
        <v>0</v>
      </c>
      <c r="M104" s="20">
        <v>0</v>
      </c>
      <c r="N104" s="20">
        <v>5700</v>
      </c>
      <c r="O104" s="20">
        <v>675</v>
      </c>
      <c r="P104" s="160">
        <f>O104/9*12</f>
        <v>900</v>
      </c>
      <c r="Q104" s="160">
        <v>5700</v>
      </c>
      <c r="R104" s="65">
        <v>5700</v>
      </c>
      <c r="S104" s="162">
        <f t="shared" si="26"/>
        <v>0</v>
      </c>
    </row>
    <row r="105" spans="1:31" ht="15.75" customHeight="1" x14ac:dyDescent="0.25">
      <c r="A105" s="66" t="s">
        <v>214</v>
      </c>
      <c r="B105" s="66" t="s">
        <v>92</v>
      </c>
      <c r="C105" s="164"/>
      <c r="D105" s="160">
        <v>0</v>
      </c>
      <c r="E105" s="161">
        <v>0</v>
      </c>
      <c r="F105" s="161">
        <v>0</v>
      </c>
      <c r="G105" s="161">
        <v>0</v>
      </c>
      <c r="H105" s="159">
        <f t="shared" si="27"/>
        <v>0</v>
      </c>
      <c r="I105" s="158">
        <f t="shared" si="28"/>
        <v>1400</v>
      </c>
      <c r="J105" s="158"/>
      <c r="K105" s="67"/>
      <c r="L105" s="20">
        <v>1155</v>
      </c>
      <c r="M105" s="20">
        <v>1260.76</v>
      </c>
      <c r="N105" s="20">
        <v>1400</v>
      </c>
      <c r="O105" s="20">
        <v>2252.17</v>
      </c>
      <c r="P105" s="163">
        <f>O105</f>
        <v>2252.17</v>
      </c>
      <c r="Q105" s="160">
        <v>1400</v>
      </c>
      <c r="R105" s="65">
        <v>1400</v>
      </c>
      <c r="S105" s="162">
        <f t="shared" si="26"/>
        <v>0</v>
      </c>
    </row>
    <row r="106" spans="1:31" ht="15.75" customHeight="1" x14ac:dyDescent="0.25">
      <c r="A106" s="66" t="s">
        <v>215</v>
      </c>
      <c r="B106" s="66" t="s">
        <v>173</v>
      </c>
      <c r="C106" s="164"/>
      <c r="D106" s="160">
        <v>450</v>
      </c>
      <c r="E106" s="161">
        <v>0</v>
      </c>
      <c r="F106" s="161">
        <v>0</v>
      </c>
      <c r="G106" s="161">
        <v>0</v>
      </c>
      <c r="H106" s="159">
        <f t="shared" si="27"/>
        <v>0</v>
      </c>
      <c r="I106" s="158">
        <f t="shared" si="28"/>
        <v>2000</v>
      </c>
      <c r="J106" s="158"/>
      <c r="K106" s="164"/>
      <c r="L106" s="20">
        <v>196</v>
      </c>
      <c r="M106" s="20">
        <v>0</v>
      </c>
      <c r="N106" s="20">
        <v>2000</v>
      </c>
      <c r="O106" s="20">
        <v>0</v>
      </c>
      <c r="P106" s="160">
        <f t="shared" ref="P106:P108" si="31">O106/9*12</f>
        <v>0</v>
      </c>
      <c r="Q106" s="160">
        <v>2000</v>
      </c>
      <c r="R106" s="65">
        <v>2000</v>
      </c>
      <c r="S106" s="162">
        <f t="shared" si="26"/>
        <v>0</v>
      </c>
    </row>
    <row r="107" spans="1:31" ht="15.75" customHeight="1" x14ac:dyDescent="0.25">
      <c r="A107" s="66" t="s">
        <v>216</v>
      </c>
      <c r="B107" s="66" t="s">
        <v>94</v>
      </c>
      <c r="C107" s="164"/>
      <c r="D107" s="160">
        <v>0</v>
      </c>
      <c r="E107" s="161">
        <v>0</v>
      </c>
      <c r="F107" s="161">
        <v>0</v>
      </c>
      <c r="G107" s="161">
        <v>0</v>
      </c>
      <c r="H107" s="159">
        <f t="shared" si="27"/>
        <v>0</v>
      </c>
      <c r="I107" s="158">
        <f t="shared" si="28"/>
        <v>0</v>
      </c>
      <c r="J107" s="158"/>
      <c r="K107" s="67"/>
      <c r="L107" s="20">
        <v>45</v>
      </c>
      <c r="M107" s="20">
        <v>0</v>
      </c>
      <c r="N107" s="20">
        <v>0</v>
      </c>
      <c r="O107" s="20">
        <v>0</v>
      </c>
      <c r="P107" s="160">
        <f t="shared" si="31"/>
        <v>0</v>
      </c>
      <c r="Q107" s="160">
        <v>0</v>
      </c>
      <c r="R107" s="65">
        <v>0</v>
      </c>
      <c r="S107" s="162">
        <f t="shared" si="26"/>
        <v>0</v>
      </c>
    </row>
    <row r="108" spans="1:31" ht="15.75" customHeight="1" x14ac:dyDescent="0.25">
      <c r="A108" s="66" t="s">
        <v>217</v>
      </c>
      <c r="B108" s="66" t="s">
        <v>94</v>
      </c>
      <c r="C108" s="67"/>
      <c r="D108" s="160">
        <v>0</v>
      </c>
      <c r="E108" s="161">
        <v>0</v>
      </c>
      <c r="F108" s="161">
        <v>0</v>
      </c>
      <c r="G108" s="161">
        <v>0</v>
      </c>
      <c r="H108" s="159">
        <f t="shared" si="27"/>
        <v>0</v>
      </c>
      <c r="I108" s="158">
        <f t="shared" si="28"/>
        <v>0</v>
      </c>
      <c r="J108" s="158"/>
      <c r="K108" s="67"/>
      <c r="L108" s="20"/>
      <c r="M108" s="20">
        <v>0</v>
      </c>
      <c r="N108" s="20">
        <v>0</v>
      </c>
      <c r="O108" s="20">
        <v>583.01</v>
      </c>
      <c r="P108" s="160">
        <f t="shared" si="31"/>
        <v>777.34666666666658</v>
      </c>
      <c r="Q108" s="160">
        <v>0</v>
      </c>
      <c r="R108" s="65">
        <v>0</v>
      </c>
      <c r="S108" s="162">
        <f t="shared" si="26"/>
        <v>0</v>
      </c>
      <c r="V108" s="44"/>
      <c r="W108" s="44"/>
      <c r="X108" s="44"/>
      <c r="Y108" s="44"/>
    </row>
    <row r="109" spans="1:31" ht="15.75" customHeight="1" x14ac:dyDescent="0.25">
      <c r="A109" s="165" t="s">
        <v>218</v>
      </c>
      <c r="B109" s="165" t="s">
        <v>219</v>
      </c>
      <c r="C109" s="166"/>
      <c r="D109" s="160">
        <v>-153278</v>
      </c>
      <c r="E109" s="161">
        <v>0</v>
      </c>
      <c r="F109" s="161">
        <v>0</v>
      </c>
      <c r="G109" s="161">
        <v>0</v>
      </c>
      <c r="H109" s="159">
        <f t="shared" si="27"/>
        <v>0</v>
      </c>
      <c r="I109" s="158">
        <f t="shared" si="28"/>
        <v>-358866</v>
      </c>
      <c r="J109" s="167">
        <v>-29240</v>
      </c>
      <c r="K109" s="166"/>
      <c r="L109" s="20">
        <v>-210665</v>
      </c>
      <c r="M109" s="65">
        <v>-219565.83</v>
      </c>
      <c r="N109" s="20">
        <v>-474200</v>
      </c>
      <c r="O109" s="65">
        <v>-328827.59999999998</v>
      </c>
      <c r="P109" s="160">
        <f>-SUM(P88:P108)*0.86</f>
        <v>-424969.41394666664</v>
      </c>
      <c r="Q109" s="160">
        <v>-358866</v>
      </c>
      <c r="R109" s="65">
        <v>-388106</v>
      </c>
      <c r="S109" s="162">
        <f t="shared" si="26"/>
        <v>-29240</v>
      </c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</row>
    <row r="110" spans="1:31" ht="15.75" customHeight="1" x14ac:dyDescent="0.25">
      <c r="A110" s="74" t="s">
        <v>220</v>
      </c>
      <c r="B110" s="168"/>
      <c r="C110" s="169"/>
      <c r="D110" s="170">
        <f t="shared" ref="D110:G110" si="32">SUM(D88:D109)</f>
        <v>24955</v>
      </c>
      <c r="E110" s="170">
        <f t="shared" si="32"/>
        <v>0</v>
      </c>
      <c r="F110" s="170">
        <f t="shared" si="32"/>
        <v>0</v>
      </c>
      <c r="G110" s="170">
        <f t="shared" si="32"/>
        <v>0</v>
      </c>
      <c r="H110" s="171">
        <f>IFERROR((Q110-G110)/G110,0)</f>
        <v>0</v>
      </c>
      <c r="I110" s="170">
        <f t="shared" ref="I110:J110" si="33">SUM(I88:I109)</f>
        <v>58419</v>
      </c>
      <c r="J110" s="170">
        <f t="shared" si="33"/>
        <v>4760</v>
      </c>
      <c r="K110" s="169"/>
      <c r="L110" s="172">
        <f t="shared" ref="L110:S110" si="34">SUM(L88:L109)</f>
        <v>34295</v>
      </c>
      <c r="M110" s="172">
        <f t="shared" si="34"/>
        <v>35812.190000000031</v>
      </c>
      <c r="N110" s="172">
        <f t="shared" si="34"/>
        <v>77175</v>
      </c>
      <c r="O110" s="172">
        <f t="shared" si="34"/>
        <v>73382.23000000004</v>
      </c>
      <c r="P110" s="170">
        <f t="shared" si="34"/>
        <v>69181.067386666662</v>
      </c>
      <c r="Q110" s="170">
        <f t="shared" si="34"/>
        <v>58419</v>
      </c>
      <c r="R110" s="172">
        <f t="shared" si="34"/>
        <v>63179</v>
      </c>
      <c r="S110" s="172">
        <f t="shared" si="34"/>
        <v>4760</v>
      </c>
    </row>
    <row r="111" spans="1:31" ht="15.75" customHeight="1" x14ac:dyDescent="0.2">
      <c r="C111" s="60"/>
      <c r="D111" s="54"/>
      <c r="E111" s="54"/>
      <c r="F111" s="54"/>
      <c r="G111" s="54"/>
      <c r="I111" s="54"/>
      <c r="J111" s="54"/>
      <c r="K111" s="60"/>
    </row>
    <row r="112" spans="1:31" ht="15.75" customHeight="1" x14ac:dyDescent="0.2">
      <c r="B112" s="94"/>
      <c r="C112" s="95"/>
      <c r="D112" s="96"/>
      <c r="E112" s="96"/>
      <c r="F112" s="54"/>
      <c r="G112" s="54"/>
      <c r="I112" s="54"/>
      <c r="J112" s="54"/>
      <c r="K112" s="60"/>
      <c r="L112" s="149" t="s">
        <v>102</v>
      </c>
      <c r="M112" s="126" t="s">
        <v>59</v>
      </c>
      <c r="N112" s="150" t="s">
        <v>60</v>
      </c>
      <c r="O112" s="150" t="s">
        <v>61</v>
      </c>
      <c r="P112" s="150" t="s">
        <v>62</v>
      </c>
      <c r="Q112" s="150" t="s">
        <v>63</v>
      </c>
      <c r="R112" s="150" t="s">
        <v>64</v>
      </c>
      <c r="S112" s="173" t="s">
        <v>65</v>
      </c>
      <c r="T112" s="59"/>
    </row>
    <row r="113" spans="2:19" ht="15.75" customHeight="1" x14ac:dyDescent="0.2">
      <c r="B113" s="62"/>
      <c r="C113" s="60"/>
      <c r="D113" s="54"/>
      <c r="E113" s="54"/>
      <c r="F113" s="54"/>
      <c r="G113" s="54"/>
      <c r="I113" s="54"/>
      <c r="J113" s="54"/>
      <c r="K113" s="60"/>
      <c r="L113" s="174" t="s">
        <v>103</v>
      </c>
      <c r="M113" s="127">
        <v>34295</v>
      </c>
      <c r="N113" s="127">
        <v>35812.190000000031</v>
      </c>
      <c r="O113" s="127">
        <v>77175</v>
      </c>
      <c r="P113" s="127">
        <v>73382.23000000004</v>
      </c>
      <c r="Q113" s="127">
        <v>69181.067386666662</v>
      </c>
      <c r="R113" s="127">
        <v>58419</v>
      </c>
      <c r="S113" s="7">
        <v>63179</v>
      </c>
    </row>
    <row r="114" spans="2:19" ht="15.75" customHeight="1" x14ac:dyDescent="0.2">
      <c r="C114" s="60"/>
      <c r="D114" s="54"/>
      <c r="E114" s="54"/>
      <c r="F114" s="54"/>
      <c r="G114" s="54"/>
      <c r="I114" s="54"/>
      <c r="J114" s="54"/>
      <c r="K114" s="60"/>
    </row>
    <row r="115" spans="2:19" ht="15.75" customHeight="1" x14ac:dyDescent="0.2">
      <c r="C115" s="60"/>
      <c r="D115" s="54"/>
      <c r="E115" s="54"/>
      <c r="F115" s="54"/>
      <c r="G115" s="54"/>
      <c r="I115" s="54"/>
      <c r="J115" s="54"/>
      <c r="K115" s="60"/>
    </row>
    <row r="116" spans="2:19" ht="15.75" customHeight="1" x14ac:dyDescent="0.2">
      <c r="C116" s="60"/>
      <c r="D116" s="54"/>
      <c r="E116" s="54"/>
      <c r="F116" s="54"/>
      <c r="G116" s="54"/>
      <c r="I116" s="54"/>
      <c r="J116" s="54"/>
      <c r="K116" s="60"/>
    </row>
    <row r="117" spans="2:19" ht="15.75" customHeight="1" x14ac:dyDescent="0.2">
      <c r="C117" s="60"/>
      <c r="D117" s="54"/>
      <c r="E117" s="54"/>
      <c r="F117" s="54"/>
      <c r="G117" s="54"/>
      <c r="I117" s="54"/>
      <c r="J117" s="54"/>
      <c r="K117" s="60"/>
    </row>
    <row r="118" spans="2:19" ht="15.75" customHeight="1" x14ac:dyDescent="0.2">
      <c r="C118" s="60"/>
      <c r="D118" s="54"/>
      <c r="E118" s="54"/>
      <c r="F118" s="54"/>
      <c r="G118" s="54"/>
      <c r="I118" s="54"/>
      <c r="J118" s="54"/>
      <c r="K118" s="60"/>
    </row>
    <row r="119" spans="2:19" ht="15.75" customHeight="1" x14ac:dyDescent="0.2">
      <c r="C119" s="60"/>
      <c r="D119" s="54"/>
      <c r="E119" s="54"/>
      <c r="F119" s="54"/>
      <c r="G119" s="54"/>
      <c r="I119" s="54"/>
      <c r="J119" s="54"/>
      <c r="K119" s="60"/>
    </row>
    <row r="120" spans="2:19" ht="15.75" customHeight="1" x14ac:dyDescent="0.2">
      <c r="C120" s="60"/>
      <c r="D120" s="54"/>
      <c r="E120" s="54"/>
      <c r="F120" s="54"/>
      <c r="G120" s="54"/>
      <c r="I120" s="54"/>
      <c r="J120" s="54"/>
      <c r="K120" s="60"/>
    </row>
    <row r="121" spans="2:19" ht="15.75" customHeight="1" x14ac:dyDescent="0.2">
      <c r="C121" s="60"/>
      <c r="D121" s="54"/>
      <c r="E121" s="54"/>
      <c r="F121" s="54"/>
      <c r="G121" s="54"/>
      <c r="I121" s="54"/>
      <c r="J121" s="54"/>
      <c r="K121" s="60"/>
    </row>
    <row r="122" spans="2:19" ht="15.75" customHeight="1" x14ac:dyDescent="0.2">
      <c r="C122" s="60"/>
      <c r="D122" s="54"/>
      <c r="E122" s="54"/>
      <c r="F122" s="54"/>
      <c r="G122" s="54"/>
      <c r="I122" s="54"/>
      <c r="J122" s="54"/>
      <c r="K122" s="60"/>
    </row>
    <row r="123" spans="2:19" ht="15.75" customHeight="1" x14ac:dyDescent="0.2">
      <c r="C123" s="60"/>
      <c r="D123" s="54"/>
      <c r="E123" s="54"/>
      <c r="F123" s="54"/>
      <c r="G123" s="54"/>
      <c r="I123" s="54"/>
      <c r="J123" s="54"/>
      <c r="K123" s="60"/>
    </row>
    <row r="124" spans="2:19" ht="15.75" customHeight="1" x14ac:dyDescent="0.2">
      <c r="C124" s="60"/>
      <c r="D124" s="54"/>
      <c r="E124" s="54"/>
      <c r="F124" s="54"/>
      <c r="G124" s="54"/>
      <c r="I124" s="54"/>
      <c r="J124" s="54"/>
      <c r="K124" s="60"/>
    </row>
    <row r="125" spans="2:19" ht="15.75" customHeight="1" x14ac:dyDescent="0.2">
      <c r="C125" s="60"/>
      <c r="D125" s="54"/>
      <c r="E125" s="54"/>
      <c r="F125" s="54"/>
      <c r="G125" s="54"/>
      <c r="I125" s="54"/>
      <c r="J125" s="54"/>
      <c r="K125" s="60"/>
    </row>
    <row r="126" spans="2:19" ht="15.75" customHeight="1" x14ac:dyDescent="0.2">
      <c r="C126" s="60"/>
      <c r="D126" s="54"/>
      <c r="E126" s="54"/>
      <c r="F126" s="54"/>
      <c r="G126" s="54"/>
      <c r="I126" s="54"/>
      <c r="J126" s="54"/>
      <c r="K126" s="60"/>
    </row>
    <row r="127" spans="2:19" ht="15.75" customHeight="1" x14ac:dyDescent="0.2">
      <c r="C127" s="60"/>
      <c r="D127" s="54"/>
      <c r="E127" s="54"/>
      <c r="F127" s="54"/>
      <c r="G127" s="54"/>
      <c r="I127" s="54"/>
      <c r="J127" s="54"/>
      <c r="K127" s="60"/>
    </row>
    <row r="128" spans="2:19" ht="15.75" customHeight="1" x14ac:dyDescent="0.2">
      <c r="C128" s="60"/>
      <c r="D128" s="54"/>
      <c r="E128" s="54"/>
      <c r="F128" s="54"/>
      <c r="G128" s="54"/>
      <c r="I128" s="54"/>
      <c r="J128" s="54"/>
      <c r="K128" s="60"/>
    </row>
    <row r="129" spans="1:17" ht="15.75" customHeight="1" x14ac:dyDescent="0.2">
      <c r="C129" s="60"/>
      <c r="D129" s="54"/>
      <c r="E129" s="54"/>
      <c r="F129" s="54"/>
      <c r="G129" s="54"/>
      <c r="I129" s="54"/>
      <c r="J129" s="54"/>
      <c r="K129" s="60"/>
    </row>
    <row r="130" spans="1:17" ht="15.75" customHeight="1" x14ac:dyDescent="0.2">
      <c r="C130" s="60"/>
      <c r="D130" s="54"/>
      <c r="E130" s="54"/>
      <c r="F130" s="54"/>
      <c r="G130" s="54"/>
      <c r="I130" s="54"/>
      <c r="J130" s="54"/>
      <c r="K130" s="60"/>
    </row>
    <row r="131" spans="1:17" ht="15.75" customHeight="1" x14ac:dyDescent="0.2">
      <c r="C131" s="60"/>
      <c r="D131" s="54"/>
      <c r="E131" s="54"/>
      <c r="F131" s="54"/>
      <c r="G131" s="54"/>
      <c r="I131" s="54"/>
      <c r="J131" s="54"/>
      <c r="K131" s="60"/>
    </row>
    <row r="132" spans="1:17" ht="15.75" customHeight="1" x14ac:dyDescent="0.2">
      <c r="C132" s="60"/>
      <c r="D132" s="54"/>
      <c r="E132" s="54"/>
      <c r="F132" s="54"/>
      <c r="G132" s="54"/>
      <c r="I132" s="54"/>
      <c r="J132" s="54"/>
      <c r="K132" s="60"/>
    </row>
    <row r="133" spans="1:17" ht="15.75" customHeight="1" x14ac:dyDescent="0.2">
      <c r="C133" s="60"/>
      <c r="D133" s="54"/>
      <c r="E133" s="54"/>
      <c r="F133" s="54"/>
      <c r="G133" s="54"/>
      <c r="I133" s="54"/>
      <c r="J133" s="54"/>
      <c r="K133" s="60"/>
    </row>
    <row r="134" spans="1:17" ht="15.75" customHeight="1" x14ac:dyDescent="0.2">
      <c r="C134" s="60"/>
      <c r="D134" s="54"/>
      <c r="E134" s="54"/>
      <c r="F134" s="54"/>
      <c r="G134" s="54"/>
      <c r="I134" s="54"/>
      <c r="J134" s="54"/>
      <c r="K134" s="60"/>
    </row>
    <row r="135" spans="1:17" ht="15.75" customHeight="1" x14ac:dyDescent="0.2">
      <c r="C135" s="60"/>
      <c r="D135" s="54"/>
      <c r="E135" s="54"/>
      <c r="F135" s="54"/>
      <c r="G135" s="54"/>
      <c r="I135" s="54"/>
      <c r="J135" s="54"/>
      <c r="K135" s="60"/>
    </row>
    <row r="136" spans="1:17" ht="15.75" customHeight="1" x14ac:dyDescent="0.2">
      <c r="C136" s="60"/>
      <c r="D136" s="54"/>
      <c r="E136" s="54"/>
      <c r="F136" s="54"/>
      <c r="G136" s="54"/>
      <c r="I136" s="54"/>
      <c r="J136" s="54"/>
      <c r="K136" s="60"/>
    </row>
    <row r="137" spans="1:17" ht="15.75" customHeight="1" collapsed="1" x14ac:dyDescent="0.2">
      <c r="C137" s="60"/>
      <c r="D137" s="54"/>
      <c r="E137" s="54"/>
      <c r="F137" s="54"/>
      <c r="G137" s="54"/>
      <c r="I137" s="54"/>
      <c r="J137" s="54"/>
      <c r="K137" s="60"/>
    </row>
    <row r="138" spans="1:17" ht="15.75" hidden="1" customHeight="1" outlineLevel="1" x14ac:dyDescent="0.2">
      <c r="C138" s="60"/>
      <c r="D138" s="54"/>
      <c r="E138" s="54"/>
      <c r="F138" s="54"/>
      <c r="G138" s="54"/>
      <c r="I138" s="54"/>
      <c r="J138" s="54"/>
      <c r="K138" s="60"/>
    </row>
    <row r="139" spans="1:17" ht="15.75" hidden="1" customHeight="1" outlineLevel="1" x14ac:dyDescent="0.2">
      <c r="B139" s="54" t="str">
        <f>E1</f>
        <v>Department:</v>
      </c>
      <c r="C139" s="60"/>
      <c r="D139" s="54" t="str">
        <f>F1</f>
        <v>Finance</v>
      </c>
      <c r="E139" s="54"/>
      <c r="F139" s="54"/>
      <c r="G139" s="54"/>
      <c r="I139" s="54"/>
      <c r="J139" s="54"/>
      <c r="K139" s="60"/>
    </row>
    <row r="140" spans="1:17" ht="15.75" hidden="1" customHeight="1" outlineLevel="1" x14ac:dyDescent="0.2">
      <c r="C140" s="60"/>
      <c r="D140" s="54"/>
      <c r="E140" s="54"/>
      <c r="F140" s="54"/>
      <c r="G140" s="54"/>
      <c r="I140" s="54"/>
      <c r="J140" s="54"/>
      <c r="K140" s="60"/>
    </row>
    <row r="141" spans="1:17" ht="15.75" hidden="1" customHeight="1" outlineLevel="1" x14ac:dyDescent="0.2">
      <c r="A141" s="3" t="s">
        <v>221</v>
      </c>
      <c r="B141" s="3">
        <f>B4</f>
        <v>0</v>
      </c>
      <c r="C141" s="21"/>
      <c r="D141" s="4">
        <f t="shared" ref="D141:G141" si="35">D4</f>
        <v>0</v>
      </c>
      <c r="E141" s="4">
        <f t="shared" si="35"/>
        <v>0</v>
      </c>
      <c r="F141" s="4">
        <f t="shared" si="35"/>
        <v>0</v>
      </c>
      <c r="G141" s="4">
        <f t="shared" si="35"/>
        <v>0</v>
      </c>
      <c r="H141" s="3"/>
      <c r="I141" s="4"/>
      <c r="J141" s="4"/>
      <c r="K141" s="21"/>
      <c r="L141" s="4">
        <f t="shared" ref="L141:O141" si="36">L4</f>
        <v>0</v>
      </c>
      <c r="M141" s="4">
        <f t="shared" si="36"/>
        <v>0</v>
      </c>
      <c r="N141" s="4">
        <f t="shared" si="36"/>
        <v>0</v>
      </c>
      <c r="O141" s="4">
        <f t="shared" si="36"/>
        <v>0</v>
      </c>
      <c r="P141" s="3"/>
      <c r="Q141" s="4">
        <f>Q4</f>
        <v>0</v>
      </c>
    </row>
    <row r="142" spans="1:17" ht="15.75" hidden="1" customHeight="1" outlineLevel="1" x14ac:dyDescent="0.25">
      <c r="A142" s="175" t="s">
        <v>222</v>
      </c>
      <c r="C142" s="60"/>
      <c r="D142" s="54"/>
      <c r="E142" s="54"/>
      <c r="F142" s="54"/>
      <c r="G142" s="54"/>
      <c r="H142" s="51"/>
      <c r="I142" s="54"/>
      <c r="J142" s="54"/>
      <c r="K142" s="60"/>
      <c r="L142" s="51">
        <v>50000</v>
      </c>
      <c r="M142" s="51">
        <v>50000</v>
      </c>
      <c r="N142" s="51">
        <v>50000</v>
      </c>
      <c r="O142" s="51">
        <v>50000</v>
      </c>
      <c r="P142" s="51"/>
      <c r="Q142" s="51">
        <v>50000</v>
      </c>
    </row>
    <row r="143" spans="1:17" ht="15.75" hidden="1" customHeight="1" outlineLevel="1" x14ac:dyDescent="0.25">
      <c r="A143" s="175" t="s">
        <v>223</v>
      </c>
      <c r="C143" s="60"/>
      <c r="D143" s="54"/>
      <c r="E143" s="54"/>
      <c r="F143" s="54"/>
      <c r="G143" s="54"/>
      <c r="H143" s="51"/>
      <c r="I143" s="54"/>
      <c r="J143" s="54"/>
      <c r="K143" s="60"/>
      <c r="L143" s="51">
        <v>90000</v>
      </c>
      <c r="M143" s="51">
        <v>90000</v>
      </c>
      <c r="N143" s="51">
        <v>90000</v>
      </c>
      <c r="O143" s="51">
        <v>90000</v>
      </c>
      <c r="P143" s="51"/>
      <c r="Q143" s="51">
        <v>90000</v>
      </c>
    </row>
    <row r="144" spans="1:17" ht="15.75" hidden="1" customHeight="1" outlineLevel="1" x14ac:dyDescent="0.25">
      <c r="A144" s="175" t="s">
        <v>224</v>
      </c>
      <c r="C144" s="60"/>
      <c r="D144" s="54"/>
      <c r="E144" s="54"/>
      <c r="F144" s="54"/>
      <c r="G144" s="54"/>
      <c r="H144" s="51"/>
      <c r="I144" s="54"/>
      <c r="J144" s="54"/>
      <c r="K144" s="60"/>
      <c r="L144" s="51">
        <v>36000</v>
      </c>
      <c r="M144" s="51">
        <v>36000</v>
      </c>
      <c r="N144" s="51">
        <v>36000</v>
      </c>
      <c r="O144" s="51">
        <v>36000</v>
      </c>
      <c r="P144" s="51"/>
      <c r="Q144" s="51">
        <v>36000</v>
      </c>
    </row>
    <row r="145" spans="1:17" ht="15.75" hidden="1" customHeight="1" outlineLevel="1" x14ac:dyDescent="0.25">
      <c r="A145" s="175" t="s">
        <v>8</v>
      </c>
      <c r="C145" s="60"/>
      <c r="D145" s="54"/>
      <c r="E145" s="54"/>
      <c r="F145" s="54"/>
      <c r="G145" s="54"/>
      <c r="I145" s="54"/>
      <c r="J145" s="54"/>
      <c r="K145" s="60"/>
      <c r="N145" s="51">
        <v>56000</v>
      </c>
      <c r="O145" s="51">
        <v>56000</v>
      </c>
      <c r="P145" s="51"/>
      <c r="Q145" s="51">
        <v>56000</v>
      </c>
    </row>
    <row r="146" spans="1:17" ht="15.75" hidden="1" customHeight="1" outlineLevel="1" x14ac:dyDescent="0.25">
      <c r="A146" s="175" t="s">
        <v>225</v>
      </c>
      <c r="C146" s="60"/>
      <c r="D146" s="54"/>
      <c r="E146" s="54"/>
      <c r="F146" s="54"/>
      <c r="G146" s="54"/>
      <c r="I146" s="54"/>
      <c r="J146" s="54"/>
      <c r="K146" s="60"/>
      <c r="N146" s="51">
        <v>28000</v>
      </c>
      <c r="O146" s="51">
        <v>28000</v>
      </c>
      <c r="P146" s="51"/>
      <c r="Q146" s="51">
        <v>28000</v>
      </c>
    </row>
    <row r="147" spans="1:17" ht="15.75" hidden="1" customHeight="1" outlineLevel="1" x14ac:dyDescent="0.25">
      <c r="A147" s="175" t="s">
        <v>226</v>
      </c>
      <c r="C147" s="60"/>
      <c r="D147" s="54"/>
      <c r="E147" s="54"/>
      <c r="F147" s="54"/>
      <c r="G147" s="54"/>
      <c r="H147" s="51"/>
      <c r="I147" s="54"/>
      <c r="J147" s="54"/>
      <c r="K147" s="60"/>
      <c r="L147" s="51">
        <v>58000</v>
      </c>
      <c r="M147" s="51">
        <v>58000</v>
      </c>
      <c r="N147" s="51">
        <v>58000</v>
      </c>
      <c r="O147" s="51">
        <v>58000</v>
      </c>
      <c r="P147" s="51"/>
      <c r="Q147" s="51">
        <v>58000</v>
      </c>
    </row>
    <row r="148" spans="1:17" ht="15.75" hidden="1" customHeight="1" outlineLevel="1" x14ac:dyDescent="0.25">
      <c r="A148" s="175" t="s">
        <v>227</v>
      </c>
      <c r="C148" s="60"/>
      <c r="D148" s="54"/>
      <c r="E148" s="54"/>
      <c r="F148" s="54"/>
      <c r="G148" s="54"/>
      <c r="H148" s="51"/>
      <c r="I148" s="54"/>
      <c r="J148" s="54"/>
      <c r="K148" s="60"/>
      <c r="L148" s="51">
        <v>23200</v>
      </c>
      <c r="M148" s="51">
        <v>23200</v>
      </c>
      <c r="N148" s="51">
        <v>23200</v>
      </c>
      <c r="O148" s="51">
        <v>23200</v>
      </c>
      <c r="P148" s="51"/>
      <c r="Q148" s="51">
        <v>23200</v>
      </c>
    </row>
    <row r="149" spans="1:17" ht="15.75" hidden="1" customHeight="1" outlineLevel="1" x14ac:dyDescent="0.25">
      <c r="A149" s="175" t="s">
        <v>228</v>
      </c>
      <c r="C149" s="60"/>
      <c r="D149" s="54"/>
      <c r="E149" s="54"/>
      <c r="F149" s="54"/>
      <c r="G149" s="54"/>
      <c r="H149" s="51"/>
      <c r="I149" s="54"/>
      <c r="J149" s="54"/>
      <c r="K149" s="60"/>
      <c r="L149" s="54">
        <f t="shared" ref="L149:O149" si="37">L19</f>
        <v>30253</v>
      </c>
      <c r="M149" s="54">
        <f t="shared" si="37"/>
        <v>26300.39</v>
      </c>
      <c r="N149" s="54">
        <f t="shared" si="37"/>
        <v>28800</v>
      </c>
      <c r="O149" s="54">
        <f t="shared" si="37"/>
        <v>22542.81</v>
      </c>
      <c r="P149" s="51"/>
      <c r="Q149" s="54">
        <f>Q19</f>
        <v>29664</v>
      </c>
    </row>
    <row r="150" spans="1:17" ht="15.75" hidden="1" customHeight="1" outlineLevel="1" x14ac:dyDescent="0.25">
      <c r="A150" s="175" t="s">
        <v>229</v>
      </c>
      <c r="C150" s="60"/>
      <c r="D150" s="54"/>
      <c r="E150" s="54"/>
      <c r="F150" s="54"/>
      <c r="G150" s="54"/>
      <c r="H150" s="51"/>
      <c r="I150" s="54"/>
      <c r="J150" s="54"/>
      <c r="K150" s="60"/>
      <c r="L150" s="54">
        <f>L16-90755</f>
        <v>272387</v>
      </c>
      <c r="M150" s="51"/>
      <c r="N150" s="51"/>
      <c r="O150" s="51"/>
      <c r="P150" s="51"/>
      <c r="Q150" s="51"/>
    </row>
    <row r="151" spans="1:17" ht="15.75" hidden="1" customHeight="1" outlineLevel="1" x14ac:dyDescent="0.2">
      <c r="C151" s="60"/>
      <c r="D151" s="54"/>
      <c r="E151" s="54"/>
      <c r="F151" s="54"/>
      <c r="G151" s="54"/>
      <c r="I151" s="54"/>
      <c r="J151" s="54"/>
      <c r="K151" s="60"/>
    </row>
    <row r="152" spans="1:17" ht="15.75" hidden="1" customHeight="1" outlineLevel="1" x14ac:dyDescent="0.2">
      <c r="A152" s="51" t="s">
        <v>47</v>
      </c>
      <c r="C152" s="60"/>
      <c r="D152" s="54"/>
      <c r="E152" s="54"/>
      <c r="F152" s="54"/>
      <c r="G152" s="54"/>
      <c r="I152" s="54"/>
      <c r="J152" s="54"/>
      <c r="K152" s="60"/>
      <c r="L152" s="51">
        <f t="shared" ref="L152:O152" si="38">SUM(L142:L150)</f>
        <v>559840</v>
      </c>
      <c r="M152" s="51">
        <f t="shared" si="38"/>
        <v>283500.39</v>
      </c>
      <c r="N152" s="51">
        <f t="shared" si="38"/>
        <v>370000</v>
      </c>
      <c r="O152" s="51">
        <f t="shared" si="38"/>
        <v>363742.81</v>
      </c>
      <c r="Q152" s="51">
        <f>SUM(Q142:Q150)</f>
        <v>370864</v>
      </c>
    </row>
    <row r="153" spans="1:17" ht="15.75" hidden="1" customHeight="1" outlineLevel="1" x14ac:dyDescent="0.2">
      <c r="C153" s="60"/>
      <c r="D153" s="54"/>
      <c r="E153" s="54"/>
      <c r="F153" s="54"/>
      <c r="G153" s="54"/>
      <c r="I153" s="54"/>
      <c r="J153" s="54"/>
      <c r="K153" s="60"/>
    </row>
    <row r="154" spans="1:17" ht="15.75" hidden="1" customHeight="1" outlineLevel="1" x14ac:dyDescent="0.2">
      <c r="A154" s="51" t="s">
        <v>230</v>
      </c>
      <c r="B154" s="51"/>
      <c r="C154" s="60"/>
      <c r="D154" s="54"/>
      <c r="E154" s="54"/>
      <c r="F154" s="54"/>
      <c r="G154" s="54"/>
      <c r="H154" s="97"/>
      <c r="I154" s="147"/>
      <c r="J154" s="147"/>
      <c r="K154" s="60"/>
      <c r="L154" s="97">
        <f t="shared" ref="L154:O154" si="39">IFERROR(L152*-1*$X$7,0)</f>
        <v>0</v>
      </c>
      <c r="M154" s="97">
        <f t="shared" si="39"/>
        <v>0</v>
      </c>
      <c r="N154" s="97">
        <f t="shared" si="39"/>
        <v>0</v>
      </c>
      <c r="O154" s="97">
        <f t="shared" si="39"/>
        <v>0</v>
      </c>
      <c r="P154" s="97"/>
      <c r="Q154" s="97">
        <f>IFERROR(Q152*-1*$X$7,0)</f>
        <v>0</v>
      </c>
    </row>
    <row r="155" spans="1:17" ht="15.75" hidden="1" customHeight="1" outlineLevel="1" x14ac:dyDescent="0.2">
      <c r="C155" s="60"/>
      <c r="D155" s="54"/>
      <c r="E155" s="54"/>
      <c r="F155" s="54"/>
      <c r="G155" s="54"/>
      <c r="I155" s="54"/>
      <c r="J155" s="54"/>
      <c r="K155" s="60"/>
    </row>
    <row r="156" spans="1:17" ht="15.75" hidden="1" customHeight="1" outlineLevel="1" x14ac:dyDescent="0.2">
      <c r="C156" s="60"/>
      <c r="D156" s="54"/>
      <c r="E156" s="54"/>
      <c r="F156" s="54"/>
      <c r="G156" s="54"/>
      <c r="I156" s="54"/>
      <c r="J156" s="54"/>
      <c r="K156" s="60"/>
    </row>
    <row r="157" spans="1:17" ht="15.75" hidden="1" customHeight="1" outlineLevel="1" x14ac:dyDescent="0.2">
      <c r="A157" s="78" t="str">
        <f t="shared" ref="A157:B157" si="40">E83</f>
        <v>Department:</v>
      </c>
      <c r="B157" s="78" t="str">
        <f t="shared" si="40"/>
        <v>Auditor</v>
      </c>
      <c r="C157" s="60"/>
      <c r="D157" s="54"/>
      <c r="E157" s="54"/>
      <c r="F157" s="54"/>
      <c r="G157" s="54"/>
      <c r="I157" s="54"/>
      <c r="J157" s="54"/>
      <c r="K157" s="60"/>
    </row>
    <row r="158" spans="1:17" ht="15.75" hidden="1" customHeight="1" outlineLevel="1" x14ac:dyDescent="0.2">
      <c r="C158" s="60"/>
      <c r="D158" s="54"/>
      <c r="E158" s="54"/>
      <c r="F158" s="54"/>
      <c r="G158" s="54"/>
      <c r="I158" s="54"/>
      <c r="J158" s="54"/>
      <c r="K158" s="60"/>
    </row>
    <row r="159" spans="1:17" ht="15.75" hidden="1" customHeight="1" outlineLevel="1" x14ac:dyDescent="0.2">
      <c r="A159" s="3" t="s">
        <v>221</v>
      </c>
      <c r="B159" s="3">
        <f>B141</f>
        <v>0</v>
      </c>
      <c r="C159" s="21"/>
      <c r="D159" s="4">
        <f t="shared" ref="D159:G159" si="41">D141</f>
        <v>0</v>
      </c>
      <c r="E159" s="4">
        <f t="shared" si="41"/>
        <v>0</v>
      </c>
      <c r="F159" s="4">
        <f t="shared" si="41"/>
        <v>0</v>
      </c>
      <c r="G159" s="4">
        <f t="shared" si="41"/>
        <v>0</v>
      </c>
      <c r="H159" s="3"/>
      <c r="I159" s="4"/>
      <c r="J159" s="4"/>
      <c r="K159" s="21"/>
      <c r="L159" s="4">
        <f t="shared" ref="L159:O159" si="42">L141</f>
        <v>0</v>
      </c>
      <c r="M159" s="4">
        <f t="shared" si="42"/>
        <v>0</v>
      </c>
      <c r="N159" s="4">
        <f t="shared" si="42"/>
        <v>0</v>
      </c>
      <c r="O159" s="4">
        <f t="shared" si="42"/>
        <v>0</v>
      </c>
      <c r="P159" s="3"/>
      <c r="Q159" s="4">
        <f>Q141</f>
        <v>0</v>
      </c>
    </row>
    <row r="160" spans="1:17" ht="15.75" hidden="1" customHeight="1" outlineLevel="1" x14ac:dyDescent="0.25">
      <c r="A160" s="175" t="s">
        <v>231</v>
      </c>
      <c r="C160" s="60"/>
      <c r="D160" s="54"/>
      <c r="E160" s="54"/>
      <c r="F160" s="54"/>
      <c r="G160" s="54"/>
      <c r="I160" s="54"/>
      <c r="J160" s="54"/>
      <c r="K160" s="60"/>
      <c r="N160" s="51">
        <f>112000/2</f>
        <v>56000</v>
      </c>
      <c r="P160" s="51"/>
      <c r="Q160" s="51">
        <v>56000</v>
      </c>
    </row>
    <row r="161" spans="1:17" ht="15.75" hidden="1" customHeight="1" outlineLevel="1" x14ac:dyDescent="0.25">
      <c r="A161" s="175" t="s">
        <v>232</v>
      </c>
      <c r="C161" s="60"/>
      <c r="D161" s="54"/>
      <c r="E161" s="54"/>
      <c r="F161" s="54"/>
      <c r="G161" s="54"/>
      <c r="I161" s="54"/>
      <c r="J161" s="54"/>
      <c r="K161" s="60"/>
      <c r="N161" s="51">
        <f>N160*0.4</f>
        <v>22400</v>
      </c>
      <c r="Q161" s="51">
        <f>Q160*0.4</f>
        <v>22400</v>
      </c>
    </row>
    <row r="162" spans="1:17" ht="15.75" hidden="1" customHeight="1" outlineLevel="1" x14ac:dyDescent="0.25">
      <c r="A162" s="175" t="s">
        <v>233</v>
      </c>
      <c r="C162" s="60"/>
      <c r="D162" s="54"/>
      <c r="E162" s="54"/>
      <c r="F162" s="54"/>
      <c r="G162" s="54"/>
      <c r="I162" s="54"/>
      <c r="J162" s="54"/>
      <c r="K162" s="60"/>
      <c r="N162" s="51">
        <v>90000</v>
      </c>
      <c r="P162" s="51"/>
      <c r="Q162" s="51">
        <v>50000</v>
      </c>
    </row>
    <row r="163" spans="1:17" ht="15.75" hidden="1" customHeight="1" outlineLevel="1" x14ac:dyDescent="0.25">
      <c r="A163" s="175" t="s">
        <v>234</v>
      </c>
      <c r="C163" s="60"/>
      <c r="D163" s="54"/>
      <c r="E163" s="54"/>
      <c r="F163" s="54"/>
      <c r="G163" s="54"/>
      <c r="I163" s="54"/>
      <c r="J163" s="54"/>
      <c r="K163" s="60"/>
      <c r="N163" s="51">
        <v>3500</v>
      </c>
      <c r="P163" s="51"/>
      <c r="Q163" s="51">
        <v>11000</v>
      </c>
    </row>
    <row r="164" spans="1:17" ht="15.75" hidden="1" customHeight="1" outlineLevel="1" x14ac:dyDescent="0.25">
      <c r="A164" s="175" t="s">
        <v>235</v>
      </c>
      <c r="C164" s="60"/>
      <c r="D164" s="54"/>
      <c r="E164" s="54"/>
      <c r="F164" s="54"/>
      <c r="G164" s="54"/>
      <c r="I164" s="54"/>
      <c r="J164" s="54"/>
      <c r="K164" s="60"/>
      <c r="N164" s="51">
        <v>4200</v>
      </c>
      <c r="P164" s="51"/>
      <c r="Q164" s="51">
        <v>7475</v>
      </c>
    </row>
    <row r="165" spans="1:17" ht="15.75" hidden="1" customHeight="1" outlineLevel="1" x14ac:dyDescent="0.25">
      <c r="A165" s="175" t="s">
        <v>236</v>
      </c>
      <c r="C165" s="60"/>
      <c r="D165" s="54"/>
      <c r="E165" s="54"/>
      <c r="F165" s="54"/>
      <c r="G165" s="54"/>
      <c r="I165" s="54"/>
      <c r="J165" s="54"/>
      <c r="K165" s="60"/>
      <c r="P165" s="51"/>
      <c r="Q165" s="51">
        <v>-80000</v>
      </c>
    </row>
    <row r="166" spans="1:17" ht="15.75" hidden="1" customHeight="1" outlineLevel="1" x14ac:dyDescent="0.25">
      <c r="A166" s="175"/>
      <c r="C166" s="60"/>
      <c r="D166" s="54"/>
      <c r="E166" s="54"/>
      <c r="F166" s="54"/>
      <c r="G166" s="54"/>
      <c r="I166" s="54"/>
      <c r="J166" s="54"/>
      <c r="K166" s="60"/>
    </row>
    <row r="167" spans="1:17" ht="15.75" hidden="1" customHeight="1" outlineLevel="1" x14ac:dyDescent="0.25">
      <c r="A167" s="175"/>
      <c r="C167" s="60"/>
      <c r="D167" s="54"/>
      <c r="E167" s="54"/>
      <c r="F167" s="54"/>
      <c r="G167" s="54"/>
      <c r="H167" s="51"/>
      <c r="I167" s="54"/>
      <c r="J167" s="54"/>
      <c r="K167" s="60"/>
      <c r="L167" s="51">
        <f t="shared" ref="L167:O167" si="43">L37</f>
        <v>0</v>
      </c>
      <c r="M167" s="51">
        <f t="shared" si="43"/>
        <v>0</v>
      </c>
      <c r="N167" s="51">
        <f t="shared" si="43"/>
        <v>0</v>
      </c>
      <c r="O167" s="51">
        <f t="shared" si="43"/>
        <v>0</v>
      </c>
      <c r="P167" s="51"/>
      <c r="Q167" s="51">
        <f>Q37</f>
        <v>0</v>
      </c>
    </row>
    <row r="168" spans="1:17" ht="15.75" hidden="1" customHeight="1" outlineLevel="1" x14ac:dyDescent="0.25">
      <c r="A168" s="175"/>
      <c r="C168" s="60"/>
      <c r="D168" s="54"/>
      <c r="E168" s="54"/>
      <c r="F168" s="54"/>
      <c r="G168" s="54"/>
      <c r="I168" s="54"/>
      <c r="J168" s="54"/>
      <c r="K168" s="60"/>
      <c r="M168" s="51"/>
      <c r="N168" s="51"/>
      <c r="O168" s="51"/>
      <c r="P168" s="51"/>
      <c r="Q168" s="51"/>
    </row>
    <row r="169" spans="1:17" ht="15.75" hidden="1" customHeight="1" outlineLevel="1" x14ac:dyDescent="0.2">
      <c r="C169" s="60"/>
      <c r="D169" s="54"/>
      <c r="E169" s="54"/>
      <c r="F169" s="54"/>
      <c r="G169" s="54"/>
      <c r="I169" s="54"/>
      <c r="J169" s="54"/>
      <c r="K169" s="60"/>
    </row>
    <row r="170" spans="1:17" ht="15.75" hidden="1" customHeight="1" outlineLevel="1" x14ac:dyDescent="0.2">
      <c r="A170" s="51" t="s">
        <v>47</v>
      </c>
      <c r="C170" s="60"/>
      <c r="D170" s="54"/>
      <c r="E170" s="54"/>
      <c r="F170" s="54"/>
      <c r="G170" s="54"/>
      <c r="I170" s="54"/>
      <c r="J170" s="54"/>
      <c r="K170" s="60"/>
      <c r="L170" s="51">
        <f t="shared" ref="L170:O170" si="44">SUM(L160:L168)</f>
        <v>0</v>
      </c>
      <c r="M170" s="51">
        <f t="shared" si="44"/>
        <v>0</v>
      </c>
      <c r="N170" s="51">
        <f t="shared" si="44"/>
        <v>176100</v>
      </c>
      <c r="O170" s="51">
        <f t="shared" si="44"/>
        <v>0</v>
      </c>
      <c r="Q170" s="51">
        <f>SUM(Q160:Q168)</f>
        <v>66875</v>
      </c>
    </row>
    <row r="171" spans="1:17" ht="15.75" hidden="1" customHeight="1" outlineLevel="1" x14ac:dyDescent="0.2">
      <c r="C171" s="60"/>
      <c r="D171" s="54"/>
      <c r="E171" s="54"/>
      <c r="F171" s="54"/>
      <c r="G171" s="54"/>
      <c r="I171" s="54"/>
      <c r="J171" s="54"/>
      <c r="K171" s="60"/>
    </row>
    <row r="172" spans="1:17" ht="15.75" hidden="1" customHeight="1" outlineLevel="1" x14ac:dyDescent="0.2">
      <c r="A172" s="51" t="s">
        <v>230</v>
      </c>
      <c r="B172" s="51"/>
      <c r="C172" s="60"/>
      <c r="D172" s="54"/>
      <c r="E172" s="54"/>
      <c r="F172" s="54"/>
      <c r="G172" s="54"/>
      <c r="H172" s="97"/>
      <c r="I172" s="147"/>
      <c r="J172" s="147"/>
      <c r="K172" s="60"/>
      <c r="L172" s="97">
        <f t="shared" ref="L172:O172" si="45">IFERROR(L170*-1*$X$89,0)</f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/>
      <c r="Q172" s="97">
        <f>IFERROR(Q170*-1*$X$89,0)</f>
        <v>0</v>
      </c>
    </row>
    <row r="173" spans="1:17" ht="15.75" hidden="1" customHeight="1" outlineLevel="1" x14ac:dyDescent="0.2">
      <c r="C173" s="60"/>
      <c r="D173" s="54"/>
      <c r="E173" s="54"/>
      <c r="F173" s="54"/>
      <c r="G173" s="54"/>
      <c r="I173" s="54"/>
      <c r="J173" s="54"/>
      <c r="K173" s="60"/>
    </row>
    <row r="174" spans="1:17" ht="15.75" hidden="1" customHeight="1" outlineLevel="1" x14ac:dyDescent="0.2">
      <c r="C174" s="60"/>
      <c r="D174" s="54"/>
      <c r="E174" s="54"/>
      <c r="F174" s="54"/>
      <c r="G174" s="54"/>
      <c r="I174" s="54"/>
      <c r="J174" s="54"/>
      <c r="K174" s="60"/>
    </row>
    <row r="175" spans="1:17" ht="15.75" hidden="1" customHeight="1" outlineLevel="1" x14ac:dyDescent="0.2">
      <c r="C175" s="60"/>
      <c r="D175" s="54"/>
      <c r="E175" s="54"/>
      <c r="F175" s="54"/>
      <c r="G175" s="54"/>
      <c r="I175" s="54"/>
      <c r="J175" s="54"/>
      <c r="K175" s="60"/>
    </row>
    <row r="176" spans="1:17" ht="15.75" hidden="1" customHeight="1" outlineLevel="1" x14ac:dyDescent="0.2">
      <c r="C176" s="60"/>
      <c r="D176" s="54"/>
      <c r="E176" s="54"/>
      <c r="F176" s="54"/>
      <c r="G176" s="54"/>
      <c r="I176" s="54"/>
      <c r="J176" s="54"/>
      <c r="K176" s="60"/>
    </row>
    <row r="177" spans="3:11" ht="15.75" hidden="1" customHeight="1" outlineLevel="1" x14ac:dyDescent="0.2">
      <c r="C177" s="60"/>
      <c r="D177" s="54"/>
      <c r="E177" s="54"/>
      <c r="F177" s="54"/>
      <c r="G177" s="54"/>
      <c r="I177" s="54"/>
      <c r="J177" s="54"/>
      <c r="K177" s="60"/>
    </row>
    <row r="178" spans="3:11" ht="15.75" customHeight="1" x14ac:dyDescent="0.2">
      <c r="C178" s="60"/>
      <c r="D178" s="54"/>
      <c r="E178" s="54"/>
      <c r="F178" s="54"/>
      <c r="G178" s="54"/>
      <c r="I178" s="54"/>
      <c r="J178" s="54"/>
      <c r="K178" s="60"/>
    </row>
    <row r="179" spans="3:11" ht="15.75" customHeight="1" x14ac:dyDescent="0.2">
      <c r="C179" s="60"/>
      <c r="D179" s="54"/>
      <c r="E179" s="54"/>
      <c r="F179" s="54"/>
      <c r="G179" s="54"/>
      <c r="I179" s="54"/>
      <c r="J179" s="54"/>
      <c r="K179" s="60"/>
    </row>
    <row r="180" spans="3:11" ht="15.75" customHeight="1" x14ac:dyDescent="0.2">
      <c r="C180" s="60"/>
      <c r="D180" s="54"/>
      <c r="E180" s="54"/>
      <c r="F180" s="54"/>
      <c r="G180" s="54"/>
      <c r="I180" s="54"/>
      <c r="J180" s="54"/>
      <c r="K180" s="60"/>
    </row>
    <row r="181" spans="3:11" ht="15.75" customHeight="1" x14ac:dyDescent="0.2">
      <c r="C181" s="60"/>
      <c r="D181" s="54"/>
      <c r="E181" s="54"/>
      <c r="F181" s="54"/>
      <c r="G181" s="54"/>
      <c r="I181" s="54"/>
      <c r="J181" s="54"/>
      <c r="K181" s="60"/>
    </row>
    <row r="182" spans="3:11" ht="15.75" customHeight="1" x14ac:dyDescent="0.2">
      <c r="C182" s="60"/>
      <c r="D182" s="54"/>
      <c r="E182" s="54"/>
      <c r="F182" s="54"/>
      <c r="G182" s="54"/>
      <c r="I182" s="54"/>
      <c r="J182" s="54"/>
      <c r="K182" s="60"/>
    </row>
    <row r="183" spans="3:11" ht="15.75" customHeight="1" x14ac:dyDescent="0.2">
      <c r="C183" s="60"/>
      <c r="D183" s="54"/>
      <c r="E183" s="54"/>
      <c r="F183" s="54"/>
      <c r="G183" s="54"/>
      <c r="I183" s="54"/>
      <c r="J183" s="54"/>
      <c r="K183" s="60"/>
    </row>
    <row r="184" spans="3:11" ht="15.75" customHeight="1" x14ac:dyDescent="0.2">
      <c r="C184" s="60"/>
      <c r="D184" s="54"/>
      <c r="E184" s="54"/>
      <c r="F184" s="54"/>
      <c r="G184" s="54"/>
      <c r="I184" s="54"/>
      <c r="J184" s="54"/>
      <c r="K184" s="60"/>
    </row>
    <row r="185" spans="3:11" ht="15.75" customHeight="1" x14ac:dyDescent="0.2">
      <c r="C185" s="60"/>
      <c r="D185" s="54"/>
      <c r="E185" s="54"/>
      <c r="F185" s="54"/>
      <c r="G185" s="54"/>
      <c r="I185" s="54"/>
      <c r="J185" s="54"/>
      <c r="K185" s="60"/>
    </row>
    <row r="186" spans="3:11" ht="15.75" customHeight="1" x14ac:dyDescent="0.2">
      <c r="C186" s="60"/>
      <c r="D186" s="54"/>
      <c r="E186" s="54"/>
      <c r="F186" s="54"/>
      <c r="G186" s="54"/>
      <c r="I186" s="54"/>
      <c r="J186" s="54"/>
      <c r="K186" s="60"/>
    </row>
    <row r="187" spans="3:11" ht="15.75" customHeight="1" x14ac:dyDescent="0.2">
      <c r="C187" s="60"/>
      <c r="D187" s="54"/>
      <c r="E187" s="54"/>
      <c r="F187" s="54"/>
      <c r="G187" s="54"/>
      <c r="I187" s="54"/>
      <c r="J187" s="54"/>
      <c r="K187" s="60"/>
    </row>
    <row r="188" spans="3:11" ht="15.75" customHeight="1" x14ac:dyDescent="0.2">
      <c r="C188" s="60"/>
      <c r="D188" s="54"/>
      <c r="E188" s="54"/>
      <c r="F188" s="54"/>
      <c r="G188" s="54"/>
      <c r="I188" s="54"/>
      <c r="J188" s="54"/>
      <c r="K188" s="60"/>
    </row>
    <row r="189" spans="3:11" ht="15.75" customHeight="1" x14ac:dyDescent="0.2">
      <c r="C189" s="60"/>
      <c r="D189" s="54"/>
      <c r="E189" s="54"/>
      <c r="F189" s="54"/>
      <c r="G189" s="54"/>
      <c r="I189" s="54"/>
      <c r="J189" s="54"/>
      <c r="K189" s="60"/>
    </row>
    <row r="190" spans="3:11" ht="15.75" customHeight="1" x14ac:dyDescent="0.2">
      <c r="C190" s="60"/>
      <c r="D190" s="54"/>
      <c r="E190" s="54"/>
      <c r="F190" s="54"/>
      <c r="G190" s="54"/>
      <c r="I190" s="54"/>
      <c r="J190" s="54"/>
      <c r="K190" s="60"/>
    </row>
    <row r="191" spans="3:11" ht="15.75" customHeight="1" x14ac:dyDescent="0.2">
      <c r="C191" s="60"/>
      <c r="D191" s="54"/>
      <c r="E191" s="54"/>
      <c r="F191" s="54"/>
      <c r="G191" s="54"/>
      <c r="I191" s="54"/>
      <c r="J191" s="54"/>
      <c r="K191" s="60"/>
    </row>
    <row r="192" spans="3:11" ht="15.75" customHeight="1" x14ac:dyDescent="0.2">
      <c r="C192" s="60"/>
      <c r="D192" s="54"/>
      <c r="E192" s="54"/>
      <c r="F192" s="54"/>
      <c r="G192" s="54"/>
      <c r="I192" s="54"/>
      <c r="J192" s="54"/>
      <c r="K192" s="60"/>
    </row>
    <row r="193" spans="3:11" ht="15.75" customHeight="1" x14ac:dyDescent="0.2">
      <c r="C193" s="60"/>
      <c r="D193" s="54"/>
      <c r="E193" s="54"/>
      <c r="F193" s="54"/>
      <c r="G193" s="54"/>
      <c r="I193" s="54"/>
      <c r="J193" s="54"/>
      <c r="K193" s="60"/>
    </row>
    <row r="194" spans="3:11" ht="15.75" customHeight="1" x14ac:dyDescent="0.2">
      <c r="C194" s="60"/>
      <c r="D194" s="54"/>
      <c r="E194" s="54"/>
      <c r="F194" s="54"/>
      <c r="G194" s="54"/>
      <c r="I194" s="54"/>
      <c r="J194" s="54"/>
      <c r="K194" s="60"/>
    </row>
    <row r="195" spans="3:11" ht="15.75" customHeight="1" x14ac:dyDescent="0.2">
      <c r="C195" s="60"/>
      <c r="D195" s="54"/>
      <c r="E195" s="54"/>
      <c r="F195" s="54"/>
      <c r="G195" s="54"/>
      <c r="I195" s="54"/>
      <c r="J195" s="54"/>
      <c r="K195" s="60"/>
    </row>
    <row r="196" spans="3:11" ht="15.75" customHeight="1" x14ac:dyDescent="0.2">
      <c r="C196" s="60"/>
      <c r="D196" s="54"/>
      <c r="E196" s="54"/>
      <c r="F196" s="54"/>
      <c r="G196" s="54"/>
      <c r="I196" s="54"/>
      <c r="J196" s="54"/>
      <c r="K196" s="60"/>
    </row>
    <row r="197" spans="3:11" ht="15.75" customHeight="1" x14ac:dyDescent="0.2">
      <c r="C197" s="60"/>
      <c r="D197" s="54"/>
      <c r="E197" s="54"/>
      <c r="F197" s="54"/>
      <c r="G197" s="54"/>
      <c r="I197" s="54"/>
      <c r="J197" s="54"/>
      <c r="K197" s="60"/>
    </row>
    <row r="198" spans="3:11" ht="15.75" customHeight="1" x14ac:dyDescent="0.2">
      <c r="C198" s="60"/>
      <c r="D198" s="54"/>
      <c r="E198" s="54"/>
      <c r="F198" s="54"/>
      <c r="G198" s="54"/>
      <c r="I198" s="54"/>
      <c r="J198" s="54"/>
      <c r="K198" s="60"/>
    </row>
    <row r="199" spans="3:11" ht="15.75" customHeight="1" x14ac:dyDescent="0.2">
      <c r="C199" s="60"/>
      <c r="D199" s="54"/>
      <c r="E199" s="54"/>
      <c r="F199" s="54"/>
      <c r="G199" s="54"/>
      <c r="I199" s="54"/>
      <c r="J199" s="54"/>
      <c r="K199" s="60"/>
    </row>
    <row r="200" spans="3:11" ht="15.75" customHeight="1" x14ac:dyDescent="0.2">
      <c r="C200" s="60"/>
      <c r="D200" s="54"/>
      <c r="E200" s="54"/>
      <c r="F200" s="54"/>
      <c r="G200" s="54"/>
      <c r="I200" s="54"/>
      <c r="J200" s="54"/>
      <c r="K200" s="60"/>
    </row>
    <row r="201" spans="3:11" ht="15.75" customHeight="1" x14ac:dyDescent="0.2">
      <c r="C201" s="60"/>
      <c r="D201" s="54"/>
      <c r="E201" s="54"/>
      <c r="F201" s="54"/>
      <c r="G201" s="54"/>
      <c r="I201" s="54"/>
      <c r="J201" s="54"/>
      <c r="K201" s="60"/>
    </row>
    <row r="202" spans="3:11" ht="15.75" customHeight="1" x14ac:dyDescent="0.2">
      <c r="C202" s="60"/>
      <c r="D202" s="54"/>
      <c r="E202" s="54"/>
      <c r="F202" s="54"/>
      <c r="G202" s="54"/>
      <c r="I202" s="54"/>
      <c r="J202" s="54"/>
      <c r="K202" s="60"/>
    </row>
    <row r="203" spans="3:11" ht="15.75" customHeight="1" x14ac:dyDescent="0.2">
      <c r="C203" s="60"/>
      <c r="D203" s="54"/>
      <c r="E203" s="54"/>
      <c r="F203" s="54"/>
      <c r="G203" s="54"/>
      <c r="I203" s="54"/>
      <c r="J203" s="54"/>
      <c r="K203" s="60"/>
    </row>
    <row r="204" spans="3:11" ht="15.75" customHeight="1" x14ac:dyDescent="0.2">
      <c r="C204" s="60"/>
      <c r="D204" s="54"/>
      <c r="E204" s="54"/>
      <c r="F204" s="54"/>
      <c r="G204" s="54"/>
      <c r="I204" s="54"/>
      <c r="J204" s="54"/>
      <c r="K204" s="60"/>
    </row>
    <row r="205" spans="3:11" ht="15.75" customHeight="1" x14ac:dyDescent="0.2">
      <c r="C205" s="60"/>
      <c r="D205" s="54"/>
      <c r="E205" s="54"/>
      <c r="F205" s="54"/>
      <c r="G205" s="54"/>
      <c r="I205" s="54"/>
      <c r="J205" s="54"/>
      <c r="K205" s="60"/>
    </row>
    <row r="206" spans="3:11" ht="15.75" customHeight="1" x14ac:dyDescent="0.2">
      <c r="C206" s="60"/>
      <c r="D206" s="54"/>
      <c r="E206" s="54"/>
      <c r="F206" s="54"/>
      <c r="G206" s="54"/>
      <c r="I206" s="54"/>
      <c r="J206" s="54"/>
      <c r="K206" s="60"/>
    </row>
    <row r="207" spans="3:11" ht="15.75" customHeight="1" x14ac:dyDescent="0.2">
      <c r="C207" s="60"/>
      <c r="D207" s="54"/>
      <c r="E207" s="54"/>
      <c r="F207" s="54"/>
      <c r="G207" s="54"/>
      <c r="I207" s="54"/>
      <c r="J207" s="54"/>
      <c r="K207" s="60"/>
    </row>
    <row r="208" spans="3:11" ht="15.75" customHeight="1" x14ac:dyDescent="0.2">
      <c r="C208" s="60"/>
      <c r="D208" s="54"/>
      <c r="E208" s="54"/>
      <c r="F208" s="54"/>
      <c r="G208" s="54"/>
      <c r="I208" s="54"/>
      <c r="J208" s="54"/>
      <c r="K208" s="60"/>
    </row>
    <row r="209" spans="3:11" ht="15.75" customHeight="1" x14ac:dyDescent="0.2">
      <c r="C209" s="60"/>
      <c r="D209" s="54"/>
      <c r="E209" s="54"/>
      <c r="F209" s="54"/>
      <c r="G209" s="54"/>
      <c r="I209" s="54"/>
      <c r="J209" s="54"/>
      <c r="K209" s="60"/>
    </row>
    <row r="210" spans="3:11" ht="15.75" customHeight="1" x14ac:dyDescent="0.2">
      <c r="C210" s="60"/>
      <c r="D210" s="54"/>
      <c r="E210" s="54"/>
      <c r="F210" s="54"/>
      <c r="G210" s="54"/>
      <c r="I210" s="54"/>
      <c r="J210" s="54"/>
      <c r="K210" s="60"/>
    </row>
    <row r="211" spans="3:11" ht="15.75" customHeight="1" x14ac:dyDescent="0.2">
      <c r="C211" s="60"/>
      <c r="D211" s="54"/>
      <c r="E211" s="54"/>
      <c r="F211" s="54"/>
      <c r="G211" s="54"/>
      <c r="I211" s="54"/>
      <c r="J211" s="54"/>
      <c r="K211" s="60"/>
    </row>
    <row r="212" spans="3:11" ht="15.75" customHeight="1" x14ac:dyDescent="0.2">
      <c r="C212" s="60"/>
      <c r="D212" s="54"/>
      <c r="E212" s="54"/>
      <c r="F212" s="54"/>
      <c r="G212" s="54"/>
      <c r="I212" s="54"/>
      <c r="J212" s="54"/>
      <c r="K212" s="60"/>
    </row>
    <row r="213" spans="3:11" ht="15.75" customHeight="1" x14ac:dyDescent="0.2">
      <c r="C213" s="60"/>
      <c r="D213" s="54"/>
      <c r="E213" s="54"/>
      <c r="F213" s="54"/>
      <c r="G213" s="54"/>
      <c r="I213" s="54"/>
      <c r="J213" s="54"/>
      <c r="K213" s="60"/>
    </row>
    <row r="214" spans="3:11" ht="15.75" customHeight="1" x14ac:dyDescent="0.2">
      <c r="C214" s="60"/>
      <c r="D214" s="54"/>
      <c r="E214" s="54"/>
      <c r="F214" s="54"/>
      <c r="G214" s="54"/>
      <c r="I214" s="54"/>
      <c r="J214" s="54"/>
      <c r="K214" s="60"/>
    </row>
    <row r="215" spans="3:11" ht="15.75" customHeight="1" x14ac:dyDescent="0.2">
      <c r="C215" s="60"/>
      <c r="D215" s="54"/>
      <c r="E215" s="54"/>
      <c r="F215" s="54"/>
      <c r="G215" s="54"/>
      <c r="I215" s="54"/>
      <c r="J215" s="54"/>
      <c r="K215" s="60"/>
    </row>
    <row r="216" spans="3:11" ht="15.75" customHeight="1" x14ac:dyDescent="0.2">
      <c r="C216" s="60"/>
      <c r="D216" s="54"/>
      <c r="E216" s="54"/>
      <c r="F216" s="54"/>
      <c r="G216" s="54"/>
      <c r="I216" s="54"/>
      <c r="J216" s="54"/>
      <c r="K216" s="60"/>
    </row>
    <row r="217" spans="3:11" ht="15.75" customHeight="1" x14ac:dyDescent="0.2">
      <c r="C217" s="60"/>
      <c r="D217" s="54"/>
      <c r="E217" s="54"/>
      <c r="F217" s="54"/>
      <c r="G217" s="54"/>
      <c r="I217" s="54"/>
      <c r="J217" s="54"/>
      <c r="K217" s="60"/>
    </row>
    <row r="218" spans="3:11" ht="15.75" customHeight="1" x14ac:dyDescent="0.2">
      <c r="C218" s="60"/>
      <c r="D218" s="54"/>
      <c r="E218" s="54"/>
      <c r="F218" s="54"/>
      <c r="G218" s="54"/>
      <c r="I218" s="54"/>
      <c r="J218" s="54"/>
      <c r="K218" s="60"/>
    </row>
    <row r="219" spans="3:11" ht="15.75" customHeight="1" x14ac:dyDescent="0.2">
      <c r="C219" s="60"/>
      <c r="D219" s="54"/>
      <c r="E219" s="54"/>
      <c r="F219" s="54"/>
      <c r="G219" s="54"/>
      <c r="I219" s="54"/>
      <c r="J219" s="54"/>
      <c r="K219" s="60"/>
    </row>
    <row r="220" spans="3:11" ht="15.75" customHeight="1" x14ac:dyDescent="0.2">
      <c r="C220" s="60"/>
      <c r="D220" s="54"/>
      <c r="E220" s="54"/>
      <c r="F220" s="54"/>
      <c r="G220" s="54"/>
      <c r="I220" s="54"/>
      <c r="J220" s="54"/>
      <c r="K220" s="60"/>
    </row>
    <row r="221" spans="3:11" ht="15.75" customHeight="1" x14ac:dyDescent="0.2">
      <c r="C221" s="60"/>
      <c r="D221" s="54"/>
      <c r="E221" s="54"/>
      <c r="F221" s="54"/>
      <c r="G221" s="54"/>
      <c r="I221" s="54"/>
      <c r="J221" s="54"/>
      <c r="K221" s="60"/>
    </row>
    <row r="222" spans="3:11" ht="15.75" customHeight="1" x14ac:dyDescent="0.2">
      <c r="C222" s="60"/>
      <c r="D222" s="54"/>
      <c r="E222" s="54"/>
      <c r="F222" s="54"/>
      <c r="G222" s="54"/>
      <c r="I222" s="54"/>
      <c r="J222" s="54"/>
      <c r="K222" s="60"/>
    </row>
    <row r="223" spans="3:11" ht="15.75" customHeight="1" x14ac:dyDescent="0.2">
      <c r="C223" s="60"/>
      <c r="D223" s="54"/>
      <c r="E223" s="54"/>
      <c r="F223" s="54"/>
      <c r="G223" s="54"/>
      <c r="I223" s="54"/>
      <c r="J223" s="54"/>
      <c r="K223" s="60"/>
    </row>
    <row r="224" spans="3:11" ht="15.75" customHeight="1" x14ac:dyDescent="0.2">
      <c r="C224" s="60"/>
      <c r="D224" s="54"/>
      <c r="E224" s="54"/>
      <c r="F224" s="54"/>
      <c r="G224" s="54"/>
      <c r="I224" s="54"/>
      <c r="J224" s="54"/>
      <c r="K224" s="60"/>
    </row>
    <row r="225" spans="3:11" ht="15.75" customHeight="1" x14ac:dyDescent="0.2">
      <c r="C225" s="60"/>
      <c r="D225" s="54"/>
      <c r="E225" s="54"/>
      <c r="F225" s="54"/>
      <c r="G225" s="54"/>
      <c r="I225" s="54"/>
      <c r="J225" s="54"/>
      <c r="K225" s="60"/>
    </row>
    <row r="226" spans="3:11" ht="15.75" customHeight="1" x14ac:dyDescent="0.2">
      <c r="C226" s="60"/>
      <c r="D226" s="54"/>
      <c r="E226" s="54"/>
      <c r="F226" s="54"/>
      <c r="G226" s="54"/>
      <c r="I226" s="54"/>
      <c r="J226" s="54"/>
      <c r="K226" s="60"/>
    </row>
    <row r="227" spans="3:11" ht="15.75" customHeight="1" x14ac:dyDescent="0.2">
      <c r="C227" s="60"/>
      <c r="D227" s="54"/>
      <c r="E227" s="54"/>
      <c r="F227" s="54"/>
      <c r="G227" s="54"/>
      <c r="I227" s="54"/>
      <c r="J227" s="54"/>
      <c r="K227" s="60"/>
    </row>
    <row r="228" spans="3:11" ht="15.75" customHeight="1" x14ac:dyDescent="0.2">
      <c r="C228" s="60"/>
      <c r="D228" s="54"/>
      <c r="E228" s="54"/>
      <c r="F228" s="54"/>
      <c r="G228" s="54"/>
      <c r="I228" s="54"/>
      <c r="J228" s="54"/>
      <c r="K228" s="60"/>
    </row>
    <row r="229" spans="3:11" ht="15.75" customHeight="1" x14ac:dyDescent="0.2">
      <c r="C229" s="60"/>
      <c r="D229" s="54"/>
      <c r="E229" s="54"/>
      <c r="F229" s="54"/>
      <c r="G229" s="54"/>
      <c r="I229" s="54"/>
      <c r="J229" s="54"/>
      <c r="K229" s="60"/>
    </row>
    <row r="230" spans="3:11" ht="15.75" customHeight="1" x14ac:dyDescent="0.2">
      <c r="C230" s="60"/>
      <c r="D230" s="54"/>
      <c r="E230" s="54"/>
      <c r="F230" s="54"/>
      <c r="G230" s="54"/>
      <c r="I230" s="54"/>
      <c r="J230" s="54"/>
      <c r="K230" s="60"/>
    </row>
    <row r="231" spans="3:11" ht="15.75" customHeight="1" x14ac:dyDescent="0.2">
      <c r="C231" s="60"/>
      <c r="D231" s="54"/>
      <c r="E231" s="54"/>
      <c r="F231" s="54"/>
      <c r="G231" s="54"/>
      <c r="I231" s="54"/>
      <c r="J231" s="54"/>
      <c r="K231" s="60"/>
    </row>
    <row r="232" spans="3:11" ht="15.75" customHeight="1" x14ac:dyDescent="0.2">
      <c r="C232" s="60"/>
      <c r="D232" s="54"/>
      <c r="E232" s="54"/>
      <c r="F232" s="54"/>
      <c r="G232" s="54"/>
      <c r="I232" s="54"/>
      <c r="J232" s="54"/>
      <c r="K232" s="60"/>
    </row>
    <row r="233" spans="3:11" ht="15.75" customHeight="1" x14ac:dyDescent="0.2">
      <c r="C233" s="60"/>
      <c r="D233" s="54"/>
      <c r="E233" s="54"/>
      <c r="F233" s="54"/>
      <c r="G233" s="54"/>
      <c r="I233" s="54"/>
      <c r="J233" s="54"/>
      <c r="K233" s="60"/>
    </row>
    <row r="234" spans="3:11" ht="15.75" customHeight="1" x14ac:dyDescent="0.2">
      <c r="C234" s="60"/>
      <c r="D234" s="54"/>
      <c r="E234" s="54"/>
      <c r="F234" s="54"/>
      <c r="G234" s="54"/>
      <c r="I234" s="54"/>
      <c r="J234" s="54"/>
      <c r="K234" s="60"/>
    </row>
    <row r="235" spans="3:11" ht="15.75" customHeight="1" x14ac:dyDescent="0.2">
      <c r="C235" s="60"/>
      <c r="D235" s="54"/>
      <c r="E235" s="54"/>
      <c r="F235" s="54"/>
      <c r="G235" s="54"/>
      <c r="I235" s="54"/>
      <c r="J235" s="54"/>
      <c r="K235" s="60"/>
    </row>
    <row r="236" spans="3:11" ht="15.75" customHeight="1" x14ac:dyDescent="0.2">
      <c r="C236" s="60"/>
      <c r="D236" s="54"/>
      <c r="E236" s="54"/>
      <c r="F236" s="54"/>
      <c r="G236" s="54"/>
      <c r="I236" s="54"/>
      <c r="J236" s="54"/>
      <c r="K236" s="60"/>
    </row>
    <row r="237" spans="3:11" ht="15.75" customHeight="1" x14ac:dyDescent="0.2">
      <c r="C237" s="60"/>
      <c r="D237" s="54"/>
      <c r="E237" s="54"/>
      <c r="F237" s="54"/>
      <c r="G237" s="54"/>
      <c r="I237" s="54"/>
      <c r="J237" s="54"/>
      <c r="K237" s="60"/>
    </row>
    <row r="238" spans="3:11" ht="15.75" customHeight="1" x14ac:dyDescent="0.2">
      <c r="C238" s="60"/>
      <c r="D238" s="54"/>
      <c r="E238" s="54"/>
      <c r="F238" s="54"/>
      <c r="G238" s="54"/>
      <c r="I238" s="54"/>
      <c r="J238" s="54"/>
      <c r="K238" s="60"/>
    </row>
    <row r="239" spans="3:11" ht="15.75" customHeight="1" x14ac:dyDescent="0.2">
      <c r="C239" s="60"/>
      <c r="D239" s="54"/>
      <c r="E239" s="54"/>
      <c r="F239" s="54"/>
      <c r="G239" s="54"/>
      <c r="I239" s="54"/>
      <c r="J239" s="54"/>
      <c r="K239" s="60"/>
    </row>
    <row r="240" spans="3:11" ht="15.75" customHeight="1" x14ac:dyDescent="0.2">
      <c r="C240" s="60"/>
      <c r="D240" s="54"/>
      <c r="E240" s="54"/>
      <c r="F240" s="54"/>
      <c r="G240" s="54"/>
      <c r="I240" s="54"/>
      <c r="J240" s="54"/>
      <c r="K240" s="60"/>
    </row>
    <row r="241" spans="3:11" ht="15.75" customHeight="1" x14ac:dyDescent="0.2">
      <c r="C241" s="60"/>
      <c r="D241" s="54"/>
      <c r="E241" s="54"/>
      <c r="F241" s="54"/>
      <c r="G241" s="54"/>
      <c r="I241" s="54"/>
      <c r="J241" s="54"/>
      <c r="K241" s="60"/>
    </row>
    <row r="242" spans="3:11" ht="15.75" customHeight="1" x14ac:dyDescent="0.2">
      <c r="C242" s="60"/>
      <c r="D242" s="54"/>
      <c r="E242" s="54"/>
      <c r="F242" s="54"/>
      <c r="G242" s="54"/>
      <c r="I242" s="54"/>
      <c r="J242" s="54"/>
      <c r="K242" s="60"/>
    </row>
    <row r="243" spans="3:11" ht="15.75" customHeight="1" x14ac:dyDescent="0.2">
      <c r="C243" s="60"/>
      <c r="D243" s="54"/>
      <c r="E243" s="54"/>
      <c r="F243" s="54"/>
      <c r="G243" s="54"/>
      <c r="I243" s="54"/>
      <c r="J243" s="54"/>
      <c r="K243" s="60"/>
    </row>
    <row r="244" spans="3:11" ht="15.75" customHeight="1" x14ac:dyDescent="0.2">
      <c r="C244" s="60"/>
      <c r="D244" s="54"/>
      <c r="E244" s="54"/>
      <c r="F244" s="54"/>
      <c r="G244" s="54"/>
      <c r="I244" s="54"/>
      <c r="J244" s="54"/>
      <c r="K244" s="60"/>
    </row>
    <row r="245" spans="3:11" ht="15.75" customHeight="1" x14ac:dyDescent="0.2">
      <c r="C245" s="60"/>
      <c r="D245" s="54"/>
      <c r="E245" s="54"/>
      <c r="F245" s="54"/>
      <c r="G245" s="54"/>
      <c r="I245" s="54"/>
      <c r="J245" s="54"/>
      <c r="K245" s="60"/>
    </row>
    <row r="246" spans="3:11" ht="15.75" customHeight="1" x14ac:dyDescent="0.2">
      <c r="C246" s="60"/>
      <c r="D246" s="54"/>
      <c r="E246" s="54"/>
      <c r="F246" s="54"/>
      <c r="G246" s="54"/>
      <c r="I246" s="54"/>
      <c r="J246" s="54"/>
      <c r="K246" s="60"/>
    </row>
    <row r="247" spans="3:11" ht="15.75" customHeight="1" x14ac:dyDescent="0.2">
      <c r="C247" s="60"/>
      <c r="D247" s="54"/>
      <c r="E247" s="54"/>
      <c r="F247" s="54"/>
      <c r="G247" s="54"/>
      <c r="I247" s="54"/>
      <c r="J247" s="54"/>
      <c r="K247" s="60"/>
    </row>
    <row r="248" spans="3:11" ht="15.75" customHeight="1" x14ac:dyDescent="0.2">
      <c r="C248" s="60"/>
      <c r="D248" s="54"/>
      <c r="E248" s="54"/>
      <c r="F248" s="54"/>
      <c r="G248" s="54"/>
      <c r="I248" s="54"/>
      <c r="J248" s="54"/>
      <c r="K248" s="60"/>
    </row>
    <row r="249" spans="3:11" ht="15.75" customHeight="1" x14ac:dyDescent="0.2">
      <c r="C249" s="60"/>
      <c r="D249" s="54"/>
      <c r="E249" s="54"/>
      <c r="F249" s="54"/>
      <c r="G249" s="54"/>
      <c r="I249" s="54"/>
      <c r="J249" s="54"/>
      <c r="K249" s="60"/>
    </row>
    <row r="250" spans="3:11" ht="15.75" customHeight="1" x14ac:dyDescent="0.2">
      <c r="C250" s="60"/>
      <c r="D250" s="54"/>
      <c r="E250" s="54"/>
      <c r="F250" s="54"/>
      <c r="G250" s="54"/>
      <c r="I250" s="54"/>
      <c r="J250" s="54"/>
      <c r="K250" s="60"/>
    </row>
    <row r="251" spans="3:11" ht="15.75" customHeight="1" x14ac:dyDescent="0.2">
      <c r="C251" s="60"/>
      <c r="D251" s="54"/>
      <c r="E251" s="54"/>
      <c r="F251" s="54"/>
      <c r="G251" s="54"/>
      <c r="I251" s="54"/>
      <c r="J251" s="54"/>
      <c r="K251" s="60"/>
    </row>
    <row r="252" spans="3:11" ht="15.75" customHeight="1" x14ac:dyDescent="0.2">
      <c r="C252" s="60"/>
      <c r="D252" s="54"/>
      <c r="E252" s="54"/>
      <c r="F252" s="54"/>
      <c r="G252" s="54"/>
      <c r="I252" s="54"/>
      <c r="J252" s="54"/>
      <c r="K252" s="60"/>
    </row>
    <row r="253" spans="3:11" ht="15.75" customHeight="1" x14ac:dyDescent="0.2">
      <c r="C253" s="60"/>
      <c r="D253" s="54"/>
      <c r="E253" s="54"/>
      <c r="F253" s="54"/>
      <c r="G253" s="54"/>
      <c r="I253" s="54"/>
      <c r="J253" s="54"/>
      <c r="K253" s="60"/>
    </row>
    <row r="254" spans="3:11" ht="15.75" customHeight="1" x14ac:dyDescent="0.2">
      <c r="C254" s="60"/>
      <c r="D254" s="54"/>
      <c r="E254" s="54"/>
      <c r="F254" s="54"/>
      <c r="G254" s="54"/>
      <c r="I254" s="54"/>
      <c r="J254" s="54"/>
      <c r="K254" s="60"/>
    </row>
    <row r="255" spans="3:11" ht="15.75" customHeight="1" x14ac:dyDescent="0.2">
      <c r="C255" s="60"/>
      <c r="D255" s="54"/>
      <c r="E255" s="54"/>
      <c r="F255" s="54"/>
      <c r="G255" s="54"/>
      <c r="I255" s="54"/>
      <c r="J255" s="54"/>
      <c r="K255" s="60"/>
    </row>
    <row r="256" spans="3:11" ht="15.75" customHeight="1" x14ac:dyDescent="0.2">
      <c r="C256" s="60"/>
      <c r="D256" s="54"/>
      <c r="E256" s="54"/>
      <c r="F256" s="54"/>
      <c r="G256" s="54"/>
      <c r="I256" s="54"/>
      <c r="J256" s="54"/>
      <c r="K256" s="60"/>
    </row>
    <row r="257" spans="3:11" ht="15.75" customHeight="1" x14ac:dyDescent="0.2">
      <c r="C257" s="60"/>
      <c r="D257" s="54"/>
      <c r="E257" s="54"/>
      <c r="F257" s="54"/>
      <c r="G257" s="54"/>
      <c r="I257" s="54"/>
      <c r="J257" s="54"/>
      <c r="K257" s="60"/>
    </row>
    <row r="258" spans="3:11" ht="15.75" customHeight="1" x14ac:dyDescent="0.2">
      <c r="C258" s="60"/>
      <c r="D258" s="54"/>
      <c r="E258" s="54"/>
      <c r="F258" s="54"/>
      <c r="G258" s="54"/>
      <c r="I258" s="54"/>
      <c r="J258" s="54"/>
      <c r="K258" s="60"/>
    </row>
    <row r="259" spans="3:11" ht="15.75" customHeight="1" x14ac:dyDescent="0.2">
      <c r="C259" s="60"/>
      <c r="D259" s="54"/>
      <c r="E259" s="54"/>
      <c r="F259" s="54"/>
      <c r="G259" s="54"/>
      <c r="I259" s="54"/>
      <c r="J259" s="54"/>
      <c r="K259" s="60"/>
    </row>
    <row r="260" spans="3:11" ht="15.75" customHeight="1" x14ac:dyDescent="0.2">
      <c r="C260" s="60"/>
      <c r="D260" s="54"/>
      <c r="E260" s="54"/>
      <c r="F260" s="54"/>
      <c r="G260" s="54"/>
      <c r="I260" s="54"/>
      <c r="J260" s="54"/>
      <c r="K260" s="60"/>
    </row>
    <row r="261" spans="3:11" ht="15.75" customHeight="1" x14ac:dyDescent="0.2">
      <c r="C261" s="60"/>
      <c r="D261" s="54"/>
      <c r="E261" s="54"/>
      <c r="F261" s="54"/>
      <c r="G261" s="54"/>
      <c r="I261" s="54"/>
      <c r="J261" s="54"/>
      <c r="K261" s="60"/>
    </row>
    <row r="262" spans="3:11" ht="15.75" customHeight="1" x14ac:dyDescent="0.2">
      <c r="C262" s="60"/>
      <c r="D262" s="54"/>
      <c r="E262" s="54"/>
      <c r="F262" s="54"/>
      <c r="G262" s="54"/>
      <c r="I262" s="54"/>
      <c r="J262" s="54"/>
      <c r="K262" s="60"/>
    </row>
    <row r="263" spans="3:11" ht="15.75" customHeight="1" x14ac:dyDescent="0.2">
      <c r="C263" s="60"/>
      <c r="D263" s="54"/>
      <c r="E263" s="54"/>
      <c r="F263" s="54"/>
      <c r="G263" s="54"/>
      <c r="I263" s="54"/>
      <c r="J263" s="54"/>
      <c r="K263" s="60"/>
    </row>
    <row r="264" spans="3:11" ht="15.75" customHeight="1" x14ac:dyDescent="0.2">
      <c r="C264" s="60"/>
      <c r="D264" s="54"/>
      <c r="E264" s="54"/>
      <c r="F264" s="54"/>
      <c r="G264" s="54"/>
      <c r="I264" s="54"/>
      <c r="J264" s="54"/>
      <c r="K264" s="60"/>
    </row>
    <row r="265" spans="3:11" ht="15.75" customHeight="1" x14ac:dyDescent="0.2">
      <c r="C265" s="60"/>
      <c r="D265" s="54"/>
      <c r="E265" s="54"/>
      <c r="F265" s="54"/>
      <c r="G265" s="54"/>
      <c r="I265" s="54"/>
      <c r="J265" s="54"/>
      <c r="K265" s="60"/>
    </row>
    <row r="266" spans="3:11" ht="15.75" customHeight="1" x14ac:dyDescent="0.2">
      <c r="C266" s="60"/>
      <c r="D266" s="54"/>
      <c r="E266" s="54"/>
      <c r="F266" s="54"/>
      <c r="G266" s="54"/>
      <c r="I266" s="54"/>
      <c r="J266" s="54"/>
      <c r="K266" s="60"/>
    </row>
    <row r="267" spans="3:11" ht="15.75" customHeight="1" x14ac:dyDescent="0.2">
      <c r="C267" s="60"/>
      <c r="D267" s="54"/>
      <c r="E267" s="54"/>
      <c r="F267" s="54"/>
      <c r="G267" s="54"/>
      <c r="I267" s="54"/>
      <c r="J267" s="54"/>
      <c r="K267" s="60"/>
    </row>
    <row r="268" spans="3:11" ht="15.75" customHeight="1" x14ac:dyDescent="0.2">
      <c r="C268" s="60"/>
      <c r="D268" s="54"/>
      <c r="E268" s="54"/>
      <c r="F268" s="54"/>
      <c r="G268" s="54"/>
      <c r="I268" s="54"/>
      <c r="J268" s="54"/>
      <c r="K268" s="60"/>
    </row>
    <row r="269" spans="3:11" ht="15.75" customHeight="1" x14ac:dyDescent="0.2">
      <c r="C269" s="60"/>
      <c r="D269" s="54"/>
      <c r="E269" s="54"/>
      <c r="F269" s="54"/>
      <c r="G269" s="54"/>
      <c r="I269" s="54"/>
      <c r="J269" s="54"/>
      <c r="K269" s="60"/>
    </row>
    <row r="270" spans="3:11" ht="15.75" customHeight="1" x14ac:dyDescent="0.2">
      <c r="C270" s="60"/>
      <c r="D270" s="54"/>
      <c r="E270" s="54"/>
      <c r="F270" s="54"/>
      <c r="G270" s="54"/>
      <c r="I270" s="54"/>
      <c r="J270" s="54"/>
      <c r="K270" s="60"/>
    </row>
    <row r="271" spans="3:11" ht="15.75" customHeight="1" x14ac:dyDescent="0.2">
      <c r="C271" s="60"/>
      <c r="D271" s="54"/>
      <c r="E271" s="54"/>
      <c r="F271" s="54"/>
      <c r="G271" s="54"/>
      <c r="I271" s="54"/>
      <c r="J271" s="54"/>
      <c r="K271" s="60"/>
    </row>
    <row r="272" spans="3:11" ht="15.75" customHeight="1" x14ac:dyDescent="0.2">
      <c r="C272" s="60"/>
      <c r="D272" s="54"/>
      <c r="E272" s="54"/>
      <c r="F272" s="54"/>
      <c r="G272" s="54"/>
      <c r="I272" s="54"/>
      <c r="J272" s="54"/>
      <c r="K272" s="60"/>
    </row>
    <row r="273" spans="3:11" ht="15.75" customHeight="1" x14ac:dyDescent="0.2">
      <c r="C273" s="60"/>
      <c r="D273" s="54"/>
      <c r="E273" s="54"/>
      <c r="F273" s="54"/>
      <c r="G273" s="54"/>
      <c r="I273" s="54"/>
      <c r="J273" s="54"/>
      <c r="K273" s="60"/>
    </row>
    <row r="274" spans="3:11" ht="15.75" customHeight="1" x14ac:dyDescent="0.2">
      <c r="C274" s="60"/>
      <c r="D274" s="54"/>
      <c r="E274" s="54"/>
      <c r="F274" s="54"/>
      <c r="G274" s="54"/>
      <c r="I274" s="54"/>
      <c r="J274" s="54"/>
      <c r="K274" s="60"/>
    </row>
    <row r="275" spans="3:11" ht="15.75" customHeight="1" x14ac:dyDescent="0.2">
      <c r="C275" s="60"/>
      <c r="D275" s="54"/>
      <c r="E275" s="54"/>
      <c r="F275" s="54"/>
      <c r="G275" s="54"/>
      <c r="I275" s="54"/>
      <c r="J275" s="54"/>
      <c r="K275" s="60"/>
    </row>
    <row r="276" spans="3:11" ht="15.75" customHeight="1" x14ac:dyDescent="0.2">
      <c r="C276" s="60"/>
      <c r="D276" s="54"/>
      <c r="E276" s="54"/>
      <c r="F276" s="54"/>
      <c r="G276" s="54"/>
      <c r="I276" s="54"/>
      <c r="J276" s="54"/>
      <c r="K276" s="60"/>
    </row>
    <row r="277" spans="3:11" ht="15.75" customHeight="1" x14ac:dyDescent="0.2">
      <c r="C277" s="60"/>
      <c r="D277" s="54"/>
      <c r="E277" s="54"/>
      <c r="F277" s="54"/>
      <c r="G277" s="54"/>
      <c r="I277" s="54"/>
      <c r="J277" s="54"/>
      <c r="K277" s="60"/>
    </row>
    <row r="278" spans="3:11" ht="15.75" customHeight="1" x14ac:dyDescent="0.2">
      <c r="C278" s="60"/>
      <c r="D278" s="54"/>
      <c r="E278" s="54"/>
      <c r="F278" s="54"/>
      <c r="G278" s="54"/>
      <c r="I278" s="54"/>
      <c r="J278" s="54"/>
      <c r="K278" s="60"/>
    </row>
    <row r="279" spans="3:11" ht="15.75" customHeight="1" x14ac:dyDescent="0.2">
      <c r="C279" s="60"/>
      <c r="D279" s="54"/>
      <c r="E279" s="54"/>
      <c r="F279" s="54"/>
      <c r="G279" s="54"/>
      <c r="I279" s="54"/>
      <c r="J279" s="54"/>
      <c r="K279" s="60"/>
    </row>
    <row r="280" spans="3:11" ht="15.75" customHeight="1" x14ac:dyDescent="0.2">
      <c r="C280" s="60"/>
      <c r="D280" s="54"/>
      <c r="E280" s="54"/>
      <c r="F280" s="54"/>
      <c r="G280" s="54"/>
      <c r="I280" s="54"/>
      <c r="J280" s="54"/>
      <c r="K280" s="60"/>
    </row>
    <row r="281" spans="3:11" ht="15.75" customHeight="1" x14ac:dyDescent="0.2">
      <c r="C281" s="60"/>
      <c r="D281" s="54"/>
      <c r="E281" s="54"/>
      <c r="F281" s="54"/>
      <c r="G281" s="54"/>
      <c r="I281" s="54"/>
      <c r="J281" s="54"/>
      <c r="K281" s="60"/>
    </row>
    <row r="282" spans="3:11" ht="15.75" customHeight="1" x14ac:dyDescent="0.2">
      <c r="C282" s="60"/>
      <c r="D282" s="54"/>
      <c r="E282" s="54"/>
      <c r="F282" s="54"/>
      <c r="G282" s="54"/>
      <c r="I282" s="54"/>
      <c r="J282" s="54"/>
      <c r="K282" s="60"/>
    </row>
    <row r="283" spans="3:11" ht="15.75" customHeight="1" x14ac:dyDescent="0.2">
      <c r="C283" s="60"/>
      <c r="D283" s="54"/>
      <c r="E283" s="54"/>
      <c r="F283" s="54"/>
      <c r="G283" s="54"/>
      <c r="I283" s="54"/>
      <c r="J283" s="54"/>
      <c r="K283" s="60"/>
    </row>
    <row r="284" spans="3:11" ht="15.75" customHeight="1" x14ac:dyDescent="0.2">
      <c r="C284" s="60"/>
      <c r="D284" s="54"/>
      <c r="E284" s="54"/>
      <c r="F284" s="54"/>
      <c r="G284" s="54"/>
      <c r="I284" s="54"/>
      <c r="J284" s="54"/>
      <c r="K284" s="60"/>
    </row>
    <row r="285" spans="3:11" ht="15.75" customHeight="1" x14ac:dyDescent="0.2">
      <c r="C285" s="60"/>
      <c r="D285" s="54"/>
      <c r="E285" s="54"/>
      <c r="F285" s="54"/>
      <c r="G285" s="54"/>
      <c r="I285" s="54"/>
      <c r="J285" s="54"/>
      <c r="K285" s="60"/>
    </row>
    <row r="286" spans="3:11" ht="15.75" customHeight="1" x14ac:dyDescent="0.2">
      <c r="C286" s="60"/>
      <c r="D286" s="54"/>
      <c r="E286" s="54"/>
      <c r="F286" s="54"/>
      <c r="G286" s="54"/>
      <c r="I286" s="54"/>
      <c r="J286" s="54"/>
      <c r="K286" s="60"/>
    </row>
    <row r="287" spans="3:11" ht="15.75" customHeight="1" x14ac:dyDescent="0.2">
      <c r="C287" s="60"/>
      <c r="D287" s="54"/>
      <c r="E287" s="54"/>
      <c r="F287" s="54"/>
      <c r="G287" s="54"/>
      <c r="I287" s="54"/>
      <c r="J287" s="54"/>
      <c r="K287" s="60"/>
    </row>
    <row r="288" spans="3:11" ht="15.75" customHeight="1" x14ac:dyDescent="0.2">
      <c r="C288" s="60"/>
      <c r="D288" s="54"/>
      <c r="E288" s="54"/>
      <c r="F288" s="54"/>
      <c r="G288" s="54"/>
      <c r="I288" s="54"/>
      <c r="J288" s="54"/>
      <c r="K288" s="60"/>
    </row>
    <row r="289" spans="3:11" ht="15.75" customHeight="1" x14ac:dyDescent="0.2">
      <c r="C289" s="60"/>
      <c r="D289" s="54"/>
      <c r="E289" s="54"/>
      <c r="F289" s="54"/>
      <c r="G289" s="54"/>
      <c r="I289" s="54"/>
      <c r="J289" s="54"/>
      <c r="K289" s="60"/>
    </row>
    <row r="290" spans="3:11" ht="15.75" customHeight="1" x14ac:dyDescent="0.2">
      <c r="C290" s="60"/>
      <c r="D290" s="54"/>
      <c r="E290" s="54"/>
      <c r="F290" s="54"/>
      <c r="G290" s="54"/>
      <c r="I290" s="54"/>
      <c r="J290" s="54"/>
      <c r="K290" s="60"/>
    </row>
    <row r="291" spans="3:11" ht="15.75" customHeight="1" x14ac:dyDescent="0.2">
      <c r="C291" s="60"/>
      <c r="D291" s="54"/>
      <c r="E291" s="54"/>
      <c r="F291" s="54"/>
      <c r="G291" s="54"/>
      <c r="I291" s="54"/>
      <c r="J291" s="54"/>
      <c r="K291" s="60"/>
    </row>
    <row r="292" spans="3:11" ht="15.75" customHeight="1" x14ac:dyDescent="0.2">
      <c r="C292" s="60"/>
      <c r="D292" s="54"/>
      <c r="E292" s="54"/>
      <c r="F292" s="54"/>
      <c r="G292" s="54"/>
      <c r="I292" s="54"/>
      <c r="J292" s="54"/>
      <c r="K292" s="60"/>
    </row>
    <row r="293" spans="3:11" ht="15.75" customHeight="1" x14ac:dyDescent="0.2">
      <c r="C293" s="60"/>
      <c r="D293" s="54"/>
      <c r="E293" s="54"/>
      <c r="F293" s="54"/>
      <c r="G293" s="54"/>
      <c r="I293" s="54"/>
      <c r="J293" s="54"/>
      <c r="K293" s="60"/>
    </row>
    <row r="294" spans="3:11" ht="15.75" customHeight="1" x14ac:dyDescent="0.2">
      <c r="C294" s="60"/>
      <c r="D294" s="54"/>
      <c r="E294" s="54"/>
      <c r="F294" s="54"/>
      <c r="G294" s="54"/>
      <c r="I294" s="54"/>
      <c r="J294" s="54"/>
      <c r="K294" s="60"/>
    </row>
    <row r="295" spans="3:11" ht="15.75" customHeight="1" x14ac:dyDescent="0.2">
      <c r="C295" s="60"/>
      <c r="D295" s="54"/>
      <c r="E295" s="54"/>
      <c r="F295" s="54"/>
      <c r="G295" s="54"/>
      <c r="I295" s="54"/>
      <c r="J295" s="54"/>
      <c r="K295" s="60"/>
    </row>
    <row r="296" spans="3:11" ht="15.75" customHeight="1" x14ac:dyDescent="0.2">
      <c r="C296" s="60"/>
      <c r="D296" s="54"/>
      <c r="E296" s="54"/>
      <c r="F296" s="54"/>
      <c r="G296" s="54"/>
      <c r="I296" s="54"/>
      <c r="J296" s="54"/>
      <c r="K296" s="60"/>
    </row>
    <row r="297" spans="3:11" ht="15.75" customHeight="1" x14ac:dyDescent="0.2">
      <c r="C297" s="60"/>
      <c r="D297" s="54"/>
      <c r="E297" s="54"/>
      <c r="F297" s="54"/>
      <c r="G297" s="54"/>
      <c r="I297" s="54"/>
      <c r="J297" s="54"/>
      <c r="K297" s="60"/>
    </row>
    <row r="298" spans="3:11" ht="15.75" customHeight="1" x14ac:dyDescent="0.2">
      <c r="C298" s="60"/>
      <c r="D298" s="54"/>
      <c r="E298" s="54"/>
      <c r="F298" s="54"/>
      <c r="G298" s="54"/>
      <c r="I298" s="54"/>
      <c r="J298" s="54"/>
      <c r="K298" s="60"/>
    </row>
    <row r="299" spans="3:11" ht="15.75" customHeight="1" x14ac:dyDescent="0.2">
      <c r="C299" s="60"/>
      <c r="D299" s="54"/>
      <c r="E299" s="54"/>
      <c r="F299" s="54"/>
      <c r="G299" s="54"/>
      <c r="I299" s="54"/>
      <c r="J299" s="54"/>
      <c r="K299" s="60"/>
    </row>
    <row r="300" spans="3:11" ht="15.75" customHeight="1" x14ac:dyDescent="0.2">
      <c r="C300" s="60"/>
      <c r="D300" s="54"/>
      <c r="E300" s="54"/>
      <c r="F300" s="54"/>
      <c r="G300" s="54"/>
      <c r="I300" s="54"/>
      <c r="J300" s="54"/>
      <c r="K300" s="60"/>
    </row>
    <row r="301" spans="3:11" ht="15.75" customHeight="1" x14ac:dyDescent="0.2">
      <c r="C301" s="60"/>
      <c r="D301" s="54"/>
      <c r="E301" s="54"/>
      <c r="F301" s="54"/>
      <c r="G301" s="54"/>
      <c r="I301" s="54"/>
      <c r="J301" s="54"/>
      <c r="K301" s="60"/>
    </row>
    <row r="302" spans="3:11" ht="15.75" customHeight="1" x14ac:dyDescent="0.2">
      <c r="C302" s="60"/>
      <c r="D302" s="54"/>
      <c r="E302" s="54"/>
      <c r="F302" s="54"/>
      <c r="G302" s="54"/>
      <c r="I302" s="54"/>
      <c r="J302" s="54"/>
      <c r="K302" s="60"/>
    </row>
    <row r="303" spans="3:11" ht="15.75" customHeight="1" x14ac:dyDescent="0.2">
      <c r="C303" s="60"/>
      <c r="D303" s="54"/>
      <c r="E303" s="54"/>
      <c r="F303" s="54"/>
      <c r="G303" s="54"/>
      <c r="I303" s="54"/>
      <c r="J303" s="54"/>
      <c r="K303" s="60"/>
    </row>
    <row r="304" spans="3:11" ht="15.75" customHeight="1" x14ac:dyDescent="0.2">
      <c r="C304" s="60"/>
      <c r="D304" s="54"/>
      <c r="E304" s="54"/>
      <c r="F304" s="54"/>
      <c r="G304" s="54"/>
      <c r="I304" s="54"/>
      <c r="J304" s="54"/>
      <c r="K304" s="60"/>
    </row>
    <row r="305" spans="3:11" ht="15.75" customHeight="1" x14ac:dyDescent="0.2">
      <c r="C305" s="60"/>
      <c r="D305" s="54"/>
      <c r="E305" s="54"/>
      <c r="F305" s="54"/>
      <c r="G305" s="54"/>
      <c r="I305" s="54"/>
      <c r="J305" s="54"/>
      <c r="K305" s="60"/>
    </row>
    <row r="306" spans="3:11" ht="15.75" customHeight="1" x14ac:dyDescent="0.2">
      <c r="C306" s="60"/>
      <c r="D306" s="54"/>
      <c r="E306" s="54"/>
      <c r="F306" s="54"/>
      <c r="G306" s="54"/>
      <c r="I306" s="54"/>
      <c r="J306" s="54"/>
      <c r="K306" s="60"/>
    </row>
    <row r="307" spans="3:11" ht="15.75" customHeight="1" x14ac:dyDescent="0.2">
      <c r="C307" s="60"/>
      <c r="D307" s="54"/>
      <c r="E307" s="54"/>
      <c r="F307" s="54"/>
      <c r="G307" s="54"/>
      <c r="I307" s="54"/>
      <c r="J307" s="54"/>
      <c r="K307" s="60"/>
    </row>
    <row r="308" spans="3:11" ht="15.75" customHeight="1" x14ac:dyDescent="0.2">
      <c r="C308" s="60"/>
      <c r="D308" s="54"/>
      <c r="E308" s="54"/>
      <c r="F308" s="54"/>
      <c r="G308" s="54"/>
      <c r="I308" s="54"/>
      <c r="J308" s="54"/>
      <c r="K308" s="60"/>
    </row>
    <row r="309" spans="3:11" ht="15.75" customHeight="1" x14ac:dyDescent="0.2">
      <c r="C309" s="60"/>
      <c r="D309" s="54"/>
      <c r="E309" s="54"/>
      <c r="F309" s="54"/>
      <c r="G309" s="54"/>
      <c r="I309" s="54"/>
      <c r="J309" s="54"/>
      <c r="K309" s="60"/>
    </row>
    <row r="310" spans="3:11" ht="15.75" customHeight="1" x14ac:dyDescent="0.2">
      <c r="C310" s="60"/>
      <c r="D310" s="54"/>
      <c r="E310" s="54"/>
      <c r="F310" s="54"/>
      <c r="G310" s="54"/>
      <c r="I310" s="54"/>
      <c r="J310" s="54"/>
      <c r="K310" s="60"/>
    </row>
    <row r="311" spans="3:11" ht="15.75" customHeight="1" x14ac:dyDescent="0.2">
      <c r="C311" s="60"/>
      <c r="D311" s="54"/>
      <c r="E311" s="54"/>
      <c r="F311" s="54"/>
      <c r="G311" s="54"/>
      <c r="I311" s="54"/>
      <c r="J311" s="54"/>
      <c r="K311" s="60"/>
    </row>
    <row r="312" spans="3:11" ht="15.75" customHeight="1" x14ac:dyDescent="0.2">
      <c r="C312" s="60"/>
      <c r="D312" s="54"/>
      <c r="E312" s="54"/>
      <c r="F312" s="54"/>
      <c r="G312" s="54"/>
      <c r="I312" s="54"/>
      <c r="J312" s="54"/>
      <c r="K312" s="60"/>
    </row>
    <row r="313" spans="3:11" ht="15.75" customHeight="1" x14ac:dyDescent="0.2">
      <c r="C313" s="60"/>
      <c r="D313" s="54"/>
      <c r="E313" s="54"/>
      <c r="F313" s="54"/>
      <c r="G313" s="54"/>
      <c r="I313" s="54"/>
      <c r="J313" s="54"/>
      <c r="K313" s="60"/>
    </row>
    <row r="314" spans="3:11" ht="15.75" customHeight="1" x14ac:dyDescent="0.2">
      <c r="C314" s="60"/>
      <c r="D314" s="54"/>
      <c r="E314" s="54"/>
      <c r="F314" s="54"/>
      <c r="G314" s="54"/>
      <c r="I314" s="54"/>
      <c r="J314" s="54"/>
      <c r="K314" s="60"/>
    </row>
    <row r="315" spans="3:11" ht="15.75" customHeight="1" x14ac:dyDescent="0.2">
      <c r="C315" s="60"/>
      <c r="D315" s="54"/>
      <c r="E315" s="54"/>
      <c r="F315" s="54"/>
      <c r="G315" s="54"/>
      <c r="I315" s="54"/>
      <c r="J315" s="54"/>
      <c r="K315" s="60"/>
    </row>
    <row r="316" spans="3:11" ht="15.75" customHeight="1" x14ac:dyDescent="0.2">
      <c r="C316" s="60"/>
      <c r="D316" s="54"/>
      <c r="E316" s="54"/>
      <c r="F316" s="54"/>
      <c r="G316" s="54"/>
      <c r="I316" s="54"/>
      <c r="J316" s="54"/>
      <c r="K316" s="60"/>
    </row>
    <row r="317" spans="3:11" ht="15.75" customHeight="1" x14ac:dyDescent="0.2">
      <c r="C317" s="60"/>
      <c r="D317" s="54"/>
      <c r="E317" s="54"/>
      <c r="F317" s="54"/>
      <c r="G317" s="54"/>
      <c r="I317" s="54"/>
      <c r="J317" s="54"/>
      <c r="K317" s="60"/>
    </row>
    <row r="318" spans="3:11" ht="15.75" customHeight="1" x14ac:dyDescent="0.2">
      <c r="C318" s="60"/>
      <c r="D318" s="54"/>
      <c r="E318" s="54"/>
      <c r="F318" s="54"/>
      <c r="G318" s="54"/>
      <c r="I318" s="54"/>
      <c r="J318" s="54"/>
      <c r="K318" s="60"/>
    </row>
    <row r="319" spans="3:11" ht="15.75" customHeight="1" x14ac:dyDescent="0.2">
      <c r="C319" s="60"/>
      <c r="D319" s="54"/>
      <c r="E319" s="54"/>
      <c r="F319" s="54"/>
      <c r="G319" s="54"/>
      <c r="I319" s="54"/>
      <c r="J319" s="54"/>
      <c r="K319" s="60"/>
    </row>
    <row r="320" spans="3:11" ht="15.75" customHeight="1" x14ac:dyDescent="0.2">
      <c r="C320" s="60"/>
      <c r="D320" s="54"/>
      <c r="E320" s="54"/>
      <c r="F320" s="54"/>
      <c r="G320" s="54"/>
      <c r="I320" s="54"/>
      <c r="J320" s="54"/>
      <c r="K320" s="60"/>
    </row>
    <row r="321" spans="3:11" ht="15.75" customHeight="1" x14ac:dyDescent="0.2">
      <c r="C321" s="60"/>
      <c r="D321" s="54"/>
      <c r="E321" s="54"/>
      <c r="F321" s="54"/>
      <c r="G321" s="54"/>
      <c r="I321" s="54"/>
      <c r="J321" s="54"/>
      <c r="K321" s="60"/>
    </row>
    <row r="322" spans="3:11" ht="15.75" customHeight="1" x14ac:dyDescent="0.2">
      <c r="C322" s="60"/>
      <c r="D322" s="54"/>
      <c r="E322" s="54"/>
      <c r="F322" s="54"/>
      <c r="G322" s="54"/>
      <c r="I322" s="54"/>
      <c r="J322" s="54"/>
      <c r="K322" s="60"/>
    </row>
    <row r="323" spans="3:11" ht="15.75" customHeight="1" x14ac:dyDescent="0.2">
      <c r="C323" s="60"/>
      <c r="D323" s="54"/>
      <c r="E323" s="54"/>
      <c r="F323" s="54"/>
      <c r="G323" s="54"/>
      <c r="I323" s="54"/>
      <c r="J323" s="54"/>
      <c r="K323" s="60"/>
    </row>
    <row r="324" spans="3:11" ht="15.75" customHeight="1" x14ac:dyDescent="0.2">
      <c r="C324" s="60"/>
      <c r="D324" s="54"/>
      <c r="E324" s="54"/>
      <c r="F324" s="54"/>
      <c r="G324" s="54"/>
      <c r="I324" s="54"/>
      <c r="J324" s="54"/>
      <c r="K324" s="60"/>
    </row>
    <row r="325" spans="3:11" ht="15.75" customHeight="1" x14ac:dyDescent="0.2">
      <c r="C325" s="60"/>
      <c r="D325" s="54"/>
      <c r="E325" s="54"/>
      <c r="F325" s="54"/>
      <c r="G325" s="54"/>
      <c r="I325" s="54"/>
      <c r="J325" s="54"/>
      <c r="K325" s="60"/>
    </row>
    <row r="326" spans="3:11" ht="15.75" customHeight="1" x14ac:dyDescent="0.2">
      <c r="C326" s="60"/>
      <c r="D326" s="54"/>
      <c r="E326" s="54"/>
      <c r="F326" s="54"/>
      <c r="G326" s="54"/>
      <c r="I326" s="54"/>
      <c r="J326" s="54"/>
      <c r="K326" s="60"/>
    </row>
    <row r="327" spans="3:11" ht="15.75" customHeight="1" x14ac:dyDescent="0.2">
      <c r="C327" s="60"/>
      <c r="D327" s="54"/>
      <c r="E327" s="54"/>
      <c r="F327" s="54"/>
      <c r="G327" s="54"/>
      <c r="I327" s="54"/>
      <c r="J327" s="54"/>
      <c r="K327" s="60"/>
    </row>
    <row r="328" spans="3:11" ht="15.75" customHeight="1" x14ac:dyDescent="0.2">
      <c r="C328" s="60"/>
      <c r="D328" s="54"/>
      <c r="E328" s="54"/>
      <c r="F328" s="54"/>
      <c r="G328" s="54"/>
      <c r="I328" s="54"/>
      <c r="J328" s="54"/>
      <c r="K328" s="60"/>
    </row>
    <row r="329" spans="3:11" ht="15.75" customHeight="1" x14ac:dyDescent="0.2">
      <c r="C329" s="60"/>
      <c r="D329" s="54"/>
      <c r="E329" s="54"/>
      <c r="F329" s="54"/>
      <c r="G329" s="54"/>
      <c r="I329" s="54"/>
      <c r="J329" s="54"/>
      <c r="K329" s="60"/>
    </row>
    <row r="330" spans="3:11" ht="15.75" customHeight="1" x14ac:dyDescent="0.2">
      <c r="C330" s="60"/>
      <c r="D330" s="54"/>
      <c r="E330" s="54"/>
      <c r="F330" s="54"/>
      <c r="G330" s="54"/>
      <c r="I330" s="54"/>
      <c r="J330" s="54"/>
      <c r="K330" s="60"/>
    </row>
    <row r="331" spans="3:11" ht="15.75" customHeight="1" x14ac:dyDescent="0.2">
      <c r="C331" s="60"/>
      <c r="D331" s="54"/>
      <c r="E331" s="54"/>
      <c r="F331" s="54"/>
      <c r="G331" s="54"/>
      <c r="I331" s="54"/>
      <c r="J331" s="54"/>
      <c r="K331" s="60"/>
    </row>
    <row r="332" spans="3:11" ht="15.75" customHeight="1" x14ac:dyDescent="0.2">
      <c r="C332" s="60"/>
      <c r="D332" s="54"/>
      <c r="E332" s="54"/>
      <c r="F332" s="54"/>
      <c r="G332" s="54"/>
      <c r="I332" s="54"/>
      <c r="J332" s="54"/>
      <c r="K332" s="60"/>
    </row>
    <row r="333" spans="3:11" ht="15.75" customHeight="1" x14ac:dyDescent="0.2">
      <c r="C333" s="60"/>
      <c r="D333" s="54"/>
      <c r="E333" s="54"/>
      <c r="F333" s="54"/>
      <c r="G333" s="54"/>
      <c r="I333" s="54"/>
      <c r="J333" s="54"/>
      <c r="K333" s="60"/>
    </row>
    <row r="334" spans="3:11" ht="15.75" customHeight="1" x14ac:dyDescent="0.2">
      <c r="C334" s="60"/>
      <c r="D334" s="54"/>
      <c r="E334" s="54"/>
      <c r="F334" s="54"/>
      <c r="G334" s="54"/>
      <c r="I334" s="54"/>
      <c r="J334" s="54"/>
      <c r="K334" s="60"/>
    </row>
    <row r="335" spans="3:11" ht="15.75" customHeight="1" x14ac:dyDescent="0.2">
      <c r="C335" s="60"/>
      <c r="D335" s="54"/>
      <c r="E335" s="54"/>
      <c r="F335" s="54"/>
      <c r="G335" s="54"/>
      <c r="I335" s="54"/>
      <c r="J335" s="54"/>
      <c r="K335" s="60"/>
    </row>
    <row r="336" spans="3:11" ht="15.75" customHeight="1" x14ac:dyDescent="0.2">
      <c r="C336" s="60"/>
      <c r="D336" s="54"/>
      <c r="E336" s="54"/>
      <c r="F336" s="54"/>
      <c r="G336" s="54"/>
      <c r="I336" s="54"/>
      <c r="J336" s="54"/>
      <c r="K336" s="60"/>
    </row>
    <row r="337" spans="3:11" ht="15.75" customHeight="1" x14ac:dyDescent="0.2">
      <c r="C337" s="60"/>
      <c r="D337" s="54"/>
      <c r="E337" s="54"/>
      <c r="F337" s="54"/>
      <c r="G337" s="54"/>
      <c r="I337" s="54"/>
      <c r="J337" s="54"/>
      <c r="K337" s="60"/>
    </row>
    <row r="338" spans="3:11" ht="15.75" customHeight="1" x14ac:dyDescent="0.2">
      <c r="C338" s="60"/>
      <c r="D338" s="54"/>
      <c r="E338" s="54"/>
      <c r="F338" s="54"/>
      <c r="G338" s="54"/>
      <c r="I338" s="54"/>
      <c r="J338" s="54"/>
      <c r="K338" s="60"/>
    </row>
    <row r="339" spans="3:11" ht="15.75" customHeight="1" x14ac:dyDescent="0.2">
      <c r="C339" s="60"/>
      <c r="D339" s="54"/>
      <c r="E339" s="54"/>
      <c r="F339" s="54"/>
      <c r="G339" s="54"/>
      <c r="I339" s="54"/>
      <c r="J339" s="54"/>
      <c r="K339" s="60"/>
    </row>
    <row r="340" spans="3:11" ht="15.75" customHeight="1" x14ac:dyDescent="0.2">
      <c r="C340" s="60"/>
      <c r="D340" s="54"/>
      <c r="E340" s="54"/>
      <c r="F340" s="54"/>
      <c r="G340" s="54"/>
      <c r="I340" s="54"/>
      <c r="J340" s="54"/>
      <c r="K340" s="60"/>
    </row>
    <row r="341" spans="3:11" ht="15.75" customHeight="1" x14ac:dyDescent="0.2">
      <c r="C341" s="60"/>
      <c r="D341" s="54"/>
      <c r="E341" s="54"/>
      <c r="F341" s="54"/>
      <c r="G341" s="54"/>
      <c r="I341" s="54"/>
      <c r="J341" s="54"/>
      <c r="K341" s="60"/>
    </row>
    <row r="342" spans="3:11" ht="15.75" customHeight="1" x14ac:dyDescent="0.2">
      <c r="C342" s="60"/>
      <c r="D342" s="54"/>
      <c r="E342" s="54"/>
      <c r="F342" s="54"/>
      <c r="G342" s="54"/>
      <c r="I342" s="54"/>
      <c r="J342" s="54"/>
      <c r="K342" s="60"/>
    </row>
    <row r="343" spans="3:11" ht="15.75" customHeight="1" x14ac:dyDescent="0.2">
      <c r="C343" s="60"/>
      <c r="D343" s="54"/>
      <c r="E343" s="54"/>
      <c r="F343" s="54"/>
      <c r="G343" s="54"/>
      <c r="I343" s="54"/>
      <c r="J343" s="54"/>
      <c r="K343" s="60"/>
    </row>
    <row r="344" spans="3:11" ht="15.75" customHeight="1" x14ac:dyDescent="0.2">
      <c r="C344" s="60"/>
      <c r="D344" s="54"/>
      <c r="E344" s="54"/>
      <c r="F344" s="54"/>
      <c r="G344" s="54"/>
      <c r="I344" s="54"/>
      <c r="J344" s="54"/>
      <c r="K344" s="60"/>
    </row>
    <row r="345" spans="3:11" ht="15.75" customHeight="1" x14ac:dyDescent="0.2">
      <c r="C345" s="60"/>
      <c r="D345" s="54"/>
      <c r="E345" s="54"/>
      <c r="F345" s="54"/>
      <c r="G345" s="54"/>
      <c r="I345" s="54"/>
      <c r="J345" s="54"/>
      <c r="K345" s="60"/>
    </row>
    <row r="346" spans="3:11" ht="15.75" customHeight="1" x14ac:dyDescent="0.2">
      <c r="C346" s="60"/>
      <c r="D346" s="54"/>
      <c r="E346" s="54"/>
      <c r="F346" s="54"/>
      <c r="G346" s="54"/>
      <c r="I346" s="54"/>
      <c r="J346" s="54"/>
      <c r="K346" s="60"/>
    </row>
    <row r="347" spans="3:11" ht="15.75" customHeight="1" x14ac:dyDescent="0.2">
      <c r="C347" s="60"/>
      <c r="D347" s="54"/>
      <c r="E347" s="54"/>
      <c r="F347" s="54"/>
      <c r="G347" s="54"/>
      <c r="I347" s="54"/>
      <c r="J347" s="54"/>
      <c r="K347" s="60"/>
    </row>
    <row r="348" spans="3:11" ht="15.75" customHeight="1" x14ac:dyDescent="0.2">
      <c r="C348" s="60"/>
      <c r="D348" s="54"/>
      <c r="E348" s="54"/>
      <c r="F348" s="54"/>
      <c r="G348" s="54"/>
      <c r="I348" s="54"/>
      <c r="J348" s="54"/>
      <c r="K348" s="60"/>
    </row>
    <row r="349" spans="3:11" ht="15.75" customHeight="1" x14ac:dyDescent="0.2">
      <c r="C349" s="60"/>
      <c r="D349" s="54"/>
      <c r="E349" s="54"/>
      <c r="F349" s="54"/>
      <c r="G349" s="54"/>
      <c r="I349" s="54"/>
      <c r="J349" s="54"/>
      <c r="K349" s="60"/>
    </row>
    <row r="350" spans="3:11" ht="15.75" customHeight="1" x14ac:dyDescent="0.2">
      <c r="C350" s="60"/>
      <c r="D350" s="54"/>
      <c r="E350" s="54"/>
      <c r="F350" s="54"/>
      <c r="G350" s="54"/>
      <c r="I350" s="54"/>
      <c r="J350" s="54"/>
      <c r="K350" s="60"/>
    </row>
    <row r="351" spans="3:11" ht="15.75" customHeight="1" x14ac:dyDescent="0.2">
      <c r="C351" s="60"/>
      <c r="D351" s="54"/>
      <c r="E351" s="54"/>
      <c r="F351" s="54"/>
      <c r="G351" s="54"/>
      <c r="I351" s="54"/>
      <c r="J351" s="54"/>
      <c r="K351" s="60"/>
    </row>
    <row r="352" spans="3:11" ht="15.75" customHeight="1" x14ac:dyDescent="0.2">
      <c r="C352" s="60"/>
      <c r="D352" s="54"/>
      <c r="E352" s="54"/>
      <c r="F352" s="54"/>
      <c r="G352" s="54"/>
      <c r="I352" s="54"/>
      <c r="J352" s="54"/>
      <c r="K352" s="60"/>
    </row>
    <row r="353" spans="3:11" ht="15.75" customHeight="1" x14ac:dyDescent="0.2">
      <c r="C353" s="60"/>
      <c r="D353" s="54"/>
      <c r="E353" s="54"/>
      <c r="F353" s="54"/>
      <c r="G353" s="54"/>
      <c r="I353" s="54"/>
      <c r="J353" s="54"/>
      <c r="K353" s="60"/>
    </row>
    <row r="354" spans="3:11" ht="15.75" customHeight="1" x14ac:dyDescent="0.2">
      <c r="C354" s="60"/>
      <c r="D354" s="54"/>
      <c r="E354" s="54"/>
      <c r="F354" s="54"/>
      <c r="G354" s="54"/>
      <c r="I354" s="54"/>
      <c r="J354" s="54"/>
      <c r="K354" s="60"/>
    </row>
    <row r="355" spans="3:11" ht="15.75" customHeight="1" x14ac:dyDescent="0.2">
      <c r="C355" s="60"/>
      <c r="D355" s="54"/>
      <c r="E355" s="54"/>
      <c r="F355" s="54"/>
      <c r="G355" s="54"/>
      <c r="I355" s="54"/>
      <c r="J355" s="54"/>
      <c r="K355" s="60"/>
    </row>
    <row r="356" spans="3:11" ht="15.75" customHeight="1" x14ac:dyDescent="0.2">
      <c r="C356" s="60"/>
      <c r="D356" s="54"/>
      <c r="E356" s="54"/>
      <c r="F356" s="54"/>
      <c r="G356" s="54"/>
      <c r="I356" s="54"/>
      <c r="J356" s="54"/>
      <c r="K356" s="60"/>
    </row>
    <row r="357" spans="3:11" ht="15.75" customHeight="1" x14ac:dyDescent="0.2">
      <c r="C357" s="60"/>
      <c r="D357" s="54"/>
      <c r="E357" s="54"/>
      <c r="F357" s="54"/>
      <c r="G357" s="54"/>
      <c r="I357" s="54"/>
      <c r="J357" s="54"/>
      <c r="K357" s="60"/>
    </row>
    <row r="358" spans="3:11" ht="15.75" customHeight="1" x14ac:dyDescent="0.2">
      <c r="C358" s="60"/>
      <c r="D358" s="54"/>
      <c r="E358" s="54"/>
      <c r="F358" s="54"/>
      <c r="G358" s="54"/>
      <c r="I358" s="54"/>
      <c r="J358" s="54"/>
      <c r="K358" s="60"/>
    </row>
    <row r="359" spans="3:11" ht="15.75" customHeight="1" x14ac:dyDescent="0.2">
      <c r="C359" s="60"/>
      <c r="D359" s="54"/>
      <c r="E359" s="54"/>
      <c r="F359" s="54"/>
      <c r="G359" s="54"/>
      <c r="I359" s="54"/>
      <c r="J359" s="54"/>
      <c r="K359" s="60"/>
    </row>
    <row r="360" spans="3:11" ht="15.75" customHeight="1" x14ac:dyDescent="0.2">
      <c r="C360" s="60"/>
      <c r="D360" s="54"/>
      <c r="E360" s="54"/>
      <c r="F360" s="54"/>
      <c r="G360" s="54"/>
      <c r="I360" s="54"/>
      <c r="J360" s="54"/>
      <c r="K360" s="60"/>
    </row>
    <row r="361" spans="3:11" ht="15.75" customHeight="1" x14ac:dyDescent="0.2">
      <c r="C361" s="60"/>
      <c r="D361" s="54"/>
      <c r="E361" s="54"/>
      <c r="F361" s="54"/>
      <c r="G361" s="54"/>
      <c r="I361" s="54"/>
      <c r="J361" s="54"/>
      <c r="K361" s="60"/>
    </row>
    <row r="362" spans="3:11" ht="15.75" customHeight="1" x14ac:dyDescent="0.2">
      <c r="C362" s="60"/>
      <c r="D362" s="54"/>
      <c r="E362" s="54"/>
      <c r="F362" s="54"/>
      <c r="G362" s="54"/>
      <c r="I362" s="54"/>
      <c r="J362" s="54"/>
      <c r="K362" s="60"/>
    </row>
    <row r="363" spans="3:11" ht="15.75" customHeight="1" x14ac:dyDescent="0.2">
      <c r="C363" s="60"/>
      <c r="D363" s="54"/>
      <c r="E363" s="54"/>
      <c r="F363" s="54"/>
      <c r="G363" s="54"/>
      <c r="I363" s="54"/>
      <c r="J363" s="54"/>
      <c r="K363" s="60"/>
    </row>
    <row r="364" spans="3:11" ht="15.75" customHeight="1" x14ac:dyDescent="0.2">
      <c r="C364" s="60"/>
      <c r="D364" s="54"/>
      <c r="E364" s="54"/>
      <c r="F364" s="54"/>
      <c r="G364" s="54"/>
      <c r="I364" s="54"/>
      <c r="J364" s="54"/>
      <c r="K364" s="60"/>
    </row>
    <row r="365" spans="3:11" ht="15.75" customHeight="1" x14ac:dyDescent="0.2">
      <c r="C365" s="60"/>
      <c r="D365" s="54"/>
      <c r="E365" s="54"/>
      <c r="F365" s="54"/>
      <c r="G365" s="54"/>
      <c r="I365" s="54"/>
      <c r="J365" s="54"/>
      <c r="K365" s="60"/>
    </row>
    <row r="366" spans="3:11" ht="15.75" customHeight="1" x14ac:dyDescent="0.2">
      <c r="C366" s="60"/>
      <c r="D366" s="54"/>
      <c r="E366" s="54"/>
      <c r="F366" s="54"/>
      <c r="G366" s="54"/>
      <c r="I366" s="54"/>
      <c r="J366" s="54"/>
      <c r="K366" s="60"/>
    </row>
    <row r="367" spans="3:11" ht="15.75" customHeight="1" x14ac:dyDescent="0.2">
      <c r="C367" s="60"/>
      <c r="D367" s="54"/>
      <c r="E367" s="54"/>
      <c r="F367" s="54"/>
      <c r="G367" s="54"/>
      <c r="I367" s="54"/>
      <c r="J367" s="54"/>
      <c r="K367" s="60"/>
    </row>
    <row r="368" spans="3:11" ht="15.75" customHeight="1" x14ac:dyDescent="0.2">
      <c r="C368" s="60"/>
      <c r="D368" s="54"/>
      <c r="E368" s="54"/>
      <c r="F368" s="54"/>
      <c r="G368" s="54"/>
      <c r="I368" s="54"/>
      <c r="J368" s="54"/>
      <c r="K368" s="60"/>
    </row>
    <row r="369" spans="3:11" ht="15.75" customHeight="1" x14ac:dyDescent="0.2">
      <c r="C369" s="60"/>
      <c r="D369" s="54"/>
      <c r="E369" s="54"/>
      <c r="F369" s="54"/>
      <c r="G369" s="54"/>
      <c r="I369" s="54"/>
      <c r="J369" s="54"/>
      <c r="K369" s="60"/>
    </row>
    <row r="370" spans="3:11" ht="15.75" customHeight="1" x14ac:dyDescent="0.2">
      <c r="C370" s="60"/>
      <c r="D370" s="54"/>
      <c r="E370" s="54"/>
      <c r="F370" s="54"/>
      <c r="G370" s="54"/>
      <c r="I370" s="54"/>
      <c r="J370" s="54"/>
      <c r="K370" s="60"/>
    </row>
    <row r="371" spans="3:11" ht="15.75" customHeight="1" x14ac:dyDescent="0.2">
      <c r="C371" s="60"/>
      <c r="D371" s="54"/>
      <c r="E371" s="54"/>
      <c r="F371" s="54"/>
      <c r="G371" s="54"/>
      <c r="I371" s="54"/>
      <c r="J371" s="54"/>
      <c r="K371" s="60"/>
    </row>
    <row r="372" spans="3:11" ht="15.75" customHeight="1" x14ac:dyDescent="0.2">
      <c r="C372" s="60"/>
      <c r="D372" s="54"/>
      <c r="E372" s="54"/>
      <c r="F372" s="54"/>
      <c r="G372" s="54"/>
      <c r="I372" s="54"/>
      <c r="J372" s="54"/>
      <c r="K372" s="60"/>
    </row>
    <row r="373" spans="3:11" ht="15.75" customHeight="1" x14ac:dyDescent="0.2"/>
    <row r="374" spans="3:11" ht="15.75" customHeight="1" x14ac:dyDescent="0.2"/>
    <row r="375" spans="3:11" ht="15.75" customHeight="1" x14ac:dyDescent="0.2"/>
    <row r="376" spans="3:11" ht="15.75" customHeight="1" x14ac:dyDescent="0.2"/>
    <row r="377" spans="3:11" ht="15.75" customHeight="1" x14ac:dyDescent="0.2"/>
    <row r="378" spans="3:11" ht="15.75" customHeight="1" x14ac:dyDescent="0.2"/>
    <row r="379" spans="3:11" ht="15.75" customHeight="1" x14ac:dyDescent="0.2"/>
    <row r="380" spans="3:11" ht="15.75" customHeight="1" x14ac:dyDescent="0.2"/>
    <row r="381" spans="3:11" ht="15.75" customHeight="1" x14ac:dyDescent="0.2"/>
    <row r="382" spans="3:11" ht="15.75" customHeight="1" x14ac:dyDescent="0.2"/>
    <row r="383" spans="3:11" ht="15.75" customHeight="1" x14ac:dyDescent="0.2"/>
    <row r="384" spans="3:11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conditionalFormatting sqref="H6:H22 H25:H29 H32:H34 H36 H87:H109">
    <cfRule type="cellIs" dxfId="27" priority="1" operator="lessThan">
      <formula>0</formula>
    </cfRule>
  </conditionalFormatting>
  <printOptions horizontalCentered="1" verticalCentered="1"/>
  <pageMargins left="0.25" right="0.25" top="0.75" bottom="0.75" header="0.3" footer="0.3"/>
  <pageSetup scale="96" fitToHeight="0" orientation="landscape" r:id="rId1"/>
  <headerFooter>
    <oddHeader>&amp;A</oddHeader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99"/>
  <sheetViews>
    <sheetView workbookViewId="0"/>
  </sheetViews>
  <sheetFormatPr defaultColWidth="12.5703125" defaultRowHeight="15" customHeight="1" outlineLevelCol="1" x14ac:dyDescent="0.2"/>
  <cols>
    <col min="2" max="2" width="26" customWidth="1" collapsed="1"/>
    <col min="3" max="3" width="4.5703125" hidden="1" customWidth="1" outlineLevel="1"/>
    <col min="4" max="4" width="10.28515625" hidden="1" customWidth="1" outlineLevel="1"/>
    <col min="5" max="5" width="10.5703125" hidden="1" customWidth="1" outlineLevel="1"/>
    <col min="6" max="6" width="11.140625" hidden="1" customWidth="1" outlineLevel="1"/>
    <col min="7" max="7" width="10.5703125" hidden="1" customWidth="1" outlineLevel="1"/>
    <col min="8" max="10" width="12.5703125" hidden="1" outlineLevel="1"/>
    <col min="11" max="11" width="4.5703125" hidden="1" customWidth="1" outlineLevel="1"/>
    <col min="12" max="12" width="10" customWidth="1"/>
    <col min="13" max="13" width="11.140625" customWidth="1"/>
    <col min="14" max="14" width="11.85546875" customWidth="1"/>
    <col min="15" max="15" width="10.85546875" customWidth="1"/>
    <col min="16" max="17" width="10.5703125" customWidth="1"/>
    <col min="21" max="21" width="5.28515625" customWidth="1"/>
  </cols>
  <sheetData>
    <row r="1" spans="1:32" ht="28.5" customHeight="1" x14ac:dyDescent="0.25">
      <c r="A1" s="1" t="s">
        <v>2430</v>
      </c>
      <c r="B1" s="5"/>
      <c r="C1" s="15"/>
      <c r="D1" s="16"/>
      <c r="E1" s="16"/>
      <c r="F1" s="16"/>
      <c r="G1" s="16"/>
      <c r="H1" s="18"/>
      <c r="I1" s="16"/>
      <c r="J1" s="16"/>
      <c r="K1" s="15"/>
      <c r="L1" s="7"/>
      <c r="M1" s="7"/>
      <c r="N1" s="7"/>
      <c r="O1" s="7"/>
      <c r="P1" s="7"/>
      <c r="Q1" s="7"/>
      <c r="R1" s="7"/>
      <c r="S1" s="7"/>
      <c r="W1" s="19"/>
      <c r="X1" s="20"/>
    </row>
    <row r="2" spans="1:32" ht="60" x14ac:dyDescent="0.2">
      <c r="A2" s="3" t="s">
        <v>50</v>
      </c>
      <c r="B2" s="3" t="s">
        <v>51</v>
      </c>
      <c r="C2" s="21"/>
      <c r="D2" s="22" t="s">
        <v>52</v>
      </c>
      <c r="E2" s="23" t="s">
        <v>53</v>
      </c>
      <c r="F2" s="23" t="s">
        <v>54</v>
      </c>
      <c r="G2" s="23" t="s">
        <v>55</v>
      </c>
      <c r="H2" s="100" t="s">
        <v>56</v>
      </c>
      <c r="I2" s="23" t="s">
        <v>57</v>
      </c>
      <c r="J2" s="129" t="s">
        <v>58</v>
      </c>
      <c r="K2" s="130"/>
      <c r="L2" s="27" t="s">
        <v>59</v>
      </c>
      <c r="M2" s="27" t="s">
        <v>60</v>
      </c>
      <c r="N2" s="27" t="s">
        <v>61</v>
      </c>
      <c r="O2" s="27" t="s">
        <v>62</v>
      </c>
      <c r="P2" s="27" t="s">
        <v>63</v>
      </c>
      <c r="Q2" s="27" t="s">
        <v>237</v>
      </c>
      <c r="R2" s="27" t="s">
        <v>65</v>
      </c>
      <c r="S2" s="27" t="s">
        <v>66</v>
      </c>
      <c r="V2" s="28"/>
      <c r="W2" s="19"/>
      <c r="Y2" s="28"/>
      <c r="Z2" s="28"/>
      <c r="AA2" s="28"/>
      <c r="AB2" s="28"/>
      <c r="AC2" s="28"/>
      <c r="AD2" s="28"/>
      <c r="AE2" s="28"/>
      <c r="AF2" s="28"/>
    </row>
    <row r="3" spans="1:32" ht="15.75" customHeight="1" x14ac:dyDescent="0.25">
      <c r="A3" s="30" t="s">
        <v>238</v>
      </c>
      <c r="B3" s="176" t="s">
        <v>68</v>
      </c>
      <c r="C3" s="31"/>
      <c r="D3" s="32">
        <v>66441</v>
      </c>
      <c r="E3" s="32" t="e">
        <f>D3*#REF!</f>
        <v>#REF!</v>
      </c>
      <c r="F3" s="32" t="e">
        <f>D3*#REF!</f>
        <v>#REF!</v>
      </c>
      <c r="G3" s="32" t="e">
        <f>(D3*#REF!)*#REF!</f>
        <v>#REF!</v>
      </c>
      <c r="H3" s="119">
        <f t="shared" ref="H3:H19" si="0">IFERROR(((Q3-G3)/G3),0)</f>
        <v>0</v>
      </c>
      <c r="I3" s="34" t="e">
        <f t="shared" ref="I3:I18" si="1">Q3-G3</f>
        <v>#REF!</v>
      </c>
      <c r="J3" s="34">
        <v>-59000</v>
      </c>
      <c r="K3" s="31"/>
      <c r="L3" s="35">
        <v>111772</v>
      </c>
      <c r="M3" s="35">
        <v>159406.94</v>
      </c>
      <c r="N3" s="35">
        <v>197592</v>
      </c>
      <c r="O3" s="35">
        <f>VLOOKUP(A3,TB!A:F,3)</f>
        <v>164449.04</v>
      </c>
      <c r="P3" s="32">
        <f t="shared" ref="P3:P6" si="2">O3/20*26</f>
        <v>213783.75200000004</v>
      </c>
      <c r="Q3" s="32">
        <v>246900</v>
      </c>
      <c r="R3" s="36">
        <f>VLOOKUP(A3,TB!A:F,6)</f>
        <v>187900</v>
      </c>
      <c r="S3" s="36">
        <f t="shared" ref="S3:S19" si="3">R3-Q3</f>
        <v>-59000</v>
      </c>
      <c r="T3" s="51"/>
      <c r="U3" s="54"/>
      <c r="V3" s="51"/>
      <c r="W3" s="51"/>
      <c r="X3" s="51"/>
      <c r="Y3" s="51"/>
      <c r="Z3" s="51"/>
      <c r="AA3" s="51"/>
    </row>
    <row r="4" spans="1:32" ht="15.75" customHeight="1" x14ac:dyDescent="0.25">
      <c r="A4" s="30" t="s">
        <v>239</v>
      </c>
      <c r="B4" s="176" t="s">
        <v>70</v>
      </c>
      <c r="C4" s="31"/>
      <c r="D4" s="32">
        <v>0</v>
      </c>
      <c r="E4" s="32" t="e">
        <f>D4*#REF!</f>
        <v>#REF!</v>
      </c>
      <c r="F4" s="32" t="e">
        <f>D4*#REF!</f>
        <v>#REF!</v>
      </c>
      <c r="G4" s="32" t="e">
        <f>(D4*#REF!)*#REF!</f>
        <v>#REF!</v>
      </c>
      <c r="H4" s="119">
        <f t="shared" si="0"/>
        <v>0</v>
      </c>
      <c r="I4" s="34" t="e">
        <f t="shared" si="1"/>
        <v>#REF!</v>
      </c>
      <c r="J4" s="16"/>
      <c r="K4" s="31"/>
      <c r="L4" s="35">
        <v>1869</v>
      </c>
      <c r="M4" s="35">
        <v>4262.54</v>
      </c>
      <c r="N4" s="35">
        <v>5000</v>
      </c>
      <c r="O4" s="35">
        <f>VLOOKUP(A4,TB!A:F,3)</f>
        <v>494.94</v>
      </c>
      <c r="P4" s="32">
        <f t="shared" si="2"/>
        <v>643.42200000000003</v>
      </c>
      <c r="Q4" s="32">
        <v>5000</v>
      </c>
      <c r="R4" s="36">
        <f>VLOOKUP(A4,TB!A:F,6)</f>
        <v>5000</v>
      </c>
      <c r="S4" s="36">
        <f t="shared" si="3"/>
        <v>0</v>
      </c>
      <c r="T4" s="51"/>
      <c r="U4" s="54"/>
      <c r="V4" s="51"/>
      <c r="W4" s="51"/>
      <c r="X4" s="51"/>
      <c r="Y4" s="51"/>
      <c r="Z4" s="51"/>
      <c r="AA4" s="51"/>
    </row>
    <row r="5" spans="1:32" ht="15.75" customHeight="1" x14ac:dyDescent="0.25">
      <c r="A5" s="30" t="s">
        <v>240</v>
      </c>
      <c r="B5" s="176" t="s">
        <v>132</v>
      </c>
      <c r="C5" s="31"/>
      <c r="D5" s="32">
        <v>0</v>
      </c>
      <c r="E5" s="32" t="e">
        <f>D5*#REF!</f>
        <v>#REF!</v>
      </c>
      <c r="F5" s="32" t="e">
        <f>D5*#REF!</f>
        <v>#REF!</v>
      </c>
      <c r="G5" s="32" t="e">
        <f>(D5*#REF!)*#REF!</f>
        <v>#REF!</v>
      </c>
      <c r="H5" s="119">
        <f t="shared" si="0"/>
        <v>0</v>
      </c>
      <c r="I5" s="34" t="e">
        <f t="shared" si="1"/>
        <v>#REF!</v>
      </c>
      <c r="J5" s="34">
        <v>-20500</v>
      </c>
      <c r="K5" s="31"/>
      <c r="L5" s="35">
        <v>19346</v>
      </c>
      <c r="M5" s="35">
        <v>61929.43</v>
      </c>
      <c r="N5" s="35">
        <v>58826</v>
      </c>
      <c r="O5" s="35">
        <f>VLOOKUP(A5,TB!A:F,3)</f>
        <v>48079.31</v>
      </c>
      <c r="P5" s="32">
        <f t="shared" si="2"/>
        <v>62503.102999999996</v>
      </c>
      <c r="Q5" s="32">
        <v>73600</v>
      </c>
      <c r="R5" s="36">
        <f>VLOOKUP(A5,TB!A:F,6)</f>
        <v>53100</v>
      </c>
      <c r="S5" s="36">
        <f t="shared" si="3"/>
        <v>-20500</v>
      </c>
      <c r="T5" s="51"/>
      <c r="U5" s="54"/>
      <c r="V5" s="51"/>
      <c r="W5" s="51"/>
      <c r="X5" s="51"/>
      <c r="Y5" s="51"/>
      <c r="Z5" s="51"/>
      <c r="AA5" s="51"/>
    </row>
    <row r="6" spans="1:32" ht="15.75" customHeight="1" x14ac:dyDescent="0.25">
      <c r="A6" s="30" t="s">
        <v>241</v>
      </c>
      <c r="B6" s="176" t="s">
        <v>108</v>
      </c>
      <c r="C6" s="31"/>
      <c r="D6" s="32">
        <v>0</v>
      </c>
      <c r="E6" s="32" t="e">
        <f>D6*#REF!</f>
        <v>#REF!</v>
      </c>
      <c r="F6" s="32" t="e">
        <f>D6*#REF!</f>
        <v>#REF!</v>
      </c>
      <c r="G6" s="32" t="e">
        <f>(D6*#REF!)*#REF!</f>
        <v>#REF!</v>
      </c>
      <c r="H6" s="119">
        <f t="shared" si="0"/>
        <v>0</v>
      </c>
      <c r="I6" s="34" t="e">
        <f t="shared" si="1"/>
        <v>#REF!</v>
      </c>
      <c r="J6" s="34">
        <v>-20000</v>
      </c>
      <c r="K6" s="31"/>
      <c r="L6" s="35">
        <v>6252</v>
      </c>
      <c r="M6" s="35">
        <v>4333.01</v>
      </c>
      <c r="N6" s="35">
        <v>20000</v>
      </c>
      <c r="O6" s="35">
        <f>VLOOKUP(A6,TB!A:F,3)</f>
        <v>0</v>
      </c>
      <c r="P6" s="32">
        <f t="shared" si="2"/>
        <v>0</v>
      </c>
      <c r="Q6" s="32">
        <v>20000</v>
      </c>
      <c r="R6" s="36">
        <f>VLOOKUP(A6,TB!A:F,6)</f>
        <v>0</v>
      </c>
      <c r="S6" s="36">
        <f t="shared" si="3"/>
        <v>-20000</v>
      </c>
      <c r="T6" s="51"/>
      <c r="U6" s="54"/>
      <c r="V6" s="51"/>
      <c r="W6" s="51"/>
      <c r="X6" s="51"/>
      <c r="Y6" s="51"/>
      <c r="Z6" s="51"/>
      <c r="AA6" s="51"/>
    </row>
    <row r="7" spans="1:32" ht="15.75" customHeight="1" x14ac:dyDescent="0.25">
      <c r="A7" s="30" t="s">
        <v>242</v>
      </c>
      <c r="B7" s="176" t="s">
        <v>72</v>
      </c>
      <c r="C7" s="31"/>
      <c r="D7" s="32">
        <v>30020</v>
      </c>
      <c r="E7" s="32" t="e">
        <f>D7*#REF!</f>
        <v>#REF!</v>
      </c>
      <c r="F7" s="32" t="e">
        <f>D7*#REF!</f>
        <v>#REF!</v>
      </c>
      <c r="G7" s="32" t="e">
        <f>(D7*#REF!)*#REF!</f>
        <v>#REF!</v>
      </c>
      <c r="H7" s="119">
        <f t="shared" si="0"/>
        <v>0</v>
      </c>
      <c r="I7" s="34" t="e">
        <f t="shared" si="1"/>
        <v>#REF!</v>
      </c>
      <c r="J7" s="34">
        <v>-30000</v>
      </c>
      <c r="K7" s="31"/>
      <c r="L7" s="35">
        <v>54238</v>
      </c>
      <c r="M7" s="35">
        <v>74556.72</v>
      </c>
      <c r="N7" s="35">
        <v>106672</v>
      </c>
      <c r="O7" s="35">
        <f>VLOOKUP(A7,TB!A:F,3)</f>
        <v>79550.850000000006</v>
      </c>
      <c r="P7" s="38">
        <f t="shared" ref="P7:P11" si="4">N7</f>
        <v>106672</v>
      </c>
      <c r="Q7" s="32">
        <v>115300</v>
      </c>
      <c r="R7" s="36">
        <f>VLOOKUP(A7,TB!A:F,6)</f>
        <v>85300</v>
      </c>
      <c r="S7" s="36">
        <f t="shared" si="3"/>
        <v>-30000</v>
      </c>
      <c r="T7" s="51"/>
      <c r="U7" s="54"/>
      <c r="V7" s="51"/>
      <c r="W7" s="51"/>
      <c r="X7" s="51"/>
      <c r="Y7" s="51"/>
      <c r="Z7" s="51"/>
      <c r="AA7" s="51"/>
    </row>
    <row r="8" spans="1:32" ht="15.75" customHeight="1" x14ac:dyDescent="0.25">
      <c r="A8" s="30" t="s">
        <v>243</v>
      </c>
      <c r="B8" s="176" t="s">
        <v>74</v>
      </c>
      <c r="C8" s="31"/>
      <c r="D8" s="32">
        <v>266</v>
      </c>
      <c r="E8" s="32" t="e">
        <f>D8*#REF!</f>
        <v>#REF!</v>
      </c>
      <c r="F8" s="32" t="e">
        <f>D8*#REF!</f>
        <v>#REF!</v>
      </c>
      <c r="G8" s="32" t="e">
        <f>(D8*#REF!)*#REF!</f>
        <v>#REF!</v>
      </c>
      <c r="H8" s="119">
        <f t="shared" si="0"/>
        <v>0</v>
      </c>
      <c r="I8" s="34" t="e">
        <f t="shared" si="1"/>
        <v>#REF!</v>
      </c>
      <c r="J8" s="16"/>
      <c r="K8" s="31"/>
      <c r="L8" s="35">
        <v>160</v>
      </c>
      <c r="M8" s="35">
        <v>2064</v>
      </c>
      <c r="N8" s="35">
        <v>7600</v>
      </c>
      <c r="O8" s="35">
        <f>VLOOKUP(A8,TB!A:F,3)</f>
        <v>4847.9399999999996</v>
      </c>
      <c r="P8" s="38">
        <f t="shared" si="4"/>
        <v>7600</v>
      </c>
      <c r="Q8" s="32">
        <v>4225</v>
      </c>
      <c r="R8" s="36">
        <f>VLOOKUP(A8,TB!A:F,6)</f>
        <v>4225</v>
      </c>
      <c r="S8" s="36">
        <f t="shared" si="3"/>
        <v>0</v>
      </c>
      <c r="T8" s="51"/>
      <c r="U8" s="54"/>
      <c r="V8" s="51"/>
      <c r="W8" s="51"/>
      <c r="X8" s="51"/>
      <c r="Y8" s="51"/>
      <c r="Z8" s="51"/>
      <c r="AA8" s="51"/>
    </row>
    <row r="9" spans="1:32" ht="15.75" customHeight="1" x14ac:dyDescent="0.25">
      <c r="A9" s="30" t="s">
        <v>244</v>
      </c>
      <c r="B9" s="176" t="s">
        <v>76</v>
      </c>
      <c r="C9" s="31"/>
      <c r="D9" s="32">
        <v>2784</v>
      </c>
      <c r="E9" s="32" t="e">
        <f>D9*#REF!</f>
        <v>#REF!</v>
      </c>
      <c r="F9" s="32" t="e">
        <f>D9*#REF!</f>
        <v>#REF!</v>
      </c>
      <c r="G9" s="32" t="e">
        <f>(D9*#REF!)*#REF!</f>
        <v>#REF!</v>
      </c>
      <c r="H9" s="119">
        <f t="shared" si="0"/>
        <v>0</v>
      </c>
      <c r="I9" s="34" t="e">
        <f t="shared" si="1"/>
        <v>#REF!</v>
      </c>
      <c r="J9" s="16"/>
      <c r="K9" s="31"/>
      <c r="L9" s="35">
        <v>3819</v>
      </c>
      <c r="M9" s="35">
        <v>2358.02</v>
      </c>
      <c r="N9" s="35">
        <v>4500</v>
      </c>
      <c r="O9" s="35">
        <f>VLOOKUP(A9,TB!A:F,3)</f>
        <v>2249.73</v>
      </c>
      <c r="P9" s="38">
        <f t="shared" si="4"/>
        <v>4500</v>
      </c>
      <c r="Q9" s="32">
        <v>4500</v>
      </c>
      <c r="R9" s="36">
        <f>VLOOKUP(A9,TB!A:F,6)</f>
        <v>4500</v>
      </c>
      <c r="S9" s="36">
        <f t="shared" si="3"/>
        <v>0</v>
      </c>
      <c r="T9" s="51"/>
      <c r="U9" s="54"/>
      <c r="V9" s="51"/>
      <c r="W9" s="51"/>
      <c r="X9" s="51"/>
      <c r="Y9" s="51"/>
      <c r="Z9" s="51"/>
      <c r="AA9" s="51"/>
    </row>
    <row r="10" spans="1:32" ht="15.75" customHeight="1" x14ac:dyDescent="0.25">
      <c r="A10" s="30" t="s">
        <v>245</v>
      </c>
      <c r="B10" s="176" t="s">
        <v>80</v>
      </c>
      <c r="C10" s="31"/>
      <c r="D10" s="32">
        <v>3022</v>
      </c>
      <c r="E10" s="32" t="e">
        <f>D10*#REF!</f>
        <v>#REF!</v>
      </c>
      <c r="F10" s="32" t="e">
        <f>D10*#REF!</f>
        <v>#REF!</v>
      </c>
      <c r="G10" s="32" t="e">
        <f>(D10*#REF!)*#REF!</f>
        <v>#REF!</v>
      </c>
      <c r="H10" s="119">
        <f t="shared" si="0"/>
        <v>0</v>
      </c>
      <c r="I10" s="34" t="e">
        <f t="shared" si="1"/>
        <v>#REF!</v>
      </c>
      <c r="J10" s="16"/>
      <c r="K10" s="31"/>
      <c r="L10" s="35">
        <v>2769</v>
      </c>
      <c r="M10" s="35">
        <v>3997.93</v>
      </c>
      <c r="N10" s="35">
        <v>5000</v>
      </c>
      <c r="O10" s="35">
        <f>VLOOKUP(A10,TB!A:F,3)</f>
        <v>4462.8999999999996</v>
      </c>
      <c r="P10" s="38">
        <f t="shared" si="4"/>
        <v>5000</v>
      </c>
      <c r="Q10" s="32">
        <v>5000</v>
      </c>
      <c r="R10" s="36">
        <f>VLOOKUP(A10,TB!A:F,6)</f>
        <v>5000</v>
      </c>
      <c r="S10" s="36">
        <f t="shared" si="3"/>
        <v>0</v>
      </c>
      <c r="T10" s="51"/>
      <c r="U10" s="54"/>
      <c r="V10" s="51"/>
      <c r="W10" s="51"/>
      <c r="X10" s="51"/>
      <c r="Y10" s="51"/>
      <c r="Z10" s="51"/>
      <c r="AA10" s="51"/>
    </row>
    <row r="11" spans="1:32" ht="15.75" customHeight="1" x14ac:dyDescent="0.25">
      <c r="A11" s="30" t="s">
        <v>246</v>
      </c>
      <c r="B11" s="176" t="s">
        <v>82</v>
      </c>
      <c r="C11" s="31"/>
      <c r="D11" s="32">
        <v>2985</v>
      </c>
      <c r="E11" s="32" t="e">
        <f>D11*#REF!</f>
        <v>#REF!</v>
      </c>
      <c r="F11" s="32" t="e">
        <f>D11*#REF!</f>
        <v>#REF!</v>
      </c>
      <c r="G11" s="32" t="e">
        <f>(D11*#REF!)*#REF!</f>
        <v>#REF!</v>
      </c>
      <c r="H11" s="121">
        <f t="shared" si="0"/>
        <v>0</v>
      </c>
      <c r="I11" s="34" t="e">
        <f t="shared" si="1"/>
        <v>#REF!</v>
      </c>
      <c r="J11" s="16"/>
      <c r="K11" s="31"/>
      <c r="L11" s="35">
        <v>4048</v>
      </c>
      <c r="M11" s="35">
        <v>3179.43</v>
      </c>
      <c r="N11" s="35">
        <v>3000</v>
      </c>
      <c r="O11" s="35">
        <f>VLOOKUP(A11,TB!A:F,3)</f>
        <v>1480.31</v>
      </c>
      <c r="P11" s="38">
        <f t="shared" si="4"/>
        <v>3000</v>
      </c>
      <c r="Q11" s="32">
        <v>3000</v>
      </c>
      <c r="R11" s="36">
        <f>VLOOKUP(A11,TB!A:F,6)</f>
        <v>3000</v>
      </c>
      <c r="S11" s="36">
        <f t="shared" si="3"/>
        <v>0</v>
      </c>
      <c r="T11" s="51"/>
      <c r="U11" s="54"/>
      <c r="V11" s="51"/>
      <c r="W11" s="51"/>
      <c r="X11" s="51"/>
      <c r="Y11" s="51"/>
      <c r="Z11" s="51"/>
      <c r="AA11" s="51"/>
    </row>
    <row r="12" spans="1:32" ht="15.75" customHeight="1" x14ac:dyDescent="0.25">
      <c r="A12" s="30" t="s">
        <v>247</v>
      </c>
      <c r="B12" s="176" t="s">
        <v>115</v>
      </c>
      <c r="C12" s="31"/>
      <c r="D12" s="32">
        <v>0</v>
      </c>
      <c r="E12" s="32" t="e">
        <f>D12*#REF!</f>
        <v>#REF!</v>
      </c>
      <c r="F12" s="32" t="e">
        <f>D12*#REF!</f>
        <v>#REF!</v>
      </c>
      <c r="G12" s="32" t="e">
        <f>(D12*#REF!)*#REF!</f>
        <v>#REF!</v>
      </c>
      <c r="H12" s="119">
        <f t="shared" si="0"/>
        <v>0</v>
      </c>
      <c r="I12" s="34" t="e">
        <f t="shared" si="1"/>
        <v>#REF!</v>
      </c>
      <c r="J12" s="16"/>
      <c r="K12" s="31"/>
      <c r="L12" s="35">
        <v>-65</v>
      </c>
      <c r="M12" s="35">
        <v>1617</v>
      </c>
      <c r="N12" s="35">
        <v>1000</v>
      </c>
      <c r="O12" s="35">
        <f>VLOOKUP(A12,TB!A:F,3)</f>
        <v>588.49</v>
      </c>
      <c r="P12" s="32">
        <f t="shared" ref="P12:P14" si="5">O12/9*12</f>
        <v>784.65333333333342</v>
      </c>
      <c r="Q12" s="32">
        <v>1000</v>
      </c>
      <c r="R12" s="36">
        <f>VLOOKUP(A12,TB!A:F,6)</f>
        <v>1000</v>
      </c>
      <c r="S12" s="36">
        <f t="shared" si="3"/>
        <v>0</v>
      </c>
      <c r="T12" s="51"/>
      <c r="U12" s="54"/>
      <c r="V12" s="51"/>
      <c r="W12" s="51"/>
      <c r="X12" s="51"/>
      <c r="Y12" s="51"/>
      <c r="Z12" s="51"/>
      <c r="AA12" s="51"/>
    </row>
    <row r="13" spans="1:32" ht="15.75" customHeight="1" x14ac:dyDescent="0.25">
      <c r="A13" s="30" t="s">
        <v>248</v>
      </c>
      <c r="B13" s="176" t="s">
        <v>84</v>
      </c>
      <c r="C13" s="31"/>
      <c r="D13" s="32">
        <v>814</v>
      </c>
      <c r="E13" s="32" t="e">
        <f>D13*#REF!</f>
        <v>#REF!</v>
      </c>
      <c r="F13" s="32" t="e">
        <f>D13*#REF!</f>
        <v>#REF!</v>
      </c>
      <c r="G13" s="32" t="e">
        <f>(D13*#REF!)*#REF!</f>
        <v>#REF!</v>
      </c>
      <c r="H13" s="119">
        <f t="shared" si="0"/>
        <v>0</v>
      </c>
      <c r="I13" s="34" t="e">
        <f t="shared" si="1"/>
        <v>#REF!</v>
      </c>
      <c r="J13" s="16"/>
      <c r="K13" s="31"/>
      <c r="L13" s="35">
        <v>702</v>
      </c>
      <c r="M13" s="35">
        <v>1117.94</v>
      </c>
      <c r="N13" s="35">
        <v>1000</v>
      </c>
      <c r="O13" s="35">
        <f>VLOOKUP(A13,TB!A:F,3)</f>
        <v>671.92</v>
      </c>
      <c r="P13" s="32">
        <f t="shared" si="5"/>
        <v>895.8933333333332</v>
      </c>
      <c r="Q13" s="32">
        <v>1200</v>
      </c>
      <c r="R13" s="36">
        <f>VLOOKUP(A13,TB!A:F,6)</f>
        <v>1200</v>
      </c>
      <c r="S13" s="36">
        <f t="shared" si="3"/>
        <v>0</v>
      </c>
      <c r="T13" s="51"/>
      <c r="U13" s="54"/>
      <c r="V13" s="51"/>
      <c r="W13" s="51"/>
      <c r="X13" s="51"/>
      <c r="Y13" s="51"/>
      <c r="Z13" s="51"/>
      <c r="AA13" s="51"/>
    </row>
    <row r="14" spans="1:32" ht="15.75" customHeight="1" x14ac:dyDescent="0.25">
      <c r="A14" s="30" t="s">
        <v>249</v>
      </c>
      <c r="B14" s="176" t="s">
        <v>210</v>
      </c>
      <c r="C14" s="31"/>
      <c r="D14" s="32">
        <v>0</v>
      </c>
      <c r="E14" s="32" t="e">
        <f>D14*#REF!</f>
        <v>#REF!</v>
      </c>
      <c r="F14" s="32" t="e">
        <f>D14*#REF!</f>
        <v>#REF!</v>
      </c>
      <c r="G14" s="32" t="e">
        <f>(D14*#REF!)*#REF!</f>
        <v>#REF!</v>
      </c>
      <c r="H14" s="119">
        <f t="shared" si="0"/>
        <v>0</v>
      </c>
      <c r="I14" s="34" t="e">
        <f t="shared" si="1"/>
        <v>#REF!</v>
      </c>
      <c r="J14" s="16"/>
      <c r="K14" s="31"/>
      <c r="L14" s="35">
        <v>0</v>
      </c>
      <c r="M14" s="35">
        <v>0</v>
      </c>
      <c r="N14" s="35">
        <v>0</v>
      </c>
      <c r="O14" s="35">
        <f>VLOOKUP(A14,TB!A:F,3)</f>
        <v>671.92</v>
      </c>
      <c r="P14" s="32">
        <f t="shared" si="5"/>
        <v>895.8933333333332</v>
      </c>
      <c r="Q14" s="32">
        <v>0</v>
      </c>
      <c r="R14" s="36">
        <v>0</v>
      </c>
      <c r="S14" s="36">
        <f t="shared" si="3"/>
        <v>0</v>
      </c>
      <c r="T14" s="51"/>
      <c r="U14" s="54"/>
      <c r="V14" s="51"/>
      <c r="W14" s="51"/>
      <c r="X14" s="51"/>
      <c r="Y14" s="51"/>
      <c r="Z14" s="51"/>
      <c r="AA14" s="51"/>
    </row>
    <row r="15" spans="1:32" ht="15.75" customHeight="1" x14ac:dyDescent="0.25">
      <c r="A15" s="30" t="s">
        <v>250</v>
      </c>
      <c r="B15" s="176" t="s">
        <v>88</v>
      </c>
      <c r="C15" s="31"/>
      <c r="D15" s="32">
        <v>0</v>
      </c>
      <c r="E15" s="32" t="e">
        <f>D15*#REF!</f>
        <v>#REF!</v>
      </c>
      <c r="F15" s="32" t="e">
        <f>D15*#REF!</f>
        <v>#REF!</v>
      </c>
      <c r="G15" s="32" t="e">
        <f>(D15*#REF!)*#REF!</f>
        <v>#REF!</v>
      </c>
      <c r="H15" s="119">
        <f t="shared" si="0"/>
        <v>0</v>
      </c>
      <c r="I15" s="34" t="e">
        <f t="shared" si="1"/>
        <v>#REF!</v>
      </c>
      <c r="J15" s="16"/>
      <c r="K15" s="31"/>
      <c r="L15" s="35">
        <v>17748</v>
      </c>
      <c r="M15" s="35">
        <v>5450</v>
      </c>
      <c r="N15" s="35">
        <v>11600</v>
      </c>
      <c r="O15" s="35">
        <f>VLOOKUP(A15,TB!A:F,3)</f>
        <v>8840</v>
      </c>
      <c r="P15" s="38">
        <f>N15</f>
        <v>11600</v>
      </c>
      <c r="Q15" s="32">
        <v>16000</v>
      </c>
      <c r="R15" s="36">
        <f>VLOOKUP(A15,TB!A:F,6)</f>
        <v>16000</v>
      </c>
      <c r="S15" s="36">
        <f t="shared" si="3"/>
        <v>0</v>
      </c>
      <c r="T15" s="51"/>
      <c r="U15" s="54"/>
      <c r="V15" s="51"/>
      <c r="W15" s="51"/>
      <c r="X15" s="51"/>
      <c r="Y15" s="51"/>
      <c r="Z15" s="51"/>
      <c r="AA15" s="51"/>
    </row>
    <row r="16" spans="1:32" ht="15.75" customHeight="1" x14ac:dyDescent="0.25">
      <c r="A16" s="30" t="s">
        <v>251</v>
      </c>
      <c r="B16" s="176" t="s">
        <v>252</v>
      </c>
      <c r="C16" s="31"/>
      <c r="D16" s="32">
        <v>0</v>
      </c>
      <c r="E16" s="32" t="e">
        <f>D16*#REF!</f>
        <v>#REF!</v>
      </c>
      <c r="F16" s="32" t="e">
        <f>D16*#REF!</f>
        <v>#REF!</v>
      </c>
      <c r="G16" s="32" t="e">
        <f>(D16*#REF!)*#REF!</f>
        <v>#REF!</v>
      </c>
      <c r="H16" s="119">
        <f t="shared" si="0"/>
        <v>0</v>
      </c>
      <c r="I16" s="34" t="e">
        <f t="shared" si="1"/>
        <v>#REF!</v>
      </c>
      <c r="J16" s="16"/>
      <c r="K16" s="31"/>
      <c r="L16" s="35">
        <v>1036</v>
      </c>
      <c r="M16" s="35">
        <v>0</v>
      </c>
      <c r="N16" s="35">
        <v>800</v>
      </c>
      <c r="O16" s="35">
        <f>VLOOKUP(A16,TB!A:F,3)</f>
        <v>0</v>
      </c>
      <c r="P16" s="32">
        <f t="shared" ref="P16:P18" si="6">IF(O16/9*12&lt;N16,N16,O16/9*12)</f>
        <v>800</v>
      </c>
      <c r="Q16" s="32">
        <v>0</v>
      </c>
      <c r="R16" s="36">
        <f>VLOOKUP(A16,TB!A:F,6)</f>
        <v>0</v>
      </c>
      <c r="S16" s="36">
        <f t="shared" si="3"/>
        <v>0</v>
      </c>
      <c r="T16" s="51"/>
      <c r="U16" s="54"/>
      <c r="V16" s="51"/>
      <c r="W16" s="51"/>
      <c r="X16" s="51"/>
      <c r="Y16" s="51"/>
      <c r="Z16" s="51"/>
      <c r="AA16" s="51"/>
    </row>
    <row r="17" spans="1:27" ht="15.75" customHeight="1" x14ac:dyDescent="0.25">
      <c r="A17" s="30" t="s">
        <v>253</v>
      </c>
      <c r="B17" s="176" t="s">
        <v>92</v>
      </c>
      <c r="C17" s="31"/>
      <c r="D17" s="32">
        <v>0</v>
      </c>
      <c r="E17" s="32" t="e">
        <f>D17*#REF!</f>
        <v>#REF!</v>
      </c>
      <c r="F17" s="32" t="e">
        <f>D17*#REF!</f>
        <v>#REF!</v>
      </c>
      <c r="G17" s="32" t="e">
        <f>(D17*#REF!)*#REF!</f>
        <v>#REF!</v>
      </c>
      <c r="H17" s="119">
        <f t="shared" si="0"/>
        <v>0</v>
      </c>
      <c r="I17" s="34" t="e">
        <f t="shared" si="1"/>
        <v>#REF!</v>
      </c>
      <c r="J17" s="16"/>
      <c r="K17" s="31"/>
      <c r="L17" s="35">
        <v>1485</v>
      </c>
      <c r="M17" s="35">
        <v>1340.81</v>
      </c>
      <c r="N17" s="35">
        <v>1500</v>
      </c>
      <c r="O17" s="35">
        <f>VLOOKUP(A17,TB!A:F,3)</f>
        <v>2464.36</v>
      </c>
      <c r="P17" s="32">
        <f t="shared" si="6"/>
        <v>3285.8133333333335</v>
      </c>
      <c r="Q17" s="32">
        <v>1500</v>
      </c>
      <c r="R17" s="36">
        <f>VLOOKUP(A17,TB!A:F,6)</f>
        <v>1500</v>
      </c>
      <c r="S17" s="36">
        <f t="shared" si="3"/>
        <v>0</v>
      </c>
      <c r="T17" s="51"/>
      <c r="U17" s="54"/>
      <c r="V17" s="51"/>
      <c r="W17" s="51"/>
      <c r="X17" s="51"/>
      <c r="Y17" s="51"/>
      <c r="Z17" s="51"/>
      <c r="AA17" s="51"/>
    </row>
    <row r="18" spans="1:27" ht="15.75" customHeight="1" x14ac:dyDescent="0.25">
      <c r="A18" s="30" t="s">
        <v>254</v>
      </c>
      <c r="B18" s="176" t="s">
        <v>94</v>
      </c>
      <c r="C18" s="31"/>
      <c r="D18" s="32">
        <v>1795</v>
      </c>
      <c r="E18" s="32" t="e">
        <f>D18*#REF!</f>
        <v>#REF!</v>
      </c>
      <c r="F18" s="32" t="e">
        <f>D18*#REF!</f>
        <v>#REF!</v>
      </c>
      <c r="G18" s="32" t="e">
        <f>(D18*#REF!)*#REF!</f>
        <v>#REF!</v>
      </c>
      <c r="H18" s="121">
        <f t="shared" si="0"/>
        <v>0</v>
      </c>
      <c r="I18" s="34" t="e">
        <f t="shared" si="1"/>
        <v>#REF!</v>
      </c>
      <c r="J18" s="16"/>
      <c r="K18" s="31"/>
      <c r="L18" s="35">
        <v>56</v>
      </c>
      <c r="M18" s="35">
        <v>251.16</v>
      </c>
      <c r="N18" s="35">
        <v>0</v>
      </c>
      <c r="O18" s="35">
        <f>VLOOKUP(A18,TB!A:F,3)</f>
        <v>0</v>
      </c>
      <c r="P18" s="32">
        <f t="shared" si="6"/>
        <v>0</v>
      </c>
      <c r="Q18" s="32">
        <v>0</v>
      </c>
      <c r="R18" s="36">
        <f>VLOOKUP(A18,TB!A:F,6)</f>
        <v>0</v>
      </c>
      <c r="S18" s="36">
        <f t="shared" si="3"/>
        <v>0</v>
      </c>
      <c r="T18" s="51"/>
      <c r="U18" s="54"/>
      <c r="V18" s="51"/>
      <c r="W18" s="51"/>
      <c r="X18" s="51"/>
      <c r="Y18" s="51"/>
      <c r="Z18" s="51"/>
      <c r="AA18" s="51"/>
    </row>
    <row r="19" spans="1:27" ht="15.75" customHeight="1" x14ac:dyDescent="0.25">
      <c r="A19" s="47" t="s">
        <v>255</v>
      </c>
      <c r="B19" s="12"/>
      <c r="C19" s="49"/>
      <c r="D19" s="50">
        <f t="shared" ref="D19:G19" si="7">SUM(D2:D18)</f>
        <v>108127</v>
      </c>
      <c r="E19" s="50" t="e">
        <f t="shared" si="7"/>
        <v>#REF!</v>
      </c>
      <c r="F19" s="50" t="e">
        <f t="shared" si="7"/>
        <v>#REF!</v>
      </c>
      <c r="G19" s="50" t="e">
        <f t="shared" si="7"/>
        <v>#REF!</v>
      </c>
      <c r="H19" s="122">
        <f t="shared" si="0"/>
        <v>0</v>
      </c>
      <c r="I19" s="50" t="e">
        <f t="shared" ref="I19:J19" si="8">SUM(I2:I18)</f>
        <v>#REF!</v>
      </c>
      <c r="J19" s="50">
        <f t="shared" si="8"/>
        <v>-129500</v>
      </c>
      <c r="K19" s="49"/>
      <c r="L19" s="12">
        <f t="shared" ref="L19:R19" si="9">SUM(L2:L18)</f>
        <v>225235</v>
      </c>
      <c r="M19" s="12">
        <f t="shared" si="9"/>
        <v>325864.93</v>
      </c>
      <c r="N19" s="12">
        <f t="shared" si="9"/>
        <v>424090</v>
      </c>
      <c r="O19" s="12">
        <f t="shared" si="9"/>
        <v>318851.70999999996</v>
      </c>
      <c r="P19" s="50">
        <f t="shared" si="9"/>
        <v>421964.5303333333</v>
      </c>
      <c r="Q19" s="50">
        <f t="shared" si="9"/>
        <v>497225</v>
      </c>
      <c r="R19" s="12">
        <f t="shared" si="9"/>
        <v>367725</v>
      </c>
      <c r="S19" s="12">
        <f t="shared" si="3"/>
        <v>-129500</v>
      </c>
      <c r="U19" s="54"/>
      <c r="V19" s="44"/>
      <c r="W19" s="44"/>
      <c r="X19" s="44"/>
      <c r="Y19" s="44"/>
      <c r="Z19" s="44"/>
      <c r="AA19" s="44"/>
    </row>
    <row r="20" spans="1:27" ht="15" customHeight="1" x14ac:dyDescent="0.2">
      <c r="A20" s="5"/>
      <c r="B20" s="7"/>
      <c r="C20" s="31"/>
      <c r="D20" s="7"/>
      <c r="E20" s="7"/>
      <c r="F20" s="7"/>
      <c r="G20" s="7"/>
      <c r="H20" s="7"/>
      <c r="I20" s="7"/>
      <c r="J20" s="7"/>
      <c r="K20" s="31"/>
      <c r="L20" s="7"/>
      <c r="M20" s="7"/>
      <c r="N20" s="7"/>
      <c r="O20" s="7"/>
      <c r="P20" s="7"/>
      <c r="Q20" s="7"/>
      <c r="R20" s="7"/>
      <c r="S20" s="7"/>
      <c r="U20" s="54"/>
    </row>
    <row r="21" spans="1:27" ht="15.75" customHeight="1" x14ac:dyDescent="0.2">
      <c r="A21" s="5"/>
      <c r="B21" s="7"/>
      <c r="C21" s="31"/>
      <c r="D21" s="7"/>
      <c r="E21" s="7"/>
      <c r="F21" s="7"/>
      <c r="G21" s="7"/>
      <c r="H21" s="7"/>
      <c r="I21" s="7"/>
      <c r="J21" s="7"/>
      <c r="K21" s="31"/>
      <c r="L21" s="7"/>
      <c r="M21" s="7"/>
      <c r="N21" s="7"/>
      <c r="O21" s="7"/>
      <c r="P21" s="7"/>
      <c r="Q21" s="7"/>
      <c r="R21" s="7"/>
      <c r="S21" s="7"/>
      <c r="U21" s="54"/>
    </row>
    <row r="22" spans="1:27" ht="15.75" customHeight="1" x14ac:dyDescent="0.25">
      <c r="A22" s="30" t="s">
        <v>256</v>
      </c>
      <c r="B22" s="176" t="s">
        <v>99</v>
      </c>
      <c r="C22" s="31"/>
      <c r="D22" s="32">
        <v>0</v>
      </c>
      <c r="E22" s="32" t="e">
        <f>D22*#REF!</f>
        <v>#REF!</v>
      </c>
      <c r="F22" s="32" t="e">
        <f>D22*#REF!</f>
        <v>#REF!</v>
      </c>
      <c r="G22" s="32" t="e">
        <f>(D22*#REF!)*#REF!</f>
        <v>#REF!</v>
      </c>
      <c r="H22" s="119">
        <f t="shared" ref="H22:H23" si="10">IFERROR(((Q22-G22)/G22),0)</f>
        <v>0</v>
      </c>
      <c r="I22" s="34" t="e">
        <f>Q22-G22</f>
        <v>#REF!</v>
      </c>
      <c r="J22" s="16"/>
      <c r="K22" s="31"/>
      <c r="L22" s="35">
        <v>10400</v>
      </c>
      <c r="M22" s="35">
        <v>0</v>
      </c>
      <c r="N22" s="35">
        <v>0</v>
      </c>
      <c r="O22" s="35">
        <f>VLOOKUP(A22,TB!A:F,3)</f>
        <v>0</v>
      </c>
      <c r="P22" s="32">
        <f>IF(O22/9*12&lt;N22,N22,O22/9*12)</f>
        <v>0</v>
      </c>
      <c r="Q22" s="32">
        <v>0</v>
      </c>
      <c r="R22" s="36">
        <f>VLOOKUP(A22,TB!A:F,6)</f>
        <v>0</v>
      </c>
      <c r="S22" s="36">
        <f t="shared" ref="S22:S23" si="11">R22-Q22</f>
        <v>0</v>
      </c>
      <c r="U22" s="51"/>
      <c r="V22" s="51"/>
      <c r="W22" s="51"/>
      <c r="X22" s="51"/>
      <c r="Y22" s="51"/>
      <c r="Z22" s="51"/>
      <c r="AA22" s="51"/>
    </row>
    <row r="23" spans="1:27" ht="15.75" customHeight="1" x14ac:dyDescent="0.25">
      <c r="A23" s="135" t="s">
        <v>257</v>
      </c>
      <c r="B23" s="7"/>
      <c r="C23" s="177"/>
      <c r="D23" s="178">
        <f t="shared" ref="D23:F23" si="12">SUM(D22)</f>
        <v>0</v>
      </c>
      <c r="E23" s="178" t="e">
        <f t="shared" si="12"/>
        <v>#REF!</v>
      </c>
      <c r="F23" s="178" t="e">
        <f t="shared" si="12"/>
        <v>#REF!</v>
      </c>
      <c r="G23" s="178" t="e">
        <f>SUM(G21:G22)</f>
        <v>#REF!</v>
      </c>
      <c r="H23" s="122">
        <f t="shared" si="10"/>
        <v>0</v>
      </c>
      <c r="I23" s="178" t="e">
        <f t="shared" ref="I23:J23" si="13">SUM(I22)</f>
        <v>#REF!</v>
      </c>
      <c r="J23" s="178">
        <f t="shared" si="13"/>
        <v>0</v>
      </c>
      <c r="K23" s="177"/>
      <c r="L23" s="123">
        <f t="shared" ref="L23:R23" si="14">SUM(L22)</f>
        <v>10400</v>
      </c>
      <c r="M23" s="123">
        <f t="shared" si="14"/>
        <v>0</v>
      </c>
      <c r="N23" s="123">
        <f t="shared" si="14"/>
        <v>0</v>
      </c>
      <c r="O23" s="123">
        <f t="shared" si="14"/>
        <v>0</v>
      </c>
      <c r="P23" s="178">
        <f t="shared" si="14"/>
        <v>0</v>
      </c>
      <c r="Q23" s="178">
        <f t="shared" si="14"/>
        <v>0</v>
      </c>
      <c r="R23" s="12">
        <f t="shared" si="14"/>
        <v>0</v>
      </c>
      <c r="S23" s="12">
        <f t="shared" si="11"/>
        <v>0</v>
      </c>
      <c r="U23" s="52"/>
      <c r="V23" s="52"/>
      <c r="W23" s="52"/>
      <c r="X23" s="52"/>
      <c r="Y23" s="52"/>
      <c r="Z23" s="52"/>
      <c r="AA23" s="52"/>
    </row>
    <row r="24" spans="1:27" ht="15.75" customHeight="1" x14ac:dyDescent="0.2">
      <c r="A24" s="5"/>
      <c r="B24" s="7"/>
      <c r="C24" s="31"/>
      <c r="D24" s="7"/>
      <c r="E24" s="7"/>
      <c r="F24" s="7"/>
      <c r="G24" s="7"/>
      <c r="H24" s="7"/>
      <c r="I24" s="7"/>
      <c r="J24" s="7"/>
      <c r="K24" s="31"/>
      <c r="L24" s="7"/>
      <c r="M24" s="7"/>
      <c r="N24" s="7"/>
      <c r="O24" s="7"/>
      <c r="P24" s="7"/>
      <c r="Q24" s="7"/>
      <c r="R24" s="7"/>
      <c r="S24" s="7"/>
      <c r="U24" s="54"/>
    </row>
    <row r="25" spans="1:27" ht="15.75" customHeight="1" x14ac:dyDescent="0.25">
      <c r="A25" s="11" t="s">
        <v>258</v>
      </c>
      <c r="B25" s="12"/>
      <c r="C25" s="40"/>
      <c r="D25" s="41">
        <f t="shared" ref="D25:G25" si="15">D19+D23</f>
        <v>108127</v>
      </c>
      <c r="E25" s="41" t="e">
        <f t="shared" si="15"/>
        <v>#REF!</v>
      </c>
      <c r="F25" s="41" t="e">
        <f t="shared" si="15"/>
        <v>#REF!</v>
      </c>
      <c r="G25" s="41" t="e">
        <f t="shared" si="15"/>
        <v>#REF!</v>
      </c>
      <c r="H25" s="122">
        <f>IFERROR(((Q25-G25)/G25),0)</f>
        <v>0</v>
      </c>
      <c r="I25" s="50" t="e">
        <f>Q25-G25</f>
        <v>#REF!</v>
      </c>
      <c r="J25" s="178">
        <f>SUM(J24)</f>
        <v>0</v>
      </c>
      <c r="K25" s="40"/>
      <c r="L25" s="41">
        <f t="shared" ref="L25:R25" si="16">L19+L23</f>
        <v>235635</v>
      </c>
      <c r="M25" s="41">
        <f t="shared" si="16"/>
        <v>325864.93</v>
      </c>
      <c r="N25" s="41">
        <f t="shared" si="16"/>
        <v>424090</v>
      </c>
      <c r="O25" s="41">
        <f t="shared" si="16"/>
        <v>318851.70999999996</v>
      </c>
      <c r="P25" s="41">
        <f t="shared" si="16"/>
        <v>421964.5303333333</v>
      </c>
      <c r="Q25" s="41">
        <f t="shared" si="16"/>
        <v>497225</v>
      </c>
      <c r="R25" s="41">
        <f t="shared" si="16"/>
        <v>367725</v>
      </c>
      <c r="S25" s="41">
        <f>R25-Q25</f>
        <v>-129500</v>
      </c>
    </row>
    <row r="26" spans="1:27" ht="15.75" customHeight="1" x14ac:dyDescent="0.2">
      <c r="A26" s="5"/>
      <c r="B26" s="7"/>
      <c r="C26" s="31"/>
      <c r="D26" s="7"/>
      <c r="E26" s="7"/>
      <c r="F26" s="7"/>
      <c r="G26" s="7"/>
      <c r="H26" s="7"/>
      <c r="I26" s="7"/>
      <c r="J26" s="7"/>
      <c r="K26" s="31"/>
      <c r="L26" s="7"/>
      <c r="M26" s="7"/>
      <c r="N26" s="7"/>
      <c r="O26" s="7"/>
      <c r="P26" s="7"/>
      <c r="Q26" s="7"/>
      <c r="R26" s="7"/>
      <c r="S26" s="7"/>
      <c r="U26" s="54"/>
    </row>
    <row r="27" spans="1:27" ht="15.75" customHeight="1" x14ac:dyDescent="0.2">
      <c r="A27" s="11" t="s">
        <v>184</v>
      </c>
      <c r="B27" s="7"/>
      <c r="C27" s="31"/>
      <c r="D27" s="7"/>
      <c r="E27" s="7"/>
      <c r="F27" s="7"/>
      <c r="G27" s="7"/>
      <c r="H27" s="63"/>
      <c r="I27" s="7"/>
      <c r="J27" s="7"/>
      <c r="K27" s="31"/>
      <c r="L27" s="7"/>
      <c r="M27" s="7"/>
      <c r="N27" s="7"/>
      <c r="O27" s="7"/>
      <c r="P27" s="7"/>
      <c r="Q27" s="7"/>
      <c r="R27" s="7"/>
      <c r="S27" s="7"/>
    </row>
    <row r="28" spans="1:27" ht="15.75" customHeight="1" x14ac:dyDescent="0.25">
      <c r="A28" s="30" t="s">
        <v>259</v>
      </c>
      <c r="B28" s="179" t="s">
        <v>260</v>
      </c>
      <c r="C28" s="31"/>
      <c r="D28" s="32">
        <v>-39510</v>
      </c>
      <c r="E28" s="32" t="e">
        <f>D28*#REF!</f>
        <v>#REF!</v>
      </c>
      <c r="F28" s="32" t="e">
        <f>D28*#REF!</f>
        <v>#REF!</v>
      </c>
      <c r="G28" s="32" t="e">
        <f>(D28*#REF!)*#REF!</f>
        <v>#REF!</v>
      </c>
      <c r="H28" s="119">
        <f t="shared" ref="H28:H30" si="17">IFERROR(((Q28-G28)/G28),0)</f>
        <v>0</v>
      </c>
      <c r="I28" s="34" t="e">
        <f t="shared" ref="I28:I29" si="18">Q28-G28</f>
        <v>#REF!</v>
      </c>
      <c r="J28" s="16"/>
      <c r="K28" s="31"/>
      <c r="L28" s="35">
        <v>-58687.5</v>
      </c>
      <c r="M28" s="35">
        <v>-16910</v>
      </c>
      <c r="N28" s="35">
        <v>-60000</v>
      </c>
      <c r="O28" s="35">
        <f>VLOOKUP(A28,TB!A:F,3)</f>
        <v>-48690</v>
      </c>
      <c r="P28" s="32">
        <f t="shared" ref="P28:P29" si="19">IF(O28/9*12&lt;N28,N28,O28/9*12)</f>
        <v>-60000</v>
      </c>
      <c r="Q28" s="32">
        <v>-60000</v>
      </c>
      <c r="R28" s="36">
        <f>VLOOKUP(A28,TB!A:F,6)</f>
        <v>-60000</v>
      </c>
      <c r="S28" s="36">
        <f t="shared" ref="S28:S30" si="20">R28-Q28</f>
        <v>0</v>
      </c>
    </row>
    <row r="29" spans="1:27" ht="15.75" customHeight="1" x14ac:dyDescent="0.25">
      <c r="A29" s="30" t="s">
        <v>261</v>
      </c>
      <c r="B29" s="179" t="s">
        <v>262</v>
      </c>
      <c r="C29" s="31"/>
      <c r="D29" s="32">
        <v>-27209.64</v>
      </c>
      <c r="E29" s="32" t="e">
        <f>D29*#REF!</f>
        <v>#REF!</v>
      </c>
      <c r="F29" s="32" t="e">
        <f>D29*#REF!</f>
        <v>#REF!</v>
      </c>
      <c r="G29" s="32" t="e">
        <f>(D29*#REF!)*#REF!</f>
        <v>#REF!</v>
      </c>
      <c r="H29" s="119">
        <f t="shared" si="17"/>
        <v>0</v>
      </c>
      <c r="I29" s="34" t="e">
        <f t="shared" si="18"/>
        <v>#REF!</v>
      </c>
      <c r="J29" s="16"/>
      <c r="K29" s="31"/>
      <c r="L29" s="35">
        <v>-48245.85</v>
      </c>
      <c r="M29" s="35">
        <v>-37670.080000000002</v>
      </c>
      <c r="N29" s="35">
        <v>-45000</v>
      </c>
      <c r="O29" s="35">
        <f>VLOOKUP(A29,TB!A:F,3)</f>
        <v>-28324.25</v>
      </c>
      <c r="P29" s="32">
        <f t="shared" si="19"/>
        <v>-37765.666666666664</v>
      </c>
      <c r="Q29" s="32">
        <v>-45000</v>
      </c>
      <c r="R29" s="36">
        <f>VLOOKUP(A29,TB!A:F,6)</f>
        <v>-45000</v>
      </c>
      <c r="S29" s="36">
        <f t="shared" si="20"/>
        <v>0</v>
      </c>
    </row>
    <row r="30" spans="1:27" ht="15.75" customHeight="1" x14ac:dyDescent="0.25">
      <c r="A30" s="135" t="s">
        <v>263</v>
      </c>
      <c r="B30" s="7"/>
      <c r="C30" s="177"/>
      <c r="D30" s="178">
        <f t="shared" ref="D30:G30" si="21">SUM(D28:D29)</f>
        <v>-66719.64</v>
      </c>
      <c r="E30" s="178" t="e">
        <f t="shared" si="21"/>
        <v>#REF!</v>
      </c>
      <c r="F30" s="178" t="e">
        <f t="shared" si="21"/>
        <v>#REF!</v>
      </c>
      <c r="G30" s="178" t="e">
        <f t="shared" si="21"/>
        <v>#REF!</v>
      </c>
      <c r="H30" s="122">
        <f t="shared" si="17"/>
        <v>0</v>
      </c>
      <c r="I30" s="178" t="e">
        <f t="shared" ref="I30:J30" si="22">SUM(I28:I29)</f>
        <v>#REF!</v>
      </c>
      <c r="J30" s="178">
        <f t="shared" si="22"/>
        <v>0</v>
      </c>
      <c r="K30" s="177"/>
      <c r="L30" s="123">
        <f t="shared" ref="L30:R30" si="23">SUM(L28:L29)</f>
        <v>-106933.35</v>
      </c>
      <c r="M30" s="123">
        <f t="shared" si="23"/>
        <v>-54580.08</v>
      </c>
      <c r="N30" s="123">
        <f t="shared" si="23"/>
        <v>-105000</v>
      </c>
      <c r="O30" s="123">
        <f t="shared" si="23"/>
        <v>-77014.25</v>
      </c>
      <c r="P30" s="178">
        <f t="shared" si="23"/>
        <v>-97765.666666666657</v>
      </c>
      <c r="Q30" s="178">
        <f t="shared" si="23"/>
        <v>-105000</v>
      </c>
      <c r="R30" s="12">
        <f t="shared" si="23"/>
        <v>-105000</v>
      </c>
      <c r="S30" s="12">
        <f t="shared" si="20"/>
        <v>0</v>
      </c>
    </row>
    <row r="31" spans="1:27" ht="15.75" customHeight="1" x14ac:dyDescent="0.2">
      <c r="A31" s="5"/>
      <c r="B31" s="7"/>
      <c r="C31" s="31"/>
      <c r="D31" s="7"/>
      <c r="E31" s="7"/>
      <c r="F31" s="7"/>
      <c r="G31" s="7"/>
      <c r="H31" s="63"/>
      <c r="I31" s="7"/>
      <c r="J31" s="7"/>
      <c r="K31" s="31"/>
      <c r="L31" s="7"/>
      <c r="M31" s="7"/>
      <c r="N31" s="7"/>
      <c r="O31" s="7"/>
      <c r="P31" s="7"/>
      <c r="Q31" s="7"/>
      <c r="R31" s="7"/>
      <c r="S31" s="7"/>
    </row>
    <row r="32" spans="1:27" ht="15.75" customHeight="1" x14ac:dyDescent="0.25">
      <c r="A32" s="11" t="s">
        <v>190</v>
      </c>
      <c r="B32" s="12"/>
      <c r="C32" s="40"/>
      <c r="D32" s="41">
        <f t="shared" ref="D32:G32" si="24">D25+D30</f>
        <v>41407.360000000001</v>
      </c>
      <c r="E32" s="41" t="e">
        <f t="shared" si="24"/>
        <v>#REF!</v>
      </c>
      <c r="F32" s="41" t="e">
        <f t="shared" si="24"/>
        <v>#REF!</v>
      </c>
      <c r="G32" s="41" t="e">
        <f t="shared" si="24"/>
        <v>#REF!</v>
      </c>
      <c r="H32" s="122">
        <f>IFERROR(((Q32-G32)/G32),0)</f>
        <v>0</v>
      </c>
      <c r="I32" s="50" t="e">
        <f>Q32-G32</f>
        <v>#REF!</v>
      </c>
      <c r="J32" s="178">
        <f>SUM(J31)</f>
        <v>0</v>
      </c>
      <c r="K32" s="40"/>
      <c r="L32" s="41">
        <f t="shared" ref="L32:R32" si="25">L25+L30</f>
        <v>128701.65</v>
      </c>
      <c r="M32" s="41">
        <f t="shared" si="25"/>
        <v>271284.84999999998</v>
      </c>
      <c r="N32" s="41">
        <f t="shared" si="25"/>
        <v>319090</v>
      </c>
      <c r="O32" s="41">
        <f t="shared" si="25"/>
        <v>241837.45999999996</v>
      </c>
      <c r="P32" s="41">
        <f t="shared" si="25"/>
        <v>324198.86366666667</v>
      </c>
      <c r="Q32" s="41">
        <f t="shared" si="25"/>
        <v>392225</v>
      </c>
      <c r="R32" s="41">
        <f t="shared" si="25"/>
        <v>262725</v>
      </c>
      <c r="S32" s="41">
        <f>R32-Q32</f>
        <v>-129500</v>
      </c>
      <c r="U32" s="69"/>
      <c r="V32" s="69"/>
      <c r="W32" s="69"/>
      <c r="X32" s="69"/>
      <c r="Y32" s="69"/>
      <c r="Z32" s="69"/>
      <c r="AA32" s="69"/>
    </row>
    <row r="33" spans="2:21" ht="15.75" customHeight="1" x14ac:dyDescent="0.2">
      <c r="B33" s="54"/>
      <c r="C33" s="180"/>
      <c r="D33" s="54"/>
      <c r="E33" s="54"/>
      <c r="F33" s="54"/>
      <c r="G33" s="54"/>
      <c r="H33" s="54"/>
      <c r="I33" s="54"/>
      <c r="J33" s="54"/>
      <c r="K33" s="180"/>
      <c r="L33" s="54"/>
      <c r="M33" s="54"/>
      <c r="N33" s="54"/>
      <c r="O33" s="54"/>
      <c r="P33" s="54"/>
      <c r="Q33" s="54"/>
      <c r="R33" s="54"/>
      <c r="S33" s="54"/>
      <c r="U33" s="54"/>
    </row>
    <row r="34" spans="2:21" ht="15.75" customHeight="1" x14ac:dyDescent="0.2">
      <c r="B34" s="54"/>
      <c r="C34" s="180"/>
      <c r="D34" s="54"/>
      <c r="E34" s="54"/>
      <c r="F34" s="54"/>
      <c r="G34" s="54"/>
      <c r="H34" s="54"/>
      <c r="I34" s="54"/>
      <c r="J34" s="54"/>
      <c r="K34" s="180"/>
      <c r="L34" s="54"/>
      <c r="M34" s="54"/>
      <c r="N34" s="54"/>
      <c r="O34" s="54"/>
      <c r="P34" s="54"/>
      <c r="Q34" s="54"/>
      <c r="R34" s="54"/>
      <c r="S34" s="54"/>
      <c r="U34" s="54"/>
    </row>
    <row r="35" spans="2:21" ht="15.75" customHeight="1" x14ac:dyDescent="0.2">
      <c r="B35" s="54"/>
      <c r="C35" s="180"/>
      <c r="D35" s="54"/>
      <c r="E35" s="54"/>
      <c r="F35" s="54"/>
      <c r="G35" s="54"/>
      <c r="H35" s="54"/>
      <c r="I35" s="54"/>
      <c r="J35" s="54"/>
      <c r="K35" s="180"/>
      <c r="L35" s="54"/>
      <c r="M35" s="54"/>
      <c r="N35" s="54"/>
      <c r="O35" s="54"/>
      <c r="P35" s="54"/>
      <c r="Q35" s="54"/>
      <c r="R35" s="54"/>
      <c r="S35" s="54"/>
      <c r="U35" s="54"/>
    </row>
    <row r="36" spans="2:21" ht="15.75" customHeight="1" x14ac:dyDescent="0.2">
      <c r="B36" s="96"/>
      <c r="C36" s="181"/>
      <c r="D36" s="96"/>
      <c r="E36" s="96"/>
      <c r="F36" s="96"/>
      <c r="G36" s="59"/>
      <c r="H36" s="54"/>
      <c r="I36" s="54"/>
      <c r="J36" s="54"/>
      <c r="K36" s="181"/>
      <c r="L36" s="173">
        <f t="shared" ref="L36:R36" si="26">L1</f>
        <v>0</v>
      </c>
      <c r="M36" s="173">
        <f t="shared" si="26"/>
        <v>0</v>
      </c>
      <c r="N36" s="173">
        <f t="shared" si="26"/>
        <v>0</v>
      </c>
      <c r="O36" s="173">
        <f t="shared" si="26"/>
        <v>0</v>
      </c>
      <c r="P36" s="173">
        <f t="shared" si="26"/>
        <v>0</v>
      </c>
      <c r="Q36" s="173">
        <f t="shared" si="26"/>
        <v>0</v>
      </c>
      <c r="R36" s="173">
        <f t="shared" si="26"/>
        <v>0</v>
      </c>
      <c r="S36" s="54"/>
    </row>
    <row r="37" spans="2:21" ht="15.75" customHeight="1" x14ac:dyDescent="0.2">
      <c r="B37" s="54"/>
      <c r="C37" s="180"/>
      <c r="D37" s="54"/>
      <c r="E37" s="54"/>
      <c r="F37" s="54"/>
      <c r="G37" s="54"/>
      <c r="H37" s="54"/>
      <c r="I37" s="54"/>
      <c r="J37" s="54"/>
      <c r="K37" s="180"/>
      <c r="L37" s="7">
        <f t="shared" ref="L37:R37" si="27">L32</f>
        <v>128701.65</v>
      </c>
      <c r="M37" s="7">
        <f t="shared" si="27"/>
        <v>271284.84999999998</v>
      </c>
      <c r="N37" s="7">
        <f t="shared" si="27"/>
        <v>319090</v>
      </c>
      <c r="O37" s="7">
        <f t="shared" si="27"/>
        <v>241837.45999999996</v>
      </c>
      <c r="P37" s="7">
        <f t="shared" si="27"/>
        <v>324198.86366666667</v>
      </c>
      <c r="Q37" s="7">
        <f t="shared" si="27"/>
        <v>392225</v>
      </c>
      <c r="R37" s="7">
        <f t="shared" si="27"/>
        <v>262725</v>
      </c>
      <c r="S37" s="54"/>
    </row>
    <row r="38" spans="2:21" ht="15.75" customHeight="1" x14ac:dyDescent="0.2">
      <c r="B38" s="54"/>
      <c r="C38" s="180"/>
      <c r="D38" s="54"/>
      <c r="E38" s="54"/>
      <c r="F38" s="54"/>
      <c r="G38" s="54"/>
      <c r="H38" s="54"/>
      <c r="I38" s="54"/>
      <c r="J38" s="54"/>
      <c r="K38" s="180"/>
      <c r="L38" s="54"/>
      <c r="M38" s="54"/>
      <c r="N38" s="54"/>
      <c r="O38" s="54"/>
      <c r="P38" s="54"/>
      <c r="Q38" s="54"/>
      <c r="R38" s="54"/>
      <c r="S38" s="54"/>
    </row>
    <row r="39" spans="2:21" ht="15.75" customHeight="1" x14ac:dyDescent="0.2">
      <c r="B39" s="54"/>
      <c r="C39" s="180"/>
      <c r="D39" s="54"/>
      <c r="E39" s="54"/>
      <c r="F39" s="54"/>
      <c r="G39" s="54"/>
      <c r="H39" s="54"/>
      <c r="I39" s="54"/>
      <c r="J39" s="54"/>
      <c r="K39" s="180"/>
      <c r="L39" s="54"/>
      <c r="M39" s="54"/>
      <c r="N39" s="54"/>
      <c r="O39" s="54"/>
      <c r="P39" s="54"/>
      <c r="Q39" s="54"/>
      <c r="R39" s="54"/>
      <c r="S39" s="54"/>
    </row>
    <row r="40" spans="2:21" ht="15.75" customHeight="1" x14ac:dyDescent="0.2">
      <c r="B40" s="54"/>
      <c r="C40" s="180"/>
      <c r="D40" s="54"/>
      <c r="E40" s="54"/>
      <c r="F40" s="54"/>
      <c r="G40" s="54"/>
      <c r="H40" s="54"/>
      <c r="I40" s="54"/>
      <c r="J40" s="54"/>
      <c r="K40" s="180"/>
      <c r="L40" s="54"/>
      <c r="M40" s="54"/>
      <c r="N40" s="54"/>
      <c r="O40" s="54"/>
      <c r="P40" s="54"/>
      <c r="Q40" s="54"/>
      <c r="R40" s="54"/>
      <c r="S40" s="54"/>
    </row>
    <row r="41" spans="2:21" ht="15.75" customHeight="1" x14ac:dyDescent="0.2">
      <c r="B41" s="54"/>
      <c r="C41" s="180"/>
      <c r="D41" s="54"/>
      <c r="E41" s="54"/>
      <c r="F41" s="54"/>
      <c r="G41" s="54"/>
      <c r="H41" s="54"/>
      <c r="I41" s="54"/>
      <c r="J41" s="54"/>
      <c r="K41" s="180"/>
      <c r="L41" s="54"/>
      <c r="M41" s="54"/>
      <c r="N41" s="54"/>
      <c r="O41" s="54"/>
      <c r="P41" s="54"/>
      <c r="Q41" s="54"/>
      <c r="R41" s="54"/>
      <c r="S41" s="54"/>
    </row>
    <row r="42" spans="2:21" ht="15.75" customHeight="1" x14ac:dyDescent="0.2">
      <c r="B42" s="54"/>
      <c r="C42" s="180"/>
      <c r="D42" s="54"/>
      <c r="E42" s="54"/>
      <c r="F42" s="54"/>
      <c r="G42" s="54"/>
      <c r="H42" s="54"/>
      <c r="I42" s="54"/>
      <c r="J42" s="54"/>
      <c r="K42" s="180"/>
      <c r="L42" s="54"/>
      <c r="M42" s="54"/>
      <c r="N42" s="54"/>
      <c r="O42" s="54"/>
      <c r="P42" s="54"/>
      <c r="Q42" s="54"/>
      <c r="R42" s="54"/>
      <c r="S42" s="54"/>
    </row>
    <row r="43" spans="2:21" ht="15.75" customHeight="1" x14ac:dyDescent="0.2">
      <c r="B43" s="54"/>
      <c r="C43" s="180"/>
      <c r="D43" s="54"/>
      <c r="E43" s="54"/>
      <c r="F43" s="54"/>
      <c r="G43" s="54"/>
      <c r="H43" s="54"/>
      <c r="I43" s="54"/>
      <c r="J43" s="54"/>
      <c r="K43" s="180"/>
      <c r="L43" s="54"/>
      <c r="M43" s="54"/>
      <c r="N43" s="54"/>
      <c r="O43" s="54"/>
      <c r="P43" s="54"/>
      <c r="Q43" s="54"/>
      <c r="R43" s="54"/>
      <c r="S43" s="54"/>
    </row>
    <row r="44" spans="2:21" ht="15.75" customHeight="1" x14ac:dyDescent="0.2">
      <c r="B44" s="54"/>
      <c r="C44" s="180"/>
      <c r="D44" s="54"/>
      <c r="E44" s="54"/>
      <c r="F44" s="54"/>
      <c r="G44" s="54"/>
      <c r="H44" s="54"/>
      <c r="I44" s="54"/>
      <c r="J44" s="54"/>
      <c r="K44" s="180"/>
      <c r="L44" s="54"/>
      <c r="M44" s="54"/>
      <c r="N44" s="54"/>
      <c r="O44" s="54"/>
      <c r="P44" s="54"/>
      <c r="Q44" s="54"/>
      <c r="R44" s="54"/>
      <c r="S44" s="54"/>
    </row>
    <row r="45" spans="2:21" ht="15.75" customHeight="1" x14ac:dyDescent="0.2">
      <c r="B45" s="54"/>
      <c r="C45" s="180"/>
      <c r="D45" s="54"/>
      <c r="E45" s="54"/>
      <c r="F45" s="54"/>
      <c r="G45" s="54"/>
      <c r="H45" s="54"/>
      <c r="I45" s="54"/>
      <c r="J45" s="54"/>
      <c r="K45" s="180"/>
      <c r="L45" s="54"/>
      <c r="M45" s="54"/>
      <c r="N45" s="54"/>
      <c r="O45" s="54"/>
      <c r="P45" s="54"/>
      <c r="Q45" s="54"/>
      <c r="R45" s="54"/>
      <c r="S45" s="54"/>
    </row>
    <row r="46" spans="2:21" ht="15.75" customHeight="1" x14ac:dyDescent="0.2">
      <c r="B46" s="54"/>
      <c r="C46" s="180"/>
      <c r="D46" s="54"/>
      <c r="E46" s="54"/>
      <c r="F46" s="54"/>
      <c r="G46" s="54"/>
      <c r="H46" s="54"/>
      <c r="I46" s="54"/>
      <c r="J46" s="54"/>
      <c r="K46" s="180"/>
      <c r="L46" s="54"/>
      <c r="M46" s="54"/>
      <c r="N46" s="54"/>
      <c r="O46" s="54"/>
      <c r="P46" s="54"/>
      <c r="Q46" s="54"/>
      <c r="R46" s="54"/>
      <c r="S46" s="54"/>
    </row>
    <row r="47" spans="2:21" ht="15.75" customHeight="1" x14ac:dyDescent="0.2">
      <c r="B47" s="54"/>
      <c r="C47" s="180"/>
      <c r="D47" s="54"/>
      <c r="E47" s="54"/>
      <c r="F47" s="54"/>
      <c r="G47" s="54"/>
      <c r="H47" s="54"/>
      <c r="I47" s="54"/>
      <c r="J47" s="54"/>
      <c r="K47" s="180"/>
      <c r="L47" s="54"/>
      <c r="M47" s="54"/>
      <c r="N47" s="54"/>
      <c r="O47" s="54"/>
      <c r="P47" s="54"/>
      <c r="Q47" s="54"/>
      <c r="R47" s="54"/>
      <c r="S47" s="54"/>
    </row>
    <row r="48" spans="2:21" ht="15.75" customHeight="1" x14ac:dyDescent="0.2">
      <c r="B48" s="54"/>
      <c r="C48" s="180"/>
      <c r="D48" s="54"/>
      <c r="E48" s="54"/>
      <c r="F48" s="54"/>
      <c r="G48" s="54"/>
      <c r="H48" s="54"/>
      <c r="I48" s="54"/>
      <c r="J48" s="54"/>
      <c r="K48" s="180"/>
      <c r="L48" s="54"/>
      <c r="M48" s="54"/>
      <c r="N48" s="54"/>
      <c r="O48" s="54"/>
      <c r="P48" s="54"/>
      <c r="Q48" s="54"/>
      <c r="R48" s="54"/>
      <c r="S48" s="54"/>
    </row>
    <row r="49" spans="2:19" ht="15.75" customHeight="1" x14ac:dyDescent="0.2">
      <c r="B49" s="54"/>
      <c r="C49" s="180"/>
      <c r="D49" s="54"/>
      <c r="E49" s="54"/>
      <c r="F49" s="54"/>
      <c r="G49" s="54"/>
      <c r="H49" s="54"/>
      <c r="I49" s="54"/>
      <c r="J49" s="54"/>
      <c r="K49" s="180"/>
      <c r="L49" s="54"/>
      <c r="M49" s="54"/>
      <c r="N49" s="54"/>
      <c r="O49" s="54"/>
      <c r="P49" s="54"/>
      <c r="Q49" s="54"/>
      <c r="R49" s="54"/>
      <c r="S49" s="54"/>
    </row>
    <row r="50" spans="2:19" ht="15.75" customHeight="1" x14ac:dyDescent="0.2">
      <c r="B50" s="54"/>
      <c r="C50" s="180"/>
      <c r="D50" s="54"/>
      <c r="E50" s="54"/>
      <c r="F50" s="54"/>
      <c r="G50" s="54"/>
      <c r="H50" s="54"/>
      <c r="I50" s="54"/>
      <c r="J50" s="54"/>
      <c r="K50" s="180"/>
      <c r="L50" s="54"/>
      <c r="M50" s="54"/>
      <c r="N50" s="54"/>
      <c r="O50" s="54"/>
      <c r="P50" s="54"/>
      <c r="Q50" s="54"/>
      <c r="R50" s="54"/>
      <c r="S50" s="54"/>
    </row>
    <row r="51" spans="2:19" ht="15.75" customHeight="1" x14ac:dyDescent="0.2">
      <c r="B51" s="54"/>
      <c r="C51" s="180"/>
      <c r="D51" s="54"/>
      <c r="E51" s="54"/>
      <c r="F51" s="54"/>
      <c r="G51" s="54"/>
      <c r="H51" s="54"/>
      <c r="I51" s="54"/>
      <c r="J51" s="54"/>
      <c r="K51" s="180"/>
      <c r="L51" s="54"/>
      <c r="M51" s="54"/>
      <c r="N51" s="54"/>
      <c r="O51" s="54"/>
      <c r="P51" s="54"/>
      <c r="Q51" s="54"/>
      <c r="R51" s="54"/>
      <c r="S51" s="54"/>
    </row>
    <row r="52" spans="2:19" ht="15.75" customHeight="1" x14ac:dyDescent="0.2">
      <c r="B52" s="54"/>
      <c r="C52" s="180"/>
      <c r="D52" s="54"/>
      <c r="E52" s="54"/>
      <c r="F52" s="54"/>
      <c r="G52" s="54"/>
      <c r="H52" s="54"/>
      <c r="I52" s="54"/>
      <c r="J52" s="54"/>
      <c r="K52" s="180"/>
      <c r="L52" s="54"/>
      <c r="M52" s="54"/>
      <c r="N52" s="54"/>
      <c r="O52" s="54"/>
      <c r="P52" s="54"/>
      <c r="Q52" s="54"/>
      <c r="R52" s="54"/>
      <c r="S52" s="54"/>
    </row>
    <row r="53" spans="2:19" ht="15.75" customHeight="1" x14ac:dyDescent="0.2">
      <c r="B53" s="54"/>
      <c r="C53" s="180"/>
      <c r="D53" s="54"/>
      <c r="E53" s="54"/>
      <c r="F53" s="54"/>
      <c r="G53" s="54"/>
      <c r="H53" s="54"/>
      <c r="I53" s="54"/>
      <c r="J53" s="54"/>
      <c r="K53" s="180"/>
      <c r="L53" s="54"/>
      <c r="M53" s="54"/>
      <c r="N53" s="54"/>
      <c r="O53" s="54"/>
      <c r="P53" s="54"/>
      <c r="Q53" s="54"/>
      <c r="R53" s="54"/>
      <c r="S53" s="54"/>
    </row>
    <row r="54" spans="2:19" ht="15.75" customHeight="1" x14ac:dyDescent="0.2">
      <c r="B54" s="54"/>
      <c r="C54" s="180"/>
      <c r="D54" s="54"/>
      <c r="E54" s="54"/>
      <c r="F54" s="54"/>
      <c r="G54" s="54"/>
      <c r="H54" s="54"/>
      <c r="I54" s="54"/>
      <c r="J54" s="54"/>
      <c r="K54" s="180"/>
      <c r="L54" s="54"/>
      <c r="M54" s="54"/>
      <c r="N54" s="54"/>
      <c r="O54" s="54"/>
      <c r="P54" s="54"/>
      <c r="Q54" s="54"/>
      <c r="R54" s="54"/>
      <c r="S54" s="54"/>
    </row>
    <row r="55" spans="2:19" ht="15.75" customHeight="1" x14ac:dyDescent="0.2">
      <c r="B55" s="54"/>
      <c r="C55" s="180"/>
      <c r="D55" s="54"/>
      <c r="E55" s="54"/>
      <c r="F55" s="54"/>
      <c r="G55" s="54"/>
      <c r="H55" s="54"/>
      <c r="I55" s="54"/>
      <c r="J55" s="54"/>
      <c r="K55" s="180"/>
      <c r="L55" s="54"/>
      <c r="M55" s="54"/>
      <c r="N55" s="54"/>
      <c r="O55" s="54"/>
      <c r="P55" s="54"/>
      <c r="Q55" s="54"/>
      <c r="R55" s="54"/>
      <c r="S55" s="54"/>
    </row>
    <row r="56" spans="2:19" ht="15.75" customHeight="1" x14ac:dyDescent="0.2">
      <c r="B56" s="54"/>
      <c r="C56" s="180"/>
      <c r="D56" s="54"/>
      <c r="E56" s="54"/>
      <c r="F56" s="54"/>
      <c r="G56" s="54"/>
      <c r="H56" s="54"/>
      <c r="I56" s="54"/>
      <c r="J56" s="54"/>
      <c r="K56" s="180"/>
      <c r="L56" s="54"/>
      <c r="M56" s="54"/>
      <c r="N56" s="54"/>
      <c r="O56" s="54"/>
      <c r="P56" s="54"/>
      <c r="Q56" s="54"/>
      <c r="R56" s="54"/>
      <c r="S56" s="54"/>
    </row>
    <row r="57" spans="2:19" ht="15.75" customHeight="1" x14ac:dyDescent="0.2">
      <c r="B57" s="54"/>
      <c r="C57" s="180"/>
      <c r="D57" s="54"/>
      <c r="E57" s="54"/>
      <c r="F57" s="54"/>
      <c r="G57" s="54"/>
      <c r="H57" s="54"/>
      <c r="I57" s="54"/>
      <c r="J57" s="54"/>
      <c r="K57" s="180"/>
      <c r="L57" s="54"/>
      <c r="M57" s="54"/>
      <c r="N57" s="54"/>
      <c r="O57" s="54"/>
      <c r="P57" s="54"/>
      <c r="Q57" s="54"/>
      <c r="R57" s="54"/>
      <c r="S57" s="54"/>
    </row>
    <row r="58" spans="2:19" ht="15.75" customHeight="1" x14ac:dyDescent="0.2">
      <c r="B58" s="54"/>
      <c r="C58" s="180"/>
      <c r="D58" s="54"/>
      <c r="E58" s="54"/>
      <c r="F58" s="54"/>
      <c r="G58" s="54"/>
      <c r="H58" s="54"/>
      <c r="I58" s="54"/>
      <c r="J58" s="54"/>
      <c r="K58" s="180"/>
      <c r="L58" s="54"/>
      <c r="M58" s="54"/>
      <c r="N58" s="54"/>
      <c r="O58" s="54"/>
      <c r="P58" s="54"/>
      <c r="Q58" s="54"/>
      <c r="R58" s="54"/>
      <c r="S58" s="54"/>
    </row>
    <row r="59" spans="2:19" ht="15.75" customHeight="1" x14ac:dyDescent="0.2">
      <c r="B59" s="54"/>
      <c r="C59" s="180"/>
      <c r="D59" s="54"/>
      <c r="E59" s="54"/>
      <c r="F59" s="54"/>
      <c r="G59" s="54"/>
      <c r="H59" s="54"/>
      <c r="I59" s="54"/>
      <c r="J59" s="54"/>
      <c r="K59" s="180"/>
      <c r="L59" s="54"/>
      <c r="M59" s="54"/>
      <c r="N59" s="54"/>
      <c r="O59" s="54"/>
      <c r="P59" s="54"/>
      <c r="Q59" s="54"/>
      <c r="R59" s="54"/>
      <c r="S59" s="54"/>
    </row>
    <row r="60" spans="2:19" ht="15.75" customHeight="1" x14ac:dyDescent="0.2">
      <c r="B60" s="54"/>
      <c r="C60" s="180"/>
      <c r="D60" s="54"/>
      <c r="E60" s="54"/>
      <c r="F60" s="54"/>
      <c r="G60" s="54"/>
      <c r="H60" s="54"/>
      <c r="I60" s="54"/>
      <c r="J60" s="54"/>
      <c r="K60" s="180"/>
      <c r="L60" s="54"/>
      <c r="M60" s="54"/>
      <c r="N60" s="54"/>
      <c r="O60" s="54"/>
      <c r="P60" s="54"/>
      <c r="Q60" s="54"/>
      <c r="R60" s="54"/>
      <c r="S60" s="54"/>
    </row>
    <row r="61" spans="2:19" ht="15.75" customHeight="1" x14ac:dyDescent="0.2">
      <c r="B61" s="54"/>
      <c r="C61" s="180"/>
      <c r="D61" s="54"/>
      <c r="E61" s="54"/>
      <c r="F61" s="54"/>
      <c r="G61" s="54"/>
      <c r="H61" s="54"/>
      <c r="I61" s="54"/>
      <c r="J61" s="54"/>
      <c r="K61" s="180"/>
      <c r="L61" s="54"/>
      <c r="M61" s="54"/>
      <c r="N61" s="54"/>
      <c r="O61" s="54"/>
      <c r="P61" s="54"/>
      <c r="Q61" s="54"/>
      <c r="R61" s="54"/>
      <c r="S61" s="54"/>
    </row>
    <row r="62" spans="2:19" ht="15.75" customHeight="1" x14ac:dyDescent="0.2">
      <c r="B62" s="54"/>
      <c r="C62" s="180"/>
      <c r="D62" s="54"/>
      <c r="E62" s="54"/>
      <c r="F62" s="54"/>
      <c r="G62" s="54"/>
      <c r="H62" s="54"/>
      <c r="I62" s="54"/>
      <c r="J62" s="54"/>
      <c r="K62" s="180"/>
      <c r="L62" s="54"/>
      <c r="M62" s="54"/>
      <c r="N62" s="54"/>
      <c r="O62" s="54"/>
      <c r="P62" s="54"/>
      <c r="Q62" s="54"/>
      <c r="R62" s="54"/>
      <c r="S62" s="54"/>
    </row>
    <row r="63" spans="2:19" ht="15.75" customHeight="1" x14ac:dyDescent="0.2">
      <c r="B63" s="54"/>
      <c r="C63" s="180"/>
      <c r="D63" s="54"/>
      <c r="E63" s="54"/>
      <c r="F63" s="54"/>
      <c r="G63" s="54"/>
      <c r="H63" s="54"/>
      <c r="I63" s="54"/>
      <c r="J63" s="54"/>
      <c r="K63" s="180"/>
      <c r="L63" s="54"/>
      <c r="M63" s="54"/>
      <c r="N63" s="54"/>
      <c r="O63" s="54"/>
      <c r="P63" s="54"/>
      <c r="Q63" s="54"/>
      <c r="R63" s="54"/>
      <c r="S63" s="54"/>
    </row>
    <row r="64" spans="2:19" ht="15.75" customHeight="1" x14ac:dyDescent="0.2">
      <c r="B64" s="54"/>
      <c r="C64" s="180"/>
      <c r="D64" s="54"/>
      <c r="E64" s="54"/>
      <c r="F64" s="54"/>
      <c r="G64" s="54"/>
      <c r="H64" s="54"/>
      <c r="I64" s="54"/>
      <c r="J64" s="54"/>
      <c r="K64" s="180"/>
      <c r="L64" s="54"/>
      <c r="M64" s="54"/>
      <c r="N64" s="54"/>
      <c r="O64" s="54"/>
      <c r="P64" s="54"/>
      <c r="Q64" s="54"/>
      <c r="R64" s="54"/>
      <c r="S64" s="54"/>
    </row>
    <row r="65" spans="1:27" ht="15.75" customHeight="1" x14ac:dyDescent="0.2">
      <c r="B65" s="54"/>
      <c r="C65" s="180"/>
      <c r="D65" s="54"/>
      <c r="E65" s="54"/>
      <c r="F65" s="54"/>
      <c r="G65" s="54"/>
      <c r="H65" s="54"/>
      <c r="I65" s="54"/>
      <c r="J65" s="54"/>
      <c r="K65" s="180"/>
      <c r="L65" s="54"/>
      <c r="M65" s="54"/>
      <c r="N65" s="54"/>
      <c r="O65" s="54"/>
      <c r="P65" s="54"/>
      <c r="Q65" s="54"/>
      <c r="R65" s="54"/>
      <c r="S65" s="54"/>
    </row>
    <row r="66" spans="1:27" ht="15.75" customHeight="1" x14ac:dyDescent="0.2">
      <c r="B66" s="54"/>
      <c r="C66" s="180"/>
      <c r="D66" s="54"/>
      <c r="E66" s="54"/>
      <c r="F66" s="54"/>
      <c r="G66" s="54"/>
      <c r="H66" s="54"/>
      <c r="I66" s="54"/>
      <c r="J66" s="54"/>
      <c r="K66" s="180"/>
      <c r="L66" s="54"/>
      <c r="M66" s="54"/>
      <c r="N66" s="54"/>
      <c r="O66" s="54"/>
      <c r="P66" s="54"/>
      <c r="Q66" s="54"/>
      <c r="R66" s="54"/>
      <c r="S66" s="54"/>
    </row>
    <row r="67" spans="1:27" ht="15.75" customHeight="1" x14ac:dyDescent="0.2">
      <c r="B67" s="54"/>
      <c r="C67" s="180"/>
      <c r="D67" s="54"/>
      <c r="E67" s="54"/>
      <c r="F67" s="54"/>
      <c r="G67" s="54"/>
      <c r="H67" s="54"/>
      <c r="I67" s="54"/>
      <c r="J67" s="54"/>
      <c r="K67" s="180"/>
      <c r="L67" s="54"/>
      <c r="M67" s="54"/>
      <c r="N67" s="54"/>
      <c r="O67" s="54"/>
      <c r="P67" s="54"/>
      <c r="Q67" s="54"/>
      <c r="R67" s="54"/>
      <c r="S67" s="54"/>
    </row>
    <row r="68" spans="1:27" ht="15.75" customHeight="1" x14ac:dyDescent="0.2">
      <c r="B68" s="54"/>
      <c r="C68" s="180"/>
      <c r="D68" s="54"/>
      <c r="E68" s="54"/>
      <c r="F68" s="54"/>
      <c r="G68" s="54"/>
      <c r="H68" s="54"/>
      <c r="I68" s="54"/>
      <c r="J68" s="54"/>
      <c r="K68" s="180"/>
      <c r="L68" s="54"/>
      <c r="M68" s="54"/>
      <c r="N68" s="54"/>
      <c r="O68" s="54"/>
      <c r="P68" s="54"/>
      <c r="Q68" s="54"/>
      <c r="R68" s="54"/>
      <c r="S68" s="54"/>
    </row>
    <row r="69" spans="1:27" ht="15.75" customHeight="1" x14ac:dyDescent="0.2">
      <c r="B69" s="54"/>
      <c r="C69" s="180"/>
      <c r="D69" s="54"/>
      <c r="E69" s="54"/>
      <c r="F69" s="54"/>
      <c r="G69" s="54"/>
      <c r="H69" s="54"/>
      <c r="I69" s="54"/>
      <c r="J69" s="54"/>
      <c r="K69" s="180"/>
      <c r="L69" s="54"/>
      <c r="M69" s="54"/>
      <c r="N69" s="54"/>
      <c r="O69" s="54"/>
      <c r="P69" s="54"/>
      <c r="Q69" s="54"/>
      <c r="R69" s="54"/>
      <c r="S69" s="54"/>
    </row>
    <row r="70" spans="1:27" ht="15.75" customHeight="1" x14ac:dyDescent="0.2">
      <c r="B70" s="54"/>
      <c r="C70" s="180"/>
      <c r="D70" s="54"/>
      <c r="E70" s="54"/>
      <c r="F70" s="54"/>
      <c r="G70" s="54"/>
      <c r="H70" s="54"/>
      <c r="I70" s="54"/>
      <c r="J70" s="54"/>
      <c r="K70" s="180"/>
      <c r="L70" s="54"/>
      <c r="M70" s="54"/>
      <c r="N70" s="54"/>
      <c r="O70" s="54"/>
      <c r="P70" s="54"/>
      <c r="Q70" s="54"/>
      <c r="R70" s="54"/>
      <c r="S70" s="54"/>
    </row>
    <row r="71" spans="1:27" ht="15.75" customHeight="1" x14ac:dyDescent="0.2">
      <c r="B71" s="54"/>
      <c r="C71" s="180"/>
      <c r="D71" s="54"/>
      <c r="E71" s="54"/>
      <c r="F71" s="54"/>
      <c r="G71" s="54"/>
      <c r="H71" s="54"/>
      <c r="I71" s="54"/>
      <c r="J71" s="54"/>
      <c r="K71" s="180"/>
      <c r="L71" s="54"/>
      <c r="M71" s="54"/>
      <c r="N71" s="54"/>
      <c r="O71" s="54"/>
      <c r="P71" s="54"/>
      <c r="Q71" s="54"/>
      <c r="R71" s="54"/>
      <c r="S71" s="54"/>
    </row>
    <row r="72" spans="1:27" ht="15.75" customHeight="1" x14ac:dyDescent="0.2">
      <c r="B72" s="54"/>
      <c r="C72" s="180"/>
      <c r="D72" s="54"/>
      <c r="E72" s="54"/>
      <c r="F72" s="54"/>
      <c r="G72" s="54"/>
      <c r="H72" s="54"/>
      <c r="I72" s="54"/>
      <c r="J72" s="54"/>
      <c r="K72" s="180"/>
      <c r="L72" s="54"/>
      <c r="M72" s="54"/>
      <c r="N72" s="54"/>
      <c r="O72" s="54"/>
      <c r="P72" s="54"/>
      <c r="Q72" s="54"/>
      <c r="R72" s="54"/>
      <c r="S72" s="54"/>
    </row>
    <row r="73" spans="1:27" ht="15.75" customHeight="1" x14ac:dyDescent="0.2">
      <c r="B73" s="54"/>
      <c r="C73" s="180"/>
      <c r="D73" s="54"/>
      <c r="E73" s="54"/>
      <c r="F73" s="54"/>
      <c r="G73" s="54"/>
      <c r="H73" s="54"/>
      <c r="I73" s="54"/>
      <c r="J73" s="54"/>
      <c r="K73" s="180"/>
      <c r="L73" s="54"/>
      <c r="M73" s="54"/>
      <c r="N73" s="54"/>
      <c r="O73" s="54"/>
      <c r="P73" s="54"/>
      <c r="Q73" s="54"/>
      <c r="R73" s="54"/>
      <c r="S73" s="54"/>
    </row>
    <row r="74" spans="1:27" ht="15.75" customHeight="1" x14ac:dyDescent="0.2">
      <c r="B74" s="54"/>
      <c r="C74" s="180"/>
      <c r="D74" s="54"/>
      <c r="E74" s="54"/>
      <c r="F74" s="54"/>
      <c r="G74" s="54"/>
      <c r="H74" s="54"/>
      <c r="I74" s="54"/>
      <c r="J74" s="54"/>
      <c r="K74" s="180"/>
      <c r="L74" s="54"/>
      <c r="M74" s="54"/>
      <c r="N74" s="54"/>
      <c r="O74" s="54"/>
      <c r="P74" s="54"/>
      <c r="Q74" s="54"/>
      <c r="R74" s="54"/>
      <c r="S74" s="54"/>
    </row>
    <row r="75" spans="1:27" ht="15.75" customHeight="1" x14ac:dyDescent="0.2">
      <c r="B75" s="54"/>
      <c r="C75" s="180"/>
      <c r="D75" s="54"/>
      <c r="E75" s="54"/>
      <c r="F75" s="54"/>
      <c r="G75" s="54"/>
      <c r="H75" s="54"/>
      <c r="I75" s="54"/>
      <c r="J75" s="54"/>
      <c r="K75" s="180"/>
      <c r="L75" s="54"/>
      <c r="M75" s="54"/>
      <c r="N75" s="54"/>
      <c r="O75" s="54"/>
      <c r="P75" s="54"/>
      <c r="Q75" s="54"/>
      <c r="R75" s="54"/>
      <c r="S75" s="54"/>
    </row>
    <row r="76" spans="1:27" ht="15.75" customHeight="1" x14ac:dyDescent="0.2">
      <c r="B76" s="54"/>
      <c r="C76" s="180"/>
      <c r="D76" s="54"/>
      <c r="E76" s="54"/>
      <c r="F76" s="54"/>
      <c r="G76" s="54"/>
      <c r="H76" s="54"/>
      <c r="I76" s="54"/>
      <c r="J76" s="54"/>
      <c r="K76" s="180"/>
      <c r="L76" s="54"/>
      <c r="M76" s="54"/>
      <c r="N76" s="54"/>
      <c r="O76" s="54"/>
      <c r="P76" s="54"/>
      <c r="Q76" s="54"/>
      <c r="R76" s="54"/>
      <c r="S76" s="54"/>
    </row>
    <row r="77" spans="1:27" ht="15.75" customHeight="1" x14ac:dyDescent="0.2">
      <c r="B77" s="54"/>
      <c r="C77" s="180"/>
      <c r="D77" s="54"/>
      <c r="E77" s="54"/>
      <c r="F77" s="54"/>
      <c r="G77" s="54"/>
      <c r="H77" s="54"/>
      <c r="I77" s="54"/>
      <c r="J77" s="54"/>
      <c r="K77" s="180"/>
      <c r="L77" s="54"/>
      <c r="M77" s="54"/>
      <c r="N77" s="54"/>
      <c r="O77" s="54"/>
      <c r="P77" s="54"/>
      <c r="Q77" s="54"/>
      <c r="R77" s="54"/>
      <c r="S77" s="54"/>
    </row>
    <row r="78" spans="1:27" ht="15.75" customHeight="1" x14ac:dyDescent="0.2">
      <c r="B78" s="54"/>
      <c r="C78" s="180"/>
      <c r="D78" s="54"/>
      <c r="E78" s="54"/>
      <c r="F78" s="54"/>
      <c r="G78" s="54"/>
      <c r="H78" s="54"/>
      <c r="I78" s="54"/>
      <c r="J78" s="54"/>
      <c r="K78" s="180"/>
      <c r="L78" s="54"/>
      <c r="M78" s="54"/>
      <c r="N78" s="54"/>
      <c r="O78" s="54"/>
      <c r="P78" s="54"/>
      <c r="Q78" s="54"/>
      <c r="R78" s="54"/>
      <c r="S78" s="54"/>
    </row>
    <row r="79" spans="1:27" ht="15.75" customHeight="1" x14ac:dyDescent="0.2">
      <c r="A79" s="84"/>
      <c r="B79" s="86"/>
      <c r="C79" s="182"/>
      <c r="D79" s="86"/>
      <c r="E79" s="86"/>
      <c r="F79" s="86"/>
      <c r="G79" s="86"/>
      <c r="H79" s="82"/>
      <c r="I79" s="81"/>
      <c r="J79" s="81"/>
      <c r="K79" s="182"/>
      <c r="L79" s="86"/>
      <c r="M79" s="86"/>
      <c r="N79" s="86"/>
      <c r="O79" s="86"/>
      <c r="P79" s="81"/>
      <c r="Q79" s="81"/>
      <c r="R79" s="54"/>
      <c r="S79" s="54"/>
      <c r="U79" s="83"/>
      <c r="V79" s="83"/>
      <c r="W79" s="83"/>
      <c r="X79" s="83"/>
      <c r="Y79" s="83"/>
      <c r="Z79" s="83"/>
      <c r="AA79" s="83"/>
    </row>
    <row r="80" spans="1:27" ht="21" customHeight="1" x14ac:dyDescent="0.25">
      <c r="A80" s="84"/>
      <c r="B80" s="86"/>
      <c r="C80" s="183"/>
      <c r="D80" s="184"/>
      <c r="E80" s="184"/>
      <c r="F80" s="86"/>
      <c r="G80" s="86"/>
      <c r="H80" s="82"/>
      <c r="I80" s="81"/>
      <c r="J80" s="81"/>
      <c r="K80" s="183"/>
      <c r="L80" s="86"/>
      <c r="M80" s="86"/>
      <c r="N80" s="86"/>
      <c r="O80" s="86"/>
      <c r="P80" s="81"/>
      <c r="Q80" s="81"/>
      <c r="R80" s="54"/>
      <c r="S80" s="54"/>
      <c r="U80" s="83"/>
      <c r="V80" s="83"/>
      <c r="W80" s="83"/>
      <c r="X80" s="83"/>
      <c r="Y80" s="83"/>
      <c r="Z80" s="83"/>
      <c r="AA80" s="83"/>
    </row>
    <row r="81" spans="1:32" ht="15.75" customHeight="1" x14ac:dyDescent="0.25">
      <c r="A81" s="84"/>
      <c r="B81" s="86"/>
      <c r="C81" s="183"/>
      <c r="D81" s="184"/>
      <c r="E81" s="184"/>
      <c r="F81" s="86"/>
      <c r="G81" s="86"/>
      <c r="H81" s="82"/>
      <c r="I81" s="81"/>
      <c r="J81" s="81"/>
      <c r="K81" s="183"/>
      <c r="L81" s="86"/>
      <c r="M81" s="86"/>
      <c r="N81" s="86"/>
      <c r="O81" s="86"/>
      <c r="P81" s="81"/>
      <c r="Q81" s="81"/>
      <c r="R81" s="54"/>
      <c r="S81" s="54"/>
      <c r="U81" s="83"/>
      <c r="V81" s="83"/>
      <c r="W81" s="83"/>
      <c r="X81" s="83"/>
      <c r="Y81" s="83"/>
      <c r="Z81" s="83"/>
      <c r="AA81" s="83"/>
    </row>
    <row r="82" spans="1:32" ht="15.75" customHeight="1" x14ac:dyDescent="0.25">
      <c r="A82" s="84"/>
      <c r="B82" s="86"/>
      <c r="C82" s="183"/>
      <c r="D82" s="184"/>
      <c r="E82" s="184"/>
      <c r="F82" s="86"/>
      <c r="G82" s="86"/>
      <c r="H82" s="82"/>
      <c r="I82" s="81"/>
      <c r="J82" s="81"/>
      <c r="K82" s="183"/>
      <c r="L82" s="86"/>
      <c r="M82" s="86"/>
      <c r="N82" s="86"/>
      <c r="O82" s="86"/>
      <c r="P82" s="81"/>
      <c r="Q82" s="81"/>
      <c r="R82" s="54"/>
      <c r="S82" s="54"/>
      <c r="U82" s="83"/>
      <c r="V82" s="83"/>
      <c r="W82" s="83"/>
      <c r="X82" s="83"/>
      <c r="Y82" s="83"/>
      <c r="Z82" s="83"/>
      <c r="AA82" s="83"/>
    </row>
    <row r="83" spans="1:32" ht="15.75" customHeight="1" x14ac:dyDescent="0.25">
      <c r="A83" s="84"/>
      <c r="B83" s="86"/>
      <c r="C83" s="183"/>
      <c r="D83" s="184"/>
      <c r="E83" s="184"/>
      <c r="F83" s="86"/>
      <c r="G83" s="86"/>
      <c r="H83" s="82"/>
      <c r="I83" s="81"/>
      <c r="J83" s="81"/>
      <c r="K83" s="183"/>
      <c r="L83" s="86"/>
      <c r="M83" s="86"/>
      <c r="N83" s="86"/>
      <c r="O83" s="86"/>
      <c r="P83" s="81"/>
      <c r="Q83" s="81"/>
      <c r="R83" s="54"/>
      <c r="S83" s="54"/>
      <c r="U83" s="83"/>
      <c r="V83" s="83"/>
      <c r="W83" s="83"/>
      <c r="X83" s="83"/>
      <c r="Y83" s="83"/>
      <c r="Z83" s="83"/>
      <c r="AA83" s="83"/>
    </row>
    <row r="84" spans="1:32" ht="1.5" customHeight="1" x14ac:dyDescent="0.2">
      <c r="A84" s="84"/>
      <c r="B84" s="86"/>
      <c r="C84" s="180"/>
      <c r="D84" s="54"/>
      <c r="E84" s="54" t="s">
        <v>157</v>
      </c>
      <c r="F84" s="86"/>
      <c r="G84" s="86"/>
      <c r="H84" s="82"/>
      <c r="I84" s="81"/>
      <c r="J84" s="81"/>
      <c r="K84" s="180"/>
      <c r="L84" s="86"/>
      <c r="M84" s="86"/>
      <c r="N84" s="86"/>
      <c r="O84" s="86"/>
      <c r="P84" s="81"/>
      <c r="Q84" s="81"/>
      <c r="R84" s="54"/>
      <c r="S84" s="54"/>
      <c r="U84" s="83"/>
      <c r="V84" s="83"/>
      <c r="W84" s="83"/>
      <c r="X84" s="83"/>
      <c r="Y84" s="83"/>
      <c r="Z84" s="83"/>
      <c r="AA84" s="83"/>
    </row>
    <row r="85" spans="1:32" ht="28.5" customHeight="1" x14ac:dyDescent="0.25">
      <c r="A85" s="1" t="s">
        <v>2431</v>
      </c>
      <c r="B85" s="5"/>
      <c r="C85" s="15"/>
      <c r="D85" s="16"/>
      <c r="E85" s="16"/>
      <c r="F85" s="16"/>
      <c r="G85" s="16"/>
      <c r="H85" s="18"/>
      <c r="I85" s="16"/>
      <c r="J85" s="16"/>
      <c r="K85" s="15"/>
      <c r="L85" s="7"/>
      <c r="M85" s="7"/>
      <c r="N85" s="7"/>
      <c r="O85" s="7"/>
      <c r="P85" s="7"/>
      <c r="Q85" s="7"/>
      <c r="R85" s="7"/>
      <c r="S85" s="7"/>
      <c r="W85" s="19"/>
      <c r="X85" s="20"/>
    </row>
    <row r="86" spans="1:32" ht="60" x14ac:dyDescent="0.2">
      <c r="A86" s="3" t="s">
        <v>50</v>
      </c>
      <c r="B86" s="3" t="s">
        <v>51</v>
      </c>
      <c r="C86" s="21"/>
      <c r="D86" s="22" t="s">
        <v>52</v>
      </c>
      <c r="E86" s="23" t="s">
        <v>53</v>
      </c>
      <c r="F86" s="23" t="s">
        <v>54</v>
      </c>
      <c r="G86" s="23" t="s">
        <v>55</v>
      </c>
      <c r="H86" s="100" t="s">
        <v>56</v>
      </c>
      <c r="I86" s="23" t="s">
        <v>57</v>
      </c>
      <c r="J86" s="129" t="s">
        <v>58</v>
      </c>
      <c r="K86" s="130"/>
      <c r="L86" s="27" t="s">
        <v>59</v>
      </c>
      <c r="M86" s="27" t="s">
        <v>60</v>
      </c>
      <c r="N86" s="27" t="s">
        <v>61</v>
      </c>
      <c r="O86" s="27" t="s">
        <v>62</v>
      </c>
      <c r="P86" s="27" t="s">
        <v>63</v>
      </c>
      <c r="Q86" s="27" t="s">
        <v>237</v>
      </c>
      <c r="R86" s="27" t="s">
        <v>65</v>
      </c>
      <c r="S86" s="27" t="s">
        <v>66</v>
      </c>
      <c r="V86" s="28"/>
      <c r="W86" s="19"/>
      <c r="Y86" s="28"/>
      <c r="Z86" s="28"/>
      <c r="AA86" s="28"/>
      <c r="AB86" s="28"/>
      <c r="AC86" s="28"/>
      <c r="AD86" s="28"/>
      <c r="AE86" s="28"/>
      <c r="AF86" s="28"/>
    </row>
    <row r="87" spans="1:32" ht="15.75" customHeight="1" x14ac:dyDescent="0.25">
      <c r="A87" s="138" t="s">
        <v>264</v>
      </c>
      <c r="B87" s="162" t="s">
        <v>68</v>
      </c>
      <c r="C87" s="180"/>
      <c r="D87" s="185">
        <v>81427</v>
      </c>
      <c r="E87" s="185" t="e">
        <f>D87*#REF!</f>
        <v>#REF!</v>
      </c>
      <c r="F87" s="185" t="e">
        <f>D87*#REF!</f>
        <v>#REF!</v>
      </c>
      <c r="G87" s="161" t="e">
        <f>(D87*#REF!)*#REF!</f>
        <v>#REF!</v>
      </c>
      <c r="H87" s="55">
        <f t="shared" ref="H87:H105" si="28">IFERROR(((Q87-G87)/G87),0)</f>
        <v>0</v>
      </c>
      <c r="I87" s="73" t="e">
        <f t="shared" ref="I87:I104" si="29">Q87-G87</f>
        <v>#REF!</v>
      </c>
      <c r="J87" s="54"/>
      <c r="K87" s="180"/>
      <c r="L87" s="185">
        <v>82083</v>
      </c>
      <c r="M87" s="185">
        <v>112978.38</v>
      </c>
      <c r="N87" s="185">
        <v>155567</v>
      </c>
      <c r="O87" s="185">
        <f>VLOOKUP(A87,TB!A:F,3)</f>
        <v>100659.57</v>
      </c>
      <c r="P87" s="161">
        <f t="shared" ref="P87:P91" si="30">O87/20*26</f>
        <v>130857.44100000001</v>
      </c>
      <c r="Q87" s="161">
        <v>172600</v>
      </c>
      <c r="R87" s="73">
        <f>VLOOKUP(A87,TB!A:F,6)</f>
        <v>172600</v>
      </c>
      <c r="S87" s="73">
        <f t="shared" ref="S87:S104" si="31">R87-Q87</f>
        <v>0</v>
      </c>
      <c r="T87" s="51"/>
      <c r="U87" s="51"/>
      <c r="V87" s="51"/>
      <c r="W87" s="51"/>
      <c r="X87" s="51"/>
      <c r="Y87" s="51"/>
      <c r="Z87" s="51"/>
      <c r="AA87" s="51"/>
    </row>
    <row r="88" spans="1:32" ht="15.75" customHeight="1" x14ac:dyDescent="0.25">
      <c r="A88" s="138" t="s">
        <v>265</v>
      </c>
      <c r="B88" s="162" t="s">
        <v>70</v>
      </c>
      <c r="C88" s="180"/>
      <c r="D88" s="185">
        <v>147</v>
      </c>
      <c r="E88" s="185" t="e">
        <f>D88*#REF!</f>
        <v>#REF!</v>
      </c>
      <c r="F88" s="185" t="e">
        <f>D88*#REF!</f>
        <v>#REF!</v>
      </c>
      <c r="G88" s="161" t="e">
        <f>(D88*#REF!)*#REF!</f>
        <v>#REF!</v>
      </c>
      <c r="H88" s="55">
        <f t="shared" si="28"/>
        <v>0</v>
      </c>
      <c r="I88" s="73" t="e">
        <f t="shared" si="29"/>
        <v>#REF!</v>
      </c>
      <c r="J88" s="54"/>
      <c r="K88" s="180"/>
      <c r="L88" s="185">
        <v>2621</v>
      </c>
      <c r="M88" s="185">
        <v>12786.04</v>
      </c>
      <c r="N88" s="185">
        <v>4500</v>
      </c>
      <c r="O88" s="185">
        <f>VLOOKUP(A88,TB!A:F,3)</f>
        <v>4565.9399999999996</v>
      </c>
      <c r="P88" s="161">
        <f t="shared" si="30"/>
        <v>5935.7219999999988</v>
      </c>
      <c r="Q88" s="161">
        <v>10000</v>
      </c>
      <c r="R88" s="73">
        <f>VLOOKUP(A88,TB!A:F,6)</f>
        <v>10000</v>
      </c>
      <c r="S88" s="73">
        <f t="shared" si="31"/>
        <v>0</v>
      </c>
      <c r="T88" s="51"/>
      <c r="U88" s="51"/>
      <c r="V88" s="51"/>
      <c r="W88" s="51"/>
      <c r="X88" s="51"/>
      <c r="Y88" s="51"/>
      <c r="Z88" s="51"/>
      <c r="AA88" s="51"/>
    </row>
    <row r="89" spans="1:32" ht="15.75" customHeight="1" x14ac:dyDescent="0.25">
      <c r="A89" s="138" t="s">
        <v>266</v>
      </c>
      <c r="B89" s="162" t="s">
        <v>132</v>
      </c>
      <c r="C89" s="180"/>
      <c r="D89" s="185">
        <v>51238</v>
      </c>
      <c r="E89" s="185" t="e">
        <f>D89*#REF!</f>
        <v>#REF!</v>
      </c>
      <c r="F89" s="185" t="e">
        <f>D89*#REF!</f>
        <v>#REF!</v>
      </c>
      <c r="G89" s="161" t="e">
        <f>(D89*#REF!)*#REF!</f>
        <v>#REF!</v>
      </c>
      <c r="H89" s="186">
        <f t="shared" si="28"/>
        <v>0</v>
      </c>
      <c r="I89" s="73" t="e">
        <f t="shared" si="29"/>
        <v>#REF!</v>
      </c>
      <c r="J89" s="73">
        <v>-30000</v>
      </c>
      <c r="K89" s="180"/>
      <c r="L89" s="185">
        <v>52620</v>
      </c>
      <c r="M89" s="185">
        <v>35703.39</v>
      </c>
      <c r="N89" s="185">
        <v>52866</v>
      </c>
      <c r="O89" s="185">
        <f>VLOOKUP(A89,TB!A:F,3)</f>
        <v>29408.880000000001</v>
      </c>
      <c r="P89" s="161">
        <f t="shared" si="30"/>
        <v>38231.544000000002</v>
      </c>
      <c r="Q89" s="161">
        <v>68000</v>
      </c>
      <c r="R89" s="73">
        <f>VLOOKUP(A89,TB!A:F,6)</f>
        <v>38000</v>
      </c>
      <c r="S89" s="73">
        <f t="shared" si="31"/>
        <v>-30000</v>
      </c>
      <c r="T89" s="51"/>
      <c r="U89" s="51"/>
      <c r="V89" s="51"/>
      <c r="W89" s="51"/>
      <c r="X89" s="51"/>
      <c r="Y89" s="51"/>
      <c r="Z89" s="51"/>
      <c r="AA89" s="51"/>
    </row>
    <row r="90" spans="1:32" ht="15.75" customHeight="1" x14ac:dyDescent="0.25">
      <c r="A90" s="138" t="s">
        <v>267</v>
      </c>
      <c r="B90" s="162" t="s">
        <v>108</v>
      </c>
      <c r="C90" s="180"/>
      <c r="D90" s="185">
        <v>0</v>
      </c>
      <c r="E90" s="185" t="e">
        <f>D90*#REF!</f>
        <v>#REF!</v>
      </c>
      <c r="F90" s="185" t="e">
        <f>D90*#REF!</f>
        <v>#REF!</v>
      </c>
      <c r="G90" s="161" t="e">
        <f>(D90*#REF!)*#REF!</f>
        <v>#REF!</v>
      </c>
      <c r="H90" s="55">
        <f t="shared" si="28"/>
        <v>0</v>
      </c>
      <c r="I90" s="73" t="e">
        <f t="shared" si="29"/>
        <v>#REF!</v>
      </c>
      <c r="J90" s="54"/>
      <c r="K90" s="180"/>
      <c r="L90" s="185">
        <v>28131</v>
      </c>
      <c r="M90" s="185">
        <v>80748.69</v>
      </c>
      <c r="N90" s="185">
        <v>37000</v>
      </c>
      <c r="O90" s="185">
        <f>VLOOKUP(A90,TB!A:F,3)</f>
        <v>19590.29</v>
      </c>
      <c r="P90" s="161">
        <f t="shared" si="30"/>
        <v>25467.377</v>
      </c>
      <c r="Q90" s="161">
        <v>80000</v>
      </c>
      <c r="R90" s="73">
        <f>VLOOKUP(A90,TB!A:F,6)</f>
        <v>80000</v>
      </c>
      <c r="S90" s="73">
        <f t="shared" si="31"/>
        <v>0</v>
      </c>
      <c r="T90" s="51"/>
      <c r="U90" s="51"/>
      <c r="V90" s="51"/>
      <c r="W90" s="51"/>
      <c r="X90" s="51"/>
      <c r="Y90" s="51"/>
      <c r="Z90" s="51"/>
      <c r="AA90" s="51"/>
    </row>
    <row r="91" spans="1:32" ht="15.75" customHeight="1" x14ac:dyDescent="0.25">
      <c r="A91" s="138" t="s">
        <v>268</v>
      </c>
      <c r="B91" s="162" t="s">
        <v>72</v>
      </c>
      <c r="C91" s="180"/>
      <c r="D91" s="185">
        <v>36348</v>
      </c>
      <c r="E91" s="185" t="e">
        <f>D91*#REF!</f>
        <v>#REF!</v>
      </c>
      <c r="F91" s="185" t="e">
        <f>D91*#REF!</f>
        <v>#REF!</v>
      </c>
      <c r="G91" s="161" t="e">
        <f>(D91*#REF!)*#REF!</f>
        <v>#REF!</v>
      </c>
      <c r="H91" s="55">
        <f t="shared" si="28"/>
        <v>0</v>
      </c>
      <c r="I91" s="73" t="e">
        <f t="shared" si="29"/>
        <v>#REF!</v>
      </c>
      <c r="J91" s="73">
        <v>-3500</v>
      </c>
      <c r="K91" s="180"/>
      <c r="L91" s="185">
        <v>44035</v>
      </c>
      <c r="M91" s="185">
        <v>58355.68</v>
      </c>
      <c r="N91" s="185">
        <v>109097</v>
      </c>
      <c r="O91" s="185">
        <f>VLOOKUP(A91,TB!A:F,3)</f>
        <v>43137.85</v>
      </c>
      <c r="P91" s="161">
        <f t="shared" si="30"/>
        <v>56079.205000000002</v>
      </c>
      <c r="Q91" s="161">
        <v>104000</v>
      </c>
      <c r="R91" s="73">
        <f>VLOOKUP(A91,TB!A:F,6)</f>
        <v>100500</v>
      </c>
      <c r="S91" s="73">
        <f t="shared" si="31"/>
        <v>-3500</v>
      </c>
      <c r="T91" s="51"/>
      <c r="U91" s="51"/>
      <c r="V91" s="51"/>
      <c r="W91" s="51"/>
      <c r="X91" s="51"/>
      <c r="Y91" s="51"/>
      <c r="Z91" s="51"/>
      <c r="AA91" s="51"/>
    </row>
    <row r="92" spans="1:32" ht="15.75" customHeight="1" x14ac:dyDescent="0.25">
      <c r="A92" s="138" t="s">
        <v>269</v>
      </c>
      <c r="B92" s="162" t="s">
        <v>270</v>
      </c>
      <c r="C92" s="180"/>
      <c r="D92" s="185">
        <v>26282</v>
      </c>
      <c r="E92" s="185" t="e">
        <f>D92*#REF!</f>
        <v>#REF!</v>
      </c>
      <c r="F92" s="185" t="e">
        <f>D92*#REF!</f>
        <v>#REF!</v>
      </c>
      <c r="G92" s="161" t="e">
        <f>(D92*#REF!)*#REF!</f>
        <v>#REF!</v>
      </c>
      <c r="H92" s="55">
        <f t="shared" si="28"/>
        <v>0</v>
      </c>
      <c r="I92" s="73" t="e">
        <f t="shared" si="29"/>
        <v>#REF!</v>
      </c>
      <c r="J92" s="54"/>
      <c r="K92" s="180"/>
      <c r="L92" s="185">
        <v>167495</v>
      </c>
      <c r="M92" s="185">
        <v>552830.43999999994</v>
      </c>
      <c r="N92" s="185">
        <v>499700</v>
      </c>
      <c r="O92" s="185">
        <f>VLOOKUP(A92,TB!A:F,3)</f>
        <v>179433.82</v>
      </c>
      <c r="P92" s="161">
        <f t="shared" ref="P92:P98" si="32">IF(O92/9*12&lt;N92,N92,O92/9*12)</f>
        <v>499700</v>
      </c>
      <c r="Q92" s="161">
        <v>501000</v>
      </c>
      <c r="R92" s="73">
        <f>VLOOKUP(A92,TB!A:F,6)</f>
        <v>501000</v>
      </c>
      <c r="S92" s="73">
        <f t="shared" si="31"/>
        <v>0</v>
      </c>
      <c r="T92" s="51"/>
      <c r="U92" s="51"/>
      <c r="V92" s="51"/>
      <c r="W92" s="51"/>
      <c r="X92" s="51"/>
      <c r="Y92" s="51"/>
      <c r="Z92" s="51"/>
      <c r="AA92" s="51"/>
    </row>
    <row r="93" spans="1:32" ht="15.75" customHeight="1" x14ac:dyDescent="0.25">
      <c r="A93" s="138" t="s">
        <v>271</v>
      </c>
      <c r="B93" s="162" t="s">
        <v>74</v>
      </c>
      <c r="C93" s="180"/>
      <c r="D93" s="185">
        <v>200</v>
      </c>
      <c r="E93" s="185" t="e">
        <f>D93*#REF!</f>
        <v>#REF!</v>
      </c>
      <c r="F93" s="185" t="e">
        <f>D93*#REF!</f>
        <v>#REF!</v>
      </c>
      <c r="G93" s="161" t="e">
        <f>(D93*#REF!)*#REF!</f>
        <v>#REF!</v>
      </c>
      <c r="H93" s="55">
        <f t="shared" si="28"/>
        <v>0</v>
      </c>
      <c r="I93" s="73" t="e">
        <f t="shared" si="29"/>
        <v>#REF!</v>
      </c>
      <c r="J93" s="54"/>
      <c r="K93" s="180"/>
      <c r="L93" s="185">
        <v>-186</v>
      </c>
      <c r="M93" s="185">
        <v>2879.36</v>
      </c>
      <c r="N93" s="185">
        <v>8000</v>
      </c>
      <c r="O93" s="185">
        <f>VLOOKUP(A93,TB!A:F,3)</f>
        <v>5008.6899999999996</v>
      </c>
      <c r="P93" s="187">
        <f t="shared" si="32"/>
        <v>8000</v>
      </c>
      <c r="Q93" s="161">
        <v>8000</v>
      </c>
      <c r="R93" s="73">
        <f>VLOOKUP(A93,TB!A:F,6)</f>
        <v>8000</v>
      </c>
      <c r="S93" s="73">
        <f t="shared" si="31"/>
        <v>0</v>
      </c>
      <c r="T93" s="51"/>
      <c r="U93" s="51"/>
      <c r="V93" s="51"/>
      <c r="W93" s="51"/>
      <c r="X93" s="51"/>
      <c r="Y93" s="51"/>
      <c r="Z93" s="51"/>
      <c r="AA93" s="51"/>
    </row>
    <row r="94" spans="1:32" ht="15.75" customHeight="1" x14ac:dyDescent="0.25">
      <c r="A94" s="138" t="s">
        <v>272</v>
      </c>
      <c r="B94" s="162" t="s">
        <v>76</v>
      </c>
      <c r="C94" s="180"/>
      <c r="D94" s="185">
        <v>2287</v>
      </c>
      <c r="E94" s="185" t="e">
        <f>D94*#REF!</f>
        <v>#REF!</v>
      </c>
      <c r="F94" s="185" t="e">
        <f>D94*#REF!</f>
        <v>#REF!</v>
      </c>
      <c r="G94" s="161" t="e">
        <f>(D94*#REF!)*#REF!</f>
        <v>#REF!</v>
      </c>
      <c r="H94" s="55">
        <f t="shared" si="28"/>
        <v>0</v>
      </c>
      <c r="I94" s="73" t="e">
        <f t="shared" si="29"/>
        <v>#REF!</v>
      </c>
      <c r="J94" s="54"/>
      <c r="K94" s="180"/>
      <c r="L94" s="185">
        <v>5159</v>
      </c>
      <c r="M94" s="185">
        <v>4522.41</v>
      </c>
      <c r="N94" s="185">
        <v>6000</v>
      </c>
      <c r="O94" s="185">
        <f>VLOOKUP(A94,TB!A:F,3)</f>
        <v>5260.69</v>
      </c>
      <c r="P94" s="161">
        <f t="shared" si="32"/>
        <v>7014.2533333333322</v>
      </c>
      <c r="Q94" s="161">
        <v>6000</v>
      </c>
      <c r="R94" s="73">
        <f>VLOOKUP(A94,TB!A:F,6)</f>
        <v>6000</v>
      </c>
      <c r="S94" s="73">
        <f t="shared" si="31"/>
        <v>0</v>
      </c>
      <c r="T94" s="51"/>
      <c r="U94" s="51"/>
      <c r="V94" s="51"/>
      <c r="W94" s="51"/>
      <c r="X94" s="51"/>
      <c r="Y94" s="51"/>
      <c r="Z94" s="51"/>
      <c r="AA94" s="51"/>
    </row>
    <row r="95" spans="1:32" ht="15.75" customHeight="1" x14ac:dyDescent="0.25">
      <c r="A95" s="138" t="s">
        <v>273</v>
      </c>
      <c r="B95" s="162" t="s">
        <v>80</v>
      </c>
      <c r="C95" s="180"/>
      <c r="D95" s="185">
        <v>0</v>
      </c>
      <c r="E95" s="185" t="e">
        <f>D95*#REF!</f>
        <v>#REF!</v>
      </c>
      <c r="F95" s="185" t="e">
        <f>D95*#REF!</f>
        <v>#REF!</v>
      </c>
      <c r="G95" s="161" t="e">
        <f>(D95*#REF!)*#REF!</f>
        <v>#REF!</v>
      </c>
      <c r="H95" s="55">
        <f t="shared" si="28"/>
        <v>0</v>
      </c>
      <c r="I95" s="73" t="e">
        <f t="shared" si="29"/>
        <v>#REF!</v>
      </c>
      <c r="J95" s="54"/>
      <c r="K95" s="180"/>
      <c r="L95" s="185">
        <v>-60</v>
      </c>
      <c r="M95" s="185">
        <v>764.4</v>
      </c>
      <c r="N95" s="185">
        <v>500</v>
      </c>
      <c r="O95" s="185">
        <f>VLOOKUP(A95,TB!A:F,3)</f>
        <v>1043.51</v>
      </c>
      <c r="P95" s="161">
        <f t="shared" si="32"/>
        <v>1391.3466666666668</v>
      </c>
      <c r="Q95" s="161">
        <v>0</v>
      </c>
      <c r="R95" s="73">
        <f>VLOOKUP(A95,TB!A:F,6)</f>
        <v>0</v>
      </c>
      <c r="S95" s="73">
        <f t="shared" si="31"/>
        <v>0</v>
      </c>
      <c r="T95" s="51"/>
      <c r="U95" s="51"/>
      <c r="V95" s="51"/>
      <c r="W95" s="51"/>
      <c r="X95" s="51"/>
      <c r="Y95" s="51"/>
      <c r="Z95" s="51"/>
      <c r="AA95" s="51"/>
    </row>
    <row r="96" spans="1:32" ht="15.75" customHeight="1" x14ac:dyDescent="0.25">
      <c r="A96" s="138" t="s">
        <v>274</v>
      </c>
      <c r="B96" s="162" t="s">
        <v>82</v>
      </c>
      <c r="C96" s="180"/>
      <c r="D96" s="185">
        <v>0</v>
      </c>
      <c r="E96" s="185" t="e">
        <f>D96*#REF!</f>
        <v>#REF!</v>
      </c>
      <c r="F96" s="185" t="e">
        <f>D96*#REF!</f>
        <v>#REF!</v>
      </c>
      <c r="G96" s="161" t="e">
        <f>(D96*#REF!)*#REF!</f>
        <v>#REF!</v>
      </c>
      <c r="H96" s="55">
        <f t="shared" si="28"/>
        <v>0</v>
      </c>
      <c r="I96" s="73" t="e">
        <f t="shared" si="29"/>
        <v>#REF!</v>
      </c>
      <c r="J96" s="54"/>
      <c r="K96" s="180"/>
      <c r="L96" s="185">
        <v>943</v>
      </c>
      <c r="M96" s="185">
        <v>261.63</v>
      </c>
      <c r="N96" s="185">
        <v>1500</v>
      </c>
      <c r="O96" s="185">
        <f>VLOOKUP(A96,TB!A:F,3)</f>
        <v>0</v>
      </c>
      <c r="P96" s="187">
        <f t="shared" si="32"/>
        <v>1500</v>
      </c>
      <c r="Q96" s="161">
        <v>1500</v>
      </c>
      <c r="R96" s="73">
        <f>VLOOKUP(A96,TB!A:F,6)</f>
        <v>1500</v>
      </c>
      <c r="S96" s="73">
        <f t="shared" si="31"/>
        <v>0</v>
      </c>
      <c r="T96" s="51"/>
      <c r="U96" s="51"/>
      <c r="V96" s="51"/>
      <c r="W96" s="51"/>
      <c r="X96" s="51"/>
      <c r="Y96" s="51"/>
      <c r="Z96" s="51"/>
      <c r="AA96" s="51"/>
    </row>
    <row r="97" spans="1:27" ht="15.75" customHeight="1" x14ac:dyDescent="0.25">
      <c r="A97" s="138" t="s">
        <v>275</v>
      </c>
      <c r="B97" s="162" t="s">
        <v>115</v>
      </c>
      <c r="C97" s="180"/>
      <c r="D97" s="185">
        <v>0</v>
      </c>
      <c r="E97" s="185" t="e">
        <f>D97*#REF!</f>
        <v>#REF!</v>
      </c>
      <c r="F97" s="185" t="e">
        <f>D97*#REF!</f>
        <v>#REF!</v>
      </c>
      <c r="G97" s="161" t="e">
        <f>(D97*#REF!)*#REF!</f>
        <v>#REF!</v>
      </c>
      <c r="H97" s="55">
        <f t="shared" si="28"/>
        <v>0</v>
      </c>
      <c r="I97" s="73" t="e">
        <f t="shared" si="29"/>
        <v>#REF!</v>
      </c>
      <c r="J97" s="54"/>
      <c r="K97" s="180"/>
      <c r="L97" s="185">
        <v>1697</v>
      </c>
      <c r="M97" s="185">
        <v>1630.1</v>
      </c>
      <c r="N97" s="185">
        <v>2000</v>
      </c>
      <c r="O97" s="185">
        <f>VLOOKUP(A97,TB!A:F,3)</f>
        <v>960</v>
      </c>
      <c r="P97" s="187">
        <f t="shared" si="32"/>
        <v>2000</v>
      </c>
      <c r="Q97" s="161">
        <v>2000</v>
      </c>
      <c r="R97" s="73">
        <f>VLOOKUP(A97,TB!A:F,6)</f>
        <v>2000</v>
      </c>
      <c r="S97" s="73">
        <f t="shared" si="31"/>
        <v>0</v>
      </c>
      <c r="T97" s="51"/>
      <c r="U97" s="51"/>
      <c r="V97" s="51"/>
      <c r="W97" s="51"/>
      <c r="X97" s="51"/>
      <c r="Y97" s="51"/>
      <c r="Z97" s="51"/>
      <c r="AA97" s="51"/>
    </row>
    <row r="98" spans="1:27" ht="15.75" customHeight="1" x14ac:dyDescent="0.25">
      <c r="A98" s="138" t="s">
        <v>276</v>
      </c>
      <c r="B98" s="162" t="s">
        <v>277</v>
      </c>
      <c r="C98" s="180"/>
      <c r="D98" s="185">
        <v>0</v>
      </c>
      <c r="E98" s="185" t="e">
        <f>D98*#REF!</f>
        <v>#REF!</v>
      </c>
      <c r="F98" s="185" t="e">
        <f>D98*#REF!</f>
        <v>#REF!</v>
      </c>
      <c r="G98" s="161" t="e">
        <f>(D98*#REF!)*#REF!</f>
        <v>#REF!</v>
      </c>
      <c r="H98" s="55">
        <f t="shared" si="28"/>
        <v>0</v>
      </c>
      <c r="I98" s="73" t="e">
        <f t="shared" si="29"/>
        <v>#REF!</v>
      </c>
      <c r="J98" s="54"/>
      <c r="K98" s="180"/>
      <c r="L98" s="185">
        <v>1001</v>
      </c>
      <c r="M98" s="185">
        <v>3774.24</v>
      </c>
      <c r="N98" s="185">
        <v>4000</v>
      </c>
      <c r="O98" s="185">
        <f>VLOOKUP(A98,TB!A:F,3)</f>
        <v>3206.01</v>
      </c>
      <c r="P98" s="161">
        <f t="shared" si="32"/>
        <v>4274.68</v>
      </c>
      <c r="Q98" s="161">
        <v>5000</v>
      </c>
      <c r="R98" s="73">
        <f>VLOOKUP(A98,TB!A:F,6)</f>
        <v>5000</v>
      </c>
      <c r="S98" s="73">
        <f t="shared" si="31"/>
        <v>0</v>
      </c>
      <c r="T98" s="51"/>
      <c r="U98" s="51"/>
      <c r="V98" s="51"/>
      <c r="W98" s="51"/>
      <c r="X98" s="51"/>
      <c r="Y98" s="51"/>
      <c r="Z98" s="51"/>
      <c r="AA98" s="51"/>
    </row>
    <row r="99" spans="1:27" ht="15.75" customHeight="1" x14ac:dyDescent="0.25">
      <c r="A99" s="138" t="s">
        <v>278</v>
      </c>
      <c r="B99" s="162" t="s">
        <v>84</v>
      </c>
      <c r="C99" s="180"/>
      <c r="D99" s="185">
        <v>449</v>
      </c>
      <c r="E99" s="185" t="e">
        <f>D99*#REF!</f>
        <v>#REF!</v>
      </c>
      <c r="F99" s="185" t="e">
        <f>D99*#REF!</f>
        <v>#REF!</v>
      </c>
      <c r="G99" s="161" t="e">
        <f>(D99*#REF!)*#REF!</f>
        <v>#REF!</v>
      </c>
      <c r="H99" s="55">
        <f t="shared" si="28"/>
        <v>0</v>
      </c>
      <c r="I99" s="73" t="e">
        <f t="shared" si="29"/>
        <v>#REF!</v>
      </c>
      <c r="J99" s="54"/>
      <c r="K99" s="180"/>
      <c r="L99" s="185">
        <v>2111</v>
      </c>
      <c r="M99" s="185">
        <v>1052.6600000000001</v>
      </c>
      <c r="N99" s="185">
        <v>5000</v>
      </c>
      <c r="O99" s="185">
        <f>VLOOKUP(A99,TB!A:F,3)</f>
        <v>526.63</v>
      </c>
      <c r="P99" s="161">
        <f>O99/9*12</f>
        <v>702.17333333333329</v>
      </c>
      <c r="Q99" s="161">
        <v>5000</v>
      </c>
      <c r="R99" s="73">
        <f>VLOOKUP(A99,TB!A:F,6)</f>
        <v>5000</v>
      </c>
      <c r="S99" s="73">
        <f t="shared" si="31"/>
        <v>0</v>
      </c>
      <c r="T99" s="51"/>
      <c r="U99" s="51"/>
      <c r="V99" s="51"/>
      <c r="W99" s="51"/>
      <c r="X99" s="51"/>
      <c r="Y99" s="51"/>
      <c r="Z99" s="51"/>
      <c r="AA99" s="51"/>
    </row>
    <row r="100" spans="1:27" ht="15.75" customHeight="1" x14ac:dyDescent="0.25">
      <c r="A100" s="138" t="s">
        <v>279</v>
      </c>
      <c r="B100" s="162" t="s">
        <v>210</v>
      </c>
      <c r="C100" s="180"/>
      <c r="D100" s="185">
        <v>0</v>
      </c>
      <c r="E100" s="185" t="e">
        <f>D100*#REF!</f>
        <v>#REF!</v>
      </c>
      <c r="F100" s="185" t="e">
        <f>D100*#REF!</f>
        <v>#REF!</v>
      </c>
      <c r="G100" s="161" t="e">
        <f>(D100*#REF!)*#REF!</f>
        <v>#REF!</v>
      </c>
      <c r="H100" s="55">
        <f t="shared" si="28"/>
        <v>0</v>
      </c>
      <c r="I100" s="73" t="e">
        <f t="shared" si="29"/>
        <v>#REF!</v>
      </c>
      <c r="J100" s="54"/>
      <c r="K100" s="180"/>
      <c r="L100" s="185">
        <v>632</v>
      </c>
      <c r="M100" s="185">
        <v>979.71</v>
      </c>
      <c r="N100" s="185">
        <v>2500</v>
      </c>
      <c r="O100" s="185">
        <f>VLOOKUP(A100,TB!A:F,3)</f>
        <v>286.14</v>
      </c>
      <c r="P100" s="187">
        <f t="shared" ref="P100:P103" si="33">IF(O100/9*12&lt;N100,N100,O100/9*12)</f>
        <v>2500</v>
      </c>
      <c r="Q100" s="161">
        <v>2500</v>
      </c>
      <c r="R100" s="73">
        <f>VLOOKUP(A100,TB!A:F,6)</f>
        <v>2500</v>
      </c>
      <c r="S100" s="73">
        <f t="shared" si="31"/>
        <v>0</v>
      </c>
      <c r="T100" s="51"/>
      <c r="U100" s="51"/>
      <c r="V100" s="51"/>
      <c r="W100" s="51"/>
      <c r="X100" s="51"/>
      <c r="Y100" s="51"/>
      <c r="Z100" s="51"/>
      <c r="AA100" s="51"/>
    </row>
    <row r="101" spans="1:27" ht="15.75" customHeight="1" x14ac:dyDescent="0.25">
      <c r="A101" s="138" t="s">
        <v>280</v>
      </c>
      <c r="B101" s="162" t="s">
        <v>88</v>
      </c>
      <c r="C101" s="180"/>
      <c r="D101" s="185">
        <v>0</v>
      </c>
      <c r="E101" s="185" t="e">
        <f>D101*#REF!</f>
        <v>#REF!</v>
      </c>
      <c r="F101" s="185" t="e">
        <f>D101*#REF!</f>
        <v>#REF!</v>
      </c>
      <c r="G101" s="161" t="e">
        <f>(D101*#REF!)*#REF!</f>
        <v>#REF!</v>
      </c>
      <c r="H101" s="55">
        <f t="shared" si="28"/>
        <v>0</v>
      </c>
      <c r="I101" s="73" t="e">
        <f t="shared" si="29"/>
        <v>#REF!</v>
      </c>
      <c r="J101" s="54"/>
      <c r="K101" s="180"/>
      <c r="L101" s="185">
        <v>0</v>
      </c>
      <c r="M101" s="185">
        <v>0</v>
      </c>
      <c r="N101" s="185">
        <v>2000</v>
      </c>
      <c r="O101" s="185">
        <f>VLOOKUP(A101,TB!A:F,3)</f>
        <v>0</v>
      </c>
      <c r="P101" s="187">
        <f t="shared" si="33"/>
        <v>2000</v>
      </c>
      <c r="Q101" s="161">
        <v>2000</v>
      </c>
      <c r="R101" s="73">
        <f>VLOOKUP(A101,TB!A:F,6)</f>
        <v>2000</v>
      </c>
      <c r="S101" s="73">
        <f t="shared" si="31"/>
        <v>0</v>
      </c>
      <c r="T101" s="51"/>
      <c r="U101" s="51"/>
      <c r="V101" s="51"/>
      <c r="W101" s="51"/>
      <c r="X101" s="51"/>
      <c r="Y101" s="51"/>
      <c r="Z101" s="51"/>
      <c r="AA101" s="51"/>
    </row>
    <row r="102" spans="1:27" ht="15.75" customHeight="1" x14ac:dyDescent="0.25">
      <c r="A102" s="138" t="s">
        <v>281</v>
      </c>
      <c r="B102" s="162" t="s">
        <v>282</v>
      </c>
      <c r="C102" s="180"/>
      <c r="D102" s="185">
        <v>0</v>
      </c>
      <c r="E102" s="185" t="e">
        <f>D102*#REF!</f>
        <v>#REF!</v>
      </c>
      <c r="F102" s="185" t="e">
        <f>D102*#REF!</f>
        <v>#REF!</v>
      </c>
      <c r="G102" s="161" t="e">
        <f>(D102*#REF!)*#REF!</f>
        <v>#REF!</v>
      </c>
      <c r="H102" s="55">
        <f t="shared" si="28"/>
        <v>0</v>
      </c>
      <c r="I102" s="73" t="e">
        <f t="shared" si="29"/>
        <v>#REF!</v>
      </c>
      <c r="J102" s="54"/>
      <c r="K102" s="180"/>
      <c r="L102" s="185">
        <v>69315</v>
      </c>
      <c r="M102" s="185">
        <v>0</v>
      </c>
      <c r="N102" s="185">
        <v>0</v>
      </c>
      <c r="O102" s="185">
        <f>VLOOKUP(A102,TB!A:F,3)</f>
        <v>0</v>
      </c>
      <c r="P102" s="161">
        <f t="shared" si="33"/>
        <v>0</v>
      </c>
      <c r="Q102" s="161">
        <v>0</v>
      </c>
      <c r="R102" s="73">
        <f>VLOOKUP(A102,TB!A:F,6)</f>
        <v>0</v>
      </c>
      <c r="S102" s="73">
        <f t="shared" si="31"/>
        <v>0</v>
      </c>
      <c r="T102" s="51"/>
      <c r="U102" s="51"/>
      <c r="V102" s="51"/>
      <c r="W102" s="51"/>
      <c r="X102" s="51"/>
      <c r="Y102" s="51"/>
      <c r="Z102" s="51"/>
      <c r="AA102" s="51"/>
    </row>
    <row r="103" spans="1:27" ht="15.75" customHeight="1" x14ac:dyDescent="0.25">
      <c r="A103" s="138" t="s">
        <v>283</v>
      </c>
      <c r="B103" s="162" t="s">
        <v>92</v>
      </c>
      <c r="C103" s="180"/>
      <c r="D103" s="185">
        <v>0</v>
      </c>
      <c r="E103" s="185" t="e">
        <f>D103*#REF!</f>
        <v>#REF!</v>
      </c>
      <c r="F103" s="185" t="e">
        <f>D103*#REF!</f>
        <v>#REF!</v>
      </c>
      <c r="G103" s="161" t="e">
        <f>(D103*#REF!)*#REF!</f>
        <v>#REF!</v>
      </c>
      <c r="H103" s="55">
        <f t="shared" si="28"/>
        <v>0</v>
      </c>
      <c r="I103" s="73" t="e">
        <f t="shared" si="29"/>
        <v>#REF!</v>
      </c>
      <c r="J103" s="54"/>
      <c r="K103" s="180"/>
      <c r="L103" s="185">
        <v>1796</v>
      </c>
      <c r="M103" s="185">
        <v>2789.1</v>
      </c>
      <c r="N103" s="185">
        <v>2700</v>
      </c>
      <c r="O103" s="185">
        <f>VLOOKUP(A103,TB!A:F,3)</f>
        <v>2644.83</v>
      </c>
      <c r="P103" s="161">
        <f t="shared" si="33"/>
        <v>3526.44</v>
      </c>
      <c r="Q103" s="161">
        <v>2700</v>
      </c>
      <c r="R103" s="73">
        <f>VLOOKUP(A103,TB!A:F,6)</f>
        <v>2700</v>
      </c>
      <c r="S103" s="73">
        <f t="shared" si="31"/>
        <v>0</v>
      </c>
      <c r="T103" s="51"/>
      <c r="U103" s="51"/>
      <c r="V103" s="51"/>
      <c r="W103" s="51"/>
      <c r="X103" s="51"/>
      <c r="Y103" s="51"/>
      <c r="Z103" s="51"/>
      <c r="AA103" s="51"/>
    </row>
    <row r="104" spans="1:27" ht="15.75" customHeight="1" x14ac:dyDescent="0.25">
      <c r="A104" s="138" t="s">
        <v>284</v>
      </c>
      <c r="B104" s="162" t="s">
        <v>94</v>
      </c>
      <c r="C104" s="180"/>
      <c r="D104" s="185">
        <v>16233</v>
      </c>
      <c r="E104" s="185" t="e">
        <f>D104*#REF!</f>
        <v>#REF!</v>
      </c>
      <c r="F104" s="185" t="e">
        <f>D104*#REF!</f>
        <v>#REF!</v>
      </c>
      <c r="G104" s="161" t="e">
        <f>(D104*#REF!)*#REF!</f>
        <v>#REF!</v>
      </c>
      <c r="H104" s="186">
        <f t="shared" si="28"/>
        <v>0</v>
      </c>
      <c r="I104" s="73" t="e">
        <f t="shared" si="29"/>
        <v>#REF!</v>
      </c>
      <c r="J104" s="54"/>
      <c r="K104" s="180"/>
      <c r="L104" s="185">
        <v>910</v>
      </c>
      <c r="M104" s="185">
        <v>1025.8399999999999</v>
      </c>
      <c r="N104" s="185">
        <v>1000</v>
      </c>
      <c r="O104" s="185">
        <f>VLOOKUP(A104,TB!A:F,3)</f>
        <v>210.54</v>
      </c>
      <c r="P104" s="161">
        <f>O104/9*12</f>
        <v>280.71999999999997</v>
      </c>
      <c r="Q104" s="161">
        <v>1000</v>
      </c>
      <c r="R104" s="73">
        <f>VLOOKUP(A104,TB!A:F,6)</f>
        <v>1000</v>
      </c>
      <c r="S104" s="73">
        <f t="shared" si="31"/>
        <v>0</v>
      </c>
      <c r="T104" s="51"/>
      <c r="U104" s="51"/>
      <c r="V104" s="51"/>
      <c r="W104" s="51"/>
      <c r="X104" s="51"/>
      <c r="Y104" s="51"/>
      <c r="Z104" s="51"/>
      <c r="AA104" s="51"/>
    </row>
    <row r="105" spans="1:27" ht="15.75" customHeight="1" x14ac:dyDescent="0.25">
      <c r="A105" s="74" t="s">
        <v>285</v>
      </c>
      <c r="B105" s="77"/>
      <c r="C105" s="188"/>
      <c r="D105" s="77">
        <f t="shared" ref="D105:G105" si="34">SUM(D85:D104)</f>
        <v>214611</v>
      </c>
      <c r="E105" s="77" t="e">
        <f t="shared" si="34"/>
        <v>#REF!</v>
      </c>
      <c r="F105" s="77" t="e">
        <f t="shared" si="34"/>
        <v>#REF!</v>
      </c>
      <c r="G105" s="189" t="e">
        <f t="shared" si="34"/>
        <v>#REF!</v>
      </c>
      <c r="H105" s="72">
        <f t="shared" si="28"/>
        <v>0</v>
      </c>
      <c r="I105" s="190" t="e">
        <f t="shared" ref="I105:J105" si="35">SUM(I85:I104)</f>
        <v>#REF!</v>
      </c>
      <c r="J105" s="190">
        <f t="shared" si="35"/>
        <v>-33500</v>
      </c>
      <c r="K105" s="188"/>
      <c r="L105" s="77">
        <f t="shared" ref="L105:S105" si="36">SUM(L85:L104)</f>
        <v>460303</v>
      </c>
      <c r="M105" s="77">
        <f t="shared" si="36"/>
        <v>873082.06999999983</v>
      </c>
      <c r="N105" s="77">
        <f t="shared" si="36"/>
        <v>893930</v>
      </c>
      <c r="O105" s="77">
        <f t="shared" si="36"/>
        <v>395943.39000000007</v>
      </c>
      <c r="P105" s="189">
        <f t="shared" si="36"/>
        <v>789460.90233333327</v>
      </c>
      <c r="Q105" s="189">
        <f t="shared" si="36"/>
        <v>971300</v>
      </c>
      <c r="R105" s="77">
        <f t="shared" si="36"/>
        <v>937800</v>
      </c>
      <c r="S105" s="77">
        <f t="shared" si="36"/>
        <v>-33500</v>
      </c>
    </row>
    <row r="106" spans="1:27" ht="15.75" customHeight="1" x14ac:dyDescent="0.2">
      <c r="B106" s="54"/>
      <c r="C106" s="180"/>
      <c r="D106" s="54"/>
      <c r="E106" s="54"/>
      <c r="F106" s="54"/>
      <c r="G106" s="54"/>
      <c r="H106" s="54"/>
      <c r="I106" s="54"/>
      <c r="J106" s="54"/>
      <c r="K106" s="180"/>
      <c r="L106" s="54"/>
      <c r="M106" s="54"/>
      <c r="N106" s="54"/>
      <c r="O106" s="54"/>
      <c r="P106" s="54"/>
      <c r="Q106" s="54"/>
      <c r="R106" s="54"/>
      <c r="S106" s="54"/>
    </row>
    <row r="107" spans="1:27" ht="15.75" customHeight="1" x14ac:dyDescent="0.2">
      <c r="B107" s="54"/>
      <c r="C107" s="180"/>
      <c r="D107" s="54"/>
      <c r="E107" s="54"/>
      <c r="F107" s="54"/>
      <c r="G107" s="54"/>
      <c r="H107" s="54"/>
      <c r="I107" s="54"/>
      <c r="J107" s="54"/>
      <c r="K107" s="180"/>
      <c r="L107" s="54"/>
      <c r="M107" s="54"/>
      <c r="N107" s="54"/>
      <c r="O107" s="54"/>
      <c r="P107" s="54"/>
      <c r="Q107" s="54"/>
      <c r="R107" s="54"/>
      <c r="S107" s="54"/>
    </row>
    <row r="108" spans="1:27" ht="15.75" customHeight="1" x14ac:dyDescent="0.25">
      <c r="A108" s="138" t="s">
        <v>286</v>
      </c>
      <c r="B108" s="162" t="s">
        <v>180</v>
      </c>
      <c r="C108" s="180"/>
      <c r="D108" s="185">
        <v>0</v>
      </c>
      <c r="E108" s="185" t="e">
        <f>D108*#REF!</f>
        <v>#REF!</v>
      </c>
      <c r="F108" s="185" t="e">
        <f>D108*#REF!</f>
        <v>#REF!</v>
      </c>
      <c r="G108" s="161" t="e">
        <f>(D108*#REF!)*#REF!</f>
        <v>#REF!</v>
      </c>
      <c r="H108" s="55">
        <f t="shared" ref="H108:H110" si="37">IFERROR(((Q108-G108)/G108),0)</f>
        <v>0</v>
      </c>
      <c r="I108" s="73" t="e">
        <f t="shared" ref="I108:I109" si="38">Q108-G108</f>
        <v>#REF!</v>
      </c>
      <c r="J108" s="54"/>
      <c r="K108" s="180"/>
      <c r="L108" s="185">
        <v>0</v>
      </c>
      <c r="M108" s="185">
        <v>0</v>
      </c>
      <c r="N108" s="185">
        <v>0</v>
      </c>
      <c r="O108" s="185">
        <f>VLOOKUP(A108,TB!A:F,3)</f>
        <v>210.54</v>
      </c>
      <c r="P108" s="161">
        <f t="shared" ref="P108:P109" si="39">O108</f>
        <v>210.54</v>
      </c>
      <c r="Q108" s="161">
        <v>0</v>
      </c>
      <c r="R108" s="73">
        <v>0</v>
      </c>
      <c r="S108" s="73">
        <f t="shared" ref="S108:S109" si="40">R108-Q108</f>
        <v>0</v>
      </c>
      <c r="T108" s="51"/>
      <c r="U108" s="51"/>
      <c r="V108" s="51"/>
      <c r="W108" s="51"/>
      <c r="X108" s="51"/>
      <c r="Y108" s="51"/>
      <c r="Z108" s="51"/>
      <c r="AA108" s="51"/>
    </row>
    <row r="109" spans="1:27" ht="15.75" customHeight="1" x14ac:dyDescent="0.25">
      <c r="A109" s="138" t="s">
        <v>287</v>
      </c>
      <c r="B109" s="162" t="s">
        <v>99</v>
      </c>
      <c r="C109" s="180"/>
      <c r="D109" s="185">
        <v>30996</v>
      </c>
      <c r="E109" s="185" t="e">
        <f>D109*#REF!</f>
        <v>#REF!</v>
      </c>
      <c r="F109" s="185" t="e">
        <f>D109*#REF!</f>
        <v>#REF!</v>
      </c>
      <c r="G109" s="161" t="e">
        <f>(D109*#REF!)*#REF!</f>
        <v>#REF!</v>
      </c>
      <c r="H109" s="186">
        <f t="shared" si="37"/>
        <v>0</v>
      </c>
      <c r="I109" s="73" t="e">
        <f t="shared" si="38"/>
        <v>#REF!</v>
      </c>
      <c r="J109" s="54"/>
      <c r="K109" s="180"/>
      <c r="L109" s="185">
        <v>43348</v>
      </c>
      <c r="M109" s="185">
        <v>0</v>
      </c>
      <c r="N109" s="185">
        <v>0</v>
      </c>
      <c r="O109" s="185">
        <f>VLOOKUP(A109,TB!A:F,3)</f>
        <v>0</v>
      </c>
      <c r="P109" s="161">
        <f t="shared" si="39"/>
        <v>0</v>
      </c>
      <c r="Q109" s="161">
        <v>0</v>
      </c>
      <c r="R109" s="73">
        <f>VLOOKUP(A109,TB!A:F,6)</f>
        <v>0</v>
      </c>
      <c r="S109" s="73">
        <f t="shared" si="40"/>
        <v>0</v>
      </c>
      <c r="T109" s="51"/>
      <c r="U109" s="51"/>
      <c r="V109" s="51"/>
      <c r="W109" s="51"/>
      <c r="X109" s="51"/>
      <c r="Y109" s="51"/>
      <c r="Z109" s="51"/>
      <c r="AA109" s="51"/>
    </row>
    <row r="110" spans="1:27" ht="15.75" customHeight="1" x14ac:dyDescent="0.25">
      <c r="A110" s="168" t="s">
        <v>288</v>
      </c>
      <c r="B110" s="191"/>
      <c r="C110" s="192"/>
      <c r="D110" s="190">
        <f t="shared" ref="D110:F110" si="41">SUM(D108:D109)</f>
        <v>30996</v>
      </c>
      <c r="E110" s="190" t="e">
        <f t="shared" si="41"/>
        <v>#REF!</v>
      </c>
      <c r="F110" s="190" t="e">
        <f t="shared" si="41"/>
        <v>#REF!</v>
      </c>
      <c r="G110" s="193" t="e">
        <f>SUM(G105:G109)</f>
        <v>#REF!</v>
      </c>
      <c r="H110" s="194">
        <f t="shared" si="37"/>
        <v>0</v>
      </c>
      <c r="I110" s="190" t="e">
        <f t="shared" ref="I110:J110" si="42">SUM(I108:I109)</f>
        <v>#REF!</v>
      </c>
      <c r="J110" s="190">
        <f t="shared" si="42"/>
        <v>0</v>
      </c>
      <c r="K110" s="192"/>
      <c r="L110" s="190">
        <f t="shared" ref="L110:S110" si="43">SUM(L108:L109)</f>
        <v>43348</v>
      </c>
      <c r="M110" s="190">
        <f t="shared" si="43"/>
        <v>0</v>
      </c>
      <c r="N110" s="190">
        <f t="shared" si="43"/>
        <v>0</v>
      </c>
      <c r="O110" s="190">
        <f t="shared" si="43"/>
        <v>210.54</v>
      </c>
      <c r="P110" s="193">
        <f t="shared" si="43"/>
        <v>210.54</v>
      </c>
      <c r="Q110" s="193">
        <f t="shared" si="43"/>
        <v>0</v>
      </c>
      <c r="R110" s="190">
        <f t="shared" si="43"/>
        <v>0</v>
      </c>
      <c r="S110" s="190">
        <f t="shared" si="43"/>
        <v>0</v>
      </c>
      <c r="U110" s="52"/>
      <c r="V110" s="52"/>
      <c r="W110" s="52"/>
      <c r="X110" s="52"/>
      <c r="Y110" s="52"/>
      <c r="Z110" s="52"/>
      <c r="AA110" s="52"/>
    </row>
    <row r="111" spans="1:27" ht="15.75" customHeight="1" x14ac:dyDescent="0.2">
      <c r="B111" s="54"/>
      <c r="C111" s="180"/>
      <c r="D111" s="54"/>
      <c r="E111" s="54"/>
      <c r="F111" s="54"/>
      <c r="G111" s="54"/>
      <c r="H111" s="54"/>
      <c r="I111" s="54"/>
      <c r="J111" s="54"/>
      <c r="K111" s="180"/>
      <c r="L111" s="54"/>
      <c r="M111" s="54"/>
      <c r="N111" s="54"/>
      <c r="O111" s="54"/>
      <c r="P111" s="54"/>
      <c r="Q111" s="54"/>
      <c r="R111" s="54"/>
      <c r="S111" s="54"/>
    </row>
    <row r="112" spans="1:27" ht="15.75" customHeight="1" x14ac:dyDescent="0.25">
      <c r="A112" s="69" t="s">
        <v>289</v>
      </c>
      <c r="B112" s="78"/>
      <c r="C112" s="195"/>
      <c r="D112" s="196">
        <f t="shared" ref="D112:G112" si="44">D105+D110</f>
        <v>245607</v>
      </c>
      <c r="E112" s="196" t="e">
        <f t="shared" si="44"/>
        <v>#REF!</v>
      </c>
      <c r="F112" s="196" t="e">
        <f t="shared" si="44"/>
        <v>#REF!</v>
      </c>
      <c r="G112" s="196" t="e">
        <f t="shared" si="44"/>
        <v>#REF!</v>
      </c>
      <c r="H112" s="72">
        <f>IFERROR(((Q112-G112)/G112),0)</f>
        <v>0</v>
      </c>
      <c r="I112" s="77" t="e">
        <f>Q112-G112</f>
        <v>#REF!</v>
      </c>
      <c r="J112" s="190">
        <f>SUM(J111)</f>
        <v>0</v>
      </c>
      <c r="K112" s="195"/>
      <c r="L112" s="196">
        <f t="shared" ref="L112:S112" si="45">L105+L110</f>
        <v>503651</v>
      </c>
      <c r="M112" s="196">
        <f t="shared" si="45"/>
        <v>873082.06999999983</v>
      </c>
      <c r="N112" s="196">
        <f t="shared" si="45"/>
        <v>893930</v>
      </c>
      <c r="O112" s="196">
        <f t="shared" si="45"/>
        <v>396153.93000000005</v>
      </c>
      <c r="P112" s="196">
        <f t="shared" si="45"/>
        <v>789671.44233333331</v>
      </c>
      <c r="Q112" s="196">
        <f t="shared" si="45"/>
        <v>971300</v>
      </c>
      <c r="R112" s="196">
        <f t="shared" si="45"/>
        <v>937800</v>
      </c>
      <c r="S112" s="196">
        <f t="shared" si="45"/>
        <v>-33500</v>
      </c>
    </row>
    <row r="113" spans="1:27" ht="15.75" customHeight="1" x14ac:dyDescent="0.2">
      <c r="B113" s="54"/>
      <c r="C113" s="180"/>
      <c r="D113" s="54"/>
      <c r="E113" s="54"/>
      <c r="F113" s="54"/>
      <c r="G113" s="54"/>
      <c r="H113" s="54"/>
      <c r="I113" s="54"/>
      <c r="J113" s="54"/>
      <c r="K113" s="180"/>
      <c r="L113" s="54"/>
      <c r="M113" s="54"/>
      <c r="N113" s="54"/>
      <c r="O113" s="54"/>
      <c r="P113" s="54"/>
      <c r="Q113" s="54"/>
      <c r="R113" s="54"/>
      <c r="S113" s="54"/>
    </row>
    <row r="114" spans="1:27" ht="15.75" customHeight="1" x14ac:dyDescent="0.2">
      <c r="A114" s="51" t="s">
        <v>184</v>
      </c>
      <c r="B114" s="54"/>
      <c r="C114" s="180"/>
      <c r="D114" s="54"/>
      <c r="E114" s="54"/>
      <c r="F114" s="54"/>
      <c r="G114" s="54"/>
      <c r="H114" s="55"/>
      <c r="I114" s="54"/>
      <c r="J114" s="54"/>
      <c r="K114" s="180"/>
      <c r="L114" s="54"/>
      <c r="M114" s="54"/>
      <c r="N114" s="54"/>
      <c r="O114" s="54"/>
      <c r="P114" s="54"/>
      <c r="Q114" s="54"/>
      <c r="R114" s="54"/>
      <c r="S114" s="54"/>
    </row>
    <row r="115" spans="1:27" ht="15.75" customHeight="1" x14ac:dyDescent="0.25">
      <c r="A115" s="138" t="s">
        <v>290</v>
      </c>
      <c r="B115" s="197" t="s">
        <v>291</v>
      </c>
      <c r="C115" s="180"/>
      <c r="D115" s="185">
        <v>0</v>
      </c>
      <c r="E115" s="185" t="e">
        <f>D115*#REF!</f>
        <v>#REF!</v>
      </c>
      <c r="F115" s="185" t="e">
        <f>D115*#REF!</f>
        <v>#REF!</v>
      </c>
      <c r="G115" s="161" t="e">
        <f>(D115*#REF!)*#REF!</f>
        <v>#REF!</v>
      </c>
      <c r="H115" s="55">
        <f t="shared" ref="H115:H118" si="46">IFERROR(((Q115-G115)/G115),0)</f>
        <v>0</v>
      </c>
      <c r="I115" s="73" t="e">
        <f t="shared" ref="I115:I117" si="47">Q115-G115</f>
        <v>#REF!</v>
      </c>
      <c r="J115" s="54"/>
      <c r="K115" s="180"/>
      <c r="L115" s="185">
        <v>-299.99</v>
      </c>
      <c r="M115" s="185">
        <v>-20615.310000000001</v>
      </c>
      <c r="N115" s="185">
        <v>-30000</v>
      </c>
      <c r="O115" s="185">
        <f>VLOOKUP(A115,TB!A:F,3)</f>
        <v>0</v>
      </c>
      <c r="P115" s="161">
        <f>N115</f>
        <v>-30000</v>
      </c>
      <c r="Q115" s="198">
        <f>VLOOKUP(A115,TB!A:F,5)</f>
        <v>-500</v>
      </c>
      <c r="R115" s="73">
        <f>VLOOKUP(A115,TB!A:F,6)</f>
        <v>-500</v>
      </c>
      <c r="S115" s="73">
        <f t="shared" ref="S115:S117" si="48">R115-Q115</f>
        <v>0</v>
      </c>
      <c r="T115" s="51"/>
      <c r="U115" s="51"/>
      <c r="V115" s="51"/>
      <c r="W115" s="51"/>
      <c r="X115" s="51"/>
      <c r="Y115" s="51"/>
      <c r="Z115" s="51"/>
      <c r="AA115" s="51"/>
    </row>
    <row r="116" spans="1:27" ht="15.75" customHeight="1" x14ac:dyDescent="0.25">
      <c r="A116" s="138" t="s">
        <v>292</v>
      </c>
      <c r="B116" s="197" t="s">
        <v>293</v>
      </c>
      <c r="C116" s="180"/>
      <c r="D116" s="185">
        <v>0</v>
      </c>
      <c r="E116" s="185" t="e">
        <f>D116*#REF!</f>
        <v>#REF!</v>
      </c>
      <c r="F116" s="185" t="e">
        <f>D116*#REF!</f>
        <v>#REF!</v>
      </c>
      <c r="G116" s="161" t="e">
        <f>(D116*#REF!)*#REF!</f>
        <v>#REF!</v>
      </c>
      <c r="H116" s="55">
        <f t="shared" si="46"/>
        <v>0</v>
      </c>
      <c r="I116" s="73" t="e">
        <f t="shared" si="47"/>
        <v>#REF!</v>
      </c>
      <c r="J116" s="54"/>
      <c r="K116" s="180"/>
      <c r="L116" s="185">
        <v>0</v>
      </c>
      <c r="M116" s="185">
        <v>-42113.11</v>
      </c>
      <c r="N116" s="185">
        <v>-15000</v>
      </c>
      <c r="O116" s="185">
        <f>VLOOKUP(A116,TB!A:F,3)</f>
        <v>-19218</v>
      </c>
      <c r="P116" s="161">
        <f>O116</f>
        <v>-19218</v>
      </c>
      <c r="Q116" s="198">
        <f>VLOOKUP(A116,TB!A:F,5)</f>
        <v>0</v>
      </c>
      <c r="R116" s="73">
        <f>VLOOKUP(A116,TB!A:F,6)</f>
        <v>0</v>
      </c>
      <c r="S116" s="73">
        <f t="shared" si="48"/>
        <v>0</v>
      </c>
      <c r="T116" s="51"/>
      <c r="U116" s="51"/>
      <c r="V116" s="51"/>
      <c r="W116" s="51"/>
      <c r="X116" s="51"/>
      <c r="Y116" s="51"/>
      <c r="Z116" s="51"/>
      <c r="AA116" s="51"/>
    </row>
    <row r="117" spans="1:27" ht="15.75" customHeight="1" x14ac:dyDescent="0.25">
      <c r="A117" s="138" t="s">
        <v>294</v>
      </c>
      <c r="B117" s="197" t="s">
        <v>295</v>
      </c>
      <c r="C117" s="180"/>
      <c r="D117" s="185">
        <v>0</v>
      </c>
      <c r="E117" s="185" t="e">
        <f>D117*#REF!</f>
        <v>#REF!</v>
      </c>
      <c r="F117" s="185" t="e">
        <f>D117*#REF!</f>
        <v>#REF!</v>
      </c>
      <c r="G117" s="161" t="e">
        <f>(D117*#REF!)*#REF!</f>
        <v>#REF!</v>
      </c>
      <c r="H117" s="55">
        <f t="shared" si="46"/>
        <v>0</v>
      </c>
      <c r="I117" s="73" t="e">
        <f t="shared" si="47"/>
        <v>#REF!</v>
      </c>
      <c r="J117" s="54"/>
      <c r="K117" s="180"/>
      <c r="L117" s="185">
        <v>-232785.96</v>
      </c>
      <c r="M117" s="185">
        <v>0</v>
      </c>
      <c r="N117" s="185">
        <v>-270000</v>
      </c>
      <c r="O117" s="185">
        <f>VLOOKUP(A117,TB!A:F,3)</f>
        <v>0</v>
      </c>
      <c r="P117" s="161">
        <f>N117</f>
        <v>-270000</v>
      </c>
      <c r="Q117" s="198">
        <f>VLOOKUP(A117,TB!A:F,5)</f>
        <v>0</v>
      </c>
      <c r="R117" s="73">
        <f>VLOOKUP(A117,TB!A:F,6)</f>
        <v>0</v>
      </c>
      <c r="S117" s="73">
        <f t="shared" si="48"/>
        <v>0</v>
      </c>
      <c r="T117" s="51"/>
      <c r="U117" s="51"/>
      <c r="V117" s="51"/>
      <c r="W117" s="51"/>
      <c r="X117" s="51"/>
      <c r="Y117" s="51"/>
      <c r="Z117" s="51"/>
      <c r="AA117" s="51"/>
    </row>
    <row r="118" spans="1:27" ht="15.75" customHeight="1" x14ac:dyDescent="0.25">
      <c r="A118" s="168" t="s">
        <v>263</v>
      </c>
      <c r="B118" s="191"/>
      <c r="C118" s="192"/>
      <c r="D118" s="190">
        <f t="shared" ref="D118:G118" si="49">SUM(D115:D117)</f>
        <v>0</v>
      </c>
      <c r="E118" s="190" t="e">
        <f t="shared" si="49"/>
        <v>#REF!</v>
      </c>
      <c r="F118" s="190" t="e">
        <f t="shared" si="49"/>
        <v>#REF!</v>
      </c>
      <c r="G118" s="193" t="e">
        <f t="shared" si="49"/>
        <v>#REF!</v>
      </c>
      <c r="H118" s="72">
        <f t="shared" si="46"/>
        <v>0</v>
      </c>
      <c r="I118" s="190" t="e">
        <f t="shared" ref="I118:J118" si="50">SUM(I115:I117)</f>
        <v>#REF!</v>
      </c>
      <c r="J118" s="190">
        <f t="shared" si="50"/>
        <v>0</v>
      </c>
      <c r="K118" s="192"/>
      <c r="L118" s="190">
        <f t="shared" ref="L118:S118" si="51">SUM(L115:L117)</f>
        <v>-233085.94999999998</v>
      </c>
      <c r="M118" s="190">
        <f t="shared" si="51"/>
        <v>-62728.42</v>
      </c>
      <c r="N118" s="190">
        <f t="shared" si="51"/>
        <v>-315000</v>
      </c>
      <c r="O118" s="190">
        <f t="shared" si="51"/>
        <v>-19218</v>
      </c>
      <c r="P118" s="193">
        <f t="shared" si="51"/>
        <v>-319218</v>
      </c>
      <c r="Q118" s="193">
        <f t="shared" si="51"/>
        <v>-500</v>
      </c>
      <c r="R118" s="190">
        <f t="shared" si="51"/>
        <v>-500</v>
      </c>
      <c r="S118" s="190">
        <f t="shared" si="51"/>
        <v>0</v>
      </c>
    </row>
    <row r="119" spans="1:27" ht="15.75" customHeight="1" x14ac:dyDescent="0.2">
      <c r="B119" s="54"/>
      <c r="C119" s="180"/>
      <c r="D119" s="54"/>
      <c r="E119" s="54"/>
      <c r="F119" s="54"/>
      <c r="G119" s="54"/>
      <c r="H119" s="55"/>
      <c r="I119" s="54"/>
      <c r="J119" s="54"/>
      <c r="K119" s="180"/>
      <c r="L119" s="54"/>
      <c r="M119" s="54"/>
      <c r="N119" s="54"/>
      <c r="O119" s="54"/>
      <c r="P119" s="54"/>
      <c r="Q119" s="54"/>
      <c r="R119" s="54"/>
      <c r="S119" s="54"/>
    </row>
    <row r="120" spans="1:27" ht="15.75" customHeight="1" x14ac:dyDescent="0.25">
      <c r="A120" s="69" t="s">
        <v>190</v>
      </c>
      <c r="B120" s="78"/>
      <c r="C120" s="195"/>
      <c r="D120" s="196">
        <f t="shared" ref="D120:G120" si="52">D112+D118</f>
        <v>245607</v>
      </c>
      <c r="E120" s="196" t="e">
        <f t="shared" si="52"/>
        <v>#REF!</v>
      </c>
      <c r="F120" s="196" t="e">
        <f t="shared" si="52"/>
        <v>#REF!</v>
      </c>
      <c r="G120" s="196" t="e">
        <f t="shared" si="52"/>
        <v>#REF!</v>
      </c>
      <c r="H120" s="72">
        <f>IFERROR(((Q120-G120)/G120),0)</f>
        <v>0</v>
      </c>
      <c r="I120" s="77" t="e">
        <f>Q120-G120</f>
        <v>#REF!</v>
      </c>
      <c r="J120" s="190">
        <f>SUM(J119)</f>
        <v>0</v>
      </c>
      <c r="K120" s="195"/>
      <c r="L120" s="196">
        <f t="shared" ref="L120:S120" si="53">L112+L118</f>
        <v>270565.05000000005</v>
      </c>
      <c r="M120" s="196">
        <f t="shared" si="53"/>
        <v>810353.64999999979</v>
      </c>
      <c r="N120" s="196">
        <f t="shared" si="53"/>
        <v>578930</v>
      </c>
      <c r="O120" s="196">
        <f t="shared" si="53"/>
        <v>376935.93000000005</v>
      </c>
      <c r="P120" s="196">
        <f t="shared" si="53"/>
        <v>470453.44233333331</v>
      </c>
      <c r="Q120" s="196">
        <f t="shared" si="53"/>
        <v>970800</v>
      </c>
      <c r="R120" s="196">
        <f t="shared" si="53"/>
        <v>937300</v>
      </c>
      <c r="S120" s="196">
        <f t="shared" si="53"/>
        <v>-33500</v>
      </c>
    </row>
    <row r="121" spans="1:27" ht="15.75" customHeight="1" x14ac:dyDescent="0.2">
      <c r="B121" s="54"/>
      <c r="C121" s="180"/>
      <c r="D121" s="54"/>
      <c r="E121" s="54"/>
      <c r="F121" s="54"/>
      <c r="G121" s="54"/>
      <c r="H121" s="54"/>
      <c r="I121" s="54"/>
      <c r="J121" s="54"/>
      <c r="K121" s="180"/>
      <c r="L121" s="54"/>
      <c r="M121" s="54"/>
      <c r="N121" s="54"/>
      <c r="O121" s="54"/>
      <c r="P121" s="54"/>
      <c r="Q121" s="54"/>
      <c r="R121" s="54"/>
      <c r="S121" s="54"/>
    </row>
    <row r="122" spans="1:27" ht="15.75" customHeight="1" x14ac:dyDescent="0.2">
      <c r="B122" s="96"/>
      <c r="C122" s="181"/>
      <c r="D122" s="96"/>
      <c r="E122" s="96"/>
      <c r="F122" s="199" t="s">
        <v>102</v>
      </c>
      <c r="G122" s="126">
        <f>G36</f>
        <v>0</v>
      </c>
      <c r="H122" s="54"/>
      <c r="I122" s="54"/>
      <c r="J122" s="54"/>
      <c r="K122" s="181"/>
      <c r="L122" s="173">
        <f t="shared" ref="L122:R122" si="54">L1</f>
        <v>0</v>
      </c>
      <c r="M122" s="173">
        <f t="shared" si="54"/>
        <v>0</v>
      </c>
      <c r="N122" s="173">
        <f t="shared" si="54"/>
        <v>0</v>
      </c>
      <c r="O122" s="173">
        <f t="shared" si="54"/>
        <v>0</v>
      </c>
      <c r="P122" s="173">
        <f t="shared" si="54"/>
        <v>0</v>
      </c>
      <c r="Q122" s="173">
        <f t="shared" si="54"/>
        <v>0</v>
      </c>
      <c r="R122" s="173">
        <f t="shared" si="54"/>
        <v>0</v>
      </c>
      <c r="S122" s="54"/>
    </row>
    <row r="123" spans="1:27" ht="15.75" customHeight="1" x14ac:dyDescent="0.2">
      <c r="B123" s="54"/>
      <c r="C123" s="180"/>
      <c r="D123" s="54"/>
      <c r="E123" s="54"/>
      <c r="F123" s="200" t="s">
        <v>103</v>
      </c>
      <c r="G123" s="127" t="e">
        <f>G105</f>
        <v>#REF!</v>
      </c>
      <c r="H123" s="54"/>
      <c r="I123" s="54"/>
      <c r="J123" s="54"/>
      <c r="K123" s="180"/>
      <c r="L123" s="63">
        <f t="shared" ref="L123:R123" si="55">L120</f>
        <v>270565.05000000005</v>
      </c>
      <c r="M123" s="63">
        <f t="shared" si="55"/>
        <v>810353.64999999979</v>
      </c>
      <c r="N123" s="63">
        <f t="shared" si="55"/>
        <v>578930</v>
      </c>
      <c r="O123" s="63">
        <f t="shared" si="55"/>
        <v>376935.93000000005</v>
      </c>
      <c r="P123" s="63">
        <f t="shared" si="55"/>
        <v>470453.44233333331</v>
      </c>
      <c r="Q123" s="63">
        <f t="shared" si="55"/>
        <v>970800</v>
      </c>
      <c r="R123" s="63">
        <f t="shared" si="55"/>
        <v>937300</v>
      </c>
      <c r="S123" s="54"/>
    </row>
    <row r="124" spans="1:27" ht="15.75" customHeight="1" x14ac:dyDescent="0.2">
      <c r="B124" s="54"/>
      <c r="C124" s="180"/>
      <c r="D124" s="54"/>
      <c r="E124" s="54"/>
      <c r="F124" s="54"/>
      <c r="G124" s="54"/>
      <c r="H124" s="54"/>
      <c r="I124" s="54"/>
      <c r="J124" s="54"/>
      <c r="K124" s="180"/>
      <c r="L124" s="54"/>
      <c r="M124" s="54"/>
      <c r="N124" s="54"/>
      <c r="O124" s="54"/>
      <c r="P124" s="54"/>
      <c r="Q124" s="54"/>
      <c r="R124" s="54"/>
      <c r="S124" s="54"/>
    </row>
    <row r="125" spans="1:27" ht="15.75" customHeight="1" x14ac:dyDescent="0.2">
      <c r="B125" s="54"/>
      <c r="C125" s="180"/>
      <c r="D125" s="54"/>
      <c r="E125" s="54"/>
      <c r="F125" s="54"/>
      <c r="G125" s="54"/>
      <c r="H125" s="54"/>
      <c r="I125" s="54"/>
      <c r="J125" s="54"/>
      <c r="K125" s="180"/>
      <c r="L125" s="54"/>
      <c r="M125" s="54"/>
      <c r="N125" s="54"/>
      <c r="O125" s="54"/>
      <c r="P125" s="54"/>
      <c r="Q125" s="54"/>
      <c r="R125" s="54"/>
      <c r="S125" s="54"/>
    </row>
    <row r="126" spans="1:27" ht="15.75" customHeight="1" x14ac:dyDescent="0.2">
      <c r="B126" s="54"/>
      <c r="C126" s="180"/>
      <c r="D126" s="54"/>
      <c r="E126" s="54"/>
      <c r="F126" s="54"/>
      <c r="G126" s="54"/>
      <c r="H126" s="54"/>
      <c r="I126" s="54"/>
      <c r="J126" s="54"/>
      <c r="K126" s="180"/>
      <c r="L126" s="54"/>
      <c r="M126" s="54"/>
      <c r="N126" s="54"/>
      <c r="O126" s="54"/>
      <c r="P126" s="54"/>
      <c r="Q126" s="54"/>
      <c r="R126" s="54"/>
      <c r="S126" s="54"/>
    </row>
    <row r="127" spans="1:27" ht="15.75" customHeight="1" x14ac:dyDescent="0.2">
      <c r="B127" s="54"/>
      <c r="C127" s="180"/>
      <c r="D127" s="54"/>
      <c r="E127" s="54"/>
      <c r="F127" s="54"/>
      <c r="G127" s="54"/>
      <c r="H127" s="54"/>
      <c r="I127" s="54"/>
      <c r="J127" s="54"/>
      <c r="K127" s="180"/>
      <c r="L127" s="54"/>
      <c r="M127" s="54"/>
      <c r="N127" s="54"/>
      <c r="O127" s="54"/>
      <c r="P127" s="54"/>
      <c r="Q127" s="54"/>
      <c r="R127" s="54"/>
      <c r="S127" s="54"/>
    </row>
    <row r="128" spans="1:27" ht="15.75" customHeight="1" x14ac:dyDescent="0.2">
      <c r="B128" s="54"/>
      <c r="C128" s="180"/>
      <c r="D128" s="54"/>
      <c r="E128" s="54"/>
      <c r="F128" s="54"/>
      <c r="G128" s="54"/>
      <c r="H128" s="54"/>
      <c r="I128" s="54"/>
      <c r="J128" s="54"/>
      <c r="K128" s="180"/>
      <c r="L128" s="54"/>
      <c r="M128" s="54"/>
      <c r="N128" s="54"/>
      <c r="O128" s="54"/>
      <c r="P128" s="54"/>
      <c r="Q128" s="54"/>
      <c r="R128" s="54"/>
      <c r="S128" s="54"/>
    </row>
    <row r="129" spans="1:19" ht="15.75" customHeight="1" x14ac:dyDescent="0.2">
      <c r="B129" s="54"/>
      <c r="C129" s="180"/>
      <c r="D129" s="54"/>
      <c r="E129" s="54"/>
      <c r="F129" s="54"/>
      <c r="G129" s="54"/>
      <c r="H129" s="54"/>
      <c r="I129" s="54"/>
      <c r="J129" s="54"/>
      <c r="K129" s="180"/>
      <c r="L129" s="54"/>
      <c r="M129" s="54"/>
      <c r="N129" s="54"/>
      <c r="O129" s="54"/>
      <c r="P129" s="54"/>
      <c r="Q129" s="54"/>
      <c r="R129" s="54"/>
      <c r="S129" s="54"/>
    </row>
    <row r="130" spans="1:19" ht="15.75" customHeight="1" x14ac:dyDescent="0.2">
      <c r="B130" s="54"/>
      <c r="C130" s="180"/>
      <c r="D130" s="54"/>
      <c r="E130" s="54"/>
      <c r="F130" s="54"/>
      <c r="G130" s="54"/>
      <c r="H130" s="54"/>
      <c r="I130" s="54"/>
      <c r="J130" s="54"/>
      <c r="K130" s="180"/>
      <c r="L130" s="54"/>
      <c r="M130" s="54"/>
      <c r="N130" s="54"/>
      <c r="O130" s="54"/>
      <c r="P130" s="54"/>
      <c r="Q130" s="54"/>
      <c r="R130" s="54"/>
      <c r="S130" s="54"/>
    </row>
    <row r="131" spans="1:19" ht="15.75" customHeight="1" x14ac:dyDescent="0.2">
      <c r="B131" s="54"/>
      <c r="C131" s="180"/>
      <c r="D131" s="54"/>
      <c r="E131" s="54"/>
      <c r="F131" s="54"/>
      <c r="G131" s="54"/>
      <c r="H131" s="54"/>
      <c r="I131" s="54"/>
      <c r="J131" s="54"/>
      <c r="K131" s="180"/>
      <c r="L131" s="54"/>
      <c r="M131" s="54"/>
      <c r="N131" s="54"/>
      <c r="O131" s="54"/>
      <c r="P131" s="54"/>
      <c r="Q131" s="54"/>
      <c r="R131" s="54"/>
      <c r="S131" s="54"/>
    </row>
    <row r="132" spans="1:19" ht="15.75" customHeight="1" x14ac:dyDescent="0.2">
      <c r="B132" s="54"/>
      <c r="C132" s="180"/>
      <c r="D132" s="54"/>
      <c r="E132" s="54"/>
      <c r="F132" s="54"/>
      <c r="G132" s="54"/>
      <c r="H132" s="54"/>
      <c r="I132" s="54"/>
      <c r="J132" s="54"/>
      <c r="K132" s="180"/>
      <c r="L132" s="54"/>
      <c r="M132" s="54"/>
      <c r="N132" s="54"/>
      <c r="O132" s="54"/>
      <c r="P132" s="54"/>
      <c r="Q132" s="54"/>
      <c r="R132" s="54"/>
      <c r="S132" s="54"/>
    </row>
    <row r="133" spans="1:19" ht="15.75" customHeight="1" x14ac:dyDescent="0.2">
      <c r="B133" s="54"/>
      <c r="C133" s="180"/>
      <c r="D133" s="54"/>
      <c r="E133" s="54"/>
      <c r="F133" s="54"/>
      <c r="G133" s="54"/>
      <c r="H133" s="54"/>
      <c r="I133" s="54"/>
      <c r="J133" s="54"/>
      <c r="K133" s="180"/>
      <c r="L133" s="54"/>
      <c r="M133" s="54"/>
      <c r="N133" s="54"/>
      <c r="O133" s="54"/>
      <c r="P133" s="54"/>
      <c r="Q133" s="54"/>
      <c r="R133" s="54"/>
      <c r="S133" s="54"/>
    </row>
    <row r="134" spans="1:19" ht="15.75" customHeight="1" x14ac:dyDescent="0.2">
      <c r="B134" s="54"/>
      <c r="C134" s="180"/>
      <c r="D134" s="54"/>
      <c r="E134" s="54"/>
      <c r="F134" s="54"/>
      <c r="G134" s="54"/>
      <c r="H134" s="54"/>
      <c r="I134" s="54"/>
      <c r="J134" s="54"/>
      <c r="K134" s="180"/>
      <c r="L134" s="54"/>
      <c r="M134" s="54"/>
      <c r="N134" s="54"/>
      <c r="O134" s="54"/>
      <c r="P134" s="54"/>
      <c r="Q134" s="54"/>
      <c r="R134" s="54"/>
      <c r="S134" s="54"/>
    </row>
    <row r="135" spans="1:19" ht="15.75" customHeight="1" x14ac:dyDescent="0.2">
      <c r="B135" s="54"/>
      <c r="C135" s="180"/>
      <c r="D135" s="54"/>
      <c r="E135" s="54"/>
      <c r="F135" s="54"/>
      <c r="G135" s="54"/>
      <c r="H135" s="54"/>
      <c r="I135" s="54"/>
      <c r="J135" s="54"/>
      <c r="K135" s="180"/>
      <c r="L135" s="54"/>
      <c r="M135" s="54"/>
      <c r="N135" s="54"/>
      <c r="O135" s="54"/>
      <c r="P135" s="54"/>
      <c r="Q135" s="54"/>
      <c r="R135" s="54"/>
      <c r="S135" s="54"/>
    </row>
    <row r="136" spans="1:19" ht="15.75" customHeight="1" x14ac:dyDescent="0.2">
      <c r="B136" s="54"/>
      <c r="C136" s="180"/>
      <c r="D136" s="54"/>
      <c r="E136" s="54"/>
      <c r="F136" s="54"/>
      <c r="G136" s="54"/>
      <c r="H136" s="54"/>
      <c r="I136" s="54"/>
      <c r="J136" s="54"/>
      <c r="K136" s="180"/>
      <c r="L136" s="54"/>
      <c r="M136" s="54"/>
      <c r="N136" s="54"/>
      <c r="O136" s="54"/>
      <c r="P136" s="54"/>
      <c r="Q136" s="54"/>
      <c r="R136" s="54"/>
      <c r="S136" s="54"/>
    </row>
    <row r="137" spans="1:19" ht="15.75" customHeight="1" x14ac:dyDescent="0.2">
      <c r="B137" s="54"/>
      <c r="C137" s="180"/>
      <c r="D137" s="54"/>
      <c r="E137" s="54"/>
      <c r="F137" s="54"/>
      <c r="G137" s="54"/>
      <c r="H137" s="54"/>
      <c r="I137" s="54"/>
      <c r="J137" s="54"/>
      <c r="K137" s="180"/>
      <c r="L137" s="54"/>
      <c r="M137" s="54"/>
      <c r="N137" s="54"/>
      <c r="O137" s="54"/>
      <c r="P137" s="54"/>
      <c r="Q137" s="54"/>
      <c r="R137" s="54"/>
      <c r="S137" s="54"/>
    </row>
    <row r="138" spans="1:19" ht="15.75" customHeight="1" x14ac:dyDescent="0.2">
      <c r="B138" s="54"/>
      <c r="C138" s="180"/>
      <c r="D138" s="54"/>
      <c r="E138" s="54"/>
      <c r="F138" s="54"/>
      <c r="G138" s="54"/>
      <c r="H138" s="54"/>
      <c r="I138" s="54"/>
      <c r="J138" s="54"/>
      <c r="K138" s="180"/>
      <c r="L138" s="54"/>
      <c r="M138" s="54"/>
      <c r="N138" s="54"/>
      <c r="O138" s="54"/>
      <c r="P138" s="54"/>
      <c r="Q138" s="54"/>
      <c r="R138" s="54"/>
      <c r="S138" s="54"/>
    </row>
    <row r="139" spans="1:19" ht="15.75" customHeight="1" x14ac:dyDescent="0.2">
      <c r="B139" s="54"/>
      <c r="C139" s="180"/>
      <c r="D139" s="54"/>
      <c r="E139" s="54"/>
      <c r="F139" s="54"/>
      <c r="G139" s="54"/>
      <c r="H139" s="54"/>
      <c r="I139" s="54"/>
      <c r="J139" s="54"/>
      <c r="K139" s="180"/>
      <c r="L139" s="54"/>
      <c r="M139" s="54"/>
      <c r="N139" s="54"/>
      <c r="O139" s="54"/>
      <c r="P139" s="54"/>
      <c r="Q139" s="54"/>
      <c r="R139" s="54"/>
      <c r="S139" s="54"/>
    </row>
    <row r="140" spans="1:19" ht="15.75" customHeight="1" x14ac:dyDescent="0.2">
      <c r="B140" s="54"/>
      <c r="C140" s="180"/>
      <c r="D140" s="54"/>
      <c r="E140" s="54"/>
      <c r="F140" s="54"/>
      <c r="G140" s="54"/>
      <c r="H140" s="54"/>
      <c r="I140" s="54"/>
      <c r="J140" s="54"/>
      <c r="K140" s="180"/>
      <c r="L140" s="54"/>
      <c r="M140" s="54"/>
      <c r="N140" s="54"/>
      <c r="O140" s="54"/>
      <c r="P140" s="54"/>
      <c r="Q140" s="54"/>
      <c r="R140" s="54"/>
      <c r="S140" s="54"/>
    </row>
    <row r="141" spans="1:19" ht="15.75" customHeight="1" x14ac:dyDescent="0.2">
      <c r="B141" s="54"/>
      <c r="C141" s="180"/>
      <c r="D141" s="54"/>
      <c r="E141" s="54"/>
      <c r="F141" s="54"/>
      <c r="G141" s="54"/>
      <c r="H141" s="54"/>
      <c r="I141" s="54"/>
      <c r="J141" s="54"/>
      <c r="K141" s="180"/>
      <c r="L141" s="54"/>
      <c r="M141" s="54"/>
      <c r="N141" s="54"/>
      <c r="O141" s="54"/>
      <c r="P141" s="54"/>
      <c r="Q141" s="54"/>
      <c r="R141" s="54"/>
      <c r="S141" s="54"/>
    </row>
    <row r="142" spans="1:19" ht="15.75" customHeight="1" x14ac:dyDescent="0.2">
      <c r="B142" s="54"/>
      <c r="C142" s="180"/>
      <c r="D142" s="54"/>
      <c r="E142" s="54"/>
      <c r="F142" s="54"/>
      <c r="G142" s="54"/>
      <c r="H142" s="54"/>
      <c r="I142" s="54"/>
      <c r="J142" s="54"/>
      <c r="K142" s="180"/>
      <c r="L142" s="54"/>
      <c r="M142" s="54"/>
      <c r="N142" s="54"/>
      <c r="O142" s="54"/>
      <c r="P142" s="54"/>
      <c r="Q142" s="54"/>
      <c r="R142" s="54"/>
      <c r="S142" s="54"/>
    </row>
    <row r="143" spans="1:19" ht="16.5" customHeight="1" x14ac:dyDescent="0.25">
      <c r="A143" s="156"/>
      <c r="B143" s="65"/>
      <c r="C143" s="71"/>
      <c r="D143" s="65"/>
      <c r="E143" s="65"/>
      <c r="F143" s="65"/>
      <c r="G143" s="65"/>
      <c r="H143" s="55"/>
      <c r="I143" s="54"/>
      <c r="J143" s="54"/>
      <c r="K143" s="71"/>
      <c r="L143" s="65"/>
      <c r="M143" s="65"/>
      <c r="N143" s="65"/>
      <c r="O143" s="65"/>
      <c r="P143" s="54"/>
      <c r="Q143" s="54"/>
      <c r="R143" s="54"/>
      <c r="S143" s="54"/>
    </row>
    <row r="144" spans="1:19" ht="15.75" customHeight="1" x14ac:dyDescent="0.2">
      <c r="B144" s="54"/>
      <c r="C144" s="180"/>
      <c r="D144" s="54"/>
      <c r="E144" s="54"/>
      <c r="F144" s="54"/>
      <c r="G144" s="54"/>
      <c r="H144" s="54"/>
      <c r="I144" s="54"/>
      <c r="J144" s="54"/>
      <c r="K144" s="180"/>
      <c r="L144" s="54"/>
      <c r="M144" s="54"/>
      <c r="N144" s="54"/>
      <c r="O144" s="54"/>
      <c r="P144" s="54"/>
      <c r="Q144" s="54"/>
      <c r="R144" s="54"/>
      <c r="S144" s="54"/>
    </row>
    <row r="145" spans="2:19" ht="15.75" customHeight="1" x14ac:dyDescent="0.2">
      <c r="B145" s="54"/>
      <c r="C145" s="180"/>
      <c r="D145" s="54"/>
      <c r="E145" s="54"/>
      <c r="F145" s="54"/>
      <c r="G145" s="54"/>
      <c r="H145" s="54"/>
      <c r="I145" s="54"/>
      <c r="J145" s="54"/>
      <c r="K145" s="180"/>
      <c r="L145" s="54"/>
      <c r="M145" s="54"/>
      <c r="N145" s="54"/>
      <c r="O145" s="54"/>
      <c r="P145" s="54"/>
      <c r="Q145" s="54"/>
      <c r="R145" s="54"/>
      <c r="S145" s="54"/>
    </row>
    <row r="146" spans="2:19" ht="15.75" customHeight="1" x14ac:dyDescent="0.2">
      <c r="B146" s="54"/>
      <c r="C146" s="180"/>
      <c r="D146" s="54"/>
      <c r="E146" s="54"/>
      <c r="F146" s="54"/>
      <c r="G146" s="54"/>
      <c r="H146" s="54"/>
      <c r="I146" s="54"/>
      <c r="J146" s="54"/>
      <c r="K146" s="180"/>
      <c r="L146" s="54"/>
      <c r="M146" s="54"/>
      <c r="N146" s="54"/>
      <c r="O146" s="54"/>
      <c r="P146" s="54"/>
      <c r="Q146" s="54"/>
      <c r="R146" s="54"/>
      <c r="S146" s="54"/>
    </row>
    <row r="147" spans="2:19" ht="15.75" customHeight="1" x14ac:dyDescent="0.2">
      <c r="B147" s="54"/>
      <c r="C147" s="180"/>
      <c r="D147" s="54"/>
      <c r="E147" s="54"/>
      <c r="F147" s="54"/>
      <c r="G147" s="54"/>
      <c r="H147" s="54"/>
      <c r="I147" s="54"/>
      <c r="J147" s="54"/>
      <c r="K147" s="180"/>
      <c r="L147" s="54"/>
      <c r="M147" s="54"/>
      <c r="N147" s="54"/>
      <c r="O147" s="54"/>
      <c r="P147" s="54"/>
      <c r="Q147" s="54"/>
      <c r="R147" s="54"/>
      <c r="S147" s="54"/>
    </row>
    <row r="148" spans="2:19" ht="15.75" customHeight="1" x14ac:dyDescent="0.2">
      <c r="B148" s="54"/>
      <c r="C148" s="180"/>
      <c r="D148" s="54"/>
      <c r="E148" s="54"/>
      <c r="F148" s="54"/>
      <c r="G148" s="54"/>
      <c r="H148" s="54"/>
      <c r="I148" s="54"/>
      <c r="J148" s="54"/>
      <c r="K148" s="180"/>
      <c r="L148" s="54"/>
      <c r="M148" s="54"/>
      <c r="N148" s="54"/>
      <c r="O148" s="54"/>
      <c r="P148" s="54"/>
      <c r="Q148" s="54"/>
      <c r="R148" s="54"/>
      <c r="S148" s="54"/>
    </row>
    <row r="149" spans="2:19" ht="15.75" customHeight="1" x14ac:dyDescent="0.2">
      <c r="B149" s="54"/>
      <c r="C149" s="180"/>
      <c r="D149" s="54"/>
      <c r="E149" s="54"/>
      <c r="F149" s="54"/>
      <c r="G149" s="54"/>
      <c r="H149" s="54"/>
      <c r="I149" s="54"/>
      <c r="J149" s="54"/>
      <c r="K149" s="180"/>
      <c r="L149" s="54"/>
      <c r="M149" s="54"/>
      <c r="N149" s="54"/>
      <c r="O149" s="54"/>
      <c r="P149" s="54"/>
      <c r="Q149" s="54"/>
      <c r="R149" s="54"/>
      <c r="S149" s="54"/>
    </row>
    <row r="150" spans="2:19" ht="15.75" customHeight="1" x14ac:dyDescent="0.2">
      <c r="B150" s="54"/>
      <c r="C150" s="180"/>
      <c r="D150" s="54"/>
      <c r="E150" s="54"/>
      <c r="F150" s="54"/>
      <c r="G150" s="54"/>
      <c r="H150" s="54"/>
      <c r="I150" s="54"/>
      <c r="J150" s="54"/>
      <c r="K150" s="180"/>
      <c r="L150" s="54"/>
      <c r="M150" s="54"/>
      <c r="N150" s="54"/>
      <c r="O150" s="54"/>
      <c r="P150" s="54"/>
      <c r="Q150" s="54"/>
      <c r="R150" s="54"/>
      <c r="S150" s="54"/>
    </row>
    <row r="151" spans="2:19" ht="15.75" customHeight="1" x14ac:dyDescent="0.2">
      <c r="B151" s="54"/>
      <c r="C151" s="180"/>
      <c r="D151" s="54"/>
      <c r="E151" s="54"/>
      <c r="F151" s="54"/>
      <c r="G151" s="54"/>
      <c r="H151" s="54"/>
      <c r="I151" s="54"/>
      <c r="J151" s="54"/>
      <c r="K151" s="180"/>
      <c r="L151" s="54"/>
      <c r="M151" s="54"/>
      <c r="N151" s="54"/>
      <c r="O151" s="54"/>
      <c r="P151" s="54"/>
      <c r="Q151" s="54"/>
      <c r="R151" s="54"/>
      <c r="S151" s="54"/>
    </row>
    <row r="152" spans="2:19" ht="15.75" customHeight="1" x14ac:dyDescent="0.2">
      <c r="B152" s="54"/>
      <c r="C152" s="180"/>
      <c r="D152" s="54"/>
      <c r="E152" s="54"/>
      <c r="F152" s="54"/>
      <c r="G152" s="54"/>
      <c r="H152" s="54"/>
      <c r="I152" s="54"/>
      <c r="J152" s="54"/>
      <c r="K152" s="180"/>
      <c r="L152" s="54"/>
      <c r="M152" s="54"/>
      <c r="N152" s="54"/>
      <c r="O152" s="54"/>
      <c r="P152" s="54"/>
      <c r="Q152" s="54"/>
      <c r="R152" s="54"/>
      <c r="S152" s="54"/>
    </row>
    <row r="153" spans="2:19" ht="15.75" customHeight="1" x14ac:dyDescent="0.2">
      <c r="B153" s="54"/>
      <c r="C153" s="180"/>
      <c r="D153" s="54"/>
      <c r="E153" s="54"/>
      <c r="F153" s="54"/>
      <c r="G153" s="54"/>
      <c r="H153" s="54"/>
      <c r="I153" s="54"/>
      <c r="J153" s="54"/>
      <c r="K153" s="180"/>
      <c r="L153" s="54"/>
      <c r="M153" s="54"/>
      <c r="N153" s="54"/>
      <c r="O153" s="54"/>
      <c r="P153" s="54"/>
      <c r="Q153" s="54"/>
      <c r="R153" s="54"/>
      <c r="S153" s="54"/>
    </row>
    <row r="154" spans="2:19" ht="15.75" customHeight="1" x14ac:dyDescent="0.2">
      <c r="B154" s="54"/>
      <c r="C154" s="180"/>
      <c r="D154" s="54"/>
      <c r="E154" s="54"/>
      <c r="F154" s="54"/>
      <c r="G154" s="54"/>
      <c r="H154" s="54"/>
      <c r="I154" s="54"/>
      <c r="J154" s="54"/>
      <c r="K154" s="180"/>
      <c r="L154" s="54"/>
      <c r="M154" s="54"/>
      <c r="N154" s="54"/>
      <c r="O154" s="54"/>
      <c r="P154" s="54"/>
      <c r="Q154" s="54"/>
      <c r="R154" s="54"/>
      <c r="S154" s="54"/>
    </row>
    <row r="155" spans="2:19" ht="15.75" customHeight="1" x14ac:dyDescent="0.2">
      <c r="B155" s="54"/>
      <c r="C155" s="180"/>
      <c r="D155" s="54"/>
      <c r="E155" s="54"/>
      <c r="F155" s="54"/>
      <c r="G155" s="54"/>
      <c r="H155" s="54"/>
      <c r="I155" s="54"/>
      <c r="J155" s="54"/>
      <c r="K155" s="180"/>
      <c r="L155" s="54"/>
      <c r="M155" s="54"/>
      <c r="N155" s="54"/>
      <c r="O155" s="54"/>
      <c r="P155" s="54"/>
      <c r="Q155" s="54"/>
      <c r="R155" s="54"/>
      <c r="S155" s="54"/>
    </row>
    <row r="156" spans="2:19" ht="15.75" customHeight="1" x14ac:dyDescent="0.2">
      <c r="B156" s="54"/>
      <c r="C156" s="180"/>
      <c r="D156" s="54"/>
      <c r="E156" s="54"/>
      <c r="F156" s="54"/>
      <c r="G156" s="54"/>
      <c r="H156" s="54"/>
      <c r="I156" s="54"/>
      <c r="J156" s="54"/>
      <c r="K156" s="180"/>
      <c r="L156" s="54"/>
      <c r="M156" s="54"/>
      <c r="N156" s="54"/>
      <c r="O156" s="54"/>
      <c r="P156" s="54"/>
      <c r="Q156" s="54"/>
      <c r="R156" s="54"/>
      <c r="S156" s="54"/>
    </row>
    <row r="157" spans="2:19" ht="15.75" customHeight="1" x14ac:dyDescent="0.2">
      <c r="B157" s="54"/>
      <c r="C157" s="180"/>
      <c r="D157" s="54"/>
      <c r="E157" s="54"/>
      <c r="F157" s="54"/>
      <c r="G157" s="54"/>
      <c r="H157" s="54"/>
      <c r="I157" s="54"/>
      <c r="J157" s="54"/>
      <c r="K157" s="180"/>
      <c r="L157" s="54"/>
      <c r="M157" s="54"/>
      <c r="N157" s="54"/>
      <c r="O157" s="54"/>
      <c r="P157" s="54"/>
      <c r="Q157" s="54"/>
      <c r="R157" s="54"/>
      <c r="S157" s="54"/>
    </row>
    <row r="158" spans="2:19" ht="15.75" customHeight="1" x14ac:dyDescent="0.2">
      <c r="B158" s="54"/>
      <c r="C158" s="180"/>
      <c r="D158" s="54"/>
      <c r="E158" s="54"/>
      <c r="F158" s="54"/>
      <c r="G158" s="54"/>
      <c r="H158" s="54"/>
      <c r="I158" s="54"/>
      <c r="J158" s="54"/>
      <c r="K158" s="180"/>
      <c r="L158" s="54"/>
      <c r="M158" s="54"/>
      <c r="N158" s="54"/>
      <c r="O158" s="54"/>
      <c r="P158" s="54"/>
      <c r="Q158" s="54"/>
      <c r="R158" s="54"/>
      <c r="S158" s="54"/>
    </row>
    <row r="159" spans="2:19" ht="15.75" customHeight="1" x14ac:dyDescent="0.2">
      <c r="B159" s="54"/>
      <c r="C159" s="180"/>
      <c r="D159" s="54"/>
      <c r="E159" s="54"/>
      <c r="F159" s="54"/>
      <c r="G159" s="54"/>
      <c r="H159" s="54"/>
      <c r="I159" s="54"/>
      <c r="J159" s="54"/>
      <c r="K159" s="180"/>
      <c r="L159" s="54"/>
      <c r="M159" s="54"/>
      <c r="N159" s="54"/>
      <c r="O159" s="54"/>
      <c r="P159" s="54"/>
      <c r="Q159" s="54"/>
      <c r="R159" s="54"/>
      <c r="S159" s="54"/>
    </row>
    <row r="160" spans="2:19" ht="15.75" customHeight="1" x14ac:dyDescent="0.2">
      <c r="B160" s="54"/>
      <c r="C160" s="180"/>
      <c r="D160" s="54"/>
      <c r="E160" s="54"/>
      <c r="F160" s="54"/>
      <c r="G160" s="54"/>
      <c r="H160" s="54"/>
      <c r="I160" s="54"/>
      <c r="J160" s="54"/>
      <c r="K160" s="180"/>
      <c r="L160" s="54"/>
      <c r="M160" s="54"/>
      <c r="N160" s="54"/>
      <c r="O160" s="54"/>
      <c r="P160" s="54"/>
      <c r="Q160" s="54"/>
      <c r="R160" s="54"/>
      <c r="S160" s="54"/>
    </row>
    <row r="161" spans="2:19" ht="15.75" customHeight="1" x14ac:dyDescent="0.2">
      <c r="B161" s="54"/>
      <c r="C161" s="180"/>
      <c r="D161" s="54"/>
      <c r="E161" s="54"/>
      <c r="F161" s="54"/>
      <c r="G161" s="54"/>
      <c r="H161" s="54"/>
      <c r="I161" s="54"/>
      <c r="J161" s="54"/>
      <c r="K161" s="180"/>
      <c r="L161" s="54"/>
      <c r="M161" s="54"/>
      <c r="N161" s="54"/>
      <c r="O161" s="54"/>
      <c r="P161" s="54"/>
      <c r="Q161" s="54"/>
      <c r="R161" s="54"/>
      <c r="S161" s="54"/>
    </row>
    <row r="162" spans="2:19" ht="15.75" customHeight="1" x14ac:dyDescent="0.2">
      <c r="B162" s="54"/>
      <c r="C162" s="180"/>
      <c r="D162" s="54"/>
      <c r="E162" s="54"/>
      <c r="F162" s="54"/>
      <c r="G162" s="54"/>
      <c r="H162" s="54"/>
      <c r="I162" s="54"/>
      <c r="J162" s="54"/>
      <c r="K162" s="180"/>
      <c r="L162" s="54"/>
      <c r="M162" s="54"/>
      <c r="N162" s="54"/>
      <c r="O162" s="54"/>
      <c r="P162" s="54"/>
      <c r="Q162" s="54"/>
      <c r="R162" s="54"/>
      <c r="S162" s="54"/>
    </row>
    <row r="163" spans="2:19" ht="15.75" customHeight="1" x14ac:dyDescent="0.2">
      <c r="B163" s="54"/>
      <c r="C163" s="180"/>
      <c r="D163" s="54"/>
      <c r="E163" s="54"/>
      <c r="F163" s="54"/>
      <c r="G163" s="54"/>
      <c r="H163" s="54"/>
      <c r="I163" s="54"/>
      <c r="J163" s="54"/>
      <c r="K163" s="180"/>
      <c r="L163" s="54"/>
      <c r="M163" s="54"/>
      <c r="N163" s="54"/>
      <c r="O163" s="54"/>
      <c r="P163" s="54"/>
      <c r="Q163" s="54"/>
      <c r="R163" s="54"/>
      <c r="S163" s="54"/>
    </row>
    <row r="164" spans="2:19" ht="15.75" customHeight="1" x14ac:dyDescent="0.2">
      <c r="B164" s="54"/>
      <c r="C164" s="180"/>
      <c r="D164" s="54"/>
      <c r="E164" s="54"/>
      <c r="F164" s="54"/>
      <c r="G164" s="54"/>
      <c r="H164" s="54"/>
      <c r="I164" s="54"/>
      <c r="J164" s="54"/>
      <c r="K164" s="180"/>
      <c r="L164" s="54"/>
      <c r="M164" s="54"/>
      <c r="N164" s="54"/>
      <c r="O164" s="54"/>
      <c r="P164" s="54"/>
      <c r="Q164" s="54"/>
      <c r="R164" s="54"/>
      <c r="S164" s="54"/>
    </row>
    <row r="165" spans="2:19" ht="15.75" customHeight="1" x14ac:dyDescent="0.2">
      <c r="B165" s="54"/>
      <c r="C165" s="180"/>
      <c r="D165" s="54"/>
      <c r="E165" s="54"/>
      <c r="F165" s="54"/>
      <c r="G165" s="54"/>
      <c r="H165" s="54"/>
      <c r="I165" s="54"/>
      <c r="J165" s="54"/>
      <c r="K165" s="180"/>
      <c r="L165" s="54"/>
      <c r="M165" s="54"/>
      <c r="N165" s="54"/>
      <c r="O165" s="54"/>
      <c r="P165" s="54"/>
      <c r="Q165" s="54"/>
      <c r="R165" s="54"/>
      <c r="S165" s="54"/>
    </row>
    <row r="166" spans="2:19" ht="15.75" customHeight="1" x14ac:dyDescent="0.2">
      <c r="B166" s="54"/>
      <c r="C166" s="180"/>
      <c r="D166" s="54"/>
      <c r="E166" s="54"/>
      <c r="F166" s="54"/>
      <c r="G166" s="54"/>
      <c r="H166" s="54"/>
      <c r="I166" s="54"/>
      <c r="J166" s="54"/>
      <c r="K166" s="180"/>
      <c r="L166" s="54"/>
      <c r="M166" s="54"/>
      <c r="N166" s="54"/>
      <c r="O166" s="54"/>
      <c r="P166" s="54"/>
      <c r="Q166" s="54"/>
      <c r="R166" s="54"/>
      <c r="S166" s="54"/>
    </row>
    <row r="167" spans="2:19" ht="15.75" customHeight="1" x14ac:dyDescent="0.2">
      <c r="B167" s="54"/>
      <c r="C167" s="180"/>
      <c r="D167" s="54"/>
      <c r="E167" s="54"/>
      <c r="F167" s="54"/>
      <c r="G167" s="54"/>
      <c r="H167" s="54"/>
      <c r="I167" s="54"/>
      <c r="J167" s="54"/>
      <c r="K167" s="180"/>
      <c r="L167" s="54"/>
      <c r="M167" s="54"/>
      <c r="N167" s="54"/>
      <c r="O167" s="54"/>
      <c r="P167" s="54"/>
      <c r="Q167" s="54"/>
      <c r="R167" s="54"/>
      <c r="S167" s="54"/>
    </row>
    <row r="168" spans="2:19" ht="15.75" customHeight="1" x14ac:dyDescent="0.2">
      <c r="B168" s="54"/>
      <c r="C168" s="180"/>
      <c r="D168" s="54"/>
      <c r="E168" s="54"/>
      <c r="F168" s="54"/>
      <c r="G168" s="54"/>
      <c r="H168" s="54"/>
      <c r="I168" s="54"/>
      <c r="J168" s="54"/>
      <c r="K168" s="180"/>
      <c r="L168" s="54"/>
      <c r="M168" s="54"/>
      <c r="N168" s="54"/>
      <c r="O168" s="54"/>
      <c r="P168" s="54"/>
      <c r="Q168" s="54"/>
      <c r="R168" s="54"/>
      <c r="S168" s="54"/>
    </row>
    <row r="169" spans="2:19" ht="15.75" customHeight="1" x14ac:dyDescent="0.2">
      <c r="B169" s="54"/>
      <c r="C169" s="180"/>
      <c r="D169" s="54"/>
      <c r="E169" s="54"/>
      <c r="F169" s="54"/>
      <c r="G169" s="54"/>
      <c r="H169" s="54"/>
      <c r="I169" s="54"/>
      <c r="J169" s="54"/>
      <c r="K169" s="180"/>
      <c r="L169" s="54"/>
      <c r="M169" s="54"/>
      <c r="N169" s="54"/>
      <c r="O169" s="54"/>
      <c r="P169" s="54"/>
      <c r="Q169" s="54"/>
      <c r="R169" s="54"/>
      <c r="S169" s="54"/>
    </row>
    <row r="170" spans="2:19" ht="15.75" customHeight="1" x14ac:dyDescent="0.2">
      <c r="B170" s="54"/>
      <c r="C170" s="180"/>
      <c r="D170" s="54"/>
      <c r="E170" s="54"/>
      <c r="F170" s="54"/>
      <c r="G170" s="54"/>
      <c r="H170" s="54"/>
      <c r="I170" s="54"/>
      <c r="J170" s="54"/>
      <c r="K170" s="180"/>
      <c r="L170" s="54"/>
      <c r="M170" s="54"/>
      <c r="N170" s="54"/>
      <c r="O170" s="54"/>
      <c r="P170" s="54"/>
      <c r="Q170" s="54"/>
      <c r="R170" s="54"/>
      <c r="S170" s="54"/>
    </row>
    <row r="171" spans="2:19" ht="15.75" customHeight="1" x14ac:dyDescent="0.2">
      <c r="B171" s="54"/>
      <c r="C171" s="180"/>
      <c r="D171" s="54"/>
      <c r="E171" s="54"/>
      <c r="F171" s="54"/>
      <c r="G171" s="54"/>
      <c r="H171" s="54"/>
      <c r="I171" s="54"/>
      <c r="J171" s="54"/>
      <c r="K171" s="180"/>
      <c r="L171" s="54"/>
      <c r="M171" s="54"/>
      <c r="N171" s="54"/>
      <c r="O171" s="54"/>
      <c r="P171" s="54"/>
      <c r="Q171" s="54"/>
      <c r="R171" s="54"/>
      <c r="S171" s="54"/>
    </row>
    <row r="172" spans="2:19" ht="15.75" customHeight="1" x14ac:dyDescent="0.2">
      <c r="B172" s="54"/>
      <c r="C172" s="180"/>
      <c r="D172" s="54"/>
      <c r="E172" s="54"/>
      <c r="F172" s="54"/>
      <c r="G172" s="54"/>
      <c r="H172" s="54"/>
      <c r="I172" s="54"/>
      <c r="J172" s="54"/>
      <c r="K172" s="180"/>
      <c r="L172" s="54"/>
      <c r="M172" s="54"/>
      <c r="N172" s="54"/>
      <c r="O172" s="54"/>
      <c r="P172" s="54"/>
      <c r="Q172" s="54"/>
      <c r="R172" s="54"/>
      <c r="S172" s="54"/>
    </row>
    <row r="173" spans="2:19" ht="15.75" customHeight="1" x14ac:dyDescent="0.2">
      <c r="B173" s="54"/>
      <c r="C173" s="180"/>
      <c r="D173" s="54"/>
      <c r="E173" s="54"/>
      <c r="F173" s="54"/>
      <c r="G173" s="54"/>
      <c r="H173" s="54"/>
      <c r="I173" s="54"/>
      <c r="J173" s="54"/>
      <c r="K173" s="180"/>
      <c r="L173" s="54"/>
      <c r="M173" s="54"/>
      <c r="N173" s="54"/>
      <c r="O173" s="54"/>
      <c r="P173" s="54"/>
      <c r="Q173" s="54"/>
      <c r="R173" s="54"/>
      <c r="S173" s="54"/>
    </row>
    <row r="174" spans="2:19" ht="15.75" customHeight="1" x14ac:dyDescent="0.2">
      <c r="B174" s="54"/>
      <c r="C174" s="180"/>
      <c r="D174" s="54"/>
      <c r="E174" s="54"/>
      <c r="F174" s="54"/>
      <c r="G174" s="54"/>
      <c r="H174" s="54"/>
      <c r="I174" s="54"/>
      <c r="J174" s="54"/>
      <c r="K174" s="180"/>
      <c r="L174" s="54"/>
      <c r="M174" s="54"/>
      <c r="N174" s="54"/>
      <c r="O174" s="54"/>
      <c r="P174" s="54"/>
      <c r="Q174" s="54"/>
      <c r="R174" s="54"/>
      <c r="S174" s="54"/>
    </row>
    <row r="175" spans="2:19" ht="15.75" customHeight="1" x14ac:dyDescent="0.2">
      <c r="B175" s="54"/>
      <c r="C175" s="180"/>
      <c r="D175" s="54"/>
      <c r="E175" s="54"/>
      <c r="F175" s="54"/>
      <c r="G175" s="54"/>
      <c r="H175" s="54"/>
      <c r="I175" s="54"/>
      <c r="J175" s="54"/>
      <c r="K175" s="180"/>
      <c r="L175" s="54"/>
      <c r="M175" s="54"/>
      <c r="N175" s="54"/>
      <c r="O175" s="54"/>
      <c r="P175" s="54"/>
      <c r="Q175" s="54"/>
      <c r="R175" s="54"/>
      <c r="S175" s="54"/>
    </row>
    <row r="176" spans="2:19" ht="15.75" customHeight="1" x14ac:dyDescent="0.2">
      <c r="B176" s="54"/>
      <c r="C176" s="180"/>
      <c r="D176" s="54"/>
      <c r="E176" s="54"/>
      <c r="F176" s="54"/>
      <c r="G176" s="54"/>
      <c r="H176" s="54"/>
      <c r="I176" s="54"/>
      <c r="J176" s="54"/>
      <c r="K176" s="180"/>
      <c r="L176" s="54"/>
      <c r="M176" s="54"/>
      <c r="N176" s="54"/>
      <c r="O176" s="54"/>
      <c r="P176" s="54"/>
      <c r="Q176" s="54"/>
      <c r="R176" s="54"/>
      <c r="S176" s="54"/>
    </row>
    <row r="177" spans="2:19" ht="15.75" customHeight="1" x14ac:dyDescent="0.2">
      <c r="B177" s="54"/>
      <c r="C177" s="180"/>
      <c r="D177" s="54"/>
      <c r="E177" s="54"/>
      <c r="F177" s="54"/>
      <c r="G177" s="54"/>
      <c r="H177" s="54"/>
      <c r="I177" s="54"/>
      <c r="J177" s="54"/>
      <c r="K177" s="180"/>
      <c r="L177" s="54"/>
      <c r="M177" s="54"/>
      <c r="N177" s="54"/>
      <c r="O177" s="54"/>
      <c r="P177" s="54"/>
      <c r="Q177" s="54"/>
      <c r="R177" s="54"/>
      <c r="S177" s="54"/>
    </row>
    <row r="178" spans="2:19" ht="15.75" customHeight="1" x14ac:dyDescent="0.2">
      <c r="B178" s="54"/>
      <c r="C178" s="180"/>
      <c r="D178" s="54"/>
      <c r="E178" s="54"/>
      <c r="F178" s="54"/>
      <c r="G178" s="54"/>
      <c r="H178" s="54"/>
      <c r="I178" s="54"/>
      <c r="J178" s="54"/>
      <c r="K178" s="180"/>
      <c r="L178" s="54"/>
      <c r="M178" s="54"/>
      <c r="N178" s="54"/>
      <c r="O178" s="54"/>
      <c r="P178" s="54"/>
      <c r="Q178" s="54"/>
      <c r="R178" s="54"/>
      <c r="S178" s="54"/>
    </row>
    <row r="179" spans="2:19" ht="15.75" customHeight="1" x14ac:dyDescent="0.2">
      <c r="B179" s="54"/>
      <c r="C179" s="180"/>
      <c r="D179" s="54"/>
      <c r="E179" s="54"/>
      <c r="F179" s="54"/>
      <c r="G179" s="54"/>
      <c r="H179" s="54"/>
      <c r="I179" s="54"/>
      <c r="J179" s="54"/>
      <c r="K179" s="180"/>
      <c r="L179" s="54"/>
      <c r="M179" s="54"/>
      <c r="N179" s="54"/>
      <c r="O179" s="54"/>
      <c r="P179" s="54"/>
      <c r="Q179" s="54"/>
      <c r="R179" s="54"/>
      <c r="S179" s="54"/>
    </row>
    <row r="180" spans="2:19" ht="15.75" customHeight="1" x14ac:dyDescent="0.2">
      <c r="B180" s="54"/>
      <c r="C180" s="180"/>
      <c r="D180" s="54"/>
      <c r="E180" s="54"/>
      <c r="F180" s="54"/>
      <c r="G180" s="54"/>
      <c r="H180" s="54"/>
      <c r="I180" s="54"/>
      <c r="J180" s="54"/>
      <c r="K180" s="180"/>
      <c r="L180" s="54"/>
      <c r="M180" s="54"/>
      <c r="N180" s="54"/>
      <c r="O180" s="54"/>
      <c r="P180" s="54"/>
      <c r="Q180" s="54"/>
      <c r="R180" s="54"/>
      <c r="S180" s="54"/>
    </row>
    <row r="181" spans="2:19" ht="15.75" customHeight="1" x14ac:dyDescent="0.2">
      <c r="B181" s="54"/>
      <c r="C181" s="180"/>
      <c r="D181" s="54"/>
      <c r="E181" s="54"/>
      <c r="F181" s="54"/>
      <c r="G181" s="54"/>
      <c r="H181" s="54"/>
      <c r="I181" s="54"/>
      <c r="J181" s="54"/>
      <c r="K181" s="180"/>
      <c r="L181" s="54"/>
      <c r="M181" s="54"/>
      <c r="N181" s="54"/>
      <c r="O181" s="54"/>
      <c r="P181" s="54"/>
      <c r="Q181" s="54"/>
      <c r="R181" s="54"/>
      <c r="S181" s="54"/>
    </row>
    <row r="182" spans="2:19" ht="15.75" customHeight="1" x14ac:dyDescent="0.2">
      <c r="B182" s="54"/>
      <c r="C182" s="180"/>
      <c r="D182" s="54"/>
      <c r="E182" s="54"/>
      <c r="F182" s="54"/>
      <c r="G182" s="54"/>
      <c r="H182" s="54"/>
      <c r="I182" s="54"/>
      <c r="J182" s="54"/>
      <c r="K182" s="180"/>
      <c r="L182" s="54"/>
      <c r="M182" s="54"/>
      <c r="N182" s="54"/>
      <c r="O182" s="54"/>
      <c r="P182" s="54"/>
      <c r="Q182" s="54"/>
      <c r="R182" s="54"/>
      <c r="S182" s="54"/>
    </row>
    <row r="183" spans="2:19" ht="15.75" customHeight="1" x14ac:dyDescent="0.2">
      <c r="B183" s="54"/>
      <c r="C183" s="180"/>
      <c r="D183" s="54"/>
      <c r="E183" s="54"/>
      <c r="F183" s="54"/>
      <c r="G183" s="54"/>
      <c r="H183" s="54"/>
      <c r="I183" s="54"/>
      <c r="J183" s="54"/>
      <c r="K183" s="180"/>
      <c r="L183" s="54"/>
      <c r="M183" s="54"/>
      <c r="N183" s="54"/>
      <c r="O183" s="54"/>
      <c r="P183" s="54"/>
      <c r="Q183" s="54"/>
      <c r="R183" s="54"/>
      <c r="S183" s="54"/>
    </row>
    <row r="184" spans="2:19" ht="15.75" customHeight="1" x14ac:dyDescent="0.2">
      <c r="B184" s="54"/>
      <c r="C184" s="180"/>
      <c r="D184" s="54"/>
      <c r="E184" s="54"/>
      <c r="F184" s="54"/>
      <c r="G184" s="54"/>
      <c r="H184" s="54"/>
      <c r="I184" s="54"/>
      <c r="J184" s="54"/>
      <c r="K184" s="180"/>
      <c r="L184" s="54"/>
      <c r="M184" s="54"/>
      <c r="N184" s="54"/>
      <c r="O184" s="54"/>
      <c r="P184" s="54"/>
      <c r="Q184" s="54"/>
      <c r="R184" s="54"/>
      <c r="S184" s="54"/>
    </row>
    <row r="185" spans="2:19" ht="15.75" customHeight="1" x14ac:dyDescent="0.2">
      <c r="B185" s="54"/>
      <c r="C185" s="180"/>
      <c r="D185" s="54"/>
      <c r="E185" s="54"/>
      <c r="F185" s="54"/>
      <c r="G185" s="54"/>
      <c r="H185" s="54"/>
      <c r="I185" s="54"/>
      <c r="J185" s="54"/>
      <c r="K185" s="180"/>
      <c r="L185" s="54"/>
      <c r="M185" s="54"/>
      <c r="N185" s="54"/>
      <c r="O185" s="54"/>
      <c r="P185" s="54"/>
      <c r="Q185" s="54"/>
      <c r="R185" s="54"/>
      <c r="S185" s="54"/>
    </row>
    <row r="186" spans="2:19" ht="15.75" customHeight="1" x14ac:dyDescent="0.2">
      <c r="B186" s="54"/>
      <c r="C186" s="180"/>
      <c r="D186" s="54"/>
      <c r="E186" s="54"/>
      <c r="F186" s="54"/>
      <c r="G186" s="54"/>
      <c r="H186" s="54"/>
      <c r="I186" s="54"/>
      <c r="J186" s="54"/>
      <c r="K186" s="180"/>
      <c r="L186" s="54"/>
      <c r="M186" s="54"/>
      <c r="N186" s="54"/>
      <c r="O186" s="54"/>
      <c r="P186" s="54"/>
      <c r="Q186" s="54"/>
      <c r="R186" s="54"/>
      <c r="S186" s="54"/>
    </row>
    <row r="187" spans="2:19" ht="15.75" customHeight="1" x14ac:dyDescent="0.2">
      <c r="B187" s="54"/>
      <c r="C187" s="180"/>
      <c r="D187" s="54"/>
      <c r="E187" s="54"/>
      <c r="F187" s="54"/>
      <c r="G187" s="54"/>
      <c r="H187" s="54"/>
      <c r="I187" s="54"/>
      <c r="J187" s="54"/>
      <c r="K187" s="180"/>
      <c r="L187" s="54"/>
      <c r="M187" s="54"/>
      <c r="N187" s="54"/>
      <c r="O187" s="54"/>
      <c r="P187" s="54"/>
      <c r="Q187" s="54"/>
      <c r="R187" s="54"/>
      <c r="S187" s="54"/>
    </row>
    <row r="188" spans="2:19" ht="15.75" customHeight="1" x14ac:dyDescent="0.2">
      <c r="B188" s="54"/>
      <c r="C188" s="180"/>
      <c r="D188" s="54"/>
      <c r="E188" s="54"/>
      <c r="F188" s="54"/>
      <c r="G188" s="54"/>
      <c r="H188" s="54"/>
      <c r="I188" s="54"/>
      <c r="J188" s="54"/>
      <c r="K188" s="180"/>
      <c r="L188" s="54"/>
      <c r="M188" s="54"/>
      <c r="N188" s="54"/>
      <c r="O188" s="54"/>
      <c r="P188" s="54"/>
      <c r="Q188" s="54"/>
      <c r="R188" s="54"/>
      <c r="S188" s="54"/>
    </row>
    <row r="189" spans="2:19" ht="15.75" customHeight="1" x14ac:dyDescent="0.2">
      <c r="B189" s="54"/>
      <c r="C189" s="180"/>
      <c r="D189" s="54"/>
      <c r="E189" s="54"/>
      <c r="F189" s="54"/>
      <c r="G189" s="54"/>
      <c r="H189" s="54"/>
      <c r="I189" s="54"/>
      <c r="J189" s="54"/>
      <c r="K189" s="180"/>
      <c r="L189" s="54"/>
      <c r="M189" s="54"/>
      <c r="N189" s="54"/>
      <c r="O189" s="54"/>
      <c r="P189" s="54"/>
      <c r="Q189" s="54"/>
      <c r="R189" s="54"/>
      <c r="S189" s="54"/>
    </row>
    <row r="190" spans="2:19" ht="15.75" customHeight="1" x14ac:dyDescent="0.2">
      <c r="B190" s="54"/>
      <c r="C190" s="180"/>
      <c r="D190" s="54"/>
      <c r="E190" s="54"/>
      <c r="F190" s="54"/>
      <c r="G190" s="54"/>
      <c r="H190" s="54"/>
      <c r="I190" s="54"/>
      <c r="J190" s="54"/>
      <c r="K190" s="180"/>
      <c r="L190" s="54"/>
      <c r="M190" s="54"/>
      <c r="N190" s="54"/>
      <c r="O190" s="54"/>
      <c r="P190" s="54"/>
      <c r="Q190" s="54"/>
      <c r="R190" s="54"/>
      <c r="S190" s="54"/>
    </row>
    <row r="191" spans="2:19" ht="15.75" customHeight="1" x14ac:dyDescent="0.2">
      <c r="B191" s="54"/>
      <c r="C191" s="180"/>
      <c r="D191" s="54"/>
      <c r="E191" s="54"/>
      <c r="F191" s="54"/>
      <c r="G191" s="54"/>
      <c r="H191" s="54"/>
      <c r="I191" s="54"/>
      <c r="J191" s="54"/>
      <c r="K191" s="180"/>
      <c r="L191" s="54"/>
      <c r="M191" s="54"/>
      <c r="N191" s="54"/>
      <c r="O191" s="54"/>
      <c r="P191" s="54"/>
      <c r="Q191" s="54"/>
      <c r="R191" s="54"/>
      <c r="S191" s="54"/>
    </row>
    <row r="192" spans="2:19" ht="15.75" customHeight="1" x14ac:dyDescent="0.2">
      <c r="B192" s="54"/>
      <c r="C192" s="180"/>
      <c r="D192" s="54"/>
      <c r="E192" s="54"/>
      <c r="F192" s="54"/>
      <c r="G192" s="54"/>
      <c r="H192" s="54"/>
      <c r="I192" s="54"/>
      <c r="J192" s="54"/>
      <c r="K192" s="180"/>
      <c r="L192" s="54"/>
      <c r="M192" s="54"/>
      <c r="N192" s="54"/>
      <c r="O192" s="54"/>
      <c r="P192" s="54"/>
      <c r="Q192" s="54"/>
      <c r="R192" s="54"/>
      <c r="S192" s="54"/>
    </row>
    <row r="193" spans="2:19" ht="15.75" customHeight="1" x14ac:dyDescent="0.2">
      <c r="B193" s="54"/>
      <c r="C193" s="180"/>
      <c r="D193" s="54"/>
      <c r="E193" s="54"/>
      <c r="F193" s="54"/>
      <c r="G193" s="54"/>
      <c r="H193" s="54"/>
      <c r="I193" s="54"/>
      <c r="J193" s="54"/>
      <c r="K193" s="180"/>
      <c r="L193" s="54"/>
      <c r="M193" s="54"/>
      <c r="N193" s="54"/>
      <c r="O193" s="54"/>
      <c r="P193" s="54"/>
      <c r="Q193" s="54"/>
      <c r="R193" s="54"/>
      <c r="S193" s="54"/>
    </row>
    <row r="194" spans="2:19" ht="15.75" customHeight="1" x14ac:dyDescent="0.2">
      <c r="B194" s="54"/>
      <c r="C194" s="180"/>
      <c r="D194" s="54"/>
      <c r="E194" s="54"/>
      <c r="F194" s="54"/>
      <c r="G194" s="54"/>
      <c r="H194" s="54"/>
      <c r="I194" s="54"/>
      <c r="J194" s="54"/>
      <c r="K194" s="180"/>
      <c r="L194" s="54"/>
      <c r="M194" s="54"/>
      <c r="N194" s="54"/>
      <c r="O194" s="54"/>
      <c r="P194" s="54"/>
      <c r="Q194" s="54"/>
      <c r="R194" s="54"/>
      <c r="S194" s="54"/>
    </row>
    <row r="195" spans="2:19" ht="15.75" customHeight="1" x14ac:dyDescent="0.2">
      <c r="B195" s="54"/>
      <c r="C195" s="180"/>
      <c r="D195" s="54"/>
      <c r="E195" s="54"/>
      <c r="F195" s="54"/>
      <c r="G195" s="54"/>
      <c r="H195" s="54"/>
      <c r="I195" s="54"/>
      <c r="J195" s="54"/>
      <c r="K195" s="180"/>
      <c r="L195" s="54"/>
      <c r="M195" s="54"/>
      <c r="N195" s="54"/>
      <c r="O195" s="54"/>
      <c r="P195" s="54"/>
      <c r="Q195" s="54"/>
      <c r="R195" s="54"/>
      <c r="S195" s="54"/>
    </row>
    <row r="196" spans="2:19" ht="15.75" customHeight="1" x14ac:dyDescent="0.2">
      <c r="B196" s="54"/>
      <c r="C196" s="180"/>
      <c r="D196" s="54"/>
      <c r="E196" s="54"/>
      <c r="F196" s="54"/>
      <c r="G196" s="54"/>
      <c r="H196" s="54"/>
      <c r="I196" s="54"/>
      <c r="J196" s="54"/>
      <c r="K196" s="180"/>
      <c r="L196" s="54"/>
      <c r="M196" s="54"/>
      <c r="N196" s="54"/>
      <c r="O196" s="54"/>
      <c r="P196" s="54"/>
      <c r="Q196" s="54"/>
      <c r="R196" s="54"/>
      <c r="S196" s="54"/>
    </row>
    <row r="197" spans="2:19" ht="15.75" customHeight="1" x14ac:dyDescent="0.2">
      <c r="B197" s="54"/>
      <c r="C197" s="180"/>
      <c r="D197" s="54"/>
      <c r="E197" s="54"/>
      <c r="F197" s="54"/>
      <c r="G197" s="54"/>
      <c r="H197" s="54"/>
      <c r="I197" s="54"/>
      <c r="J197" s="54"/>
      <c r="K197" s="180"/>
      <c r="L197" s="54"/>
      <c r="M197" s="54"/>
      <c r="N197" s="54"/>
      <c r="O197" s="54"/>
      <c r="P197" s="54"/>
      <c r="Q197" s="54"/>
      <c r="R197" s="54"/>
      <c r="S197" s="54"/>
    </row>
    <row r="198" spans="2:19" ht="15.75" customHeight="1" x14ac:dyDescent="0.2">
      <c r="B198" s="54"/>
      <c r="C198" s="180"/>
      <c r="D198" s="54"/>
      <c r="E198" s="54"/>
      <c r="F198" s="54"/>
      <c r="G198" s="54"/>
      <c r="H198" s="54"/>
      <c r="I198" s="54"/>
      <c r="J198" s="54"/>
      <c r="K198" s="180"/>
      <c r="L198" s="54"/>
      <c r="M198" s="54"/>
      <c r="N198" s="54"/>
      <c r="O198" s="54"/>
      <c r="P198" s="54"/>
      <c r="Q198" s="54"/>
      <c r="R198" s="54"/>
      <c r="S198" s="54"/>
    </row>
    <row r="199" spans="2:19" ht="15.75" customHeight="1" x14ac:dyDescent="0.2">
      <c r="B199" s="54"/>
      <c r="C199" s="180"/>
      <c r="D199" s="54"/>
      <c r="E199" s="54"/>
      <c r="F199" s="54"/>
      <c r="G199" s="54"/>
      <c r="H199" s="54"/>
      <c r="I199" s="54"/>
      <c r="J199" s="54"/>
      <c r="K199" s="180"/>
      <c r="L199" s="54"/>
      <c r="M199" s="54"/>
      <c r="N199" s="54"/>
      <c r="O199" s="54"/>
      <c r="P199" s="54"/>
      <c r="Q199" s="54"/>
      <c r="R199" s="54"/>
      <c r="S199" s="54"/>
    </row>
    <row r="200" spans="2:19" ht="15.75" customHeight="1" x14ac:dyDescent="0.2">
      <c r="B200" s="54"/>
      <c r="C200" s="180"/>
      <c r="D200" s="54"/>
      <c r="E200" s="54"/>
      <c r="F200" s="54"/>
      <c r="G200" s="54"/>
      <c r="H200" s="54"/>
      <c r="I200" s="54"/>
      <c r="J200" s="54"/>
      <c r="K200" s="180"/>
      <c r="L200" s="54"/>
      <c r="M200" s="54"/>
      <c r="N200" s="54"/>
      <c r="O200" s="54"/>
      <c r="P200" s="54"/>
      <c r="Q200" s="54"/>
      <c r="R200" s="54"/>
      <c r="S200" s="54"/>
    </row>
    <row r="201" spans="2:19" ht="15.75" customHeight="1" x14ac:dyDescent="0.2">
      <c r="B201" s="54"/>
      <c r="C201" s="180"/>
      <c r="D201" s="54"/>
      <c r="E201" s="54"/>
      <c r="F201" s="54"/>
      <c r="G201" s="54"/>
      <c r="H201" s="54"/>
      <c r="I201" s="54"/>
      <c r="J201" s="54"/>
      <c r="K201" s="180"/>
      <c r="L201" s="54"/>
      <c r="M201" s="54"/>
      <c r="N201" s="54"/>
      <c r="O201" s="54"/>
      <c r="P201" s="54"/>
      <c r="Q201" s="54"/>
      <c r="R201" s="54"/>
      <c r="S201" s="54"/>
    </row>
    <row r="202" spans="2:19" ht="15.75" customHeight="1" x14ac:dyDescent="0.2">
      <c r="B202" s="54"/>
      <c r="C202" s="180"/>
      <c r="D202" s="54"/>
      <c r="E202" s="54"/>
      <c r="F202" s="54"/>
      <c r="G202" s="54"/>
      <c r="H202" s="54"/>
      <c r="I202" s="54"/>
      <c r="J202" s="54"/>
      <c r="K202" s="180"/>
      <c r="L202" s="54"/>
      <c r="M202" s="54"/>
      <c r="N202" s="54"/>
      <c r="O202" s="54"/>
      <c r="P202" s="54"/>
      <c r="Q202" s="54"/>
      <c r="R202" s="54"/>
      <c r="S202" s="54"/>
    </row>
    <row r="203" spans="2:19" ht="15.75" customHeight="1" x14ac:dyDescent="0.2">
      <c r="B203" s="54"/>
      <c r="C203" s="180"/>
      <c r="D203" s="54"/>
      <c r="E203" s="54"/>
      <c r="F203" s="54"/>
      <c r="G203" s="54"/>
      <c r="H203" s="54"/>
      <c r="I203" s="54"/>
      <c r="J203" s="54"/>
      <c r="K203" s="180"/>
      <c r="L203" s="54"/>
      <c r="M203" s="54"/>
      <c r="N203" s="54"/>
      <c r="O203" s="54"/>
      <c r="P203" s="54"/>
      <c r="Q203" s="54"/>
      <c r="R203" s="54"/>
      <c r="S203" s="54"/>
    </row>
    <row r="204" spans="2:19" ht="15.75" customHeight="1" x14ac:dyDescent="0.2">
      <c r="B204" s="54"/>
      <c r="C204" s="180"/>
      <c r="D204" s="54"/>
      <c r="E204" s="54"/>
      <c r="F204" s="54"/>
      <c r="G204" s="54"/>
      <c r="H204" s="54"/>
      <c r="I204" s="54"/>
      <c r="J204" s="54"/>
      <c r="K204" s="180"/>
      <c r="L204" s="54"/>
      <c r="M204" s="54"/>
      <c r="N204" s="54"/>
      <c r="O204" s="54"/>
      <c r="P204" s="54"/>
      <c r="Q204" s="54"/>
      <c r="R204" s="54"/>
      <c r="S204" s="54"/>
    </row>
    <row r="205" spans="2:19" ht="15.75" customHeight="1" x14ac:dyDescent="0.2">
      <c r="B205" s="54"/>
      <c r="C205" s="180"/>
      <c r="D205" s="54"/>
      <c r="E205" s="54"/>
      <c r="F205" s="54"/>
      <c r="G205" s="54"/>
      <c r="H205" s="54"/>
      <c r="I205" s="54"/>
      <c r="J205" s="54"/>
      <c r="K205" s="180"/>
      <c r="L205" s="54"/>
      <c r="M205" s="54"/>
      <c r="N205" s="54"/>
      <c r="O205" s="54"/>
      <c r="P205" s="54"/>
      <c r="Q205" s="54"/>
      <c r="R205" s="54"/>
      <c r="S205" s="54"/>
    </row>
    <row r="206" spans="2:19" ht="15.75" customHeight="1" x14ac:dyDescent="0.2">
      <c r="B206" s="54"/>
      <c r="C206" s="180"/>
      <c r="D206" s="54"/>
      <c r="E206" s="54"/>
      <c r="F206" s="54"/>
      <c r="G206" s="54"/>
      <c r="H206" s="54"/>
      <c r="I206" s="54"/>
      <c r="J206" s="54"/>
      <c r="K206" s="180"/>
      <c r="L206" s="54"/>
      <c r="M206" s="54"/>
      <c r="N206" s="54"/>
      <c r="O206" s="54"/>
      <c r="P206" s="54"/>
      <c r="Q206" s="54"/>
      <c r="R206" s="54"/>
      <c r="S206" s="54"/>
    </row>
    <row r="207" spans="2:19" ht="15.75" customHeight="1" x14ac:dyDescent="0.2">
      <c r="B207" s="54"/>
      <c r="C207" s="180"/>
      <c r="D207" s="54"/>
      <c r="E207" s="54"/>
      <c r="F207" s="54"/>
      <c r="G207" s="54"/>
      <c r="H207" s="54"/>
      <c r="I207" s="54"/>
      <c r="J207" s="54"/>
      <c r="K207" s="180"/>
      <c r="L207" s="54"/>
      <c r="M207" s="54"/>
      <c r="N207" s="54"/>
      <c r="O207" s="54"/>
      <c r="P207" s="54"/>
      <c r="Q207" s="54"/>
      <c r="R207" s="54"/>
      <c r="S207" s="54"/>
    </row>
    <row r="208" spans="2:19" ht="15.75" customHeight="1" x14ac:dyDescent="0.2">
      <c r="B208" s="54"/>
      <c r="C208" s="180"/>
      <c r="D208" s="54"/>
      <c r="E208" s="54"/>
      <c r="F208" s="54"/>
      <c r="G208" s="54"/>
      <c r="H208" s="54"/>
      <c r="I208" s="54"/>
      <c r="J208" s="54"/>
      <c r="K208" s="180"/>
      <c r="L208" s="54"/>
      <c r="M208" s="54"/>
      <c r="N208" s="54"/>
      <c r="O208" s="54"/>
      <c r="P208" s="54"/>
      <c r="Q208" s="54"/>
      <c r="R208" s="54"/>
      <c r="S208" s="54"/>
    </row>
    <row r="209" spans="2:19" ht="15.75" customHeight="1" x14ac:dyDescent="0.2">
      <c r="B209" s="54"/>
      <c r="C209" s="180"/>
      <c r="D209" s="54"/>
      <c r="E209" s="54"/>
      <c r="F209" s="54"/>
      <c r="G209" s="54"/>
      <c r="H209" s="54"/>
      <c r="I209" s="54"/>
      <c r="J209" s="54"/>
      <c r="K209" s="180"/>
      <c r="L209" s="54"/>
      <c r="M209" s="54"/>
      <c r="N209" s="54"/>
      <c r="O209" s="54"/>
      <c r="P209" s="54"/>
      <c r="Q209" s="54"/>
      <c r="R209" s="54"/>
      <c r="S209" s="54"/>
    </row>
    <row r="210" spans="2:19" ht="15.75" customHeight="1" x14ac:dyDescent="0.2">
      <c r="B210" s="54"/>
      <c r="C210" s="180"/>
      <c r="D210" s="54"/>
      <c r="E210" s="54"/>
      <c r="F210" s="54"/>
      <c r="G210" s="54"/>
      <c r="H210" s="54"/>
      <c r="I210" s="54"/>
      <c r="J210" s="54"/>
      <c r="K210" s="180"/>
      <c r="L210" s="54"/>
      <c r="M210" s="54"/>
      <c r="N210" s="54"/>
      <c r="O210" s="54"/>
      <c r="P210" s="54"/>
      <c r="Q210" s="54"/>
      <c r="R210" s="54"/>
      <c r="S210" s="54"/>
    </row>
    <row r="211" spans="2:19" ht="15.75" customHeight="1" x14ac:dyDescent="0.2">
      <c r="B211" s="54"/>
      <c r="C211" s="180"/>
      <c r="D211" s="54"/>
      <c r="E211" s="54"/>
      <c r="F211" s="54"/>
      <c r="G211" s="54"/>
      <c r="H211" s="54"/>
      <c r="I211" s="54"/>
      <c r="J211" s="54"/>
      <c r="K211" s="180"/>
      <c r="L211" s="54"/>
      <c r="M211" s="54"/>
      <c r="N211" s="54"/>
      <c r="O211" s="54"/>
      <c r="P211" s="54"/>
      <c r="Q211" s="54"/>
      <c r="R211" s="54"/>
      <c r="S211" s="54"/>
    </row>
    <row r="212" spans="2:19" ht="15.75" customHeight="1" x14ac:dyDescent="0.2">
      <c r="B212" s="54"/>
      <c r="C212" s="180"/>
      <c r="D212" s="54"/>
      <c r="E212" s="54"/>
      <c r="F212" s="54"/>
      <c r="G212" s="54"/>
      <c r="H212" s="54"/>
      <c r="I212" s="54"/>
      <c r="J212" s="54"/>
      <c r="K212" s="180"/>
      <c r="L212" s="54"/>
      <c r="M212" s="54"/>
      <c r="N212" s="54"/>
      <c r="O212" s="54"/>
      <c r="P212" s="54"/>
      <c r="Q212" s="54"/>
      <c r="R212" s="54"/>
      <c r="S212" s="54"/>
    </row>
    <row r="213" spans="2:19" ht="15.75" customHeight="1" x14ac:dyDescent="0.2">
      <c r="B213" s="54"/>
      <c r="C213" s="180"/>
      <c r="D213" s="54"/>
      <c r="E213" s="54"/>
      <c r="F213" s="54"/>
      <c r="G213" s="54"/>
      <c r="H213" s="54"/>
      <c r="I213" s="54"/>
      <c r="J213" s="54"/>
      <c r="K213" s="180"/>
      <c r="L213" s="54"/>
      <c r="M213" s="54"/>
      <c r="N213" s="54"/>
      <c r="O213" s="54"/>
      <c r="P213" s="54"/>
      <c r="Q213" s="54"/>
      <c r="R213" s="54"/>
      <c r="S213" s="54"/>
    </row>
    <row r="214" spans="2:19" ht="15.75" customHeight="1" x14ac:dyDescent="0.2">
      <c r="B214" s="54"/>
      <c r="C214" s="180"/>
      <c r="D214" s="54"/>
      <c r="E214" s="54"/>
      <c r="F214" s="54"/>
      <c r="G214" s="54"/>
      <c r="H214" s="54"/>
      <c r="I214" s="54"/>
      <c r="J214" s="54"/>
      <c r="K214" s="180"/>
      <c r="L214" s="54"/>
      <c r="M214" s="54"/>
      <c r="N214" s="54"/>
      <c r="O214" s="54"/>
      <c r="P214" s="54"/>
      <c r="Q214" s="54"/>
      <c r="R214" s="54"/>
      <c r="S214" s="54"/>
    </row>
    <row r="215" spans="2:19" ht="15.75" customHeight="1" x14ac:dyDescent="0.2">
      <c r="B215" s="54"/>
      <c r="C215" s="180"/>
      <c r="D215" s="54"/>
      <c r="E215" s="54"/>
      <c r="F215" s="54"/>
      <c r="G215" s="54"/>
      <c r="H215" s="54"/>
      <c r="I215" s="54"/>
      <c r="J215" s="54"/>
      <c r="K215" s="180"/>
      <c r="L215" s="54"/>
      <c r="M215" s="54"/>
      <c r="N215" s="54"/>
      <c r="O215" s="54"/>
      <c r="P215" s="54"/>
      <c r="Q215" s="54"/>
      <c r="R215" s="54"/>
      <c r="S215" s="54"/>
    </row>
    <row r="216" spans="2:19" ht="15.75" customHeight="1" x14ac:dyDescent="0.2">
      <c r="B216" s="54"/>
      <c r="C216" s="180"/>
      <c r="D216" s="54"/>
      <c r="E216" s="54"/>
      <c r="F216" s="54"/>
      <c r="G216" s="54"/>
      <c r="H216" s="54"/>
      <c r="I216" s="54"/>
      <c r="J216" s="54"/>
      <c r="K216" s="180"/>
      <c r="L216" s="54"/>
      <c r="M216" s="54"/>
      <c r="N216" s="54"/>
      <c r="O216" s="54"/>
      <c r="P216" s="54"/>
      <c r="Q216" s="54"/>
      <c r="R216" s="54"/>
      <c r="S216" s="54"/>
    </row>
    <row r="217" spans="2:19" ht="15.75" customHeight="1" x14ac:dyDescent="0.2">
      <c r="B217" s="54"/>
      <c r="C217" s="180"/>
      <c r="D217" s="54"/>
      <c r="E217" s="54"/>
      <c r="F217" s="54"/>
      <c r="G217" s="54"/>
      <c r="H217" s="54"/>
      <c r="I217" s="54"/>
      <c r="J217" s="54"/>
      <c r="K217" s="180"/>
      <c r="L217" s="54"/>
      <c r="M217" s="54"/>
      <c r="N217" s="54"/>
      <c r="O217" s="54"/>
      <c r="P217" s="54"/>
      <c r="Q217" s="54"/>
      <c r="R217" s="54"/>
      <c r="S217" s="54"/>
    </row>
    <row r="218" spans="2:19" ht="15.75" customHeight="1" x14ac:dyDescent="0.2">
      <c r="B218" s="54"/>
      <c r="C218" s="180"/>
      <c r="D218" s="54"/>
      <c r="E218" s="54"/>
      <c r="F218" s="54"/>
      <c r="G218" s="54"/>
      <c r="H218" s="54"/>
      <c r="I218" s="54"/>
      <c r="J218" s="54"/>
      <c r="K218" s="180"/>
      <c r="L218" s="54"/>
      <c r="M218" s="54"/>
      <c r="N218" s="54"/>
      <c r="O218" s="54"/>
      <c r="P218" s="54"/>
      <c r="Q218" s="54"/>
      <c r="R218" s="54"/>
      <c r="S218" s="54"/>
    </row>
    <row r="219" spans="2:19" ht="15.75" customHeight="1" x14ac:dyDescent="0.2">
      <c r="B219" s="54"/>
      <c r="C219" s="180"/>
      <c r="D219" s="54"/>
      <c r="E219" s="54"/>
      <c r="F219" s="54"/>
      <c r="G219" s="54"/>
      <c r="H219" s="54"/>
      <c r="I219" s="54"/>
      <c r="J219" s="54"/>
      <c r="K219" s="180"/>
      <c r="L219" s="54"/>
      <c r="M219" s="54"/>
      <c r="N219" s="54"/>
      <c r="O219" s="54"/>
      <c r="P219" s="54"/>
      <c r="Q219" s="54"/>
      <c r="R219" s="54"/>
      <c r="S219" s="54"/>
    </row>
    <row r="220" spans="2:19" ht="15.75" customHeight="1" x14ac:dyDescent="0.2">
      <c r="B220" s="54"/>
      <c r="C220" s="180"/>
      <c r="D220" s="54"/>
      <c r="E220" s="54"/>
      <c r="F220" s="54"/>
      <c r="G220" s="54"/>
      <c r="H220" s="54"/>
      <c r="I220" s="54"/>
      <c r="J220" s="54"/>
      <c r="K220" s="180"/>
      <c r="L220" s="54"/>
      <c r="M220" s="54"/>
      <c r="N220" s="54"/>
      <c r="O220" s="54"/>
      <c r="P220" s="54"/>
      <c r="Q220" s="54"/>
      <c r="R220" s="54"/>
      <c r="S220" s="54"/>
    </row>
    <row r="221" spans="2:19" ht="15.75" customHeight="1" x14ac:dyDescent="0.2">
      <c r="B221" s="54"/>
      <c r="C221" s="180"/>
      <c r="D221" s="54"/>
      <c r="E221" s="54"/>
      <c r="F221" s="54"/>
      <c r="G221" s="54"/>
      <c r="H221" s="54"/>
      <c r="I221" s="54"/>
      <c r="J221" s="54"/>
      <c r="K221" s="180"/>
      <c r="L221" s="54"/>
      <c r="M221" s="54"/>
      <c r="N221" s="54"/>
      <c r="O221" s="54"/>
      <c r="P221" s="54"/>
      <c r="Q221" s="54"/>
      <c r="R221" s="54"/>
      <c r="S221" s="54"/>
    </row>
    <row r="222" spans="2:19" ht="15.75" customHeight="1" x14ac:dyDescent="0.2">
      <c r="B222" s="54"/>
      <c r="C222" s="180"/>
      <c r="D222" s="54"/>
      <c r="E222" s="54"/>
      <c r="F222" s="54"/>
      <c r="G222" s="54"/>
      <c r="H222" s="54"/>
      <c r="I222" s="54"/>
      <c r="J222" s="54"/>
      <c r="K222" s="180"/>
      <c r="L222" s="54"/>
      <c r="M222" s="54"/>
      <c r="N222" s="54"/>
      <c r="O222" s="54"/>
      <c r="P222" s="54"/>
      <c r="Q222" s="54"/>
      <c r="R222" s="54"/>
      <c r="S222" s="54"/>
    </row>
    <row r="223" spans="2:19" ht="15.75" customHeight="1" x14ac:dyDescent="0.2">
      <c r="B223" s="54"/>
      <c r="C223" s="180"/>
      <c r="D223" s="54"/>
      <c r="E223" s="54"/>
      <c r="F223" s="54"/>
      <c r="G223" s="54"/>
      <c r="H223" s="54"/>
      <c r="I223" s="54"/>
      <c r="J223" s="54"/>
      <c r="K223" s="180"/>
      <c r="L223" s="54"/>
      <c r="M223" s="54"/>
      <c r="N223" s="54"/>
      <c r="O223" s="54"/>
      <c r="P223" s="54"/>
      <c r="Q223" s="54"/>
      <c r="R223" s="54"/>
      <c r="S223" s="54"/>
    </row>
    <row r="224" spans="2:19" ht="15.75" customHeight="1" x14ac:dyDescent="0.2">
      <c r="B224" s="54"/>
      <c r="C224" s="180"/>
      <c r="D224" s="54"/>
      <c r="E224" s="54"/>
      <c r="F224" s="54"/>
      <c r="G224" s="54"/>
      <c r="H224" s="54"/>
      <c r="I224" s="54"/>
      <c r="J224" s="54"/>
      <c r="K224" s="180"/>
      <c r="L224" s="54"/>
      <c r="M224" s="54"/>
      <c r="N224" s="54"/>
      <c r="O224" s="54"/>
      <c r="P224" s="54"/>
      <c r="Q224" s="54"/>
      <c r="R224" s="54"/>
      <c r="S224" s="54"/>
    </row>
    <row r="225" spans="2:19" ht="15.75" customHeight="1" x14ac:dyDescent="0.2">
      <c r="B225" s="54"/>
      <c r="C225" s="180"/>
      <c r="D225" s="54"/>
      <c r="E225" s="54"/>
      <c r="F225" s="54"/>
      <c r="G225" s="54"/>
      <c r="H225" s="54"/>
      <c r="I225" s="54"/>
      <c r="J225" s="54"/>
      <c r="K225" s="180"/>
      <c r="L225" s="54"/>
      <c r="M225" s="54"/>
      <c r="N225" s="54"/>
      <c r="O225" s="54"/>
      <c r="P225" s="54"/>
      <c r="Q225" s="54"/>
      <c r="R225" s="54"/>
      <c r="S225" s="54"/>
    </row>
    <row r="226" spans="2:19" ht="15.75" customHeight="1" x14ac:dyDescent="0.2">
      <c r="B226" s="54"/>
      <c r="C226" s="180"/>
      <c r="D226" s="54"/>
      <c r="E226" s="54"/>
      <c r="F226" s="54"/>
      <c r="G226" s="54"/>
      <c r="H226" s="54"/>
      <c r="I226" s="54"/>
      <c r="J226" s="54"/>
      <c r="K226" s="180"/>
      <c r="L226" s="54"/>
      <c r="M226" s="54"/>
      <c r="N226" s="54"/>
      <c r="O226" s="54"/>
      <c r="P226" s="54"/>
      <c r="Q226" s="54"/>
      <c r="R226" s="54"/>
      <c r="S226" s="54"/>
    </row>
    <row r="227" spans="2:19" ht="15.75" customHeight="1" x14ac:dyDescent="0.2">
      <c r="B227" s="54"/>
      <c r="C227" s="180"/>
      <c r="D227" s="54"/>
      <c r="E227" s="54"/>
      <c r="F227" s="54"/>
      <c r="G227" s="54"/>
      <c r="H227" s="54"/>
      <c r="I227" s="54"/>
      <c r="J227" s="54"/>
      <c r="K227" s="180"/>
      <c r="L227" s="54"/>
      <c r="M227" s="54"/>
      <c r="N227" s="54"/>
      <c r="O227" s="54"/>
      <c r="P227" s="54"/>
      <c r="Q227" s="54"/>
      <c r="R227" s="54"/>
      <c r="S227" s="54"/>
    </row>
    <row r="228" spans="2:19" ht="15.75" customHeight="1" x14ac:dyDescent="0.2">
      <c r="B228" s="54"/>
      <c r="C228" s="180"/>
      <c r="D228" s="54"/>
      <c r="E228" s="54"/>
      <c r="F228" s="54"/>
      <c r="G228" s="54"/>
      <c r="H228" s="54"/>
      <c r="I228" s="54"/>
      <c r="J228" s="54"/>
      <c r="K228" s="180"/>
      <c r="L228" s="54"/>
      <c r="M228" s="54"/>
      <c r="N228" s="54"/>
      <c r="O228" s="54"/>
      <c r="P228" s="54"/>
      <c r="Q228" s="54"/>
      <c r="R228" s="54"/>
      <c r="S228" s="54"/>
    </row>
    <row r="229" spans="2:19" ht="15.75" customHeight="1" x14ac:dyDescent="0.2">
      <c r="B229" s="54"/>
      <c r="C229" s="180"/>
      <c r="D229" s="54"/>
      <c r="E229" s="54"/>
      <c r="F229" s="54"/>
      <c r="G229" s="54"/>
      <c r="H229" s="54"/>
      <c r="I229" s="54"/>
      <c r="J229" s="54"/>
      <c r="K229" s="180"/>
      <c r="L229" s="54"/>
      <c r="M229" s="54"/>
      <c r="N229" s="54"/>
      <c r="O229" s="54"/>
      <c r="P229" s="54"/>
      <c r="Q229" s="54"/>
      <c r="R229" s="54"/>
      <c r="S229" s="54"/>
    </row>
    <row r="230" spans="2:19" ht="15.75" customHeight="1" x14ac:dyDescent="0.2">
      <c r="B230" s="54"/>
      <c r="C230" s="180"/>
      <c r="D230" s="54"/>
      <c r="E230" s="54"/>
      <c r="F230" s="54"/>
      <c r="G230" s="54"/>
      <c r="H230" s="54"/>
      <c r="I230" s="54"/>
      <c r="J230" s="54"/>
      <c r="K230" s="180"/>
      <c r="L230" s="54"/>
      <c r="M230" s="54"/>
      <c r="N230" s="54"/>
      <c r="O230" s="54"/>
      <c r="P230" s="54"/>
      <c r="Q230" s="54"/>
      <c r="R230" s="54"/>
      <c r="S230" s="54"/>
    </row>
    <row r="231" spans="2:19" ht="15.75" customHeight="1" x14ac:dyDescent="0.2">
      <c r="B231" s="54"/>
      <c r="C231" s="180"/>
      <c r="D231" s="54"/>
      <c r="E231" s="54"/>
      <c r="F231" s="54"/>
      <c r="G231" s="54"/>
      <c r="H231" s="54"/>
      <c r="I231" s="54"/>
      <c r="J231" s="54"/>
      <c r="K231" s="180"/>
      <c r="L231" s="54"/>
      <c r="M231" s="54"/>
      <c r="N231" s="54"/>
      <c r="O231" s="54"/>
      <c r="P231" s="54"/>
      <c r="Q231" s="54"/>
      <c r="R231" s="54"/>
      <c r="S231" s="54"/>
    </row>
    <row r="232" spans="2:19" ht="15.75" customHeight="1" x14ac:dyDescent="0.2">
      <c r="B232" s="54"/>
      <c r="C232" s="180"/>
      <c r="D232" s="54"/>
      <c r="E232" s="54"/>
      <c r="F232" s="54"/>
      <c r="G232" s="54"/>
      <c r="H232" s="54"/>
      <c r="I232" s="54"/>
      <c r="J232" s="54"/>
      <c r="K232" s="180"/>
      <c r="L232" s="54"/>
      <c r="M232" s="54"/>
      <c r="N232" s="54"/>
      <c r="O232" s="54"/>
      <c r="P232" s="54"/>
      <c r="Q232" s="54"/>
      <c r="R232" s="54"/>
      <c r="S232" s="54"/>
    </row>
    <row r="233" spans="2:19" ht="15.75" customHeight="1" x14ac:dyDescent="0.2">
      <c r="B233" s="54"/>
      <c r="C233" s="180"/>
      <c r="D233" s="54"/>
      <c r="E233" s="54"/>
      <c r="F233" s="54"/>
      <c r="G233" s="54"/>
      <c r="H233" s="54"/>
      <c r="I233" s="54"/>
      <c r="J233" s="54"/>
      <c r="K233" s="180"/>
      <c r="L233" s="54"/>
      <c r="M233" s="54"/>
      <c r="N233" s="54"/>
      <c r="O233" s="54"/>
      <c r="P233" s="54"/>
      <c r="Q233" s="54"/>
      <c r="R233" s="54"/>
      <c r="S233" s="54"/>
    </row>
    <row r="234" spans="2:19" ht="15.75" customHeight="1" x14ac:dyDescent="0.2">
      <c r="B234" s="54"/>
      <c r="C234" s="180"/>
      <c r="D234" s="54"/>
      <c r="E234" s="54"/>
      <c r="F234" s="54"/>
      <c r="G234" s="54"/>
      <c r="H234" s="54"/>
      <c r="I234" s="54"/>
      <c r="J234" s="54"/>
      <c r="K234" s="180"/>
      <c r="L234" s="54"/>
      <c r="M234" s="54"/>
      <c r="N234" s="54"/>
      <c r="O234" s="54"/>
      <c r="P234" s="54"/>
      <c r="Q234" s="54"/>
      <c r="R234" s="54"/>
      <c r="S234" s="54"/>
    </row>
    <row r="235" spans="2:19" ht="15.75" customHeight="1" x14ac:dyDescent="0.2">
      <c r="B235" s="54"/>
      <c r="C235" s="180"/>
      <c r="D235" s="54"/>
      <c r="E235" s="54"/>
      <c r="F235" s="54"/>
      <c r="G235" s="54"/>
      <c r="H235" s="54"/>
      <c r="I235" s="54"/>
      <c r="J235" s="54"/>
      <c r="K235" s="180"/>
      <c r="L235" s="54"/>
      <c r="M235" s="54"/>
      <c r="N235" s="54"/>
      <c r="O235" s="54"/>
      <c r="P235" s="54"/>
      <c r="Q235" s="54"/>
      <c r="R235" s="54"/>
      <c r="S235" s="54"/>
    </row>
    <row r="236" spans="2:19" ht="15.75" customHeight="1" x14ac:dyDescent="0.2">
      <c r="B236" s="54"/>
      <c r="C236" s="180"/>
      <c r="D236" s="54"/>
      <c r="E236" s="54"/>
      <c r="F236" s="54"/>
      <c r="G236" s="54"/>
      <c r="H236" s="54"/>
      <c r="I236" s="54"/>
      <c r="J236" s="54"/>
      <c r="K236" s="180"/>
      <c r="L236" s="54"/>
      <c r="M236" s="54"/>
      <c r="N236" s="54"/>
      <c r="O236" s="54"/>
      <c r="P236" s="54"/>
      <c r="Q236" s="54"/>
      <c r="R236" s="54"/>
      <c r="S236" s="54"/>
    </row>
    <row r="237" spans="2:19" ht="15.75" customHeight="1" x14ac:dyDescent="0.2">
      <c r="B237" s="54"/>
      <c r="C237" s="180"/>
      <c r="D237" s="54"/>
      <c r="E237" s="54"/>
      <c r="F237" s="54"/>
      <c r="G237" s="54"/>
      <c r="H237" s="54"/>
      <c r="I237" s="54"/>
      <c r="J237" s="54"/>
      <c r="K237" s="180"/>
      <c r="L237" s="54"/>
      <c r="M237" s="54"/>
      <c r="N237" s="54"/>
      <c r="O237" s="54"/>
      <c r="P237" s="54"/>
      <c r="Q237" s="54"/>
      <c r="R237" s="54"/>
      <c r="S237" s="54"/>
    </row>
    <row r="238" spans="2:19" ht="15.75" customHeight="1" x14ac:dyDescent="0.2">
      <c r="B238" s="54"/>
      <c r="C238" s="180"/>
      <c r="D238" s="54"/>
      <c r="E238" s="54"/>
      <c r="F238" s="54"/>
      <c r="G238" s="54"/>
      <c r="H238" s="54"/>
      <c r="I238" s="54"/>
      <c r="J238" s="54"/>
      <c r="K238" s="180"/>
      <c r="L238" s="54"/>
      <c r="M238" s="54"/>
      <c r="N238" s="54"/>
      <c r="O238" s="54"/>
      <c r="P238" s="54"/>
      <c r="Q238" s="54"/>
      <c r="R238" s="54"/>
      <c r="S238" s="54"/>
    </row>
    <row r="239" spans="2:19" ht="15.75" customHeight="1" x14ac:dyDescent="0.2">
      <c r="B239" s="54"/>
      <c r="C239" s="180"/>
      <c r="D239" s="54"/>
      <c r="E239" s="54"/>
      <c r="F239" s="54"/>
      <c r="G239" s="54"/>
      <c r="H239" s="54"/>
      <c r="I239" s="54"/>
      <c r="J239" s="54"/>
      <c r="K239" s="180"/>
      <c r="L239" s="54"/>
      <c r="M239" s="54"/>
      <c r="N239" s="54"/>
      <c r="O239" s="54"/>
      <c r="P239" s="54"/>
      <c r="Q239" s="54"/>
      <c r="R239" s="54"/>
      <c r="S239" s="54"/>
    </row>
    <row r="240" spans="2:19" ht="15.75" customHeight="1" x14ac:dyDescent="0.2">
      <c r="B240" s="54"/>
      <c r="C240" s="180"/>
      <c r="D240" s="54"/>
      <c r="E240" s="54"/>
      <c r="F240" s="54"/>
      <c r="G240" s="54"/>
      <c r="H240" s="54"/>
      <c r="I240" s="54"/>
      <c r="J240" s="54"/>
      <c r="K240" s="180"/>
      <c r="L240" s="54"/>
      <c r="M240" s="54"/>
      <c r="N240" s="54"/>
      <c r="O240" s="54"/>
      <c r="P240" s="54"/>
      <c r="Q240" s="54"/>
      <c r="R240" s="54"/>
      <c r="S240" s="54"/>
    </row>
    <row r="241" spans="2:19" ht="15.75" customHeight="1" x14ac:dyDescent="0.2">
      <c r="B241" s="54"/>
      <c r="C241" s="180"/>
      <c r="D241" s="54"/>
      <c r="E241" s="54"/>
      <c r="F241" s="54"/>
      <c r="G241" s="54"/>
      <c r="H241" s="54"/>
      <c r="I241" s="54"/>
      <c r="J241" s="54"/>
      <c r="K241" s="180"/>
      <c r="L241" s="54"/>
      <c r="M241" s="54"/>
      <c r="N241" s="54"/>
      <c r="O241" s="54"/>
      <c r="P241" s="54"/>
      <c r="Q241" s="54"/>
      <c r="R241" s="54"/>
      <c r="S241" s="54"/>
    </row>
    <row r="242" spans="2:19" ht="15.75" customHeight="1" x14ac:dyDescent="0.2">
      <c r="B242" s="54"/>
      <c r="C242" s="180"/>
      <c r="D242" s="54"/>
      <c r="E242" s="54"/>
      <c r="F242" s="54"/>
      <c r="G242" s="54"/>
      <c r="H242" s="54"/>
      <c r="I242" s="54"/>
      <c r="J242" s="54"/>
      <c r="K242" s="180"/>
      <c r="L242" s="54"/>
      <c r="M242" s="54"/>
      <c r="N242" s="54"/>
      <c r="O242" s="54"/>
      <c r="P242" s="54"/>
      <c r="Q242" s="54"/>
      <c r="R242" s="54"/>
      <c r="S242" s="54"/>
    </row>
    <row r="243" spans="2:19" ht="15.75" customHeight="1" x14ac:dyDescent="0.2">
      <c r="B243" s="54"/>
      <c r="C243" s="180"/>
      <c r="D243" s="54"/>
      <c r="E243" s="54"/>
      <c r="F243" s="54"/>
      <c r="G243" s="54"/>
      <c r="H243" s="54"/>
      <c r="I243" s="54"/>
      <c r="J243" s="54"/>
      <c r="K243" s="180"/>
      <c r="L243" s="54"/>
      <c r="M243" s="54"/>
      <c r="N243" s="54"/>
      <c r="O243" s="54"/>
      <c r="P243" s="54"/>
      <c r="Q243" s="54"/>
      <c r="R243" s="54"/>
      <c r="S243" s="54"/>
    </row>
    <row r="244" spans="2:19" ht="15.75" customHeight="1" x14ac:dyDescent="0.2">
      <c r="B244" s="54"/>
      <c r="C244" s="180"/>
      <c r="D244" s="54"/>
      <c r="E244" s="54"/>
      <c r="F244" s="54"/>
      <c r="G244" s="54"/>
      <c r="H244" s="54"/>
      <c r="I244" s="54"/>
      <c r="J244" s="54"/>
      <c r="K244" s="180"/>
      <c r="L244" s="54"/>
      <c r="M244" s="54"/>
      <c r="N244" s="54"/>
      <c r="O244" s="54"/>
      <c r="P244" s="54"/>
      <c r="Q244" s="54"/>
      <c r="R244" s="54"/>
      <c r="S244" s="54"/>
    </row>
    <row r="245" spans="2:19" ht="15.75" customHeight="1" x14ac:dyDescent="0.2">
      <c r="B245" s="54"/>
      <c r="C245" s="180"/>
      <c r="D245" s="54"/>
      <c r="E245" s="54"/>
      <c r="F245" s="54"/>
      <c r="G245" s="54"/>
      <c r="H245" s="54"/>
      <c r="I245" s="54"/>
      <c r="J245" s="54"/>
      <c r="K245" s="180"/>
      <c r="L245" s="54"/>
      <c r="M245" s="54"/>
      <c r="N245" s="54"/>
      <c r="O245" s="54"/>
      <c r="P245" s="54"/>
      <c r="Q245" s="54"/>
      <c r="R245" s="54"/>
      <c r="S245" s="54"/>
    </row>
    <row r="246" spans="2:19" ht="15.75" customHeight="1" x14ac:dyDescent="0.2">
      <c r="B246" s="54"/>
      <c r="C246" s="180"/>
      <c r="D246" s="54"/>
      <c r="E246" s="54"/>
      <c r="F246" s="54"/>
      <c r="G246" s="54"/>
      <c r="H246" s="54"/>
      <c r="I246" s="54"/>
      <c r="J246" s="54"/>
      <c r="K246" s="180"/>
      <c r="L246" s="54"/>
      <c r="M246" s="54"/>
      <c r="N246" s="54"/>
      <c r="O246" s="54"/>
      <c r="P246" s="54"/>
      <c r="Q246" s="54"/>
      <c r="R246" s="54"/>
      <c r="S246" s="54"/>
    </row>
    <row r="247" spans="2:19" ht="15.75" customHeight="1" x14ac:dyDescent="0.2">
      <c r="B247" s="54"/>
      <c r="C247" s="180"/>
      <c r="D247" s="54"/>
      <c r="E247" s="54"/>
      <c r="F247" s="54"/>
      <c r="G247" s="54"/>
      <c r="H247" s="54"/>
      <c r="I247" s="54"/>
      <c r="J247" s="54"/>
      <c r="K247" s="180"/>
      <c r="L247" s="54"/>
      <c r="M247" s="54"/>
      <c r="N247" s="54"/>
      <c r="O247" s="54"/>
      <c r="P247" s="54"/>
      <c r="Q247" s="54"/>
      <c r="R247" s="54"/>
      <c r="S247" s="54"/>
    </row>
    <row r="248" spans="2:19" ht="15.75" customHeight="1" x14ac:dyDescent="0.2">
      <c r="B248" s="54"/>
      <c r="C248" s="180"/>
      <c r="D248" s="54"/>
      <c r="E248" s="54"/>
      <c r="F248" s="54"/>
      <c r="G248" s="54"/>
      <c r="H248" s="54"/>
      <c r="I248" s="54"/>
      <c r="J248" s="54"/>
      <c r="K248" s="180"/>
      <c r="L248" s="54"/>
      <c r="M248" s="54"/>
      <c r="N248" s="54"/>
      <c r="O248" s="54"/>
      <c r="P248" s="54"/>
      <c r="Q248" s="54"/>
      <c r="R248" s="54"/>
      <c r="S248" s="54"/>
    </row>
    <row r="249" spans="2:19" ht="15.75" customHeight="1" x14ac:dyDescent="0.2">
      <c r="B249" s="54"/>
      <c r="C249" s="180"/>
      <c r="D249" s="54"/>
      <c r="E249" s="54"/>
      <c r="F249" s="54"/>
      <c r="G249" s="54"/>
      <c r="H249" s="54"/>
      <c r="I249" s="54"/>
      <c r="J249" s="54"/>
      <c r="K249" s="180"/>
      <c r="L249" s="54"/>
      <c r="M249" s="54"/>
      <c r="N249" s="54"/>
      <c r="O249" s="54"/>
      <c r="P249" s="54"/>
      <c r="Q249" s="54"/>
      <c r="R249" s="54"/>
      <c r="S249" s="54"/>
    </row>
    <row r="250" spans="2:19" ht="15.75" customHeight="1" x14ac:dyDescent="0.2">
      <c r="B250" s="54"/>
      <c r="C250" s="180"/>
      <c r="D250" s="54"/>
      <c r="E250" s="54"/>
      <c r="F250" s="54"/>
      <c r="G250" s="54"/>
      <c r="H250" s="54"/>
      <c r="I250" s="54"/>
      <c r="J250" s="54"/>
      <c r="K250" s="180"/>
      <c r="L250" s="54"/>
      <c r="M250" s="54"/>
      <c r="N250" s="54"/>
      <c r="O250" s="54"/>
      <c r="P250" s="54"/>
      <c r="Q250" s="54"/>
      <c r="R250" s="54"/>
      <c r="S250" s="54"/>
    </row>
    <row r="251" spans="2:19" ht="15.75" customHeight="1" x14ac:dyDescent="0.2">
      <c r="B251" s="54"/>
      <c r="C251" s="180"/>
      <c r="D251" s="54"/>
      <c r="E251" s="54"/>
      <c r="F251" s="54"/>
      <c r="G251" s="54"/>
      <c r="H251" s="54"/>
      <c r="I251" s="54"/>
      <c r="J251" s="54"/>
      <c r="K251" s="180"/>
      <c r="L251" s="54"/>
      <c r="M251" s="54"/>
      <c r="N251" s="54"/>
      <c r="O251" s="54"/>
      <c r="P251" s="54"/>
      <c r="Q251" s="54"/>
      <c r="R251" s="54"/>
      <c r="S251" s="54"/>
    </row>
    <row r="252" spans="2:19" ht="15.75" customHeight="1" x14ac:dyDescent="0.2">
      <c r="B252" s="54"/>
      <c r="C252" s="180"/>
      <c r="D252" s="54"/>
      <c r="E252" s="54"/>
      <c r="F252" s="54"/>
      <c r="G252" s="54"/>
      <c r="H252" s="54"/>
      <c r="I252" s="54"/>
      <c r="J252" s="54"/>
      <c r="K252" s="180"/>
      <c r="L252" s="54"/>
      <c r="M252" s="54"/>
      <c r="N252" s="54"/>
      <c r="O252" s="54"/>
      <c r="P252" s="54"/>
      <c r="Q252" s="54"/>
      <c r="R252" s="54"/>
      <c r="S252" s="54"/>
    </row>
    <row r="253" spans="2:19" ht="15.75" customHeight="1" x14ac:dyDescent="0.2">
      <c r="B253" s="54"/>
      <c r="C253" s="180"/>
      <c r="D253" s="54"/>
      <c r="E253" s="54"/>
      <c r="F253" s="54"/>
      <c r="G253" s="54"/>
      <c r="H253" s="54"/>
      <c r="I253" s="54"/>
      <c r="J253" s="54"/>
      <c r="K253" s="180"/>
      <c r="L253" s="54"/>
      <c r="M253" s="54"/>
      <c r="N253" s="54"/>
      <c r="O253" s="54"/>
      <c r="P253" s="54"/>
      <c r="Q253" s="54"/>
      <c r="R253" s="54"/>
      <c r="S253" s="54"/>
    </row>
    <row r="254" spans="2:19" ht="15.75" customHeight="1" x14ac:dyDescent="0.2">
      <c r="B254" s="54"/>
      <c r="C254" s="180"/>
      <c r="D254" s="54"/>
      <c r="E254" s="54"/>
      <c r="F254" s="54"/>
      <c r="G254" s="54"/>
      <c r="H254" s="54"/>
      <c r="I254" s="54"/>
      <c r="J254" s="54"/>
      <c r="K254" s="180"/>
      <c r="L254" s="54"/>
      <c r="M254" s="54"/>
      <c r="N254" s="54"/>
      <c r="O254" s="54"/>
      <c r="P254" s="54"/>
      <c r="Q254" s="54"/>
      <c r="R254" s="54"/>
      <c r="S254" s="54"/>
    </row>
    <row r="255" spans="2:19" ht="15.75" customHeight="1" x14ac:dyDescent="0.2">
      <c r="B255" s="54"/>
      <c r="C255" s="180"/>
      <c r="D255" s="54"/>
      <c r="E255" s="54"/>
      <c r="F255" s="54"/>
      <c r="G255" s="54"/>
      <c r="H255" s="54"/>
      <c r="I255" s="54"/>
      <c r="J255" s="54"/>
      <c r="K255" s="180"/>
      <c r="L255" s="54"/>
      <c r="M255" s="54"/>
      <c r="N255" s="54"/>
      <c r="O255" s="54"/>
      <c r="P255" s="54"/>
      <c r="Q255" s="54"/>
      <c r="R255" s="54"/>
      <c r="S255" s="54"/>
    </row>
    <row r="256" spans="2:19" ht="15.75" customHeight="1" x14ac:dyDescent="0.2">
      <c r="B256" s="54"/>
      <c r="C256" s="180"/>
      <c r="D256" s="54"/>
      <c r="E256" s="54"/>
      <c r="F256" s="54"/>
      <c r="G256" s="54"/>
      <c r="H256" s="54"/>
      <c r="I256" s="54"/>
      <c r="J256" s="54"/>
      <c r="K256" s="180"/>
      <c r="L256" s="54"/>
      <c r="M256" s="54"/>
      <c r="N256" s="54"/>
      <c r="O256" s="54"/>
      <c r="P256" s="54"/>
      <c r="Q256" s="54"/>
      <c r="R256" s="54"/>
      <c r="S256" s="54"/>
    </row>
    <row r="257" spans="2:19" ht="15.75" customHeight="1" x14ac:dyDescent="0.2">
      <c r="B257" s="54"/>
      <c r="C257" s="180"/>
      <c r="D257" s="54"/>
      <c r="E257" s="54"/>
      <c r="F257" s="54"/>
      <c r="G257" s="54"/>
      <c r="H257" s="54"/>
      <c r="I257" s="54"/>
      <c r="J257" s="54"/>
      <c r="K257" s="180"/>
      <c r="L257" s="54"/>
      <c r="M257" s="54"/>
      <c r="N257" s="54"/>
      <c r="O257" s="54"/>
      <c r="P257" s="54"/>
      <c r="Q257" s="54"/>
      <c r="R257" s="54"/>
      <c r="S257" s="54"/>
    </row>
    <row r="258" spans="2:19" ht="15.75" customHeight="1" x14ac:dyDescent="0.2">
      <c r="B258" s="54"/>
      <c r="C258" s="180"/>
      <c r="D258" s="54"/>
      <c r="E258" s="54"/>
      <c r="F258" s="54"/>
      <c r="G258" s="54"/>
      <c r="H258" s="54"/>
      <c r="I258" s="54"/>
      <c r="J258" s="54"/>
      <c r="K258" s="180"/>
      <c r="L258" s="54"/>
      <c r="M258" s="54"/>
      <c r="N258" s="54"/>
      <c r="O258" s="54"/>
      <c r="P258" s="54"/>
      <c r="Q258" s="54"/>
      <c r="R258" s="54"/>
      <c r="S258" s="54"/>
    </row>
    <row r="259" spans="2:19" ht="15.75" customHeight="1" x14ac:dyDescent="0.2">
      <c r="B259" s="54"/>
      <c r="C259" s="180"/>
      <c r="D259" s="54"/>
      <c r="E259" s="54"/>
      <c r="F259" s="54"/>
      <c r="G259" s="54"/>
      <c r="H259" s="54"/>
      <c r="I259" s="54"/>
      <c r="J259" s="54"/>
      <c r="K259" s="180"/>
      <c r="L259" s="54"/>
      <c r="M259" s="54"/>
      <c r="N259" s="54"/>
      <c r="O259" s="54"/>
      <c r="P259" s="54"/>
      <c r="Q259" s="54"/>
      <c r="R259" s="54"/>
      <c r="S259" s="54"/>
    </row>
    <row r="260" spans="2:19" ht="15.75" customHeight="1" x14ac:dyDescent="0.2">
      <c r="B260" s="54"/>
      <c r="C260" s="180"/>
      <c r="D260" s="54"/>
      <c r="E260" s="54"/>
      <c r="F260" s="54"/>
      <c r="G260" s="54"/>
      <c r="H260" s="54"/>
      <c r="I260" s="54"/>
      <c r="J260" s="54"/>
      <c r="K260" s="180"/>
      <c r="L260" s="54"/>
      <c r="M260" s="54"/>
      <c r="N260" s="54"/>
      <c r="O260" s="54"/>
      <c r="P260" s="54"/>
      <c r="Q260" s="54"/>
      <c r="R260" s="54"/>
      <c r="S260" s="54"/>
    </row>
    <row r="261" spans="2:19" ht="15.75" customHeight="1" x14ac:dyDescent="0.2">
      <c r="B261" s="54"/>
      <c r="C261" s="180"/>
      <c r="D261" s="54"/>
      <c r="E261" s="54"/>
      <c r="F261" s="54"/>
      <c r="G261" s="54"/>
      <c r="H261" s="54"/>
      <c r="I261" s="54"/>
      <c r="J261" s="54"/>
      <c r="K261" s="180"/>
      <c r="L261" s="54"/>
      <c r="M261" s="54"/>
      <c r="N261" s="54"/>
      <c r="O261" s="54"/>
      <c r="P261" s="54"/>
      <c r="Q261" s="54"/>
      <c r="R261" s="54"/>
      <c r="S261" s="54"/>
    </row>
    <row r="262" spans="2:19" ht="15.75" customHeight="1" x14ac:dyDescent="0.2">
      <c r="B262" s="54"/>
      <c r="C262" s="180"/>
      <c r="D262" s="54"/>
      <c r="E262" s="54"/>
      <c r="F262" s="54"/>
      <c r="G262" s="54"/>
      <c r="H262" s="54"/>
      <c r="I262" s="54"/>
      <c r="J262" s="54"/>
      <c r="K262" s="180"/>
      <c r="L262" s="54"/>
      <c r="M262" s="54"/>
      <c r="N262" s="54"/>
      <c r="O262" s="54"/>
      <c r="P262" s="54"/>
      <c r="Q262" s="54"/>
      <c r="R262" s="54"/>
      <c r="S262" s="54"/>
    </row>
    <row r="263" spans="2:19" ht="15.75" customHeight="1" x14ac:dyDescent="0.2">
      <c r="B263" s="54"/>
      <c r="C263" s="180"/>
      <c r="D263" s="54"/>
      <c r="E263" s="54"/>
      <c r="F263" s="54"/>
      <c r="G263" s="54"/>
      <c r="H263" s="54"/>
      <c r="I263" s="54"/>
      <c r="J263" s="54"/>
      <c r="K263" s="180"/>
      <c r="L263" s="54"/>
      <c r="M263" s="54"/>
      <c r="N263" s="54"/>
      <c r="O263" s="54"/>
      <c r="P263" s="54"/>
      <c r="Q263" s="54"/>
      <c r="R263" s="54"/>
      <c r="S263" s="54"/>
    </row>
    <row r="264" spans="2:19" ht="15.75" customHeight="1" x14ac:dyDescent="0.2">
      <c r="B264" s="54"/>
      <c r="C264" s="180"/>
      <c r="D264" s="54"/>
      <c r="E264" s="54"/>
      <c r="F264" s="54"/>
      <c r="G264" s="54"/>
      <c r="H264" s="54"/>
      <c r="I264" s="54"/>
      <c r="J264" s="54"/>
      <c r="K264" s="180"/>
      <c r="L264" s="54"/>
      <c r="M264" s="54"/>
      <c r="N264" s="54"/>
      <c r="O264" s="54"/>
      <c r="P264" s="54"/>
      <c r="Q264" s="54"/>
      <c r="R264" s="54"/>
      <c r="S264" s="54"/>
    </row>
    <row r="265" spans="2:19" ht="15.75" customHeight="1" x14ac:dyDescent="0.2">
      <c r="B265" s="54"/>
      <c r="C265" s="180"/>
      <c r="D265" s="54"/>
      <c r="E265" s="54"/>
      <c r="F265" s="54"/>
      <c r="G265" s="54"/>
      <c r="H265" s="54"/>
      <c r="I265" s="54"/>
      <c r="J265" s="54"/>
      <c r="K265" s="180"/>
      <c r="L265" s="54"/>
      <c r="M265" s="54"/>
      <c r="N265" s="54"/>
      <c r="O265" s="54"/>
      <c r="P265" s="54"/>
      <c r="Q265" s="54"/>
      <c r="R265" s="54"/>
      <c r="S265" s="54"/>
    </row>
    <row r="266" spans="2:19" ht="15.75" customHeight="1" x14ac:dyDescent="0.2">
      <c r="B266" s="54"/>
      <c r="C266" s="180"/>
      <c r="D266" s="54"/>
      <c r="E266" s="54"/>
      <c r="F266" s="54"/>
      <c r="G266" s="54"/>
      <c r="H266" s="54"/>
      <c r="I266" s="54"/>
      <c r="J266" s="54"/>
      <c r="K266" s="180"/>
      <c r="L266" s="54"/>
      <c r="M266" s="54"/>
      <c r="N266" s="54"/>
      <c r="O266" s="54"/>
      <c r="P266" s="54"/>
      <c r="Q266" s="54"/>
      <c r="R266" s="54"/>
      <c r="S266" s="54"/>
    </row>
    <row r="267" spans="2:19" ht="15.75" customHeight="1" x14ac:dyDescent="0.2">
      <c r="B267" s="54"/>
      <c r="C267" s="180"/>
      <c r="D267" s="54"/>
      <c r="E267" s="54"/>
      <c r="F267" s="54"/>
      <c r="G267" s="54"/>
      <c r="H267" s="54"/>
      <c r="I267" s="54"/>
      <c r="J267" s="54"/>
      <c r="K267" s="180"/>
      <c r="L267" s="54"/>
      <c r="M267" s="54"/>
      <c r="N267" s="54"/>
      <c r="O267" s="54"/>
      <c r="P267" s="54"/>
      <c r="Q267" s="54"/>
      <c r="R267" s="54"/>
      <c r="S267" s="54"/>
    </row>
    <row r="268" spans="2:19" ht="15.75" customHeight="1" x14ac:dyDescent="0.2">
      <c r="B268" s="54"/>
      <c r="C268" s="180"/>
      <c r="D268" s="54"/>
      <c r="E268" s="54"/>
      <c r="F268" s="54"/>
      <c r="G268" s="54"/>
      <c r="H268" s="54"/>
      <c r="I268" s="54"/>
      <c r="J268" s="54"/>
      <c r="K268" s="180"/>
      <c r="L268" s="54"/>
      <c r="M268" s="54"/>
      <c r="N268" s="54"/>
      <c r="O268" s="54"/>
      <c r="P268" s="54"/>
      <c r="Q268" s="54"/>
      <c r="R268" s="54"/>
      <c r="S268" s="54"/>
    </row>
    <row r="269" spans="2:19" ht="15.75" customHeight="1" x14ac:dyDescent="0.2">
      <c r="B269" s="54"/>
      <c r="C269" s="180"/>
      <c r="D269" s="54"/>
      <c r="E269" s="54"/>
      <c r="F269" s="54"/>
      <c r="G269" s="54"/>
      <c r="H269" s="54"/>
      <c r="I269" s="54"/>
      <c r="J269" s="54"/>
      <c r="K269" s="180"/>
      <c r="L269" s="54"/>
      <c r="M269" s="54"/>
      <c r="N269" s="54"/>
      <c r="O269" s="54"/>
      <c r="P269" s="54"/>
      <c r="Q269" s="54"/>
      <c r="R269" s="54"/>
      <c r="S269" s="54"/>
    </row>
    <row r="270" spans="2:19" ht="15.75" customHeight="1" x14ac:dyDescent="0.2">
      <c r="B270" s="54"/>
      <c r="C270" s="180"/>
      <c r="D270" s="54"/>
      <c r="E270" s="54"/>
      <c r="F270" s="54"/>
      <c r="G270" s="54"/>
      <c r="H270" s="54"/>
      <c r="I270" s="54"/>
      <c r="J270" s="54"/>
      <c r="K270" s="180"/>
      <c r="L270" s="54"/>
      <c r="M270" s="54"/>
      <c r="N270" s="54"/>
      <c r="O270" s="54"/>
      <c r="P270" s="54"/>
      <c r="Q270" s="54"/>
      <c r="R270" s="54"/>
      <c r="S270" s="54"/>
    </row>
    <row r="271" spans="2:19" ht="15.75" customHeight="1" x14ac:dyDescent="0.2">
      <c r="B271" s="54"/>
      <c r="C271" s="180"/>
      <c r="D271" s="54"/>
      <c r="E271" s="54"/>
      <c r="F271" s="54"/>
      <c r="G271" s="54"/>
      <c r="H271" s="54"/>
      <c r="I271" s="54"/>
      <c r="J271" s="54"/>
      <c r="K271" s="180"/>
      <c r="L271" s="54"/>
      <c r="M271" s="54"/>
      <c r="N271" s="54"/>
      <c r="O271" s="54"/>
      <c r="P271" s="54"/>
      <c r="Q271" s="54"/>
      <c r="R271" s="54"/>
      <c r="S271" s="54"/>
    </row>
    <row r="272" spans="2:19" ht="15.75" customHeight="1" x14ac:dyDescent="0.2">
      <c r="B272" s="54"/>
      <c r="C272" s="180"/>
      <c r="D272" s="54"/>
      <c r="E272" s="54"/>
      <c r="F272" s="54"/>
      <c r="G272" s="54"/>
      <c r="H272" s="54"/>
      <c r="I272" s="54"/>
      <c r="J272" s="54"/>
      <c r="K272" s="180"/>
      <c r="L272" s="54"/>
      <c r="M272" s="54"/>
      <c r="N272" s="54"/>
      <c r="O272" s="54"/>
      <c r="P272" s="54"/>
      <c r="Q272" s="54"/>
      <c r="R272" s="54"/>
      <c r="S272" s="54"/>
    </row>
    <row r="273" spans="2:19" ht="15.75" customHeight="1" x14ac:dyDescent="0.2">
      <c r="B273" s="54"/>
      <c r="C273" s="180"/>
      <c r="D273" s="54"/>
      <c r="E273" s="54"/>
      <c r="F273" s="54"/>
      <c r="G273" s="54"/>
      <c r="H273" s="54"/>
      <c r="I273" s="54"/>
      <c r="J273" s="54"/>
      <c r="K273" s="180"/>
      <c r="L273" s="54"/>
      <c r="M273" s="54"/>
      <c r="N273" s="54"/>
      <c r="O273" s="54"/>
      <c r="P273" s="54"/>
      <c r="Q273" s="54"/>
      <c r="R273" s="54"/>
      <c r="S273" s="54"/>
    </row>
    <row r="274" spans="2:19" ht="15.75" customHeight="1" x14ac:dyDescent="0.2">
      <c r="B274" s="54"/>
      <c r="C274" s="180"/>
      <c r="D274" s="54"/>
      <c r="E274" s="54"/>
      <c r="F274" s="54"/>
      <c r="G274" s="54"/>
      <c r="H274" s="54"/>
      <c r="I274" s="54"/>
      <c r="J274" s="54"/>
      <c r="K274" s="180"/>
      <c r="L274" s="54"/>
      <c r="M274" s="54"/>
      <c r="N274" s="54"/>
      <c r="O274" s="54"/>
      <c r="P274" s="54"/>
      <c r="Q274" s="54"/>
      <c r="R274" s="54"/>
      <c r="S274" s="54"/>
    </row>
    <row r="275" spans="2:19" ht="15.75" customHeight="1" x14ac:dyDescent="0.2">
      <c r="B275" s="54"/>
      <c r="C275" s="180"/>
      <c r="D275" s="54"/>
      <c r="E275" s="54"/>
      <c r="F275" s="54"/>
      <c r="G275" s="54"/>
      <c r="H275" s="54"/>
      <c r="I275" s="54"/>
      <c r="J275" s="54"/>
      <c r="K275" s="180"/>
      <c r="L275" s="54"/>
      <c r="M275" s="54"/>
      <c r="N275" s="54"/>
      <c r="O275" s="54"/>
      <c r="P275" s="54"/>
      <c r="Q275" s="54"/>
      <c r="R275" s="54"/>
      <c r="S275" s="54"/>
    </row>
    <row r="276" spans="2:19" ht="15.75" customHeight="1" x14ac:dyDescent="0.2">
      <c r="B276" s="54"/>
      <c r="C276" s="180"/>
      <c r="D276" s="54"/>
      <c r="E276" s="54"/>
      <c r="F276" s="54"/>
      <c r="G276" s="54"/>
      <c r="H276" s="54"/>
      <c r="I276" s="54"/>
      <c r="J276" s="54"/>
      <c r="K276" s="180"/>
      <c r="L276" s="54"/>
      <c r="M276" s="54"/>
      <c r="N276" s="54"/>
      <c r="O276" s="54"/>
      <c r="P276" s="54"/>
      <c r="Q276" s="54"/>
      <c r="R276" s="54"/>
      <c r="S276" s="54"/>
    </row>
    <row r="277" spans="2:19" ht="15.75" customHeight="1" x14ac:dyDescent="0.2">
      <c r="B277" s="54"/>
      <c r="C277" s="180"/>
      <c r="D277" s="54"/>
      <c r="E277" s="54"/>
      <c r="F277" s="54"/>
      <c r="G277" s="54"/>
      <c r="H277" s="54"/>
      <c r="I277" s="54"/>
      <c r="J277" s="54"/>
      <c r="K277" s="180"/>
      <c r="L277" s="54"/>
      <c r="M277" s="54"/>
      <c r="N277" s="54"/>
      <c r="O277" s="54"/>
      <c r="P277" s="54"/>
      <c r="Q277" s="54"/>
      <c r="R277" s="54"/>
      <c r="S277" s="54"/>
    </row>
    <row r="278" spans="2:19" ht="15.75" customHeight="1" x14ac:dyDescent="0.2">
      <c r="B278" s="54"/>
      <c r="C278" s="180"/>
      <c r="D278" s="54"/>
      <c r="E278" s="54"/>
      <c r="F278" s="54"/>
      <c r="G278" s="54"/>
      <c r="H278" s="54"/>
      <c r="I278" s="54"/>
      <c r="J278" s="54"/>
      <c r="K278" s="180"/>
      <c r="L278" s="54"/>
      <c r="M278" s="54"/>
      <c r="N278" s="54"/>
      <c r="O278" s="54"/>
      <c r="P278" s="54"/>
      <c r="Q278" s="54"/>
      <c r="R278" s="54"/>
      <c r="S278" s="54"/>
    </row>
    <row r="279" spans="2:19" ht="15.75" customHeight="1" x14ac:dyDescent="0.2">
      <c r="B279" s="54"/>
      <c r="C279" s="180"/>
      <c r="D279" s="54"/>
      <c r="E279" s="54"/>
      <c r="F279" s="54"/>
      <c r="G279" s="54"/>
      <c r="H279" s="54"/>
      <c r="I279" s="54"/>
      <c r="J279" s="54"/>
      <c r="K279" s="180"/>
      <c r="L279" s="54"/>
      <c r="M279" s="54"/>
      <c r="N279" s="54"/>
      <c r="O279" s="54"/>
      <c r="P279" s="54"/>
      <c r="Q279" s="54"/>
      <c r="R279" s="54"/>
      <c r="S279" s="54"/>
    </row>
    <row r="280" spans="2:19" ht="15.75" customHeight="1" x14ac:dyDescent="0.2">
      <c r="B280" s="54"/>
      <c r="C280" s="180"/>
      <c r="D280" s="54"/>
      <c r="E280" s="54"/>
      <c r="F280" s="54"/>
      <c r="G280" s="54"/>
      <c r="H280" s="54"/>
      <c r="I280" s="54"/>
      <c r="J280" s="54"/>
      <c r="K280" s="180"/>
      <c r="L280" s="54"/>
      <c r="M280" s="54"/>
      <c r="N280" s="54"/>
      <c r="O280" s="54"/>
      <c r="P280" s="54"/>
      <c r="Q280" s="54"/>
      <c r="R280" s="54"/>
      <c r="S280" s="54"/>
    </row>
    <row r="281" spans="2:19" ht="15.75" customHeight="1" x14ac:dyDescent="0.2">
      <c r="B281" s="54"/>
      <c r="C281" s="180"/>
      <c r="D281" s="54"/>
      <c r="E281" s="54"/>
      <c r="F281" s="54"/>
      <c r="G281" s="54"/>
      <c r="H281" s="54"/>
      <c r="I281" s="54"/>
      <c r="J281" s="54"/>
      <c r="K281" s="180"/>
      <c r="L281" s="54"/>
      <c r="M281" s="54"/>
      <c r="N281" s="54"/>
      <c r="O281" s="54"/>
      <c r="P281" s="54"/>
      <c r="Q281" s="54"/>
      <c r="R281" s="54"/>
      <c r="S281" s="54"/>
    </row>
    <row r="282" spans="2:19" ht="15.75" customHeight="1" x14ac:dyDescent="0.2">
      <c r="B282" s="54"/>
      <c r="C282" s="180"/>
      <c r="D282" s="54"/>
      <c r="E282" s="54"/>
      <c r="F282" s="54"/>
      <c r="G282" s="54"/>
      <c r="H282" s="54"/>
      <c r="I282" s="54"/>
      <c r="J282" s="54"/>
      <c r="K282" s="180"/>
      <c r="L282" s="54"/>
      <c r="M282" s="54"/>
      <c r="N282" s="54"/>
      <c r="O282" s="54"/>
      <c r="P282" s="54"/>
      <c r="Q282" s="54"/>
      <c r="R282" s="54"/>
      <c r="S282" s="54"/>
    </row>
    <row r="283" spans="2:19" ht="15.75" customHeight="1" x14ac:dyDescent="0.2">
      <c r="B283" s="54"/>
      <c r="C283" s="180"/>
      <c r="D283" s="54"/>
      <c r="E283" s="54"/>
      <c r="F283" s="54"/>
      <c r="G283" s="54"/>
      <c r="H283" s="54"/>
      <c r="I283" s="54"/>
      <c r="J283" s="54"/>
      <c r="K283" s="180"/>
      <c r="L283" s="54"/>
      <c r="M283" s="54"/>
      <c r="N283" s="54"/>
      <c r="O283" s="54"/>
      <c r="P283" s="54"/>
      <c r="Q283" s="54"/>
      <c r="R283" s="54"/>
      <c r="S283" s="54"/>
    </row>
    <row r="284" spans="2:19" ht="15.75" customHeight="1" x14ac:dyDescent="0.2">
      <c r="B284" s="54"/>
      <c r="C284" s="180"/>
      <c r="D284" s="54"/>
      <c r="E284" s="54"/>
      <c r="F284" s="54"/>
      <c r="G284" s="54"/>
      <c r="H284" s="54"/>
      <c r="I284" s="54"/>
      <c r="J284" s="54"/>
      <c r="K284" s="180"/>
      <c r="L284" s="54"/>
      <c r="M284" s="54"/>
      <c r="N284" s="54"/>
      <c r="O284" s="54"/>
      <c r="P284" s="54"/>
      <c r="Q284" s="54"/>
      <c r="R284" s="54"/>
      <c r="S284" s="54"/>
    </row>
    <row r="285" spans="2:19" ht="15.75" customHeight="1" x14ac:dyDescent="0.2">
      <c r="B285" s="54"/>
      <c r="C285" s="180"/>
      <c r="D285" s="54"/>
      <c r="E285" s="54"/>
      <c r="F285" s="54"/>
      <c r="G285" s="54"/>
      <c r="H285" s="54"/>
      <c r="I285" s="54"/>
      <c r="J285" s="54"/>
      <c r="K285" s="180"/>
      <c r="L285" s="54"/>
      <c r="M285" s="54"/>
      <c r="N285" s="54"/>
      <c r="O285" s="54"/>
      <c r="P285" s="54"/>
      <c r="Q285" s="54"/>
      <c r="R285" s="54"/>
      <c r="S285" s="54"/>
    </row>
    <row r="286" spans="2:19" ht="15.75" customHeight="1" x14ac:dyDescent="0.2">
      <c r="B286" s="54"/>
      <c r="C286" s="180"/>
      <c r="D286" s="54"/>
      <c r="E286" s="54"/>
      <c r="F286" s="54"/>
      <c r="G286" s="54"/>
      <c r="H286" s="54"/>
      <c r="I286" s="54"/>
      <c r="J286" s="54"/>
      <c r="K286" s="180"/>
      <c r="L286" s="54"/>
      <c r="M286" s="54"/>
      <c r="N286" s="54"/>
      <c r="O286" s="54"/>
      <c r="P286" s="54"/>
      <c r="Q286" s="54"/>
      <c r="R286" s="54"/>
      <c r="S286" s="54"/>
    </row>
    <row r="287" spans="2:19" ht="15.75" customHeight="1" x14ac:dyDescent="0.2">
      <c r="B287" s="54"/>
      <c r="C287" s="180"/>
      <c r="D287" s="54"/>
      <c r="E287" s="54"/>
      <c r="F287" s="54"/>
      <c r="G287" s="54"/>
      <c r="H287" s="54"/>
      <c r="I287" s="54"/>
      <c r="J287" s="54"/>
      <c r="K287" s="180"/>
      <c r="L287" s="54"/>
      <c r="M287" s="54"/>
      <c r="N287" s="54"/>
      <c r="O287" s="54"/>
      <c r="P287" s="54"/>
      <c r="Q287" s="54"/>
      <c r="R287" s="54"/>
      <c r="S287" s="54"/>
    </row>
    <row r="288" spans="2:19" ht="15.75" customHeight="1" x14ac:dyDescent="0.2">
      <c r="B288" s="54"/>
      <c r="C288" s="180"/>
      <c r="D288" s="54"/>
      <c r="E288" s="54"/>
      <c r="F288" s="54"/>
      <c r="G288" s="54"/>
      <c r="H288" s="54"/>
      <c r="I288" s="54"/>
      <c r="J288" s="54"/>
      <c r="K288" s="180"/>
      <c r="L288" s="54"/>
      <c r="M288" s="54"/>
      <c r="N288" s="54"/>
      <c r="O288" s="54"/>
      <c r="P288" s="54"/>
      <c r="Q288" s="54"/>
      <c r="R288" s="54"/>
      <c r="S288" s="54"/>
    </row>
    <row r="289" spans="2:19" ht="15.75" customHeight="1" x14ac:dyDescent="0.2">
      <c r="B289" s="54"/>
      <c r="C289" s="180"/>
      <c r="D289" s="54"/>
      <c r="E289" s="54"/>
      <c r="F289" s="54"/>
      <c r="G289" s="54"/>
      <c r="H289" s="54"/>
      <c r="I289" s="54"/>
      <c r="J289" s="54"/>
      <c r="K289" s="180"/>
      <c r="L289" s="54"/>
      <c r="M289" s="54"/>
      <c r="N289" s="54"/>
      <c r="O289" s="54"/>
      <c r="P289" s="54"/>
      <c r="Q289" s="54"/>
      <c r="R289" s="54"/>
      <c r="S289" s="54"/>
    </row>
    <row r="290" spans="2:19" ht="15.75" customHeight="1" x14ac:dyDescent="0.2">
      <c r="B290" s="54"/>
      <c r="C290" s="180"/>
      <c r="D290" s="54"/>
      <c r="E290" s="54"/>
      <c r="F290" s="54"/>
      <c r="G290" s="54"/>
      <c r="H290" s="54"/>
      <c r="I290" s="54"/>
      <c r="J290" s="54"/>
      <c r="K290" s="180"/>
      <c r="L290" s="54"/>
      <c r="M290" s="54"/>
      <c r="N290" s="54"/>
      <c r="O290" s="54"/>
      <c r="P290" s="54"/>
      <c r="Q290" s="54"/>
      <c r="R290" s="54"/>
      <c r="S290" s="54"/>
    </row>
    <row r="291" spans="2:19" ht="15.75" customHeight="1" x14ac:dyDescent="0.2">
      <c r="B291" s="54"/>
      <c r="C291" s="180"/>
      <c r="D291" s="54"/>
      <c r="E291" s="54"/>
      <c r="F291" s="54"/>
      <c r="G291" s="54"/>
      <c r="H291" s="54"/>
      <c r="I291" s="54"/>
      <c r="J291" s="54"/>
      <c r="K291" s="180"/>
      <c r="L291" s="54"/>
      <c r="M291" s="54"/>
      <c r="N291" s="54"/>
      <c r="O291" s="54"/>
      <c r="P291" s="54"/>
      <c r="Q291" s="54"/>
      <c r="R291" s="54"/>
      <c r="S291" s="54"/>
    </row>
    <row r="292" spans="2:19" ht="15.75" customHeight="1" x14ac:dyDescent="0.2">
      <c r="B292" s="54"/>
      <c r="C292" s="180"/>
      <c r="D292" s="54"/>
      <c r="E292" s="54"/>
      <c r="F292" s="54"/>
      <c r="G292" s="54"/>
      <c r="H292" s="54"/>
      <c r="I292" s="54"/>
      <c r="J292" s="54"/>
      <c r="K292" s="180"/>
      <c r="L292" s="54"/>
      <c r="M292" s="54"/>
      <c r="N292" s="54"/>
      <c r="O292" s="54"/>
      <c r="P292" s="54"/>
      <c r="Q292" s="54"/>
      <c r="R292" s="54"/>
      <c r="S292" s="54"/>
    </row>
    <row r="293" spans="2:19" ht="15.75" customHeight="1" x14ac:dyDescent="0.2">
      <c r="B293" s="54"/>
      <c r="C293" s="180"/>
      <c r="D293" s="54"/>
      <c r="E293" s="54"/>
      <c r="F293" s="54"/>
      <c r="G293" s="54"/>
      <c r="H293" s="54"/>
      <c r="I293" s="54"/>
      <c r="J293" s="54"/>
      <c r="K293" s="180"/>
      <c r="L293" s="54"/>
      <c r="M293" s="54"/>
      <c r="N293" s="54"/>
      <c r="O293" s="54"/>
      <c r="P293" s="54"/>
      <c r="Q293" s="54"/>
      <c r="R293" s="54"/>
      <c r="S293" s="54"/>
    </row>
    <row r="294" spans="2:19" ht="15.75" customHeight="1" x14ac:dyDescent="0.2">
      <c r="B294" s="54"/>
      <c r="C294" s="180"/>
      <c r="D294" s="54"/>
      <c r="E294" s="54"/>
      <c r="F294" s="54"/>
      <c r="G294" s="54"/>
      <c r="H294" s="54"/>
      <c r="I294" s="54"/>
      <c r="J294" s="54"/>
      <c r="K294" s="180"/>
      <c r="L294" s="54"/>
      <c r="M294" s="54"/>
      <c r="N294" s="54"/>
      <c r="O294" s="54"/>
      <c r="P294" s="54"/>
      <c r="Q294" s="54"/>
      <c r="R294" s="54"/>
      <c r="S294" s="54"/>
    </row>
    <row r="295" spans="2:19" ht="15.75" customHeight="1" x14ac:dyDescent="0.2">
      <c r="B295" s="54"/>
      <c r="C295" s="180"/>
      <c r="D295" s="54"/>
      <c r="E295" s="54"/>
      <c r="F295" s="54"/>
      <c r="G295" s="54"/>
      <c r="H295" s="54"/>
      <c r="I295" s="54"/>
      <c r="J295" s="54"/>
      <c r="K295" s="180"/>
      <c r="L295" s="54"/>
      <c r="M295" s="54"/>
      <c r="N295" s="54"/>
      <c r="O295" s="54"/>
      <c r="P295" s="54"/>
      <c r="Q295" s="54"/>
      <c r="R295" s="54"/>
      <c r="S295" s="54"/>
    </row>
    <row r="296" spans="2:19" ht="15.75" customHeight="1" x14ac:dyDescent="0.2">
      <c r="B296" s="54"/>
      <c r="C296" s="180"/>
      <c r="D296" s="54"/>
      <c r="E296" s="54"/>
      <c r="F296" s="54"/>
      <c r="G296" s="54"/>
      <c r="H296" s="54"/>
      <c r="I296" s="54"/>
      <c r="J296" s="54"/>
      <c r="K296" s="180"/>
      <c r="L296" s="54"/>
      <c r="M296" s="54"/>
      <c r="N296" s="54"/>
      <c r="O296" s="54"/>
      <c r="P296" s="54"/>
      <c r="Q296" s="54"/>
      <c r="R296" s="54"/>
      <c r="S296" s="54"/>
    </row>
    <row r="297" spans="2:19" ht="15.75" customHeight="1" x14ac:dyDescent="0.2">
      <c r="B297" s="54"/>
      <c r="C297" s="180"/>
      <c r="D297" s="54"/>
      <c r="E297" s="54"/>
      <c r="F297" s="54"/>
      <c r="G297" s="54"/>
      <c r="H297" s="54"/>
      <c r="I297" s="54"/>
      <c r="J297" s="54"/>
      <c r="K297" s="180"/>
      <c r="L297" s="54"/>
      <c r="M297" s="54"/>
      <c r="N297" s="54"/>
      <c r="O297" s="54"/>
      <c r="P297" s="54"/>
      <c r="Q297" s="54"/>
      <c r="R297" s="54"/>
      <c r="S297" s="54"/>
    </row>
    <row r="298" spans="2:19" ht="15.75" customHeight="1" x14ac:dyDescent="0.2">
      <c r="B298" s="54"/>
      <c r="C298" s="180"/>
      <c r="D298" s="54"/>
      <c r="E298" s="54"/>
      <c r="F298" s="54"/>
      <c r="G298" s="54"/>
      <c r="H298" s="54"/>
      <c r="I298" s="54"/>
      <c r="J298" s="54"/>
      <c r="K298" s="180"/>
      <c r="L298" s="54"/>
      <c r="M298" s="54"/>
      <c r="N298" s="54"/>
      <c r="O298" s="54"/>
      <c r="P298" s="54"/>
      <c r="Q298" s="54"/>
      <c r="R298" s="54"/>
      <c r="S298" s="54"/>
    </row>
    <row r="299" spans="2:19" ht="15.75" customHeight="1" x14ac:dyDescent="0.2">
      <c r="B299" s="54"/>
      <c r="C299" s="180"/>
      <c r="D299" s="54"/>
      <c r="E299" s="54"/>
      <c r="F299" s="54"/>
      <c r="G299" s="54"/>
      <c r="H299" s="54"/>
      <c r="I299" s="54"/>
      <c r="J299" s="54"/>
      <c r="K299" s="180"/>
      <c r="L299" s="54"/>
      <c r="M299" s="54"/>
      <c r="N299" s="54"/>
      <c r="O299" s="54"/>
      <c r="P299" s="54"/>
      <c r="Q299" s="54"/>
      <c r="R299" s="54"/>
      <c r="S299" s="54"/>
    </row>
    <row r="300" spans="2:19" ht="15.75" customHeight="1" x14ac:dyDescent="0.2">
      <c r="B300" s="54"/>
      <c r="C300" s="180"/>
      <c r="D300" s="54"/>
      <c r="E300" s="54"/>
      <c r="F300" s="54"/>
      <c r="G300" s="54"/>
      <c r="H300" s="54"/>
      <c r="I300" s="54"/>
      <c r="J300" s="54"/>
      <c r="K300" s="180"/>
      <c r="L300" s="54"/>
      <c r="M300" s="54"/>
      <c r="N300" s="54"/>
      <c r="O300" s="54"/>
      <c r="P300" s="54"/>
      <c r="Q300" s="54"/>
      <c r="R300" s="54"/>
      <c r="S300" s="54"/>
    </row>
    <row r="301" spans="2:19" ht="15.75" customHeight="1" x14ac:dyDescent="0.2">
      <c r="B301" s="54"/>
      <c r="C301" s="180"/>
      <c r="D301" s="54"/>
      <c r="E301" s="54"/>
      <c r="F301" s="54"/>
      <c r="G301" s="54"/>
      <c r="H301" s="54"/>
      <c r="I301" s="54"/>
      <c r="J301" s="54"/>
      <c r="K301" s="180"/>
      <c r="L301" s="54"/>
      <c r="M301" s="54"/>
      <c r="N301" s="54"/>
      <c r="O301" s="54"/>
      <c r="P301" s="54"/>
      <c r="Q301" s="54"/>
      <c r="R301" s="54"/>
      <c r="S301" s="54"/>
    </row>
    <row r="302" spans="2:19" ht="15.75" customHeight="1" x14ac:dyDescent="0.2">
      <c r="B302" s="54"/>
      <c r="C302" s="180"/>
      <c r="D302" s="54"/>
      <c r="E302" s="54"/>
      <c r="F302" s="54"/>
      <c r="G302" s="54"/>
      <c r="H302" s="54"/>
      <c r="I302" s="54"/>
      <c r="J302" s="54"/>
      <c r="K302" s="180"/>
      <c r="L302" s="54"/>
      <c r="M302" s="54"/>
      <c r="N302" s="54"/>
      <c r="O302" s="54"/>
      <c r="P302" s="54"/>
      <c r="Q302" s="54"/>
      <c r="R302" s="54"/>
      <c r="S302" s="54"/>
    </row>
    <row r="303" spans="2:19" ht="15.75" customHeight="1" x14ac:dyDescent="0.2">
      <c r="B303" s="54"/>
      <c r="C303" s="180"/>
      <c r="D303" s="54"/>
      <c r="E303" s="54"/>
      <c r="F303" s="54"/>
      <c r="G303" s="54"/>
      <c r="H303" s="54"/>
      <c r="I303" s="54"/>
      <c r="J303" s="54"/>
      <c r="K303" s="180"/>
      <c r="L303" s="54"/>
      <c r="M303" s="54"/>
      <c r="N303" s="54"/>
      <c r="O303" s="54"/>
      <c r="P303" s="54"/>
      <c r="Q303" s="54"/>
      <c r="R303" s="54"/>
      <c r="S303" s="54"/>
    </row>
    <row r="304" spans="2:19" ht="15.75" customHeight="1" x14ac:dyDescent="0.2">
      <c r="B304" s="54"/>
      <c r="C304" s="180"/>
      <c r="D304" s="54"/>
      <c r="E304" s="54"/>
      <c r="F304" s="54"/>
      <c r="G304" s="54"/>
      <c r="H304" s="54"/>
      <c r="I304" s="54"/>
      <c r="J304" s="54"/>
      <c r="K304" s="180"/>
      <c r="L304" s="54"/>
      <c r="M304" s="54"/>
      <c r="N304" s="54"/>
      <c r="O304" s="54"/>
      <c r="P304" s="54"/>
      <c r="Q304" s="54"/>
      <c r="R304" s="54"/>
      <c r="S304" s="54"/>
    </row>
    <row r="305" spans="2:19" ht="15.75" customHeight="1" x14ac:dyDescent="0.2">
      <c r="B305" s="54"/>
      <c r="C305" s="180"/>
      <c r="D305" s="54"/>
      <c r="E305" s="54"/>
      <c r="F305" s="54"/>
      <c r="G305" s="54"/>
      <c r="H305" s="54"/>
      <c r="I305" s="54"/>
      <c r="J305" s="54"/>
      <c r="K305" s="180"/>
      <c r="L305" s="54"/>
      <c r="M305" s="54"/>
      <c r="N305" s="54"/>
      <c r="O305" s="54"/>
      <c r="P305" s="54"/>
      <c r="Q305" s="54"/>
      <c r="R305" s="54"/>
      <c r="S305" s="54"/>
    </row>
    <row r="306" spans="2:19" ht="15.75" customHeight="1" x14ac:dyDescent="0.2">
      <c r="B306" s="54"/>
      <c r="C306" s="180"/>
      <c r="D306" s="54"/>
      <c r="E306" s="54"/>
      <c r="F306" s="54"/>
      <c r="G306" s="54"/>
      <c r="H306" s="54"/>
      <c r="I306" s="54"/>
      <c r="J306" s="54"/>
      <c r="K306" s="180"/>
      <c r="L306" s="54"/>
      <c r="M306" s="54"/>
      <c r="N306" s="54"/>
      <c r="O306" s="54"/>
      <c r="P306" s="54"/>
      <c r="Q306" s="54"/>
      <c r="R306" s="54"/>
      <c r="S306" s="54"/>
    </row>
    <row r="307" spans="2:19" ht="15.75" customHeight="1" x14ac:dyDescent="0.2">
      <c r="B307" s="54"/>
      <c r="C307" s="180"/>
      <c r="D307" s="54"/>
      <c r="E307" s="54"/>
      <c r="F307" s="54"/>
      <c r="G307" s="54"/>
      <c r="H307" s="54"/>
      <c r="I307" s="54"/>
      <c r="J307" s="54"/>
      <c r="K307" s="180"/>
      <c r="L307" s="54"/>
      <c r="M307" s="54"/>
      <c r="N307" s="54"/>
      <c r="O307" s="54"/>
      <c r="P307" s="54"/>
      <c r="Q307" s="54"/>
      <c r="R307" s="54"/>
      <c r="S307" s="54"/>
    </row>
    <row r="308" spans="2:19" ht="15.75" customHeight="1" x14ac:dyDescent="0.2">
      <c r="B308" s="54"/>
      <c r="C308" s="180"/>
      <c r="D308" s="54"/>
      <c r="E308" s="54"/>
      <c r="F308" s="54"/>
      <c r="G308" s="54"/>
      <c r="H308" s="54"/>
      <c r="I308" s="54"/>
      <c r="J308" s="54"/>
      <c r="K308" s="180"/>
      <c r="L308" s="54"/>
      <c r="M308" s="54"/>
      <c r="N308" s="54"/>
      <c r="O308" s="54"/>
      <c r="P308" s="54"/>
      <c r="Q308" s="54"/>
      <c r="R308" s="54"/>
      <c r="S308" s="54"/>
    </row>
    <row r="309" spans="2:19" ht="15.75" customHeight="1" x14ac:dyDescent="0.2">
      <c r="B309" s="54"/>
      <c r="C309" s="180"/>
      <c r="D309" s="54"/>
      <c r="E309" s="54"/>
      <c r="F309" s="54"/>
      <c r="G309" s="54"/>
      <c r="H309" s="54"/>
      <c r="I309" s="54"/>
      <c r="J309" s="54"/>
      <c r="K309" s="180"/>
      <c r="L309" s="54"/>
      <c r="M309" s="54"/>
      <c r="N309" s="54"/>
      <c r="O309" s="54"/>
      <c r="P309" s="54"/>
      <c r="Q309" s="54"/>
      <c r="R309" s="54"/>
      <c r="S309" s="54"/>
    </row>
    <row r="310" spans="2:19" ht="15.75" customHeight="1" x14ac:dyDescent="0.2">
      <c r="B310" s="54"/>
      <c r="C310" s="180"/>
      <c r="D310" s="54"/>
      <c r="E310" s="54"/>
      <c r="F310" s="54"/>
      <c r="G310" s="54"/>
      <c r="H310" s="54"/>
      <c r="I310" s="54"/>
      <c r="J310" s="54"/>
      <c r="K310" s="180"/>
      <c r="L310" s="54"/>
      <c r="M310" s="54"/>
      <c r="N310" s="54"/>
      <c r="O310" s="54"/>
      <c r="P310" s="54"/>
      <c r="Q310" s="54"/>
      <c r="R310" s="54"/>
      <c r="S310" s="54"/>
    </row>
    <row r="311" spans="2:19" ht="15.75" customHeight="1" x14ac:dyDescent="0.2">
      <c r="B311" s="54"/>
      <c r="C311" s="180"/>
      <c r="D311" s="54"/>
      <c r="E311" s="54"/>
      <c r="F311" s="54"/>
      <c r="G311" s="54"/>
      <c r="H311" s="54"/>
      <c r="I311" s="54"/>
      <c r="J311" s="54"/>
      <c r="K311" s="180"/>
      <c r="L311" s="54"/>
      <c r="M311" s="54"/>
      <c r="N311" s="54"/>
      <c r="O311" s="54"/>
      <c r="P311" s="54"/>
      <c r="Q311" s="54"/>
      <c r="R311" s="54"/>
      <c r="S311" s="54"/>
    </row>
    <row r="312" spans="2:19" ht="15.75" customHeight="1" x14ac:dyDescent="0.2">
      <c r="B312" s="54"/>
      <c r="C312" s="180"/>
      <c r="D312" s="54"/>
      <c r="E312" s="54"/>
      <c r="F312" s="54"/>
      <c r="G312" s="54"/>
      <c r="H312" s="54"/>
      <c r="I312" s="54"/>
      <c r="J312" s="54"/>
      <c r="K312" s="180"/>
      <c r="L312" s="54"/>
      <c r="M312" s="54"/>
      <c r="N312" s="54"/>
      <c r="O312" s="54"/>
      <c r="P312" s="54"/>
      <c r="Q312" s="54"/>
      <c r="R312" s="54"/>
      <c r="S312" s="54"/>
    </row>
    <row r="313" spans="2:19" ht="15.75" customHeight="1" x14ac:dyDescent="0.2">
      <c r="B313" s="54"/>
      <c r="C313" s="180"/>
      <c r="D313" s="54"/>
      <c r="E313" s="54"/>
      <c r="F313" s="54"/>
      <c r="G313" s="54"/>
      <c r="H313" s="54"/>
      <c r="I313" s="54"/>
      <c r="J313" s="54"/>
      <c r="K313" s="180"/>
      <c r="L313" s="54"/>
      <c r="M313" s="54"/>
      <c r="N313" s="54"/>
      <c r="O313" s="54"/>
      <c r="P313" s="54"/>
      <c r="Q313" s="54"/>
      <c r="R313" s="54"/>
      <c r="S313" s="54"/>
    </row>
    <row r="314" spans="2:19" ht="15.75" customHeight="1" x14ac:dyDescent="0.2">
      <c r="B314" s="54"/>
      <c r="C314" s="180"/>
      <c r="D314" s="54"/>
      <c r="E314" s="54"/>
      <c r="F314" s="54"/>
      <c r="G314" s="54"/>
      <c r="H314" s="54"/>
      <c r="I314" s="54"/>
      <c r="J314" s="54"/>
      <c r="K314" s="180"/>
      <c r="L314" s="54"/>
      <c r="M314" s="54"/>
      <c r="N314" s="54"/>
      <c r="O314" s="54"/>
      <c r="P314" s="54"/>
      <c r="Q314" s="54"/>
      <c r="R314" s="54"/>
      <c r="S314" s="54"/>
    </row>
    <row r="315" spans="2:19" ht="15.75" customHeight="1" x14ac:dyDescent="0.2">
      <c r="B315" s="54"/>
      <c r="C315" s="180"/>
      <c r="D315" s="54"/>
      <c r="E315" s="54"/>
      <c r="F315" s="54"/>
      <c r="G315" s="54"/>
      <c r="H315" s="54"/>
      <c r="I315" s="54"/>
      <c r="J315" s="54"/>
      <c r="K315" s="180"/>
      <c r="L315" s="54"/>
      <c r="M315" s="54"/>
      <c r="N315" s="54"/>
      <c r="O315" s="54"/>
      <c r="P315" s="54"/>
      <c r="Q315" s="54"/>
      <c r="R315" s="54"/>
      <c r="S315" s="54"/>
    </row>
    <row r="316" spans="2:19" ht="15.75" customHeight="1" x14ac:dyDescent="0.2">
      <c r="B316" s="54"/>
      <c r="C316" s="180"/>
      <c r="D316" s="54"/>
      <c r="E316" s="54"/>
      <c r="F316" s="54"/>
      <c r="G316" s="54"/>
      <c r="H316" s="54"/>
      <c r="I316" s="54"/>
      <c r="J316" s="54"/>
      <c r="K316" s="180"/>
      <c r="L316" s="54"/>
      <c r="M316" s="54"/>
      <c r="N316" s="54"/>
      <c r="O316" s="54"/>
      <c r="P316" s="54"/>
      <c r="Q316" s="54"/>
      <c r="R316" s="54"/>
      <c r="S316" s="54"/>
    </row>
    <row r="317" spans="2:19" ht="15.75" customHeight="1" x14ac:dyDescent="0.2">
      <c r="B317" s="54"/>
      <c r="C317" s="180"/>
      <c r="D317" s="54"/>
      <c r="E317" s="54"/>
      <c r="F317" s="54"/>
      <c r="G317" s="54"/>
      <c r="H317" s="54"/>
      <c r="I317" s="54"/>
      <c r="J317" s="54"/>
      <c r="K317" s="180"/>
      <c r="L317" s="54"/>
      <c r="M317" s="54"/>
      <c r="N317" s="54"/>
      <c r="O317" s="54"/>
      <c r="P317" s="54"/>
      <c r="Q317" s="54"/>
      <c r="R317" s="54"/>
      <c r="S317" s="54"/>
    </row>
    <row r="318" spans="2:19" ht="15.75" customHeight="1" x14ac:dyDescent="0.2">
      <c r="B318" s="54"/>
      <c r="C318" s="180"/>
      <c r="D318" s="54"/>
      <c r="E318" s="54"/>
      <c r="F318" s="54"/>
      <c r="G318" s="54"/>
      <c r="H318" s="54"/>
      <c r="I318" s="54"/>
      <c r="J318" s="54"/>
      <c r="K318" s="180"/>
      <c r="L318" s="54"/>
      <c r="M318" s="54"/>
      <c r="N318" s="54"/>
      <c r="O318" s="54"/>
      <c r="P318" s="54"/>
      <c r="Q318" s="54"/>
      <c r="R318" s="54"/>
      <c r="S318" s="54"/>
    </row>
    <row r="319" spans="2:19" ht="15.75" customHeight="1" x14ac:dyDescent="0.2">
      <c r="B319" s="54"/>
      <c r="C319" s="180"/>
      <c r="D319" s="54"/>
      <c r="E319" s="54"/>
      <c r="F319" s="54"/>
      <c r="G319" s="54"/>
      <c r="H319" s="54"/>
      <c r="I319" s="54"/>
      <c r="J319" s="54"/>
      <c r="K319" s="180"/>
      <c r="L319" s="54"/>
      <c r="M319" s="54"/>
      <c r="N319" s="54"/>
      <c r="O319" s="54"/>
      <c r="P319" s="54"/>
      <c r="Q319" s="54"/>
      <c r="R319" s="54"/>
      <c r="S319" s="54"/>
    </row>
    <row r="320" spans="2:19" ht="15.75" customHeight="1" x14ac:dyDescent="0.2">
      <c r="B320" s="54"/>
      <c r="C320" s="180"/>
      <c r="D320" s="54"/>
      <c r="E320" s="54"/>
      <c r="F320" s="54"/>
      <c r="G320" s="54"/>
      <c r="H320" s="54"/>
      <c r="I320" s="54"/>
      <c r="J320" s="54"/>
      <c r="K320" s="180"/>
      <c r="L320" s="54"/>
      <c r="M320" s="54"/>
      <c r="N320" s="54"/>
      <c r="O320" s="54"/>
      <c r="P320" s="54"/>
      <c r="Q320" s="54"/>
      <c r="R320" s="54"/>
      <c r="S320" s="54"/>
    </row>
    <row r="321" spans="2:19" ht="15.75" customHeight="1" x14ac:dyDescent="0.2">
      <c r="B321" s="54"/>
      <c r="C321" s="180"/>
      <c r="D321" s="54"/>
      <c r="E321" s="54"/>
      <c r="F321" s="54"/>
      <c r="G321" s="54"/>
      <c r="H321" s="54"/>
      <c r="I321" s="54"/>
      <c r="J321" s="54"/>
      <c r="K321" s="180"/>
      <c r="L321" s="54"/>
      <c r="M321" s="54"/>
      <c r="N321" s="54"/>
      <c r="O321" s="54"/>
      <c r="P321" s="54"/>
      <c r="Q321" s="54"/>
      <c r="R321" s="54"/>
      <c r="S321" s="54"/>
    </row>
    <row r="322" spans="2:19" ht="15.75" customHeight="1" x14ac:dyDescent="0.2">
      <c r="B322" s="54"/>
      <c r="C322" s="180"/>
      <c r="D322" s="54"/>
      <c r="E322" s="54"/>
      <c r="F322" s="54"/>
      <c r="G322" s="54"/>
      <c r="H322" s="54"/>
      <c r="I322" s="54"/>
      <c r="J322" s="54"/>
      <c r="K322" s="180"/>
      <c r="L322" s="54"/>
      <c r="M322" s="54"/>
      <c r="N322" s="54"/>
      <c r="O322" s="54"/>
      <c r="P322" s="54"/>
      <c r="Q322" s="54"/>
      <c r="R322" s="54"/>
      <c r="S322" s="54"/>
    </row>
    <row r="323" spans="2:19" ht="15.75" customHeight="1" x14ac:dyDescent="0.2">
      <c r="B323" s="54"/>
      <c r="C323" s="180"/>
      <c r="D323" s="54"/>
      <c r="E323" s="54"/>
      <c r="F323" s="54"/>
      <c r="G323" s="54"/>
      <c r="H323" s="54"/>
      <c r="I323" s="54"/>
      <c r="J323" s="54"/>
      <c r="K323" s="180"/>
      <c r="L323" s="54"/>
      <c r="M323" s="54"/>
      <c r="N323" s="54"/>
      <c r="O323" s="54"/>
      <c r="P323" s="54"/>
      <c r="Q323" s="54"/>
      <c r="R323" s="54"/>
      <c r="S323" s="54"/>
    </row>
    <row r="324" spans="2:19" ht="15.75" customHeight="1" x14ac:dyDescent="0.2"/>
    <row r="325" spans="2:19" ht="15.75" customHeight="1" x14ac:dyDescent="0.2"/>
    <row r="326" spans="2:19" ht="15.75" customHeight="1" x14ac:dyDescent="0.2"/>
    <row r="327" spans="2:19" ht="15.75" customHeight="1" x14ac:dyDescent="0.2"/>
    <row r="328" spans="2:19" ht="15.75" customHeight="1" x14ac:dyDescent="0.2"/>
    <row r="329" spans="2:19" ht="15.75" customHeight="1" x14ac:dyDescent="0.2"/>
    <row r="330" spans="2:19" ht="15.75" customHeight="1" x14ac:dyDescent="0.2"/>
    <row r="331" spans="2:19" ht="15.75" customHeight="1" x14ac:dyDescent="0.2"/>
    <row r="332" spans="2:19" ht="15.75" customHeight="1" x14ac:dyDescent="0.2"/>
    <row r="333" spans="2:19" ht="15.75" customHeight="1" x14ac:dyDescent="0.2"/>
    <row r="334" spans="2:19" ht="15.75" customHeight="1" x14ac:dyDescent="0.2"/>
    <row r="335" spans="2:19" ht="15.75" customHeight="1" x14ac:dyDescent="0.2"/>
    <row r="336" spans="2:19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</sheetData>
  <conditionalFormatting sqref="H3:H19 H25 H32 H87:H105 H108:H110 H112 H120">
    <cfRule type="cellIs" dxfId="26" priority="1" operator="lessThan">
      <formula>0</formula>
    </cfRule>
  </conditionalFormatting>
  <printOptions horizontalCentered="1" verticalCentered="1"/>
  <pageMargins left="0.25" right="0.25" top="0.75" bottom="0.75" header="0.3" footer="0.3"/>
  <pageSetup fitToHeight="0" orientation="landscape" r:id="rId1"/>
  <headerFooter>
    <oddHeader>&amp;A</oddHeader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1000"/>
  <sheetViews>
    <sheetView workbookViewId="0"/>
  </sheetViews>
  <sheetFormatPr defaultColWidth="12.5703125" defaultRowHeight="15" customHeight="1" outlineLevelCol="1" x14ac:dyDescent="0.2"/>
  <cols>
    <col min="2" max="2" width="29" customWidth="1" collapsed="1"/>
    <col min="3" max="3" width="3.85546875" hidden="1" customWidth="1" outlineLevel="1"/>
    <col min="4" max="4" width="11.140625" hidden="1" customWidth="1" outlineLevel="1"/>
    <col min="5" max="5" width="11.28515625" hidden="1" customWidth="1" outlineLevel="1"/>
    <col min="6" max="6" width="10.5703125" hidden="1" customWidth="1" outlineLevel="1"/>
    <col min="7" max="7" width="11" hidden="1" customWidth="1" outlineLevel="1"/>
    <col min="8" max="8" width="11.42578125" hidden="1" customWidth="1" outlineLevel="1"/>
    <col min="9" max="11" width="12.5703125" hidden="1" outlineLevel="1"/>
    <col min="12" max="12" width="3.85546875" hidden="1" customWidth="1" outlineLevel="1"/>
    <col min="13" max="13" width="11.5703125" customWidth="1"/>
    <col min="14" max="14" width="11.140625" customWidth="1"/>
    <col min="15" max="15" width="12" customWidth="1"/>
    <col min="17" max="17" width="11.5703125" customWidth="1"/>
  </cols>
  <sheetData>
    <row r="1" spans="1:32" ht="28.5" customHeight="1" x14ac:dyDescent="0.25">
      <c r="A1" s="1" t="s">
        <v>296</v>
      </c>
      <c r="B1" s="5"/>
      <c r="C1" s="15"/>
      <c r="D1" s="16"/>
      <c r="E1" s="16"/>
      <c r="F1" s="16"/>
      <c r="G1" s="16"/>
      <c r="H1" s="18"/>
      <c r="I1" s="16"/>
      <c r="J1" s="16"/>
      <c r="K1" s="15"/>
      <c r="L1" s="7"/>
      <c r="M1" s="7"/>
      <c r="N1" s="7"/>
      <c r="O1" s="7"/>
      <c r="P1" s="7"/>
      <c r="Q1" s="7"/>
      <c r="R1" s="7"/>
      <c r="S1" s="7"/>
      <c r="T1" s="5"/>
      <c r="W1" s="19"/>
      <c r="X1" s="20"/>
    </row>
    <row r="2" spans="1:32" ht="60" x14ac:dyDescent="0.2">
      <c r="A2" s="3" t="s">
        <v>50</v>
      </c>
      <c r="B2" s="3" t="s">
        <v>51</v>
      </c>
      <c r="C2" s="21"/>
      <c r="D2" s="22" t="s">
        <v>52</v>
      </c>
      <c r="E2" s="23" t="s">
        <v>53</v>
      </c>
      <c r="F2" s="23" t="s">
        <v>54</v>
      </c>
      <c r="G2" s="23" t="s">
        <v>55</v>
      </c>
      <c r="H2" s="100" t="s">
        <v>56</v>
      </c>
      <c r="I2" s="23" t="s">
        <v>57</v>
      </c>
      <c r="J2" s="129" t="s">
        <v>58</v>
      </c>
      <c r="K2" s="130"/>
      <c r="L2" s="27" t="s">
        <v>59</v>
      </c>
      <c r="M2" s="27" t="s">
        <v>59</v>
      </c>
      <c r="N2" s="27" t="s">
        <v>60</v>
      </c>
      <c r="O2" s="27" t="s">
        <v>61</v>
      </c>
      <c r="P2" s="27" t="s">
        <v>62</v>
      </c>
      <c r="Q2" s="27" t="s">
        <v>63</v>
      </c>
      <c r="R2" s="27" t="s">
        <v>64</v>
      </c>
      <c r="S2" s="27" t="s">
        <v>65</v>
      </c>
      <c r="T2" s="27" t="s">
        <v>66</v>
      </c>
      <c r="V2" s="28"/>
      <c r="W2" s="19"/>
      <c r="Y2" s="28"/>
      <c r="Z2" s="28"/>
      <c r="AA2" s="28"/>
      <c r="AB2" s="28"/>
      <c r="AC2" s="28"/>
      <c r="AD2" s="28"/>
      <c r="AE2" s="28"/>
      <c r="AF2" s="28"/>
    </row>
    <row r="3" spans="1:32" ht="15.75" customHeight="1" x14ac:dyDescent="0.25">
      <c r="A3" s="7" t="s">
        <v>297</v>
      </c>
      <c r="B3" s="7" t="s">
        <v>68</v>
      </c>
      <c r="C3" s="31"/>
      <c r="D3" s="34">
        <v>159717</v>
      </c>
      <c r="E3" s="32" t="e">
        <f>D3*#REF!</f>
        <v>#REF!</v>
      </c>
      <c r="F3" s="32" t="e">
        <f>D3*#REF!</f>
        <v>#REF!</v>
      </c>
      <c r="G3" s="32" t="e">
        <f>(D3*#REF!)*#REF!</f>
        <v>#REF!</v>
      </c>
      <c r="H3" s="34">
        <v>317028</v>
      </c>
      <c r="I3" s="119">
        <f t="shared" ref="I3:I19" si="0">IFERROR(((Q3-G3)/G3),0)</f>
        <v>0</v>
      </c>
      <c r="J3" s="34" t="e">
        <f t="shared" ref="J3:J19" si="1">Q3-G3</f>
        <v>#REF!</v>
      </c>
      <c r="K3" s="34">
        <v>-48700</v>
      </c>
      <c r="L3" s="31"/>
      <c r="M3" s="36">
        <v>317028</v>
      </c>
      <c r="N3" s="36">
        <v>401667.06</v>
      </c>
      <c r="O3" s="36">
        <f>VLOOKUP(A3,TB!A:F,4)</f>
        <v>437889</v>
      </c>
      <c r="P3" s="36">
        <f>VLOOKUP(A3,TB!A:F,3)</f>
        <v>323963.99</v>
      </c>
      <c r="Q3" s="34">
        <f t="shared" ref="Q3:Q7" si="2">P3/20*26</f>
        <v>421153.18699999998</v>
      </c>
      <c r="R3" s="34">
        <f>VLOOKUP(A3,TB!A:F,5)</f>
        <v>482200</v>
      </c>
      <c r="S3" s="201">
        <f>VLOOKUP(A3,TB!A:F,6)</f>
        <v>433500</v>
      </c>
      <c r="T3" s="36">
        <f t="shared" ref="T3:T19" si="3">S3-R3</f>
        <v>-48700</v>
      </c>
      <c r="U3" s="54"/>
      <c r="V3" s="54"/>
      <c r="W3" s="54"/>
    </row>
    <row r="4" spans="1:32" ht="15.75" customHeight="1" x14ac:dyDescent="0.25">
      <c r="A4" s="7" t="s">
        <v>298</v>
      </c>
      <c r="B4" s="7" t="s">
        <v>70</v>
      </c>
      <c r="C4" s="31"/>
      <c r="D4" s="34">
        <v>0</v>
      </c>
      <c r="E4" s="32" t="e">
        <f>D4*#REF!</f>
        <v>#REF!</v>
      </c>
      <c r="F4" s="32" t="e">
        <f>D4*#REF!</f>
        <v>#REF!</v>
      </c>
      <c r="G4" s="32" t="e">
        <f>(D4*#REF!)*#REF!</f>
        <v>#REF!</v>
      </c>
      <c r="H4" s="34">
        <v>215</v>
      </c>
      <c r="I4" s="119">
        <f t="shared" si="0"/>
        <v>0</v>
      </c>
      <c r="J4" s="34" t="e">
        <f t="shared" si="1"/>
        <v>#REF!</v>
      </c>
      <c r="K4" s="16"/>
      <c r="L4" s="31"/>
      <c r="M4" s="36">
        <v>215</v>
      </c>
      <c r="N4" s="36">
        <v>150.51</v>
      </c>
      <c r="O4" s="36">
        <f>VLOOKUP(A4,TB!A:F,4)</f>
        <v>500</v>
      </c>
      <c r="P4" s="36">
        <f>VLOOKUP(A4,TB!A:F,3)</f>
        <v>264.42</v>
      </c>
      <c r="Q4" s="34">
        <f t="shared" si="2"/>
        <v>343.74599999999998</v>
      </c>
      <c r="R4" s="34">
        <f>VLOOKUP(A4,TB!A:F,5)</f>
        <v>500</v>
      </c>
      <c r="S4" s="201">
        <f>VLOOKUP(A4,TB!A:F,6)</f>
        <v>500</v>
      </c>
      <c r="T4" s="36">
        <f t="shared" si="3"/>
        <v>0</v>
      </c>
      <c r="U4" s="54"/>
      <c r="V4" s="54"/>
      <c r="W4" s="54"/>
    </row>
    <row r="5" spans="1:32" ht="15.75" customHeight="1" x14ac:dyDescent="0.25">
      <c r="A5" s="7" t="s">
        <v>299</v>
      </c>
      <c r="B5" s="7" t="s">
        <v>132</v>
      </c>
      <c r="C5" s="31"/>
      <c r="D5" s="34">
        <v>10469</v>
      </c>
      <c r="E5" s="32" t="e">
        <f>D5*#REF!</f>
        <v>#REF!</v>
      </c>
      <c r="F5" s="32" t="e">
        <f>D5*#REF!</f>
        <v>#REF!</v>
      </c>
      <c r="G5" s="32" t="e">
        <f>(D5*#REF!)*#REF!</f>
        <v>#REF!</v>
      </c>
      <c r="H5" s="34">
        <v>134159</v>
      </c>
      <c r="I5" s="119">
        <f t="shared" si="0"/>
        <v>0</v>
      </c>
      <c r="J5" s="34" t="e">
        <f t="shared" si="1"/>
        <v>#REF!</v>
      </c>
      <c r="K5" s="34">
        <f>300</f>
        <v>300</v>
      </c>
      <c r="L5" s="31"/>
      <c r="M5" s="36">
        <v>134159</v>
      </c>
      <c r="N5" s="36">
        <v>43012.19</v>
      </c>
      <c r="O5" s="36">
        <f>VLOOKUP(A5,TB!A:F,4)</f>
        <v>66839.5</v>
      </c>
      <c r="P5" s="36">
        <f>VLOOKUP(A5,TB!A:F,3)</f>
        <v>34186.42</v>
      </c>
      <c r="Q5" s="34">
        <f t="shared" si="2"/>
        <v>44442.345999999998</v>
      </c>
      <c r="R5" s="34">
        <f>VLOOKUP(A5,TB!A:F,5)</f>
        <v>75800</v>
      </c>
      <c r="S5" s="201">
        <f>VLOOKUP(A5,TB!A:F,6)</f>
        <v>76100</v>
      </c>
      <c r="T5" s="36">
        <f t="shared" si="3"/>
        <v>300</v>
      </c>
      <c r="U5" s="54"/>
      <c r="V5" s="54"/>
      <c r="W5" s="54"/>
    </row>
    <row r="6" spans="1:32" ht="15.75" customHeight="1" x14ac:dyDescent="0.25">
      <c r="A6" s="7" t="s">
        <v>300</v>
      </c>
      <c r="B6" s="7" t="s">
        <v>108</v>
      </c>
      <c r="C6" s="31"/>
      <c r="D6" s="34">
        <v>0</v>
      </c>
      <c r="E6" s="32" t="e">
        <f>D6*#REF!</f>
        <v>#REF!</v>
      </c>
      <c r="F6" s="32" t="e">
        <f>D6*#REF!</f>
        <v>#REF!</v>
      </c>
      <c r="G6" s="32" t="e">
        <f>(D6*#REF!)*#REF!</f>
        <v>#REF!</v>
      </c>
      <c r="H6" s="34">
        <v>46950</v>
      </c>
      <c r="I6" s="119">
        <f t="shared" si="0"/>
        <v>0</v>
      </c>
      <c r="J6" s="34" t="e">
        <f t="shared" si="1"/>
        <v>#REF!</v>
      </c>
      <c r="K6" s="34">
        <v>-112300</v>
      </c>
      <c r="L6" s="31"/>
      <c r="M6" s="36">
        <v>46950</v>
      </c>
      <c r="N6" s="36">
        <v>49557.919999999998</v>
      </c>
      <c r="O6" s="36">
        <f>VLOOKUP(A6,TB!A:F,4)</f>
        <v>110000</v>
      </c>
      <c r="P6" s="36">
        <f>VLOOKUP(A6,TB!A:F,3)</f>
        <v>44192.86</v>
      </c>
      <c r="Q6" s="34">
        <f t="shared" si="2"/>
        <v>57450.718000000001</v>
      </c>
      <c r="R6" s="34">
        <f>VLOOKUP(A6,TB!A:F,5)</f>
        <v>112300</v>
      </c>
      <c r="S6" s="201">
        <f>VLOOKUP(A6,TB!A:F,6)</f>
        <v>0</v>
      </c>
      <c r="T6" s="36">
        <f t="shared" si="3"/>
        <v>-112300</v>
      </c>
      <c r="U6" s="54"/>
      <c r="V6" s="54"/>
      <c r="W6" s="54"/>
    </row>
    <row r="7" spans="1:32" ht="15.75" customHeight="1" x14ac:dyDescent="0.25">
      <c r="A7" s="7" t="s">
        <v>301</v>
      </c>
      <c r="B7" s="7" t="s">
        <v>72</v>
      </c>
      <c r="C7" s="31"/>
      <c r="D7" s="34">
        <v>77715</v>
      </c>
      <c r="E7" s="32" t="e">
        <f>D7*#REF!</f>
        <v>#REF!</v>
      </c>
      <c r="F7" s="32" t="e">
        <f>D7*#REF!</f>
        <v>#REF!</v>
      </c>
      <c r="G7" s="32" t="e">
        <f>(D7*#REF!)*#REF!</f>
        <v>#REF!</v>
      </c>
      <c r="H7" s="34">
        <v>180028</v>
      </c>
      <c r="I7" s="119">
        <f t="shared" si="0"/>
        <v>0</v>
      </c>
      <c r="J7" s="34" t="e">
        <f t="shared" si="1"/>
        <v>#REF!</v>
      </c>
      <c r="K7" s="34">
        <v>-30200</v>
      </c>
      <c r="L7" s="31"/>
      <c r="M7" s="36">
        <v>180028</v>
      </c>
      <c r="N7" s="36">
        <v>179646.03</v>
      </c>
      <c r="O7" s="36">
        <f>VLOOKUP(A7,TB!A:F,4)</f>
        <v>259669</v>
      </c>
      <c r="P7" s="36">
        <f>VLOOKUP(A7,TB!A:F,3)</f>
        <v>142383.82</v>
      </c>
      <c r="Q7" s="34">
        <f t="shared" si="2"/>
        <v>185098.96600000001</v>
      </c>
      <c r="R7" s="34">
        <f>VLOOKUP(A7,TB!A:F,5)</f>
        <v>228600</v>
      </c>
      <c r="S7" s="201">
        <f>VLOOKUP(A7,TB!A:F,6)</f>
        <v>198400</v>
      </c>
      <c r="T7" s="36">
        <f t="shared" si="3"/>
        <v>-30200</v>
      </c>
      <c r="U7" s="54"/>
      <c r="V7" s="54"/>
      <c r="W7" s="54"/>
    </row>
    <row r="8" spans="1:32" ht="15.75" customHeight="1" x14ac:dyDescent="0.25">
      <c r="A8" s="7" t="s">
        <v>302</v>
      </c>
      <c r="B8" s="7" t="s">
        <v>74</v>
      </c>
      <c r="C8" s="31"/>
      <c r="D8" s="34">
        <v>50</v>
      </c>
      <c r="E8" s="32" t="e">
        <f>D8*#REF!</f>
        <v>#REF!</v>
      </c>
      <c r="F8" s="32" t="e">
        <f>D8*#REF!</f>
        <v>#REF!</v>
      </c>
      <c r="G8" s="32" t="e">
        <f>(D8*#REF!)*#REF!</f>
        <v>#REF!</v>
      </c>
      <c r="H8" s="34">
        <v>42</v>
      </c>
      <c r="I8" s="119">
        <f t="shared" si="0"/>
        <v>0</v>
      </c>
      <c r="J8" s="34" t="e">
        <f t="shared" si="1"/>
        <v>#REF!</v>
      </c>
      <c r="K8" s="16"/>
      <c r="L8" s="31"/>
      <c r="M8" s="36">
        <v>42</v>
      </c>
      <c r="N8" s="36">
        <v>52.04</v>
      </c>
      <c r="O8" s="36">
        <f>VLOOKUP(A8,TB!A:F,4)</f>
        <v>3900</v>
      </c>
      <c r="P8" s="36">
        <f>VLOOKUP(A8,TB!A:F,3)</f>
        <v>3392.72</v>
      </c>
      <c r="Q8" s="38">
        <f>O8</f>
        <v>3900</v>
      </c>
      <c r="R8" s="34">
        <f>VLOOKUP(A8,TB!A:F,5)</f>
        <v>3900</v>
      </c>
      <c r="S8" s="201">
        <f>VLOOKUP(A8,TB!A:F,6)</f>
        <v>3900</v>
      </c>
      <c r="T8" s="36">
        <f t="shared" si="3"/>
        <v>0</v>
      </c>
      <c r="U8" s="54"/>
      <c r="V8" s="54"/>
      <c r="W8" s="54"/>
    </row>
    <row r="9" spans="1:32" ht="15.75" customHeight="1" x14ac:dyDescent="0.25">
      <c r="A9" s="7" t="s">
        <v>303</v>
      </c>
      <c r="B9" s="7" t="s">
        <v>76</v>
      </c>
      <c r="C9" s="31"/>
      <c r="D9" s="34">
        <v>1727</v>
      </c>
      <c r="E9" s="32" t="e">
        <f>D9*#REF!</f>
        <v>#REF!</v>
      </c>
      <c r="F9" s="32" t="e">
        <f>D9*#REF!</f>
        <v>#REF!</v>
      </c>
      <c r="G9" s="32" t="e">
        <f>(D9*#REF!)*#REF!</f>
        <v>#REF!</v>
      </c>
      <c r="H9" s="34">
        <v>2369</v>
      </c>
      <c r="I9" s="119">
        <f t="shared" si="0"/>
        <v>0</v>
      </c>
      <c r="J9" s="34" t="e">
        <f t="shared" si="1"/>
        <v>#REF!</v>
      </c>
      <c r="K9" s="16"/>
      <c r="L9" s="31"/>
      <c r="M9" s="36">
        <v>2369</v>
      </c>
      <c r="N9" s="36">
        <v>2182.61</v>
      </c>
      <c r="O9" s="36">
        <f>VLOOKUP(A9,TB!A:F,4)</f>
        <v>5500</v>
      </c>
      <c r="P9" s="36">
        <f>VLOOKUP(A9,TB!A:F,3)</f>
        <v>2241.58</v>
      </c>
      <c r="Q9" s="32">
        <f t="shared" ref="Q9:Q11" si="4">P9/9*12</f>
        <v>2988.7733333333331</v>
      </c>
      <c r="R9" s="34">
        <f>VLOOKUP(A9,TB!A:F,5)</f>
        <v>5500</v>
      </c>
      <c r="S9" s="201">
        <f>VLOOKUP(A9,TB!A:F,6)</f>
        <v>5500</v>
      </c>
      <c r="T9" s="36">
        <f t="shared" si="3"/>
        <v>0</v>
      </c>
      <c r="U9" s="54"/>
      <c r="V9" s="54"/>
      <c r="W9" s="54"/>
    </row>
    <row r="10" spans="1:32" ht="15.75" customHeight="1" x14ac:dyDescent="0.25">
      <c r="A10" s="7" t="s">
        <v>304</v>
      </c>
      <c r="B10" s="7" t="s">
        <v>80</v>
      </c>
      <c r="C10" s="31"/>
      <c r="D10" s="34">
        <v>1770</v>
      </c>
      <c r="E10" s="32" t="e">
        <f>D10*#REF!</f>
        <v>#REF!</v>
      </c>
      <c r="F10" s="32" t="e">
        <f>D10*#REF!</f>
        <v>#REF!</v>
      </c>
      <c r="G10" s="32" t="e">
        <f>(D10*#REF!)*#REF!</f>
        <v>#REF!</v>
      </c>
      <c r="H10" s="34">
        <v>2250</v>
      </c>
      <c r="I10" s="121">
        <f t="shared" si="0"/>
        <v>0</v>
      </c>
      <c r="J10" s="34" t="e">
        <f t="shared" si="1"/>
        <v>#REF!</v>
      </c>
      <c r="K10" s="16"/>
      <c r="L10" s="31"/>
      <c r="M10" s="36">
        <v>2250</v>
      </c>
      <c r="N10" s="36">
        <v>1863.98</v>
      </c>
      <c r="O10" s="36">
        <f>VLOOKUP(A10,TB!A:F,4)</f>
        <v>2500</v>
      </c>
      <c r="P10" s="36">
        <f>VLOOKUP(A10,TB!A:F,3)</f>
        <v>1199.8599999999999</v>
      </c>
      <c r="Q10" s="32">
        <f t="shared" si="4"/>
        <v>1599.813333333333</v>
      </c>
      <c r="R10" s="34">
        <f>VLOOKUP(A10,TB!A:F,5)</f>
        <v>2500</v>
      </c>
      <c r="S10" s="201">
        <f>VLOOKUP(A10,TB!A:F,6)</f>
        <v>2500</v>
      </c>
      <c r="T10" s="36">
        <f t="shared" si="3"/>
        <v>0</v>
      </c>
      <c r="U10" s="54"/>
      <c r="V10" s="54"/>
      <c r="W10" s="54"/>
    </row>
    <row r="11" spans="1:32" ht="15.75" customHeight="1" x14ac:dyDescent="0.25">
      <c r="A11" s="7" t="s">
        <v>305</v>
      </c>
      <c r="B11" s="7" t="s">
        <v>82</v>
      </c>
      <c r="C11" s="31"/>
      <c r="D11" s="34">
        <v>3798</v>
      </c>
      <c r="E11" s="32" t="e">
        <f>D11*#REF!</f>
        <v>#REF!</v>
      </c>
      <c r="F11" s="32" t="e">
        <f>D11*#REF!</f>
        <v>#REF!</v>
      </c>
      <c r="G11" s="32" t="e">
        <f>(D11*#REF!)*#REF!</f>
        <v>#REF!</v>
      </c>
      <c r="H11" s="34">
        <v>6324</v>
      </c>
      <c r="I11" s="121">
        <f t="shared" si="0"/>
        <v>0</v>
      </c>
      <c r="J11" s="34" t="e">
        <f t="shared" si="1"/>
        <v>#REF!</v>
      </c>
      <c r="K11" s="16"/>
      <c r="L11" s="31"/>
      <c r="M11" s="36">
        <v>6324</v>
      </c>
      <c r="N11" s="36">
        <v>907.66</v>
      </c>
      <c r="O11" s="36">
        <f>VLOOKUP(A11,TB!A:F,4)</f>
        <v>6600</v>
      </c>
      <c r="P11" s="36">
        <f>VLOOKUP(A11,TB!A:F,3)</f>
        <v>1898.41</v>
      </c>
      <c r="Q11" s="32">
        <f t="shared" si="4"/>
        <v>2531.2133333333336</v>
      </c>
      <c r="R11" s="34">
        <f>VLOOKUP(A11,TB!A:F,5)</f>
        <v>6600</v>
      </c>
      <c r="S11" s="201">
        <f>VLOOKUP(A11,TB!A:F,6)</f>
        <v>6600</v>
      </c>
      <c r="T11" s="36">
        <f t="shared" si="3"/>
        <v>0</v>
      </c>
      <c r="U11" s="54"/>
      <c r="V11" s="54"/>
      <c r="W11" s="54"/>
    </row>
    <row r="12" spans="1:32" ht="15.75" customHeight="1" x14ac:dyDescent="0.25">
      <c r="A12" s="7" t="s">
        <v>306</v>
      </c>
      <c r="B12" s="7" t="s">
        <v>115</v>
      </c>
      <c r="C12" s="31"/>
      <c r="D12" s="34">
        <v>0</v>
      </c>
      <c r="E12" s="32" t="e">
        <f>D12*#REF!</f>
        <v>#REF!</v>
      </c>
      <c r="F12" s="32" t="e">
        <f>D12*#REF!</f>
        <v>#REF!</v>
      </c>
      <c r="G12" s="32" t="e">
        <f>(D12*#REF!)*#REF!</f>
        <v>#REF!</v>
      </c>
      <c r="H12" s="34">
        <v>14734</v>
      </c>
      <c r="I12" s="119">
        <f t="shared" si="0"/>
        <v>0</v>
      </c>
      <c r="J12" s="34" t="e">
        <f t="shared" si="1"/>
        <v>#REF!</v>
      </c>
      <c r="K12" s="16"/>
      <c r="L12" s="31"/>
      <c r="M12" s="36">
        <v>14734</v>
      </c>
      <c r="N12" s="36">
        <v>0</v>
      </c>
      <c r="O12" s="36">
        <f>VLOOKUP(A12,TB!A:F,4)</f>
        <v>1500</v>
      </c>
      <c r="P12" s="36">
        <f>VLOOKUP(A12,TB!A:F,3)</f>
        <v>1670</v>
      </c>
      <c r="Q12" s="32">
        <f>P12</f>
        <v>1670</v>
      </c>
      <c r="R12" s="34">
        <f>VLOOKUP(A12,TB!A:F,5)</f>
        <v>0</v>
      </c>
      <c r="S12" s="201">
        <f>VLOOKUP(A12,TB!A:F,6)</f>
        <v>0</v>
      </c>
      <c r="T12" s="36">
        <f t="shared" si="3"/>
        <v>0</v>
      </c>
      <c r="U12" s="54"/>
      <c r="V12" s="54"/>
      <c r="W12" s="54"/>
    </row>
    <row r="13" spans="1:32" ht="15.75" customHeight="1" x14ac:dyDescent="0.25">
      <c r="A13" s="7" t="s">
        <v>307</v>
      </c>
      <c r="B13" s="7" t="s">
        <v>84</v>
      </c>
      <c r="C13" s="31"/>
      <c r="D13" s="34">
        <v>650</v>
      </c>
      <c r="E13" s="32" t="e">
        <f>D13*#REF!</f>
        <v>#REF!</v>
      </c>
      <c r="F13" s="32" t="e">
        <f>D13*#REF!</f>
        <v>#REF!</v>
      </c>
      <c r="G13" s="32" t="e">
        <f>(D13*#REF!)*#REF!</f>
        <v>#REF!</v>
      </c>
      <c r="H13" s="34">
        <v>1503</v>
      </c>
      <c r="I13" s="119">
        <f t="shared" si="0"/>
        <v>0</v>
      </c>
      <c r="J13" s="34" t="e">
        <f t="shared" si="1"/>
        <v>#REF!</v>
      </c>
      <c r="K13" s="16"/>
      <c r="L13" s="31"/>
      <c r="M13" s="36">
        <v>1503</v>
      </c>
      <c r="N13" s="36">
        <v>802.37</v>
      </c>
      <c r="O13" s="36">
        <f>VLOOKUP(A13,TB!A:F,4)</f>
        <v>2900</v>
      </c>
      <c r="P13" s="36">
        <f>VLOOKUP(A13,TB!A:F,3)</f>
        <v>618.26</v>
      </c>
      <c r="Q13" s="32">
        <f t="shared" ref="Q13:Q14" si="5">IF(P13/9*12&lt;O13,O13,P13/9*12)</f>
        <v>2900</v>
      </c>
      <c r="R13" s="34">
        <f>VLOOKUP(A13,TB!A:F,5)</f>
        <v>2000</v>
      </c>
      <c r="S13" s="201">
        <f>VLOOKUP(A13,TB!A:F,6)</f>
        <v>2000</v>
      </c>
      <c r="T13" s="36">
        <f t="shared" si="3"/>
        <v>0</v>
      </c>
      <c r="U13" s="54"/>
      <c r="V13" s="54"/>
      <c r="W13" s="54"/>
    </row>
    <row r="14" spans="1:32" ht="15.75" customHeight="1" x14ac:dyDescent="0.25">
      <c r="A14" s="7" t="s">
        <v>308</v>
      </c>
      <c r="B14" s="7" t="s">
        <v>86</v>
      </c>
      <c r="C14" s="31"/>
      <c r="D14" s="34">
        <v>0</v>
      </c>
      <c r="E14" s="32" t="e">
        <f>D14*#REF!</f>
        <v>#REF!</v>
      </c>
      <c r="F14" s="32" t="e">
        <f>D14*#REF!</f>
        <v>#REF!</v>
      </c>
      <c r="G14" s="32" t="e">
        <f>(D14*#REF!)*#REF!</f>
        <v>#REF!</v>
      </c>
      <c r="H14" s="34">
        <v>66463</v>
      </c>
      <c r="I14" s="119">
        <f t="shared" si="0"/>
        <v>0</v>
      </c>
      <c r="J14" s="34" t="e">
        <f t="shared" si="1"/>
        <v>#REF!</v>
      </c>
      <c r="K14" s="16"/>
      <c r="L14" s="31"/>
      <c r="M14" s="36">
        <v>66463</v>
      </c>
      <c r="N14" s="36">
        <v>49447.78</v>
      </c>
      <c r="O14" s="36">
        <f>VLOOKUP(A14,TB!A:F,4)</f>
        <v>12500</v>
      </c>
      <c r="P14" s="36">
        <f>VLOOKUP(A14,TB!A:F,3)</f>
        <v>0</v>
      </c>
      <c r="Q14" s="32">
        <f t="shared" si="5"/>
        <v>12500</v>
      </c>
      <c r="R14" s="34">
        <f>VLOOKUP(A14,TB!A:F,5)</f>
        <v>12500</v>
      </c>
      <c r="S14" s="201">
        <f>VLOOKUP(A14,TB!A:F,6)</f>
        <v>12500</v>
      </c>
      <c r="T14" s="36">
        <f t="shared" si="3"/>
        <v>0</v>
      </c>
      <c r="U14" s="54"/>
      <c r="V14" s="54"/>
      <c r="W14" s="54"/>
    </row>
    <row r="15" spans="1:32" ht="15.75" customHeight="1" x14ac:dyDescent="0.25">
      <c r="A15" s="7" t="s">
        <v>309</v>
      </c>
      <c r="B15" s="7" t="s">
        <v>88</v>
      </c>
      <c r="C15" s="31"/>
      <c r="D15" s="34">
        <v>0</v>
      </c>
      <c r="E15" s="32" t="e">
        <f>D15*#REF!</f>
        <v>#REF!</v>
      </c>
      <c r="F15" s="32" t="e">
        <f>D15*#REF!</f>
        <v>#REF!</v>
      </c>
      <c r="G15" s="32" t="e">
        <f>(D15*#REF!)*#REF!</f>
        <v>#REF!</v>
      </c>
      <c r="H15" s="34">
        <v>21966</v>
      </c>
      <c r="I15" s="119">
        <f t="shared" si="0"/>
        <v>0</v>
      </c>
      <c r="J15" s="34" t="e">
        <f t="shared" si="1"/>
        <v>#REF!</v>
      </c>
      <c r="K15" s="34">
        <v>-13450</v>
      </c>
      <c r="L15" s="31"/>
      <c r="M15" s="36">
        <v>21966</v>
      </c>
      <c r="N15" s="36">
        <v>24315.55</v>
      </c>
      <c r="O15" s="36">
        <f>VLOOKUP(A15,TB!A:F,4)</f>
        <v>29200</v>
      </c>
      <c r="P15" s="36">
        <f>VLOOKUP(A15,TB!A:F,3)</f>
        <v>8498.16</v>
      </c>
      <c r="Q15" s="38">
        <f t="shared" ref="Q15:Q16" si="6">O15</f>
        <v>29200</v>
      </c>
      <c r="R15" s="34">
        <f>VLOOKUP(A15,TB!A:F,5)</f>
        <v>30450</v>
      </c>
      <c r="S15" s="201">
        <f>VLOOKUP(A15,TB!A:F,6)</f>
        <v>17000</v>
      </c>
      <c r="T15" s="36">
        <f t="shared" si="3"/>
        <v>-13450</v>
      </c>
      <c r="U15" s="54"/>
      <c r="V15" s="54"/>
      <c r="W15" s="54"/>
    </row>
    <row r="16" spans="1:32" ht="15.75" customHeight="1" x14ac:dyDescent="0.25">
      <c r="A16" s="7" t="s">
        <v>310</v>
      </c>
      <c r="B16" s="7" t="s">
        <v>90</v>
      </c>
      <c r="C16" s="31"/>
      <c r="D16" s="34">
        <v>0</v>
      </c>
      <c r="E16" s="32" t="e">
        <f>D16*#REF!</f>
        <v>#REF!</v>
      </c>
      <c r="F16" s="32" t="e">
        <f>D16*#REF!</f>
        <v>#REF!</v>
      </c>
      <c r="G16" s="32" t="e">
        <f>(D16*#REF!)*#REF!</f>
        <v>#REF!</v>
      </c>
      <c r="H16" s="34">
        <v>2568</v>
      </c>
      <c r="I16" s="119">
        <f t="shared" si="0"/>
        <v>0</v>
      </c>
      <c r="J16" s="34" t="e">
        <f t="shared" si="1"/>
        <v>#REF!</v>
      </c>
      <c r="K16" s="16"/>
      <c r="L16" s="31"/>
      <c r="M16" s="36">
        <v>2568</v>
      </c>
      <c r="N16" s="36">
        <v>1072.28</v>
      </c>
      <c r="O16" s="36">
        <f>VLOOKUP(A16,TB!A:F,4)</f>
        <v>2400</v>
      </c>
      <c r="P16" s="36">
        <f>VLOOKUP(A16,TB!A:F,3)</f>
        <v>1865.29</v>
      </c>
      <c r="Q16" s="38">
        <f t="shared" si="6"/>
        <v>2400</v>
      </c>
      <c r="R16" s="34">
        <f>VLOOKUP(A16,TB!A:F,5)</f>
        <v>2400</v>
      </c>
      <c r="S16" s="201">
        <f>VLOOKUP(A16,TB!A:F,6)</f>
        <v>2400</v>
      </c>
      <c r="T16" s="36">
        <f t="shared" si="3"/>
        <v>0</v>
      </c>
      <c r="U16" s="54"/>
      <c r="V16" s="54"/>
      <c r="W16" s="54"/>
    </row>
    <row r="17" spans="1:23" ht="15.75" customHeight="1" x14ac:dyDescent="0.25">
      <c r="A17" s="7" t="s">
        <v>311</v>
      </c>
      <c r="B17" s="7" t="s">
        <v>92</v>
      </c>
      <c r="C17" s="31"/>
      <c r="D17" s="34">
        <v>0</v>
      </c>
      <c r="E17" s="32" t="e">
        <f>D17*#REF!</f>
        <v>#REF!</v>
      </c>
      <c r="F17" s="32" t="e">
        <f>D17*#REF!</f>
        <v>#REF!</v>
      </c>
      <c r="G17" s="32" t="e">
        <f>(D17*#REF!)*#REF!</f>
        <v>#REF!</v>
      </c>
      <c r="H17" s="34">
        <v>5795</v>
      </c>
      <c r="I17" s="119">
        <f t="shared" si="0"/>
        <v>0</v>
      </c>
      <c r="J17" s="34" t="e">
        <f t="shared" si="1"/>
        <v>#REF!</v>
      </c>
      <c r="K17" s="16"/>
      <c r="L17" s="31"/>
      <c r="M17" s="36">
        <v>5795</v>
      </c>
      <c r="N17" s="36">
        <v>5281.53</v>
      </c>
      <c r="O17" s="36">
        <f>VLOOKUP(A17,TB!A:F,4)</f>
        <v>6000</v>
      </c>
      <c r="P17" s="36">
        <f>VLOOKUP(A17,TB!A:F,3)</f>
        <v>5555.57</v>
      </c>
      <c r="Q17" s="32">
        <f t="shared" ref="Q17:Q19" si="7">IF(P17/9*12&lt;O17,O17,P17/9*12)</f>
        <v>7407.4266666666663</v>
      </c>
      <c r="R17" s="34">
        <f>VLOOKUP(A17,TB!A:F,5)</f>
        <v>6000</v>
      </c>
      <c r="S17" s="201">
        <f>VLOOKUP(A17,TB!A:F,6)</f>
        <v>6000</v>
      </c>
      <c r="T17" s="36">
        <f t="shared" si="3"/>
        <v>0</v>
      </c>
      <c r="U17" s="54"/>
      <c r="V17" s="54"/>
      <c r="W17" s="54"/>
    </row>
    <row r="18" spans="1:23" ht="15.75" customHeight="1" x14ac:dyDescent="0.25">
      <c r="A18" s="7" t="s">
        <v>312</v>
      </c>
      <c r="B18" s="7" t="s">
        <v>94</v>
      </c>
      <c r="C18" s="31"/>
      <c r="D18" s="34">
        <v>0</v>
      </c>
      <c r="E18" s="32" t="e">
        <f>D18*#REF!</f>
        <v>#REF!</v>
      </c>
      <c r="F18" s="32" t="e">
        <f>D18*#REF!</f>
        <v>#REF!</v>
      </c>
      <c r="G18" s="32" t="e">
        <f>(D18*#REF!)*#REF!</f>
        <v>#REF!</v>
      </c>
      <c r="H18" s="34">
        <v>2515</v>
      </c>
      <c r="I18" s="119">
        <f t="shared" si="0"/>
        <v>0</v>
      </c>
      <c r="J18" s="34" t="e">
        <f t="shared" si="1"/>
        <v>#REF!</v>
      </c>
      <c r="K18" s="16"/>
      <c r="L18" s="31"/>
      <c r="M18" s="36">
        <v>2515</v>
      </c>
      <c r="N18" s="36">
        <v>24945</v>
      </c>
      <c r="O18" s="36">
        <f>VLOOKUP(A18,TB!A:F,4)</f>
        <v>0</v>
      </c>
      <c r="P18" s="36">
        <f>VLOOKUP(A18,TB!A:F,3)</f>
        <v>0</v>
      </c>
      <c r="Q18" s="32">
        <f t="shared" si="7"/>
        <v>0</v>
      </c>
      <c r="R18" s="34">
        <f>VLOOKUP(A18,TB!A:F,5)</f>
        <v>0</v>
      </c>
      <c r="S18" s="201">
        <f>VLOOKUP(A18,TB!A:F,6)</f>
        <v>0</v>
      </c>
      <c r="T18" s="36">
        <f t="shared" si="3"/>
        <v>0</v>
      </c>
      <c r="U18" s="54"/>
      <c r="V18" s="54"/>
      <c r="W18" s="54"/>
    </row>
    <row r="19" spans="1:23" ht="15.75" customHeight="1" x14ac:dyDescent="0.25">
      <c r="A19" s="7" t="s">
        <v>313</v>
      </c>
      <c r="B19" s="7" t="s">
        <v>314</v>
      </c>
      <c r="C19" s="31"/>
      <c r="D19" s="34">
        <v>-127948</v>
      </c>
      <c r="E19" s="32" t="e">
        <f>D19*#REF!</f>
        <v>#REF!</v>
      </c>
      <c r="F19" s="32" t="e">
        <f>D19*#REF!</f>
        <v>#REF!</v>
      </c>
      <c r="G19" s="32" t="e">
        <f>(D19*#REF!)*#REF!</f>
        <v>#REF!</v>
      </c>
      <c r="H19" s="34">
        <v>0</v>
      </c>
      <c r="I19" s="121">
        <f t="shared" si="0"/>
        <v>0</v>
      </c>
      <c r="J19" s="34" t="e">
        <f t="shared" si="1"/>
        <v>#REF!</v>
      </c>
      <c r="K19" s="34">
        <v>485625</v>
      </c>
      <c r="L19" s="31"/>
      <c r="M19" s="36">
        <v>0</v>
      </c>
      <c r="N19" s="36">
        <v>0</v>
      </c>
      <c r="O19" s="36">
        <f>VLOOKUP(A19,TB!A:F,4)</f>
        <v>0</v>
      </c>
      <c r="P19" s="36">
        <f>VLOOKUP(A19,TB!A:F,3)</f>
        <v>0</v>
      </c>
      <c r="Q19" s="32">
        <f t="shared" si="7"/>
        <v>0</v>
      </c>
      <c r="R19" s="34">
        <f>VLOOKUP(A19,TB!A:F,5)</f>
        <v>-485625</v>
      </c>
      <c r="S19" s="201">
        <f>VLOOKUP(A19,TB!A:F,6)</f>
        <v>0</v>
      </c>
      <c r="T19" s="36">
        <f t="shared" si="3"/>
        <v>485625</v>
      </c>
      <c r="U19" s="54"/>
      <c r="V19" s="54"/>
      <c r="W19" s="54"/>
    </row>
    <row r="20" spans="1:23" ht="15.75" customHeight="1" x14ac:dyDescent="0.25">
      <c r="A20" s="7"/>
      <c r="B20" s="7"/>
      <c r="C20" s="31"/>
      <c r="D20" s="34"/>
      <c r="E20" s="32"/>
      <c r="F20" s="32"/>
      <c r="G20" s="32"/>
      <c r="H20" s="34"/>
      <c r="I20" s="119"/>
      <c r="J20" s="34"/>
      <c r="K20" s="16"/>
      <c r="L20" s="31"/>
      <c r="M20" s="36"/>
      <c r="N20" s="36"/>
      <c r="O20" s="36"/>
      <c r="P20" s="36"/>
      <c r="Q20" s="32"/>
      <c r="R20" s="34"/>
      <c r="S20" s="201"/>
      <c r="T20" s="36"/>
      <c r="U20" s="54"/>
      <c r="V20" s="54"/>
      <c r="W20" s="54"/>
    </row>
    <row r="21" spans="1:23" ht="15.75" customHeight="1" x14ac:dyDescent="0.25">
      <c r="A21" s="202" t="s">
        <v>315</v>
      </c>
      <c r="B21" s="12"/>
      <c r="C21" s="49"/>
      <c r="D21" s="50">
        <f t="shared" ref="D21:H21" si="8">SUM(D3:D20)</f>
        <v>127948</v>
      </c>
      <c r="E21" s="50" t="e">
        <f t="shared" si="8"/>
        <v>#REF!</v>
      </c>
      <c r="F21" s="50" t="e">
        <f t="shared" si="8"/>
        <v>#REF!</v>
      </c>
      <c r="G21" s="50" t="e">
        <f t="shared" si="8"/>
        <v>#REF!</v>
      </c>
      <c r="H21" s="50">
        <f t="shared" si="8"/>
        <v>804909</v>
      </c>
      <c r="I21" s="122">
        <f>IFERROR(((Q21-G21)/G21),0)</f>
        <v>0</v>
      </c>
      <c r="J21" s="50" t="e">
        <f t="shared" ref="J21:K21" si="9">SUM(J3:J20)</f>
        <v>#REF!</v>
      </c>
      <c r="K21" s="50">
        <f t="shared" si="9"/>
        <v>281275</v>
      </c>
      <c r="L21" s="49"/>
      <c r="M21" s="123">
        <f t="shared" ref="M21:S21" si="10">SUM(M3:M20)</f>
        <v>804909</v>
      </c>
      <c r="N21" s="123">
        <f t="shared" si="10"/>
        <v>784904.51000000013</v>
      </c>
      <c r="O21" s="12">
        <f t="shared" si="10"/>
        <v>947897.5</v>
      </c>
      <c r="P21" s="12">
        <f t="shared" si="10"/>
        <v>571931.36</v>
      </c>
      <c r="Q21" s="50">
        <f t="shared" si="10"/>
        <v>775586.18966666667</v>
      </c>
      <c r="R21" s="50">
        <f t="shared" si="10"/>
        <v>485625</v>
      </c>
      <c r="S21" s="12">
        <f t="shared" si="10"/>
        <v>766900</v>
      </c>
      <c r="T21" s="12">
        <f>S21-R21</f>
        <v>281275</v>
      </c>
      <c r="U21" s="54"/>
      <c r="V21" s="54"/>
      <c r="W21" s="54"/>
    </row>
    <row r="22" spans="1:23" ht="15.75" customHeight="1" x14ac:dyDescent="0.2">
      <c r="A22" s="7"/>
      <c r="B22" s="7"/>
      <c r="C22" s="31"/>
      <c r="D22" s="7"/>
      <c r="E22" s="7"/>
      <c r="F22" s="7"/>
      <c r="G22" s="7"/>
      <c r="H22" s="7"/>
      <c r="I22" s="7"/>
      <c r="J22" s="36"/>
      <c r="K22" s="7"/>
      <c r="L22" s="31"/>
      <c r="M22" s="7"/>
      <c r="N22" s="7"/>
      <c r="O22" s="7"/>
      <c r="P22" s="7"/>
      <c r="Q22" s="7"/>
      <c r="R22" s="7"/>
      <c r="S22" s="7"/>
      <c r="T22" s="7"/>
      <c r="U22" s="54"/>
      <c r="V22" s="54"/>
      <c r="W22" s="54"/>
    </row>
    <row r="23" spans="1:23" ht="15.75" customHeight="1" x14ac:dyDescent="0.2">
      <c r="A23" s="12" t="s">
        <v>184</v>
      </c>
      <c r="B23" s="7"/>
      <c r="C23" s="31"/>
      <c r="D23" s="7"/>
      <c r="E23" s="7"/>
      <c r="F23" s="7"/>
      <c r="G23" s="7"/>
      <c r="H23" s="7"/>
      <c r="I23" s="63"/>
      <c r="J23" s="7"/>
      <c r="K23" s="7"/>
      <c r="L23" s="31"/>
      <c r="M23" s="7"/>
      <c r="N23" s="7"/>
      <c r="O23" s="7"/>
      <c r="P23" s="5"/>
      <c r="Q23" s="203"/>
      <c r="R23" s="7"/>
      <c r="S23" s="7"/>
      <c r="T23" s="7"/>
      <c r="U23" s="54"/>
      <c r="V23" s="54"/>
      <c r="W23" s="54"/>
    </row>
    <row r="24" spans="1:23" ht="15.75" customHeight="1" x14ac:dyDescent="0.25">
      <c r="A24" s="176" t="s">
        <v>316</v>
      </c>
      <c r="B24" s="179" t="s">
        <v>317</v>
      </c>
      <c r="C24" s="31"/>
      <c r="D24" s="32">
        <v>-834775.15</v>
      </c>
      <c r="E24" s="32" t="e">
        <f>D24*#REF!</f>
        <v>#REF!</v>
      </c>
      <c r="F24" s="32" t="e">
        <f>D24*#REF!</f>
        <v>#REF!</v>
      </c>
      <c r="G24" s="32" t="e">
        <f>(D24*#REF!)*#REF!</f>
        <v>#REF!</v>
      </c>
      <c r="H24" s="32">
        <v>-694895.3</v>
      </c>
      <c r="I24" s="121">
        <f t="shared" ref="I24:I26" si="11">IFERROR(((Q24-G24)/G24),0)</f>
        <v>0</v>
      </c>
      <c r="J24" s="34" t="e">
        <f t="shared" ref="J24:J25" si="12">Q24-G24</f>
        <v>#REF!</v>
      </c>
      <c r="K24" s="16"/>
      <c r="L24" s="31"/>
      <c r="M24" s="35">
        <v>-694895.3</v>
      </c>
      <c r="N24" s="35">
        <v>-737365.06</v>
      </c>
      <c r="O24" s="36">
        <f>-VLOOKUP(A24,TB!A:F,4)</f>
        <v>700000</v>
      </c>
      <c r="P24" s="36">
        <f>VLOOKUP(A24,TB!A:F,3)</f>
        <v>-594308.25</v>
      </c>
      <c r="Q24" s="32">
        <f>P24</f>
        <v>-594308.25</v>
      </c>
      <c r="R24" s="34">
        <f>VLOOKUP(A24,TB!A:F,5)</f>
        <v>-700000</v>
      </c>
      <c r="S24" s="201">
        <f>VLOOKUP(A24,TB!A:F,6)</f>
        <v>-700000</v>
      </c>
      <c r="T24" s="36">
        <f t="shared" ref="T24:T26" si="13">S24-R24</f>
        <v>0</v>
      </c>
      <c r="U24" s="54"/>
      <c r="V24" s="54"/>
      <c r="W24" s="54"/>
    </row>
    <row r="25" spans="1:23" ht="15.75" customHeight="1" x14ac:dyDescent="0.25">
      <c r="A25" s="176" t="s">
        <v>318</v>
      </c>
      <c r="B25" s="179" t="s">
        <v>319</v>
      </c>
      <c r="C25" s="31"/>
      <c r="D25" s="32">
        <v>417387.57</v>
      </c>
      <c r="E25" s="32" t="e">
        <f>D25*#REF!</f>
        <v>#REF!</v>
      </c>
      <c r="F25" s="32" t="e">
        <f>D25*#REF!</f>
        <v>#REF!</v>
      </c>
      <c r="G25" s="32" t="e">
        <f>(D25*#REF!)*#REF!</f>
        <v>#REF!</v>
      </c>
      <c r="H25" s="32">
        <v>156070.64000000001</v>
      </c>
      <c r="I25" s="121">
        <f t="shared" si="11"/>
        <v>0</v>
      </c>
      <c r="J25" s="34" t="e">
        <f t="shared" si="12"/>
        <v>#REF!</v>
      </c>
      <c r="K25" s="16"/>
      <c r="L25" s="31"/>
      <c r="M25" s="35">
        <v>156070.64000000001</v>
      </c>
      <c r="N25" s="35">
        <v>163115.41</v>
      </c>
      <c r="O25" s="36">
        <f>-VLOOKUP(A25,TB!A:F,4)</f>
        <v>-167000</v>
      </c>
      <c r="P25" s="36">
        <f>VLOOKUP(A25,TB!A:F,3)</f>
        <v>121073.07</v>
      </c>
      <c r="Q25" s="32">
        <f>IF(P25/9*12&lt;O25,O25,P25/9*12)</f>
        <v>161430.76</v>
      </c>
      <c r="R25" s="34">
        <f>VLOOKUP(A25,TB!A:F,5)</f>
        <v>184300</v>
      </c>
      <c r="S25" s="201">
        <f>VLOOKUP(A25,TB!A:F,6)</f>
        <v>184300</v>
      </c>
      <c r="T25" s="36">
        <f t="shared" si="13"/>
        <v>0</v>
      </c>
      <c r="U25" s="54"/>
      <c r="V25" s="54"/>
      <c r="W25" s="54"/>
    </row>
    <row r="26" spans="1:23" ht="15.75" customHeight="1" x14ac:dyDescent="0.25">
      <c r="A26" s="110" t="s">
        <v>263</v>
      </c>
      <c r="B26" s="7"/>
      <c r="C26" s="177"/>
      <c r="D26" s="178">
        <f t="shared" ref="D26:H26" si="14">SUM(D24:D25)</f>
        <v>-417387.58</v>
      </c>
      <c r="E26" s="178" t="e">
        <f t="shared" si="14"/>
        <v>#REF!</v>
      </c>
      <c r="F26" s="178" t="e">
        <f t="shared" si="14"/>
        <v>#REF!</v>
      </c>
      <c r="G26" s="178" t="e">
        <f t="shared" si="14"/>
        <v>#REF!</v>
      </c>
      <c r="H26" s="178">
        <f t="shared" si="14"/>
        <v>-538824.66</v>
      </c>
      <c r="I26" s="122">
        <f t="shared" si="11"/>
        <v>0</v>
      </c>
      <c r="J26" s="178" t="e">
        <f t="shared" ref="J26:K26" si="15">SUM(J24:J25)</f>
        <v>#REF!</v>
      </c>
      <c r="K26" s="178">
        <f t="shared" si="15"/>
        <v>0</v>
      </c>
      <c r="L26" s="177"/>
      <c r="M26" s="123">
        <f t="shared" ref="M26:O26" si="16">SUM(M24:M25)</f>
        <v>-538824.66</v>
      </c>
      <c r="N26" s="123">
        <f t="shared" si="16"/>
        <v>-574249.65</v>
      </c>
      <c r="O26" s="123">
        <f t="shared" si="16"/>
        <v>533000</v>
      </c>
      <c r="P26" s="12">
        <f>SUM(P8:P25)</f>
        <v>125636.02999999997</v>
      </c>
      <c r="Q26" s="178">
        <f t="shared" ref="Q26:R26" si="17">SUM(Q24:Q25)</f>
        <v>-432877.49</v>
      </c>
      <c r="R26" s="178">
        <f t="shared" si="17"/>
        <v>-515700</v>
      </c>
      <c r="S26" s="12">
        <f>S24+S25</f>
        <v>-515700</v>
      </c>
      <c r="T26" s="12">
        <f t="shared" si="13"/>
        <v>0</v>
      </c>
      <c r="U26" s="54"/>
      <c r="V26" s="54"/>
      <c r="W26" s="54"/>
    </row>
    <row r="27" spans="1:23" ht="15.75" customHeight="1" x14ac:dyDescent="0.2">
      <c r="A27" s="7"/>
      <c r="B27" s="7"/>
      <c r="C27" s="31"/>
      <c r="D27" s="7"/>
      <c r="E27" s="7"/>
      <c r="F27" s="7"/>
      <c r="G27" s="7"/>
      <c r="H27" s="7"/>
      <c r="I27" s="63"/>
      <c r="J27" s="7"/>
      <c r="K27" s="7"/>
      <c r="L27" s="31"/>
      <c r="M27" s="7"/>
      <c r="N27" s="7"/>
      <c r="O27" s="7"/>
      <c r="P27" s="7"/>
      <c r="Q27" s="7"/>
      <c r="R27" s="7"/>
      <c r="S27" s="7"/>
      <c r="T27" s="7"/>
      <c r="U27" s="54"/>
      <c r="V27" s="54"/>
      <c r="W27" s="54"/>
    </row>
    <row r="28" spans="1:23" ht="15.75" customHeight="1" x14ac:dyDescent="0.25">
      <c r="A28" s="12" t="s">
        <v>190</v>
      </c>
      <c r="B28" s="12"/>
      <c r="C28" s="40"/>
      <c r="D28" s="41">
        <f t="shared" ref="D28:H28" si="18">D21+D26</f>
        <v>-289439.58</v>
      </c>
      <c r="E28" s="41" t="e">
        <f t="shared" si="18"/>
        <v>#REF!</v>
      </c>
      <c r="F28" s="41" t="e">
        <f t="shared" si="18"/>
        <v>#REF!</v>
      </c>
      <c r="G28" s="41" t="e">
        <f t="shared" si="18"/>
        <v>#REF!</v>
      </c>
      <c r="H28" s="41">
        <f t="shared" si="18"/>
        <v>266084.33999999997</v>
      </c>
      <c r="I28" s="122">
        <f>IFERROR(((Q28-G28)/G28),0)</f>
        <v>0</v>
      </c>
      <c r="J28" s="50" t="e">
        <f>Q28-G28</f>
        <v>#REF!</v>
      </c>
      <c r="K28" s="178">
        <f>SUM(K27)</f>
        <v>0</v>
      </c>
      <c r="L28" s="40"/>
      <c r="M28" s="41">
        <f t="shared" ref="M28:T28" si="19">M21+M26</f>
        <v>266084.33999999997</v>
      </c>
      <c r="N28" s="41">
        <f t="shared" si="19"/>
        <v>210654.8600000001</v>
      </c>
      <c r="O28" s="41">
        <f t="shared" si="19"/>
        <v>1480897.5</v>
      </c>
      <c r="P28" s="41">
        <f t="shared" si="19"/>
        <v>697567.3899999999</v>
      </c>
      <c r="Q28" s="41">
        <f t="shared" si="19"/>
        <v>342708.69966666668</v>
      </c>
      <c r="R28" s="41">
        <f t="shared" si="19"/>
        <v>-30075</v>
      </c>
      <c r="S28" s="41">
        <f t="shared" si="19"/>
        <v>251200</v>
      </c>
      <c r="T28" s="41">
        <f t="shared" si="19"/>
        <v>281275</v>
      </c>
      <c r="U28" s="78"/>
      <c r="V28" s="78"/>
      <c r="W28" s="78"/>
    </row>
    <row r="29" spans="1:23" ht="15.75" customHeight="1" x14ac:dyDescent="0.2">
      <c r="A29" s="54"/>
      <c r="B29" s="54"/>
      <c r="C29" s="180"/>
      <c r="D29" s="54"/>
      <c r="E29" s="54"/>
      <c r="F29" s="54"/>
      <c r="G29" s="54"/>
      <c r="H29" s="54"/>
      <c r="I29" s="54"/>
      <c r="J29" s="54"/>
      <c r="K29" s="54"/>
      <c r="L29" s="180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</row>
    <row r="30" spans="1:23" ht="15.75" customHeight="1" x14ac:dyDescent="0.2">
      <c r="A30" s="54"/>
      <c r="B30" s="54"/>
      <c r="C30" s="180"/>
      <c r="D30" s="54"/>
      <c r="E30" s="54"/>
      <c r="F30" s="54"/>
      <c r="G30" s="54"/>
      <c r="H30" s="54"/>
      <c r="I30" s="54"/>
      <c r="J30" s="54"/>
      <c r="K30" s="54"/>
      <c r="L30" s="180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</row>
    <row r="31" spans="1:23" ht="15.75" customHeight="1" x14ac:dyDescent="0.2">
      <c r="A31" s="125"/>
      <c r="B31" s="59"/>
      <c r="C31" s="204"/>
      <c r="D31" s="59"/>
      <c r="E31" s="59"/>
      <c r="F31" s="59"/>
      <c r="G31" s="59"/>
      <c r="H31" s="59"/>
      <c r="I31" s="125"/>
      <c r="J31" s="125"/>
      <c r="K31" s="125"/>
      <c r="L31" s="204"/>
      <c r="M31" s="61">
        <f t="shared" ref="M31:S31" si="20">M1</f>
        <v>0</v>
      </c>
      <c r="N31" s="61">
        <f t="shared" si="20"/>
        <v>0</v>
      </c>
      <c r="O31" s="61">
        <f t="shared" si="20"/>
        <v>0</v>
      </c>
      <c r="P31" s="61">
        <f t="shared" si="20"/>
        <v>0</v>
      </c>
      <c r="Q31" s="61">
        <f t="shared" si="20"/>
        <v>0</v>
      </c>
      <c r="R31" s="61">
        <f t="shared" si="20"/>
        <v>0</v>
      </c>
      <c r="S31" s="61">
        <f t="shared" si="20"/>
        <v>0</v>
      </c>
      <c r="T31" s="125"/>
      <c r="U31" s="125"/>
      <c r="V31" s="125"/>
      <c r="W31" s="125"/>
    </row>
    <row r="32" spans="1:23" ht="15.75" customHeight="1" x14ac:dyDescent="0.2">
      <c r="A32" s="54"/>
      <c r="B32" s="54"/>
      <c r="C32" s="180"/>
      <c r="D32" s="54"/>
      <c r="E32" s="54"/>
      <c r="F32" s="54"/>
      <c r="G32" s="54"/>
      <c r="H32" s="54"/>
      <c r="I32" s="54"/>
      <c r="J32" s="54"/>
      <c r="K32" s="54"/>
      <c r="L32" s="180"/>
      <c r="M32" s="63">
        <f t="shared" ref="M32:S32" si="21">M21</f>
        <v>804909</v>
      </c>
      <c r="N32" s="63">
        <f t="shared" si="21"/>
        <v>784904.51000000013</v>
      </c>
      <c r="O32" s="63">
        <f t="shared" si="21"/>
        <v>947897.5</v>
      </c>
      <c r="P32" s="63">
        <f t="shared" si="21"/>
        <v>571931.36</v>
      </c>
      <c r="Q32" s="63">
        <f t="shared" si="21"/>
        <v>775586.18966666667</v>
      </c>
      <c r="R32" s="63">
        <f t="shared" si="21"/>
        <v>485625</v>
      </c>
      <c r="S32" s="63">
        <f t="shared" si="21"/>
        <v>766900</v>
      </c>
      <c r="T32" s="54"/>
      <c r="U32" s="54"/>
      <c r="V32" s="54"/>
      <c r="W32" s="54"/>
    </row>
    <row r="33" spans="1:23" ht="15.75" customHeight="1" x14ac:dyDescent="0.2">
      <c r="A33" s="54"/>
      <c r="B33" s="54"/>
      <c r="C33" s="180"/>
      <c r="D33" s="54"/>
      <c r="E33" s="54"/>
      <c r="F33" s="54"/>
      <c r="G33" s="54"/>
      <c r="H33" s="54"/>
      <c r="I33" s="54"/>
      <c r="J33" s="54"/>
      <c r="K33" s="54"/>
      <c r="L33" s="180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</row>
    <row r="34" spans="1:23" ht="15.75" customHeight="1" x14ac:dyDescent="0.2">
      <c r="A34" s="54"/>
      <c r="B34" s="54"/>
      <c r="C34" s="180"/>
      <c r="D34" s="54"/>
      <c r="E34" s="54"/>
      <c r="F34" s="54"/>
      <c r="G34" s="54"/>
      <c r="H34" s="54"/>
      <c r="I34" s="54"/>
      <c r="J34" s="54"/>
      <c r="K34" s="54"/>
      <c r="L34" s="180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</row>
    <row r="35" spans="1:23" ht="15.75" customHeight="1" x14ac:dyDescent="0.2">
      <c r="A35" s="54"/>
      <c r="B35" s="54"/>
      <c r="C35" s="180"/>
      <c r="D35" s="54"/>
      <c r="E35" s="54"/>
      <c r="F35" s="54"/>
      <c r="G35" s="54"/>
      <c r="H35" s="54"/>
      <c r="I35" s="54"/>
      <c r="J35" s="54"/>
      <c r="K35" s="54"/>
      <c r="L35" s="180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</row>
    <row r="36" spans="1:23" ht="15.75" customHeight="1" x14ac:dyDescent="0.2">
      <c r="A36" s="54"/>
      <c r="B36" s="54"/>
      <c r="C36" s="180"/>
      <c r="D36" s="54"/>
      <c r="E36" s="54"/>
      <c r="F36" s="54"/>
      <c r="G36" s="54"/>
      <c r="H36" s="54"/>
      <c r="I36" s="54"/>
      <c r="J36" s="54"/>
      <c r="K36" s="54"/>
      <c r="L36" s="180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</row>
    <row r="37" spans="1:23" ht="15.75" customHeight="1" x14ac:dyDescent="0.2">
      <c r="A37" s="54"/>
      <c r="B37" s="54"/>
      <c r="C37" s="180"/>
      <c r="D37" s="54"/>
      <c r="E37" s="54"/>
      <c r="F37" s="54"/>
      <c r="G37" s="54"/>
      <c r="H37" s="54"/>
      <c r="I37" s="54"/>
      <c r="J37" s="54"/>
      <c r="K37" s="54"/>
      <c r="L37" s="180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</row>
    <row r="38" spans="1:23" ht="15.75" customHeight="1" x14ac:dyDescent="0.2">
      <c r="A38" s="54"/>
      <c r="B38" s="54"/>
      <c r="C38" s="180"/>
      <c r="D38" s="54"/>
      <c r="E38" s="54"/>
      <c r="F38" s="54"/>
      <c r="G38" s="54"/>
      <c r="H38" s="54"/>
      <c r="I38" s="54"/>
      <c r="J38" s="54"/>
      <c r="K38" s="54"/>
      <c r="L38" s="180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</row>
    <row r="39" spans="1:23" ht="15.75" customHeight="1" x14ac:dyDescent="0.2">
      <c r="A39" s="54"/>
      <c r="B39" s="54"/>
      <c r="C39" s="180"/>
      <c r="D39" s="54"/>
      <c r="E39" s="54"/>
      <c r="F39" s="54"/>
      <c r="G39" s="54"/>
      <c r="H39" s="54"/>
      <c r="I39" s="54"/>
      <c r="J39" s="54"/>
      <c r="K39" s="54"/>
      <c r="L39" s="180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</row>
    <row r="40" spans="1:23" ht="15.75" customHeight="1" x14ac:dyDescent="0.2">
      <c r="A40" s="54"/>
      <c r="B40" s="54"/>
      <c r="C40" s="180"/>
      <c r="D40" s="54"/>
      <c r="E40" s="54"/>
      <c r="F40" s="54"/>
      <c r="G40" s="54"/>
      <c r="H40" s="54"/>
      <c r="I40" s="54"/>
      <c r="J40" s="54"/>
      <c r="K40" s="54"/>
      <c r="L40" s="180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</row>
    <row r="41" spans="1:23" ht="15.75" customHeight="1" x14ac:dyDescent="0.2">
      <c r="A41" s="54"/>
      <c r="B41" s="54"/>
      <c r="C41" s="180"/>
      <c r="D41" s="54"/>
      <c r="E41" s="54"/>
      <c r="F41" s="54"/>
      <c r="G41" s="54"/>
      <c r="H41" s="54"/>
      <c r="I41" s="54"/>
      <c r="J41" s="54"/>
      <c r="K41" s="54"/>
      <c r="L41" s="180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</row>
    <row r="42" spans="1:23" ht="15.75" customHeight="1" x14ac:dyDescent="0.2">
      <c r="A42" s="54"/>
      <c r="B42" s="54"/>
      <c r="C42" s="180"/>
      <c r="D42" s="54"/>
      <c r="E42" s="54"/>
      <c r="F42" s="54"/>
      <c r="G42" s="54"/>
      <c r="H42" s="54"/>
      <c r="I42" s="54"/>
      <c r="J42" s="54"/>
      <c r="K42" s="54"/>
      <c r="L42" s="180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</row>
    <row r="43" spans="1:23" ht="15.75" customHeight="1" x14ac:dyDescent="0.2">
      <c r="A43" s="54"/>
      <c r="B43" s="54"/>
      <c r="C43" s="180"/>
      <c r="D43" s="54"/>
      <c r="E43" s="54"/>
      <c r="F43" s="54"/>
      <c r="G43" s="54"/>
      <c r="H43" s="54"/>
      <c r="I43" s="54"/>
      <c r="J43" s="54"/>
      <c r="K43" s="54"/>
      <c r="L43" s="180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</row>
    <row r="44" spans="1:23" ht="15.75" customHeight="1" x14ac:dyDescent="0.2">
      <c r="A44" s="54"/>
      <c r="B44" s="54"/>
      <c r="C44" s="180"/>
      <c r="D44" s="54"/>
      <c r="E44" s="54"/>
      <c r="F44" s="54"/>
      <c r="G44" s="54"/>
      <c r="H44" s="54"/>
      <c r="I44" s="54"/>
      <c r="J44" s="54"/>
      <c r="K44" s="54"/>
      <c r="L44" s="180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</row>
    <row r="45" spans="1:23" ht="15.75" customHeight="1" x14ac:dyDescent="0.2">
      <c r="A45" s="54"/>
      <c r="B45" s="54"/>
      <c r="C45" s="180"/>
      <c r="D45" s="54"/>
      <c r="E45" s="54"/>
      <c r="F45" s="54"/>
      <c r="G45" s="54"/>
      <c r="H45" s="54"/>
      <c r="I45" s="54"/>
      <c r="J45" s="54"/>
      <c r="K45" s="54"/>
      <c r="L45" s="180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</row>
    <row r="46" spans="1:23" ht="15.75" customHeight="1" x14ac:dyDescent="0.2">
      <c r="A46" s="54"/>
      <c r="B46" s="54"/>
      <c r="C46" s="180"/>
      <c r="D46" s="54"/>
      <c r="E46" s="54"/>
      <c r="F46" s="54"/>
      <c r="G46" s="54"/>
      <c r="H46" s="54"/>
      <c r="I46" s="54"/>
      <c r="J46" s="54"/>
      <c r="K46" s="54"/>
      <c r="L46" s="180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</row>
    <row r="47" spans="1:23" ht="15.75" customHeight="1" x14ac:dyDescent="0.2">
      <c r="A47" s="54"/>
      <c r="B47" s="54"/>
      <c r="C47" s="180"/>
      <c r="D47" s="54"/>
      <c r="E47" s="54"/>
      <c r="F47" s="54"/>
      <c r="G47" s="54"/>
      <c r="H47" s="54"/>
      <c r="I47" s="54"/>
      <c r="J47" s="54"/>
      <c r="K47" s="54"/>
      <c r="L47" s="180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</row>
    <row r="48" spans="1:23" ht="15.75" customHeight="1" x14ac:dyDescent="0.2">
      <c r="A48" s="54"/>
      <c r="B48" s="54"/>
      <c r="C48" s="180"/>
      <c r="D48" s="54"/>
      <c r="E48" s="54"/>
      <c r="F48" s="54"/>
      <c r="G48" s="54"/>
      <c r="H48" s="54"/>
      <c r="I48" s="54"/>
      <c r="J48" s="54"/>
      <c r="K48" s="54"/>
      <c r="L48" s="180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</row>
    <row r="49" spans="1:23" ht="15.75" customHeight="1" x14ac:dyDescent="0.2">
      <c r="A49" s="54"/>
      <c r="B49" s="54"/>
      <c r="C49" s="180"/>
      <c r="D49" s="54"/>
      <c r="E49" s="54"/>
      <c r="F49" s="54"/>
      <c r="G49" s="54"/>
      <c r="H49" s="54"/>
      <c r="I49" s="54"/>
      <c r="J49" s="54"/>
      <c r="K49" s="54"/>
      <c r="L49" s="180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</row>
    <row r="50" spans="1:23" ht="15.75" customHeight="1" x14ac:dyDescent="0.2">
      <c r="A50" s="54"/>
      <c r="B50" s="54"/>
      <c r="C50" s="180"/>
      <c r="D50" s="54"/>
      <c r="E50" s="54"/>
      <c r="F50" s="54"/>
      <c r="G50" s="54"/>
      <c r="H50" s="54"/>
      <c r="I50" s="54"/>
      <c r="J50" s="54"/>
      <c r="K50" s="54"/>
      <c r="L50" s="180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</row>
    <row r="51" spans="1:23" ht="15.75" customHeight="1" x14ac:dyDescent="0.2">
      <c r="A51" s="54"/>
      <c r="B51" s="54"/>
      <c r="C51" s="180"/>
      <c r="D51" s="54"/>
      <c r="E51" s="54"/>
      <c r="F51" s="54"/>
      <c r="G51" s="54"/>
      <c r="H51" s="54"/>
      <c r="I51" s="54"/>
      <c r="J51" s="54"/>
      <c r="K51" s="54"/>
      <c r="L51" s="180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</row>
    <row r="52" spans="1:23" ht="15.75" customHeight="1" x14ac:dyDescent="0.2">
      <c r="A52" s="54"/>
      <c r="B52" s="54"/>
      <c r="C52" s="180"/>
      <c r="D52" s="54"/>
      <c r="E52" s="54"/>
      <c r="F52" s="54"/>
      <c r="G52" s="54"/>
      <c r="H52" s="54"/>
      <c r="I52" s="54"/>
      <c r="J52" s="54"/>
      <c r="K52" s="54"/>
      <c r="L52" s="180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</row>
    <row r="53" spans="1:23" ht="15.75" customHeight="1" x14ac:dyDescent="0.2">
      <c r="A53" s="54"/>
      <c r="B53" s="54"/>
      <c r="C53" s="180"/>
      <c r="D53" s="54"/>
      <c r="E53" s="54"/>
      <c r="F53" s="54"/>
      <c r="G53" s="54"/>
      <c r="H53" s="54"/>
      <c r="I53" s="54"/>
      <c r="J53" s="54"/>
      <c r="K53" s="54"/>
      <c r="L53" s="180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</row>
    <row r="54" spans="1:23" ht="15.75" customHeight="1" x14ac:dyDescent="0.2">
      <c r="A54" s="54"/>
      <c r="B54" s="54"/>
      <c r="C54" s="180"/>
      <c r="D54" s="54"/>
      <c r="E54" s="54"/>
      <c r="F54" s="54"/>
      <c r="G54" s="54"/>
      <c r="H54" s="54"/>
      <c r="I54" s="54"/>
      <c r="J54" s="54"/>
      <c r="K54" s="54"/>
      <c r="L54" s="180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</row>
    <row r="55" spans="1:23" ht="15.75" customHeight="1" x14ac:dyDescent="0.2">
      <c r="A55" s="54"/>
      <c r="B55" s="54"/>
      <c r="C55" s="180"/>
      <c r="D55" s="54"/>
      <c r="E55" s="54"/>
      <c r="F55" s="54"/>
      <c r="G55" s="54"/>
      <c r="H55" s="54"/>
      <c r="I55" s="54"/>
      <c r="J55" s="54"/>
      <c r="K55" s="54"/>
      <c r="L55" s="180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</row>
    <row r="56" spans="1:23" ht="15.75" customHeight="1" x14ac:dyDescent="0.2">
      <c r="A56" s="54"/>
      <c r="B56" s="54"/>
      <c r="C56" s="180"/>
      <c r="D56" s="54"/>
      <c r="E56" s="54"/>
      <c r="F56" s="54"/>
      <c r="G56" s="54"/>
      <c r="H56" s="54"/>
      <c r="I56" s="54"/>
      <c r="J56" s="54"/>
      <c r="K56" s="54"/>
      <c r="L56" s="180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</row>
    <row r="57" spans="1:23" ht="15.75" customHeight="1" x14ac:dyDescent="0.2">
      <c r="A57" s="54"/>
      <c r="B57" s="54"/>
      <c r="C57" s="180"/>
      <c r="D57" s="54"/>
      <c r="E57" s="54"/>
      <c r="F57" s="54"/>
      <c r="G57" s="54"/>
      <c r="H57" s="54"/>
      <c r="I57" s="54"/>
      <c r="J57" s="54"/>
      <c r="K57" s="54"/>
      <c r="L57" s="180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</row>
    <row r="58" spans="1:23" ht="15.75" customHeight="1" x14ac:dyDescent="0.2">
      <c r="A58" s="54"/>
      <c r="B58" s="54"/>
      <c r="C58" s="180"/>
      <c r="D58" s="54"/>
      <c r="E58" s="54"/>
      <c r="F58" s="54"/>
      <c r="G58" s="54"/>
      <c r="H58" s="54"/>
      <c r="I58" s="54"/>
      <c r="J58" s="54"/>
      <c r="K58" s="54"/>
      <c r="L58" s="180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</row>
    <row r="59" spans="1:23" ht="15.75" customHeight="1" x14ac:dyDescent="0.2">
      <c r="A59" s="54"/>
      <c r="B59" s="54"/>
      <c r="C59" s="180"/>
      <c r="D59" s="54"/>
      <c r="E59" s="54"/>
      <c r="F59" s="54"/>
      <c r="G59" s="54"/>
      <c r="H59" s="54"/>
      <c r="I59" s="54"/>
      <c r="J59" s="54"/>
      <c r="K59" s="54"/>
      <c r="L59" s="180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</row>
    <row r="60" spans="1:23" ht="15.75" customHeight="1" x14ac:dyDescent="0.2">
      <c r="A60" s="54"/>
      <c r="B60" s="54"/>
      <c r="C60" s="180"/>
      <c r="D60" s="54"/>
      <c r="E60" s="54"/>
      <c r="F60" s="54"/>
      <c r="G60" s="54"/>
      <c r="H60" s="54"/>
      <c r="I60" s="54"/>
      <c r="J60" s="54"/>
      <c r="K60" s="54"/>
      <c r="L60" s="180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</row>
    <row r="61" spans="1:23" ht="15.75" customHeight="1" x14ac:dyDescent="0.2">
      <c r="A61" s="54"/>
      <c r="B61" s="54"/>
      <c r="C61" s="180"/>
      <c r="D61" s="54"/>
      <c r="E61" s="54"/>
      <c r="F61" s="54"/>
      <c r="G61" s="54"/>
      <c r="H61" s="54"/>
      <c r="I61" s="54"/>
      <c r="J61" s="54"/>
      <c r="K61" s="54"/>
      <c r="L61" s="180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</row>
    <row r="62" spans="1:23" ht="15.75" customHeight="1" x14ac:dyDescent="0.2">
      <c r="A62" s="54"/>
      <c r="B62" s="54"/>
      <c r="C62" s="180"/>
      <c r="D62" s="54"/>
      <c r="E62" s="54"/>
      <c r="F62" s="54"/>
      <c r="G62" s="54"/>
      <c r="H62" s="54"/>
      <c r="I62" s="54"/>
      <c r="J62" s="54"/>
      <c r="K62" s="54"/>
      <c r="L62" s="180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</row>
    <row r="63" spans="1:23" ht="15.75" customHeight="1" x14ac:dyDescent="0.2">
      <c r="A63" s="54"/>
      <c r="B63" s="54"/>
      <c r="C63" s="180"/>
      <c r="D63" s="54"/>
      <c r="E63" s="54"/>
      <c r="F63" s="54"/>
      <c r="G63" s="54"/>
      <c r="H63" s="54"/>
      <c r="I63" s="54"/>
      <c r="J63" s="54"/>
      <c r="K63" s="54"/>
      <c r="L63" s="180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</row>
    <row r="64" spans="1:23" ht="15.75" customHeight="1" x14ac:dyDescent="0.2">
      <c r="A64" s="54"/>
      <c r="B64" s="54"/>
      <c r="C64" s="180"/>
      <c r="D64" s="54"/>
      <c r="E64" s="54"/>
      <c r="F64" s="54"/>
      <c r="G64" s="54"/>
      <c r="H64" s="54"/>
      <c r="I64" s="54"/>
      <c r="J64" s="54"/>
      <c r="K64" s="54"/>
      <c r="L64" s="180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</row>
    <row r="65" spans="1:23" ht="15.75" customHeight="1" x14ac:dyDescent="0.2">
      <c r="A65" s="54"/>
      <c r="B65" s="54"/>
      <c r="C65" s="180"/>
      <c r="D65" s="54"/>
      <c r="E65" s="54"/>
      <c r="F65" s="54"/>
      <c r="G65" s="54"/>
      <c r="H65" s="54"/>
      <c r="I65" s="54"/>
      <c r="J65" s="54"/>
      <c r="K65" s="54"/>
      <c r="L65" s="180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</row>
    <row r="66" spans="1:23" ht="15.75" customHeight="1" x14ac:dyDescent="0.2">
      <c r="A66" s="54"/>
      <c r="B66" s="54"/>
      <c r="C66" s="180"/>
      <c r="D66" s="54"/>
      <c r="E66" s="54"/>
      <c r="F66" s="54"/>
      <c r="G66" s="54"/>
      <c r="H66" s="54"/>
      <c r="I66" s="54"/>
      <c r="J66" s="54"/>
      <c r="K66" s="54"/>
      <c r="L66" s="180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</row>
    <row r="67" spans="1:23" ht="15.75" customHeight="1" x14ac:dyDescent="0.2">
      <c r="A67" s="54"/>
      <c r="B67" s="54"/>
      <c r="C67" s="180"/>
      <c r="D67" s="54"/>
      <c r="E67" s="54"/>
      <c r="F67" s="54"/>
      <c r="G67" s="54"/>
      <c r="H67" s="54"/>
      <c r="I67" s="54"/>
      <c r="J67" s="54"/>
      <c r="K67" s="54"/>
      <c r="L67" s="180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</row>
    <row r="68" spans="1:23" ht="15.75" customHeight="1" x14ac:dyDescent="0.2">
      <c r="A68" s="54"/>
      <c r="B68" s="54"/>
      <c r="C68" s="180"/>
      <c r="D68" s="54"/>
      <c r="E68" s="54"/>
      <c r="F68" s="54"/>
      <c r="G68" s="54"/>
      <c r="H68" s="54"/>
      <c r="I68" s="54"/>
      <c r="J68" s="54"/>
      <c r="K68" s="54"/>
      <c r="L68" s="180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</row>
    <row r="69" spans="1:23" ht="15.75" customHeight="1" x14ac:dyDescent="0.2">
      <c r="A69" s="54"/>
      <c r="B69" s="54"/>
      <c r="C69" s="180"/>
      <c r="D69" s="54"/>
      <c r="E69" s="54"/>
      <c r="F69" s="54"/>
      <c r="G69" s="54"/>
      <c r="H69" s="54"/>
      <c r="I69" s="54"/>
      <c r="J69" s="54"/>
      <c r="K69" s="54"/>
      <c r="L69" s="180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</row>
    <row r="70" spans="1:23" ht="15.75" customHeight="1" x14ac:dyDescent="0.2">
      <c r="A70" s="54"/>
      <c r="B70" s="54"/>
      <c r="C70" s="180"/>
      <c r="D70" s="54"/>
      <c r="E70" s="54"/>
      <c r="F70" s="54"/>
      <c r="G70" s="54"/>
      <c r="H70" s="54"/>
      <c r="I70" s="54"/>
      <c r="J70" s="54"/>
      <c r="K70" s="54"/>
      <c r="L70" s="180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</row>
    <row r="71" spans="1:23" ht="15.75" customHeight="1" x14ac:dyDescent="0.2">
      <c r="A71" s="54"/>
      <c r="B71" s="54"/>
      <c r="C71" s="180"/>
      <c r="D71" s="54"/>
      <c r="E71" s="54"/>
      <c r="F71" s="54"/>
      <c r="G71" s="54"/>
      <c r="H71" s="54"/>
      <c r="I71" s="54"/>
      <c r="J71" s="54"/>
      <c r="K71" s="54"/>
      <c r="L71" s="180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</row>
    <row r="72" spans="1:23" ht="15.75" customHeight="1" x14ac:dyDescent="0.2">
      <c r="A72" s="54"/>
      <c r="B72" s="54"/>
      <c r="C72" s="180"/>
      <c r="D72" s="54"/>
      <c r="E72" s="54"/>
      <c r="F72" s="54"/>
      <c r="G72" s="54"/>
      <c r="H72" s="54"/>
      <c r="I72" s="54"/>
      <c r="J72" s="54"/>
      <c r="K72" s="54"/>
      <c r="L72" s="180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</row>
    <row r="73" spans="1:23" ht="15.75" customHeight="1" x14ac:dyDescent="0.2">
      <c r="A73" s="54"/>
      <c r="B73" s="54"/>
      <c r="C73" s="180"/>
      <c r="D73" s="54"/>
      <c r="E73" s="54"/>
      <c r="F73" s="54"/>
      <c r="G73" s="54"/>
      <c r="H73" s="54"/>
      <c r="I73" s="54"/>
      <c r="J73" s="54"/>
      <c r="K73" s="54"/>
      <c r="L73" s="180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</row>
    <row r="74" spans="1:23" ht="15.75" customHeight="1" x14ac:dyDescent="0.2">
      <c r="A74" s="54"/>
      <c r="B74" s="54"/>
      <c r="C74" s="180"/>
      <c r="D74" s="54"/>
      <c r="E74" s="54"/>
      <c r="F74" s="54"/>
      <c r="G74" s="54"/>
      <c r="H74" s="54"/>
      <c r="I74" s="54"/>
      <c r="J74" s="54"/>
      <c r="K74" s="54"/>
      <c r="L74" s="180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</row>
    <row r="75" spans="1:23" ht="15.75" customHeight="1" x14ac:dyDescent="0.2">
      <c r="A75" s="54"/>
      <c r="B75" s="54"/>
      <c r="C75" s="180"/>
      <c r="D75" s="54"/>
      <c r="E75" s="54"/>
      <c r="F75" s="54"/>
      <c r="G75" s="54"/>
      <c r="H75" s="54"/>
      <c r="I75" s="54"/>
      <c r="J75" s="54"/>
      <c r="K75" s="54"/>
      <c r="L75" s="180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</row>
    <row r="76" spans="1:23" ht="15.75" customHeight="1" x14ac:dyDescent="0.2">
      <c r="A76" s="54"/>
      <c r="B76" s="54"/>
      <c r="C76" s="180"/>
      <c r="D76" s="54"/>
      <c r="E76" s="54"/>
      <c r="F76" s="54"/>
      <c r="G76" s="54"/>
      <c r="H76" s="54"/>
      <c r="I76" s="54"/>
      <c r="J76" s="54"/>
      <c r="K76" s="54"/>
      <c r="L76" s="180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</row>
    <row r="77" spans="1:23" ht="15.75" customHeight="1" x14ac:dyDescent="0.2">
      <c r="A77" s="54"/>
      <c r="B77" s="54"/>
      <c r="C77" s="180"/>
      <c r="D77" s="54"/>
      <c r="E77" s="54"/>
      <c r="F77" s="54"/>
      <c r="G77" s="54"/>
      <c r="H77" s="54"/>
      <c r="I77" s="54"/>
      <c r="J77" s="54"/>
      <c r="K77" s="54"/>
      <c r="L77" s="180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</row>
    <row r="78" spans="1:23" ht="15.75" customHeight="1" x14ac:dyDescent="0.2">
      <c r="A78" s="54"/>
      <c r="B78" s="54"/>
      <c r="C78" s="180"/>
      <c r="D78" s="54"/>
      <c r="E78" s="54"/>
      <c r="F78" s="54"/>
      <c r="G78" s="54"/>
      <c r="H78" s="54"/>
      <c r="I78" s="54"/>
      <c r="J78" s="54"/>
      <c r="K78" s="54"/>
      <c r="L78" s="180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</row>
    <row r="79" spans="1:23" ht="15.75" customHeight="1" x14ac:dyDescent="0.2">
      <c r="A79" s="54"/>
      <c r="B79" s="54"/>
      <c r="C79" s="180"/>
      <c r="D79" s="54"/>
      <c r="E79" s="54"/>
      <c r="F79" s="54"/>
      <c r="G79" s="54"/>
      <c r="H79" s="54"/>
      <c r="I79" s="54"/>
      <c r="J79" s="54"/>
      <c r="K79" s="54"/>
      <c r="L79" s="180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</row>
    <row r="80" spans="1:23" ht="15.75" customHeight="1" x14ac:dyDescent="0.2">
      <c r="A80" s="54"/>
      <c r="B80" s="54"/>
      <c r="C80" s="180"/>
      <c r="D80" s="54"/>
      <c r="E80" s="54"/>
      <c r="F80" s="54"/>
      <c r="G80" s="54"/>
      <c r="H80" s="54"/>
      <c r="I80" s="54"/>
      <c r="J80" s="54"/>
      <c r="K80" s="54"/>
      <c r="L80" s="180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</row>
    <row r="81" spans="1:23" ht="15.75" customHeight="1" x14ac:dyDescent="0.2">
      <c r="A81" s="54"/>
      <c r="B81" s="54"/>
      <c r="C81" s="180"/>
      <c r="D81" s="54"/>
      <c r="E81" s="54"/>
      <c r="F81" s="54"/>
      <c r="G81" s="54"/>
      <c r="H81" s="54"/>
      <c r="I81" s="54"/>
      <c r="J81" s="54"/>
      <c r="K81" s="54"/>
      <c r="L81" s="180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</row>
    <row r="82" spans="1:23" ht="15.75" customHeight="1" x14ac:dyDescent="0.2">
      <c r="A82" s="54"/>
      <c r="B82" s="54"/>
      <c r="C82" s="180"/>
      <c r="D82" s="54"/>
      <c r="E82" s="54"/>
      <c r="F82" s="54"/>
      <c r="G82" s="54"/>
      <c r="H82" s="54"/>
      <c r="I82" s="54"/>
      <c r="J82" s="54"/>
      <c r="K82" s="54"/>
      <c r="L82" s="180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</row>
    <row r="83" spans="1:23" ht="15.75" customHeight="1" x14ac:dyDescent="0.2">
      <c r="A83" s="54"/>
      <c r="B83" s="54"/>
      <c r="C83" s="180"/>
      <c r="D83" s="54"/>
      <c r="E83" s="54"/>
      <c r="F83" s="54"/>
      <c r="G83" s="54"/>
      <c r="H83" s="54"/>
      <c r="I83" s="54"/>
      <c r="J83" s="54"/>
      <c r="K83" s="54"/>
      <c r="L83" s="180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</row>
    <row r="84" spans="1:23" ht="15.75" customHeight="1" x14ac:dyDescent="0.2">
      <c r="A84" s="54"/>
      <c r="B84" s="54"/>
      <c r="C84" s="180"/>
      <c r="D84" s="54"/>
      <c r="E84" s="54"/>
      <c r="F84" s="54"/>
      <c r="G84" s="54"/>
      <c r="H84" s="54"/>
      <c r="I84" s="54"/>
      <c r="J84" s="54"/>
      <c r="K84" s="54"/>
      <c r="L84" s="180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</row>
    <row r="85" spans="1:23" ht="15.75" customHeight="1" x14ac:dyDescent="0.2">
      <c r="A85" s="54"/>
      <c r="B85" s="54"/>
      <c r="C85" s="180"/>
      <c r="D85" s="54"/>
      <c r="E85" s="54"/>
      <c r="F85" s="54"/>
      <c r="G85" s="54"/>
      <c r="H85" s="54"/>
      <c r="I85" s="54"/>
      <c r="J85" s="54"/>
      <c r="K85" s="54"/>
      <c r="L85" s="180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</row>
    <row r="86" spans="1:23" ht="15.75" customHeight="1" x14ac:dyDescent="0.2">
      <c r="A86" s="54"/>
      <c r="B86" s="54"/>
      <c r="C86" s="180"/>
      <c r="D86" s="54"/>
      <c r="E86" s="54"/>
      <c r="F86" s="54"/>
      <c r="G86" s="54"/>
      <c r="H86" s="54"/>
      <c r="I86" s="54"/>
      <c r="J86" s="54"/>
      <c r="K86" s="54"/>
      <c r="L86" s="180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</row>
    <row r="87" spans="1:23" ht="15.75" customHeight="1" x14ac:dyDescent="0.2">
      <c r="A87" s="54"/>
      <c r="B87" s="54"/>
      <c r="C87" s="180"/>
      <c r="D87" s="54"/>
      <c r="E87" s="54"/>
      <c r="F87" s="54"/>
      <c r="G87" s="54"/>
      <c r="H87" s="54"/>
      <c r="I87" s="54"/>
      <c r="J87" s="54"/>
      <c r="K87" s="54"/>
      <c r="L87" s="180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</row>
    <row r="88" spans="1:23" ht="15.75" customHeight="1" x14ac:dyDescent="0.2">
      <c r="A88" s="54"/>
      <c r="B88" s="54"/>
      <c r="C88" s="180"/>
      <c r="D88" s="54"/>
      <c r="E88" s="54"/>
      <c r="F88" s="54"/>
      <c r="G88" s="54"/>
      <c r="H88" s="54"/>
      <c r="I88" s="54"/>
      <c r="J88" s="54"/>
      <c r="K88" s="54"/>
      <c r="L88" s="180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</row>
    <row r="89" spans="1:23" ht="15.75" customHeight="1" x14ac:dyDescent="0.2">
      <c r="A89" s="54"/>
      <c r="B89" s="54"/>
      <c r="C89" s="180"/>
      <c r="D89" s="54"/>
      <c r="E89" s="54"/>
      <c r="F89" s="54"/>
      <c r="G89" s="54"/>
      <c r="H89" s="54"/>
      <c r="I89" s="54"/>
      <c r="J89" s="54"/>
      <c r="K89" s="54"/>
      <c r="L89" s="180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</row>
    <row r="90" spans="1:23" ht="15.75" customHeight="1" x14ac:dyDescent="0.2">
      <c r="A90" s="54"/>
      <c r="B90" s="54"/>
      <c r="C90" s="180"/>
      <c r="D90" s="54"/>
      <c r="E90" s="54"/>
      <c r="F90" s="54"/>
      <c r="G90" s="54"/>
      <c r="H90" s="54"/>
      <c r="I90" s="54"/>
      <c r="J90" s="54"/>
      <c r="K90" s="54"/>
      <c r="L90" s="180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</row>
    <row r="91" spans="1:23" ht="15.75" customHeight="1" x14ac:dyDescent="0.2">
      <c r="A91" s="54"/>
      <c r="B91" s="54"/>
      <c r="C91" s="180"/>
      <c r="D91" s="54"/>
      <c r="E91" s="54"/>
      <c r="F91" s="54"/>
      <c r="G91" s="54"/>
      <c r="H91" s="54"/>
      <c r="I91" s="54"/>
      <c r="J91" s="54"/>
      <c r="K91" s="54"/>
      <c r="L91" s="180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</row>
    <row r="92" spans="1:23" ht="15.75" customHeight="1" x14ac:dyDescent="0.2">
      <c r="A92" s="54"/>
      <c r="B92" s="54"/>
      <c r="C92" s="180"/>
      <c r="D92" s="54"/>
      <c r="E92" s="54"/>
      <c r="F92" s="54"/>
      <c r="G92" s="54"/>
      <c r="H92" s="54"/>
      <c r="I92" s="54"/>
      <c r="J92" s="54"/>
      <c r="K92" s="54"/>
      <c r="L92" s="180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</row>
    <row r="93" spans="1:23" ht="15.75" customHeight="1" x14ac:dyDescent="0.2">
      <c r="A93" s="54"/>
      <c r="B93" s="54"/>
      <c r="C93" s="180"/>
      <c r="D93" s="54"/>
      <c r="E93" s="54"/>
      <c r="F93" s="54"/>
      <c r="G93" s="54"/>
      <c r="H93" s="54"/>
      <c r="I93" s="54"/>
      <c r="J93" s="54"/>
      <c r="K93" s="54"/>
      <c r="L93" s="180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</row>
    <row r="94" spans="1:23" ht="15.75" customHeight="1" x14ac:dyDescent="0.2">
      <c r="A94" s="54"/>
      <c r="B94" s="54"/>
      <c r="C94" s="180"/>
      <c r="D94" s="54"/>
      <c r="E94" s="54"/>
      <c r="F94" s="54"/>
      <c r="G94" s="54"/>
      <c r="H94" s="54"/>
      <c r="I94" s="54"/>
      <c r="J94" s="54"/>
      <c r="K94" s="54"/>
      <c r="L94" s="180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</row>
    <row r="95" spans="1:23" ht="15.75" customHeight="1" x14ac:dyDescent="0.2">
      <c r="A95" s="54"/>
      <c r="B95" s="54"/>
      <c r="C95" s="180"/>
      <c r="D95" s="54"/>
      <c r="E95" s="54"/>
      <c r="F95" s="54"/>
      <c r="G95" s="54"/>
      <c r="H95" s="54"/>
      <c r="I95" s="54"/>
      <c r="J95" s="54"/>
      <c r="K95" s="54"/>
      <c r="L95" s="180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</row>
    <row r="96" spans="1:23" ht="15.75" customHeight="1" x14ac:dyDescent="0.2">
      <c r="A96" s="54"/>
      <c r="B96" s="54"/>
      <c r="C96" s="180"/>
      <c r="D96" s="54"/>
      <c r="E96" s="54"/>
      <c r="F96" s="54"/>
      <c r="G96" s="54"/>
      <c r="H96" s="54"/>
      <c r="I96" s="54"/>
      <c r="J96" s="54"/>
      <c r="K96" s="54"/>
      <c r="L96" s="180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</row>
    <row r="97" spans="1:23" ht="15.75" customHeight="1" x14ac:dyDescent="0.2">
      <c r="A97" s="54"/>
      <c r="B97" s="54"/>
      <c r="C97" s="180"/>
      <c r="D97" s="54"/>
      <c r="E97" s="54"/>
      <c r="F97" s="54"/>
      <c r="G97" s="54"/>
      <c r="H97" s="54"/>
      <c r="I97" s="54"/>
      <c r="J97" s="54"/>
      <c r="K97" s="54"/>
      <c r="L97" s="180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</row>
    <row r="98" spans="1:23" ht="15.75" customHeight="1" x14ac:dyDescent="0.2">
      <c r="A98" s="54"/>
      <c r="B98" s="54"/>
      <c r="C98" s="180"/>
      <c r="D98" s="54"/>
      <c r="E98" s="54"/>
      <c r="F98" s="54"/>
      <c r="G98" s="54"/>
      <c r="H98" s="54"/>
      <c r="I98" s="54"/>
      <c r="J98" s="54"/>
      <c r="K98" s="54"/>
      <c r="L98" s="180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</row>
    <row r="99" spans="1:23" ht="15.75" customHeight="1" x14ac:dyDescent="0.2">
      <c r="A99" s="54"/>
      <c r="B99" s="54"/>
      <c r="C99" s="180"/>
      <c r="D99" s="54"/>
      <c r="E99" s="54"/>
      <c r="F99" s="54"/>
      <c r="G99" s="54"/>
      <c r="H99" s="54"/>
      <c r="I99" s="54"/>
      <c r="J99" s="54"/>
      <c r="K99" s="54"/>
      <c r="L99" s="180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</row>
    <row r="100" spans="1:23" ht="15.75" customHeight="1" x14ac:dyDescent="0.2">
      <c r="A100" s="54"/>
      <c r="B100" s="54"/>
      <c r="C100" s="180"/>
      <c r="D100" s="54"/>
      <c r="E100" s="54"/>
      <c r="F100" s="54"/>
      <c r="G100" s="54"/>
      <c r="H100" s="54"/>
      <c r="I100" s="54"/>
      <c r="J100" s="54"/>
      <c r="K100" s="54"/>
      <c r="L100" s="180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</row>
    <row r="101" spans="1:23" ht="15.75" customHeight="1" x14ac:dyDescent="0.2">
      <c r="A101" s="54"/>
      <c r="B101" s="54"/>
      <c r="C101" s="180"/>
      <c r="D101" s="54"/>
      <c r="E101" s="54"/>
      <c r="F101" s="54"/>
      <c r="G101" s="54"/>
      <c r="H101" s="54"/>
      <c r="I101" s="54"/>
      <c r="J101" s="54"/>
      <c r="K101" s="54"/>
      <c r="L101" s="180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</row>
    <row r="102" spans="1:23" ht="15.75" customHeight="1" x14ac:dyDescent="0.2">
      <c r="A102" s="54"/>
      <c r="B102" s="54"/>
      <c r="C102" s="180"/>
      <c r="D102" s="54"/>
      <c r="E102" s="54"/>
      <c r="F102" s="54"/>
      <c r="G102" s="54"/>
      <c r="H102" s="54"/>
      <c r="I102" s="54"/>
      <c r="J102" s="54"/>
      <c r="K102" s="54"/>
      <c r="L102" s="180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</row>
    <row r="103" spans="1:23" ht="15.75" customHeight="1" x14ac:dyDescent="0.2">
      <c r="A103" s="54"/>
      <c r="B103" s="54"/>
      <c r="C103" s="180"/>
      <c r="D103" s="54"/>
      <c r="E103" s="54"/>
      <c r="F103" s="54"/>
      <c r="G103" s="54"/>
      <c r="H103" s="54"/>
      <c r="I103" s="54"/>
      <c r="J103" s="54"/>
      <c r="K103" s="54"/>
      <c r="L103" s="180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</row>
    <row r="104" spans="1:23" ht="15.75" customHeight="1" x14ac:dyDescent="0.2">
      <c r="A104" s="54"/>
      <c r="B104" s="54"/>
      <c r="C104" s="180"/>
      <c r="D104" s="54"/>
      <c r="E104" s="54"/>
      <c r="F104" s="54"/>
      <c r="G104" s="54"/>
      <c r="H104" s="54"/>
      <c r="I104" s="54"/>
      <c r="J104" s="54"/>
      <c r="K104" s="54"/>
      <c r="L104" s="180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</row>
    <row r="105" spans="1:23" ht="15.75" customHeight="1" x14ac:dyDescent="0.2">
      <c r="A105" s="54"/>
      <c r="B105" s="54"/>
      <c r="C105" s="180"/>
      <c r="D105" s="54"/>
      <c r="E105" s="54"/>
      <c r="F105" s="54"/>
      <c r="G105" s="54"/>
      <c r="H105" s="54"/>
      <c r="I105" s="54"/>
      <c r="J105" s="54"/>
      <c r="K105" s="54"/>
      <c r="L105" s="180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</row>
    <row r="106" spans="1:23" ht="15.75" customHeight="1" x14ac:dyDescent="0.2">
      <c r="A106" s="54"/>
      <c r="B106" s="54"/>
      <c r="C106" s="180"/>
      <c r="D106" s="54"/>
      <c r="E106" s="54"/>
      <c r="F106" s="54"/>
      <c r="G106" s="54"/>
      <c r="H106" s="54"/>
      <c r="I106" s="54"/>
      <c r="J106" s="54"/>
      <c r="K106" s="54"/>
      <c r="L106" s="180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</row>
    <row r="107" spans="1:23" ht="15.75" customHeight="1" x14ac:dyDescent="0.2">
      <c r="A107" s="54"/>
      <c r="B107" s="54"/>
      <c r="C107" s="180"/>
      <c r="D107" s="54"/>
      <c r="E107" s="54"/>
      <c r="F107" s="54"/>
      <c r="G107" s="54"/>
      <c r="H107" s="54"/>
      <c r="I107" s="54"/>
      <c r="J107" s="54"/>
      <c r="K107" s="54"/>
      <c r="L107" s="180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</row>
    <row r="108" spans="1:23" ht="15.75" customHeight="1" x14ac:dyDescent="0.2">
      <c r="A108" s="54"/>
      <c r="B108" s="54"/>
      <c r="C108" s="180"/>
      <c r="D108" s="54"/>
      <c r="E108" s="54"/>
      <c r="F108" s="54"/>
      <c r="G108" s="54"/>
      <c r="H108" s="54"/>
      <c r="I108" s="54"/>
      <c r="J108" s="54"/>
      <c r="K108" s="54"/>
      <c r="L108" s="180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</row>
    <row r="109" spans="1:23" ht="15.75" customHeight="1" x14ac:dyDescent="0.2">
      <c r="A109" s="54"/>
      <c r="B109" s="54"/>
      <c r="C109" s="180"/>
      <c r="D109" s="54"/>
      <c r="E109" s="54"/>
      <c r="F109" s="54"/>
      <c r="G109" s="54"/>
      <c r="H109" s="54"/>
      <c r="I109" s="54"/>
      <c r="J109" s="54"/>
      <c r="K109" s="54"/>
      <c r="L109" s="180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</row>
    <row r="110" spans="1:23" ht="15.75" customHeight="1" x14ac:dyDescent="0.2">
      <c r="A110" s="54"/>
      <c r="B110" s="54"/>
      <c r="C110" s="180"/>
      <c r="D110" s="54"/>
      <c r="E110" s="54"/>
      <c r="F110" s="54"/>
      <c r="G110" s="54"/>
      <c r="H110" s="54"/>
      <c r="I110" s="54"/>
      <c r="J110" s="54"/>
      <c r="K110" s="54"/>
      <c r="L110" s="180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</row>
    <row r="111" spans="1:23" ht="15.75" customHeight="1" x14ac:dyDescent="0.2">
      <c r="A111" s="54"/>
      <c r="B111" s="54"/>
      <c r="C111" s="180"/>
      <c r="D111" s="54"/>
      <c r="E111" s="54"/>
      <c r="F111" s="54"/>
      <c r="G111" s="54"/>
      <c r="H111" s="54"/>
      <c r="I111" s="54"/>
      <c r="J111" s="54"/>
      <c r="K111" s="54"/>
      <c r="L111" s="180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</row>
    <row r="112" spans="1:23" ht="15.75" customHeight="1" x14ac:dyDescent="0.2">
      <c r="A112" s="54"/>
      <c r="B112" s="54"/>
      <c r="C112" s="180"/>
      <c r="D112" s="54"/>
      <c r="E112" s="54"/>
      <c r="F112" s="54"/>
      <c r="G112" s="54"/>
      <c r="H112" s="54"/>
      <c r="I112" s="54"/>
      <c r="J112" s="54"/>
      <c r="K112" s="54"/>
      <c r="L112" s="180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</row>
    <row r="113" spans="1:23" ht="15.75" customHeight="1" x14ac:dyDescent="0.2">
      <c r="A113" s="54"/>
      <c r="B113" s="54"/>
      <c r="C113" s="180"/>
      <c r="D113" s="54"/>
      <c r="E113" s="54"/>
      <c r="F113" s="54"/>
      <c r="G113" s="54"/>
      <c r="H113" s="54"/>
      <c r="I113" s="54"/>
      <c r="J113" s="54"/>
      <c r="K113" s="54"/>
      <c r="L113" s="180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</row>
    <row r="114" spans="1:23" ht="15.75" customHeight="1" x14ac:dyDescent="0.2">
      <c r="A114" s="54"/>
      <c r="B114" s="54"/>
      <c r="C114" s="180"/>
      <c r="D114" s="54"/>
      <c r="E114" s="54"/>
      <c r="F114" s="54"/>
      <c r="G114" s="54"/>
      <c r="H114" s="54"/>
      <c r="I114" s="54"/>
      <c r="J114" s="54"/>
      <c r="K114" s="54"/>
      <c r="L114" s="180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</row>
    <row r="115" spans="1:23" ht="15.75" customHeight="1" x14ac:dyDescent="0.2">
      <c r="A115" s="54"/>
      <c r="B115" s="54"/>
      <c r="C115" s="180"/>
      <c r="D115" s="54"/>
      <c r="E115" s="54"/>
      <c r="F115" s="54"/>
      <c r="G115" s="54"/>
      <c r="H115" s="54"/>
      <c r="I115" s="54"/>
      <c r="J115" s="54"/>
      <c r="K115" s="54"/>
      <c r="L115" s="180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</row>
    <row r="116" spans="1:23" ht="15.75" customHeight="1" x14ac:dyDescent="0.2">
      <c r="A116" s="54"/>
      <c r="B116" s="54"/>
      <c r="C116" s="180"/>
      <c r="D116" s="54"/>
      <c r="E116" s="54"/>
      <c r="F116" s="54"/>
      <c r="G116" s="54"/>
      <c r="H116" s="54"/>
      <c r="I116" s="54"/>
      <c r="J116" s="54"/>
      <c r="K116" s="54"/>
      <c r="L116" s="180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</row>
    <row r="117" spans="1:23" ht="15.75" customHeight="1" x14ac:dyDescent="0.2">
      <c r="A117" s="54"/>
      <c r="B117" s="54"/>
      <c r="C117" s="180"/>
      <c r="D117" s="54"/>
      <c r="E117" s="54"/>
      <c r="F117" s="54"/>
      <c r="G117" s="54"/>
      <c r="H117" s="54"/>
      <c r="I117" s="54"/>
      <c r="J117" s="54"/>
      <c r="K117" s="54"/>
      <c r="L117" s="180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</row>
    <row r="118" spans="1:23" ht="15.75" customHeight="1" x14ac:dyDescent="0.2">
      <c r="A118" s="54"/>
      <c r="B118" s="54"/>
      <c r="C118" s="180"/>
      <c r="D118" s="54"/>
      <c r="E118" s="54"/>
      <c r="F118" s="54"/>
      <c r="G118" s="54"/>
      <c r="H118" s="54"/>
      <c r="I118" s="54"/>
      <c r="J118" s="54"/>
      <c r="K118" s="54"/>
      <c r="L118" s="180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</row>
    <row r="119" spans="1:23" ht="15.75" customHeight="1" x14ac:dyDescent="0.2">
      <c r="A119" s="54"/>
      <c r="B119" s="54"/>
      <c r="C119" s="180"/>
      <c r="D119" s="54"/>
      <c r="E119" s="54"/>
      <c r="F119" s="54"/>
      <c r="G119" s="54"/>
      <c r="H119" s="54"/>
      <c r="I119" s="54"/>
      <c r="J119" s="54"/>
      <c r="K119" s="54"/>
      <c r="L119" s="180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</row>
    <row r="120" spans="1:23" ht="15.75" customHeight="1" x14ac:dyDescent="0.2">
      <c r="A120" s="54"/>
      <c r="B120" s="54"/>
      <c r="C120" s="180"/>
      <c r="D120" s="54"/>
      <c r="E120" s="54"/>
      <c r="F120" s="54"/>
      <c r="G120" s="54"/>
      <c r="H120" s="54"/>
      <c r="I120" s="54"/>
      <c r="J120" s="54"/>
      <c r="K120" s="54"/>
      <c r="L120" s="180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</row>
    <row r="121" spans="1:23" ht="15.75" customHeight="1" x14ac:dyDescent="0.2">
      <c r="A121" s="54"/>
      <c r="B121" s="54"/>
      <c r="C121" s="180"/>
      <c r="D121" s="54"/>
      <c r="E121" s="54"/>
      <c r="F121" s="54"/>
      <c r="G121" s="54"/>
      <c r="H121" s="54"/>
      <c r="I121" s="54"/>
      <c r="J121" s="54"/>
      <c r="K121" s="54"/>
      <c r="L121" s="180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</row>
    <row r="122" spans="1:23" ht="15.75" customHeight="1" x14ac:dyDescent="0.2">
      <c r="A122" s="54"/>
      <c r="B122" s="54"/>
      <c r="C122" s="180"/>
      <c r="D122" s="54"/>
      <c r="E122" s="54"/>
      <c r="F122" s="54"/>
      <c r="G122" s="54"/>
      <c r="H122" s="54"/>
      <c r="I122" s="54"/>
      <c r="J122" s="54"/>
      <c r="K122" s="54"/>
      <c r="L122" s="180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</row>
    <row r="123" spans="1:23" ht="15.75" customHeight="1" x14ac:dyDescent="0.2">
      <c r="A123" s="54"/>
      <c r="B123" s="54"/>
      <c r="C123" s="180"/>
      <c r="D123" s="54"/>
      <c r="E123" s="54"/>
      <c r="F123" s="54"/>
      <c r="G123" s="54"/>
      <c r="H123" s="54"/>
      <c r="I123" s="54"/>
      <c r="J123" s="54"/>
      <c r="K123" s="54"/>
      <c r="L123" s="180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</row>
    <row r="124" spans="1:23" ht="15.75" customHeight="1" x14ac:dyDescent="0.2">
      <c r="A124" s="54"/>
      <c r="B124" s="54"/>
      <c r="C124" s="180"/>
      <c r="D124" s="54"/>
      <c r="E124" s="54"/>
      <c r="F124" s="54"/>
      <c r="G124" s="54"/>
      <c r="H124" s="54"/>
      <c r="I124" s="54"/>
      <c r="J124" s="54"/>
      <c r="K124" s="54"/>
      <c r="L124" s="180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</row>
    <row r="125" spans="1:23" ht="15.75" customHeight="1" x14ac:dyDescent="0.2">
      <c r="A125" s="54"/>
      <c r="B125" s="54"/>
      <c r="C125" s="180"/>
      <c r="D125" s="54"/>
      <c r="E125" s="54"/>
      <c r="F125" s="54"/>
      <c r="G125" s="54"/>
      <c r="H125" s="54"/>
      <c r="I125" s="54"/>
      <c r="J125" s="54"/>
      <c r="K125" s="54"/>
      <c r="L125" s="180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</row>
    <row r="126" spans="1:23" ht="15.75" customHeight="1" x14ac:dyDescent="0.2">
      <c r="A126" s="54"/>
      <c r="B126" s="54"/>
      <c r="C126" s="180"/>
      <c r="D126" s="54"/>
      <c r="E126" s="54"/>
      <c r="F126" s="54"/>
      <c r="G126" s="54"/>
      <c r="H126" s="54"/>
      <c r="I126" s="54"/>
      <c r="J126" s="54"/>
      <c r="K126" s="54"/>
      <c r="L126" s="180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</row>
    <row r="127" spans="1:23" ht="15.75" customHeight="1" x14ac:dyDescent="0.2">
      <c r="A127" s="54"/>
      <c r="B127" s="54"/>
      <c r="C127" s="180"/>
      <c r="D127" s="54"/>
      <c r="E127" s="54"/>
      <c r="F127" s="54"/>
      <c r="G127" s="54"/>
      <c r="H127" s="54"/>
      <c r="I127" s="54"/>
      <c r="J127" s="54"/>
      <c r="K127" s="54"/>
      <c r="L127" s="180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</row>
    <row r="128" spans="1:23" ht="15.75" customHeight="1" x14ac:dyDescent="0.2">
      <c r="A128" s="54"/>
      <c r="B128" s="54"/>
      <c r="C128" s="180"/>
      <c r="D128" s="54"/>
      <c r="E128" s="54"/>
      <c r="F128" s="54"/>
      <c r="G128" s="54"/>
      <c r="H128" s="54"/>
      <c r="I128" s="54"/>
      <c r="J128" s="54"/>
      <c r="K128" s="54"/>
      <c r="L128" s="180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</row>
    <row r="129" spans="1:23" ht="15.75" customHeight="1" x14ac:dyDescent="0.2">
      <c r="A129" s="54"/>
      <c r="B129" s="54"/>
      <c r="C129" s="180"/>
      <c r="D129" s="54"/>
      <c r="E129" s="54"/>
      <c r="F129" s="54"/>
      <c r="G129" s="54"/>
      <c r="H129" s="54"/>
      <c r="I129" s="54"/>
      <c r="J129" s="54"/>
      <c r="K129" s="54"/>
      <c r="L129" s="180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</row>
    <row r="130" spans="1:23" ht="15.75" customHeight="1" x14ac:dyDescent="0.2">
      <c r="A130" s="54"/>
      <c r="B130" s="54"/>
      <c r="C130" s="180"/>
      <c r="D130" s="54"/>
      <c r="E130" s="54"/>
      <c r="F130" s="54"/>
      <c r="G130" s="54"/>
      <c r="H130" s="54"/>
      <c r="I130" s="54"/>
      <c r="J130" s="54"/>
      <c r="K130" s="54"/>
      <c r="L130" s="180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</row>
    <row r="131" spans="1:23" ht="15.75" customHeight="1" x14ac:dyDescent="0.2">
      <c r="A131" s="54"/>
      <c r="B131" s="54"/>
      <c r="C131" s="180"/>
      <c r="D131" s="54"/>
      <c r="E131" s="54"/>
      <c r="F131" s="54"/>
      <c r="G131" s="54"/>
      <c r="H131" s="54"/>
      <c r="I131" s="54"/>
      <c r="J131" s="54"/>
      <c r="K131" s="54"/>
      <c r="L131" s="180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</row>
    <row r="132" spans="1:23" ht="15.75" customHeight="1" x14ac:dyDescent="0.2">
      <c r="A132" s="54"/>
      <c r="B132" s="54"/>
      <c r="C132" s="180"/>
      <c r="D132" s="54"/>
      <c r="E132" s="54"/>
      <c r="F132" s="54"/>
      <c r="G132" s="54"/>
      <c r="H132" s="54"/>
      <c r="I132" s="54"/>
      <c r="J132" s="54"/>
      <c r="K132" s="54"/>
      <c r="L132" s="180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</row>
    <row r="133" spans="1:23" ht="15.75" customHeight="1" x14ac:dyDescent="0.2">
      <c r="A133" s="54"/>
      <c r="B133" s="54"/>
      <c r="C133" s="180"/>
      <c r="D133" s="54"/>
      <c r="E133" s="54"/>
      <c r="F133" s="54"/>
      <c r="G133" s="54"/>
      <c r="H133" s="54"/>
      <c r="I133" s="54"/>
      <c r="J133" s="54"/>
      <c r="K133" s="54"/>
      <c r="L133" s="180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</row>
    <row r="134" spans="1:23" ht="15.75" customHeight="1" x14ac:dyDescent="0.2">
      <c r="A134" s="54"/>
      <c r="B134" s="54"/>
      <c r="C134" s="180"/>
      <c r="D134" s="54"/>
      <c r="E134" s="54"/>
      <c r="F134" s="54"/>
      <c r="G134" s="54"/>
      <c r="H134" s="54"/>
      <c r="I134" s="54"/>
      <c r="J134" s="54"/>
      <c r="K134" s="54"/>
      <c r="L134" s="180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</row>
    <row r="135" spans="1:23" ht="15.75" customHeight="1" x14ac:dyDescent="0.2">
      <c r="A135" s="54"/>
      <c r="B135" s="54"/>
      <c r="C135" s="180"/>
      <c r="D135" s="54"/>
      <c r="E135" s="54"/>
      <c r="F135" s="54"/>
      <c r="G135" s="54"/>
      <c r="H135" s="54"/>
      <c r="I135" s="54"/>
      <c r="J135" s="54"/>
      <c r="K135" s="54"/>
      <c r="L135" s="180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</row>
    <row r="136" spans="1:23" ht="15.75" customHeight="1" x14ac:dyDescent="0.2">
      <c r="A136" s="54"/>
      <c r="B136" s="54"/>
      <c r="C136" s="180"/>
      <c r="D136" s="54"/>
      <c r="E136" s="54"/>
      <c r="F136" s="54"/>
      <c r="G136" s="54"/>
      <c r="H136" s="54"/>
      <c r="I136" s="54"/>
      <c r="J136" s="54"/>
      <c r="K136" s="54"/>
      <c r="L136" s="180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</row>
    <row r="137" spans="1:23" ht="15.75" customHeight="1" x14ac:dyDescent="0.2">
      <c r="A137" s="54"/>
      <c r="B137" s="54"/>
      <c r="C137" s="180"/>
      <c r="D137" s="54"/>
      <c r="E137" s="54"/>
      <c r="F137" s="54"/>
      <c r="G137" s="54"/>
      <c r="H137" s="54"/>
      <c r="I137" s="54"/>
      <c r="J137" s="54"/>
      <c r="K137" s="54"/>
      <c r="L137" s="180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</row>
    <row r="138" spans="1:23" ht="15.75" customHeight="1" x14ac:dyDescent="0.2">
      <c r="A138" s="54"/>
      <c r="B138" s="54"/>
      <c r="C138" s="180"/>
      <c r="D138" s="54"/>
      <c r="E138" s="54"/>
      <c r="F138" s="54"/>
      <c r="G138" s="54"/>
      <c r="H138" s="54"/>
      <c r="I138" s="54"/>
      <c r="J138" s="54"/>
      <c r="K138" s="54"/>
      <c r="L138" s="180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</row>
    <row r="139" spans="1:23" ht="15.75" customHeight="1" x14ac:dyDescent="0.2">
      <c r="A139" s="54"/>
      <c r="B139" s="54"/>
      <c r="C139" s="180"/>
      <c r="D139" s="54"/>
      <c r="E139" s="54"/>
      <c r="F139" s="54"/>
      <c r="G139" s="54"/>
      <c r="H139" s="54"/>
      <c r="I139" s="54"/>
      <c r="J139" s="54"/>
      <c r="K139" s="54"/>
      <c r="L139" s="180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</row>
    <row r="140" spans="1:23" ht="15.75" customHeight="1" x14ac:dyDescent="0.2">
      <c r="A140" s="54"/>
      <c r="B140" s="54"/>
      <c r="C140" s="180"/>
      <c r="D140" s="54"/>
      <c r="E140" s="54"/>
      <c r="F140" s="54"/>
      <c r="G140" s="54"/>
      <c r="H140" s="54"/>
      <c r="I140" s="54"/>
      <c r="J140" s="54"/>
      <c r="K140" s="54"/>
      <c r="L140" s="180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</row>
    <row r="141" spans="1:23" ht="15.75" customHeight="1" x14ac:dyDescent="0.2">
      <c r="A141" s="54"/>
      <c r="B141" s="54"/>
      <c r="C141" s="180"/>
      <c r="D141" s="54"/>
      <c r="E141" s="54"/>
      <c r="F141" s="54"/>
      <c r="G141" s="54"/>
      <c r="H141" s="54"/>
      <c r="I141" s="54"/>
      <c r="J141" s="54"/>
      <c r="K141" s="54"/>
      <c r="L141" s="180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</row>
    <row r="142" spans="1:23" ht="15.75" customHeight="1" x14ac:dyDescent="0.2">
      <c r="A142" s="54"/>
      <c r="B142" s="54"/>
      <c r="C142" s="180"/>
      <c r="D142" s="54"/>
      <c r="E142" s="54"/>
      <c r="F142" s="54"/>
      <c r="G142" s="54"/>
      <c r="H142" s="54"/>
      <c r="I142" s="54"/>
      <c r="J142" s="54"/>
      <c r="K142" s="54"/>
      <c r="L142" s="180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</row>
    <row r="143" spans="1:23" ht="15.75" customHeight="1" x14ac:dyDescent="0.2">
      <c r="A143" s="54"/>
      <c r="B143" s="54"/>
      <c r="C143" s="180"/>
      <c r="D143" s="54"/>
      <c r="E143" s="54"/>
      <c r="F143" s="54"/>
      <c r="G143" s="54"/>
      <c r="H143" s="54"/>
      <c r="I143" s="54"/>
      <c r="J143" s="54"/>
      <c r="K143" s="54"/>
      <c r="L143" s="180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</row>
    <row r="144" spans="1:23" ht="15.75" customHeight="1" x14ac:dyDescent="0.2">
      <c r="A144" s="54"/>
      <c r="B144" s="54"/>
      <c r="C144" s="180"/>
      <c r="D144" s="54"/>
      <c r="E144" s="54"/>
      <c r="F144" s="54"/>
      <c r="G144" s="54"/>
      <c r="H144" s="54"/>
      <c r="I144" s="54"/>
      <c r="J144" s="54"/>
      <c r="K144" s="54"/>
      <c r="L144" s="180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</row>
    <row r="145" spans="1:23" ht="15.75" customHeight="1" x14ac:dyDescent="0.2">
      <c r="A145" s="54"/>
      <c r="B145" s="54"/>
      <c r="C145" s="180"/>
      <c r="D145" s="54"/>
      <c r="E145" s="54"/>
      <c r="F145" s="54"/>
      <c r="G145" s="54"/>
      <c r="H145" s="54"/>
      <c r="I145" s="54"/>
      <c r="J145" s="54"/>
      <c r="K145" s="54"/>
      <c r="L145" s="180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</row>
    <row r="146" spans="1:23" ht="15.75" customHeight="1" x14ac:dyDescent="0.2">
      <c r="A146" s="54"/>
      <c r="B146" s="54"/>
      <c r="C146" s="180"/>
      <c r="D146" s="54"/>
      <c r="E146" s="54"/>
      <c r="F146" s="54"/>
      <c r="G146" s="54"/>
      <c r="H146" s="54"/>
      <c r="I146" s="54"/>
      <c r="J146" s="54"/>
      <c r="K146" s="54"/>
      <c r="L146" s="180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</row>
    <row r="147" spans="1:23" ht="15.75" customHeight="1" x14ac:dyDescent="0.2">
      <c r="A147" s="54"/>
      <c r="B147" s="54"/>
      <c r="C147" s="180"/>
      <c r="D147" s="54"/>
      <c r="E147" s="54"/>
      <c r="F147" s="54"/>
      <c r="G147" s="54"/>
      <c r="H147" s="54"/>
      <c r="I147" s="54"/>
      <c r="J147" s="54"/>
      <c r="K147" s="54"/>
      <c r="L147" s="180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</row>
    <row r="148" spans="1:23" ht="15.75" customHeight="1" x14ac:dyDescent="0.2">
      <c r="A148" s="54"/>
      <c r="B148" s="54"/>
      <c r="C148" s="180"/>
      <c r="D148" s="54"/>
      <c r="E148" s="54"/>
      <c r="F148" s="54"/>
      <c r="G148" s="54"/>
      <c r="H148" s="54"/>
      <c r="I148" s="54"/>
      <c r="J148" s="54"/>
      <c r="K148" s="54"/>
      <c r="L148" s="180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</row>
    <row r="149" spans="1:23" ht="15.75" customHeight="1" x14ac:dyDescent="0.2">
      <c r="A149" s="54"/>
      <c r="B149" s="54"/>
      <c r="C149" s="180"/>
      <c r="D149" s="54"/>
      <c r="E149" s="54"/>
      <c r="F149" s="54"/>
      <c r="G149" s="54"/>
      <c r="H149" s="54"/>
      <c r="I149" s="54"/>
      <c r="J149" s="54"/>
      <c r="K149" s="54"/>
      <c r="L149" s="180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</row>
    <row r="150" spans="1:23" ht="15.75" customHeight="1" x14ac:dyDescent="0.2">
      <c r="A150" s="54"/>
      <c r="B150" s="54"/>
      <c r="C150" s="180"/>
      <c r="D150" s="54"/>
      <c r="E150" s="54"/>
      <c r="F150" s="54"/>
      <c r="G150" s="54"/>
      <c r="H150" s="54"/>
      <c r="I150" s="54"/>
      <c r="J150" s="54"/>
      <c r="K150" s="54"/>
      <c r="L150" s="180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</row>
    <row r="151" spans="1:23" ht="15.75" customHeight="1" x14ac:dyDescent="0.2">
      <c r="A151" s="54"/>
      <c r="B151" s="54"/>
      <c r="C151" s="180"/>
      <c r="D151" s="54"/>
      <c r="E151" s="54"/>
      <c r="F151" s="54"/>
      <c r="G151" s="54"/>
      <c r="H151" s="54"/>
      <c r="I151" s="54"/>
      <c r="J151" s="54"/>
      <c r="K151" s="54"/>
      <c r="L151" s="180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</row>
    <row r="152" spans="1:23" ht="15.75" customHeight="1" x14ac:dyDescent="0.2">
      <c r="A152" s="54"/>
      <c r="B152" s="54"/>
      <c r="C152" s="180"/>
      <c r="D152" s="54"/>
      <c r="E152" s="54"/>
      <c r="F152" s="54"/>
      <c r="G152" s="54"/>
      <c r="H152" s="54"/>
      <c r="I152" s="54"/>
      <c r="J152" s="54"/>
      <c r="K152" s="54"/>
      <c r="L152" s="180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</row>
    <row r="153" spans="1:23" ht="15.75" customHeight="1" x14ac:dyDescent="0.2">
      <c r="A153" s="54"/>
      <c r="B153" s="54"/>
      <c r="C153" s="180"/>
      <c r="D153" s="54"/>
      <c r="E153" s="54"/>
      <c r="F153" s="54"/>
      <c r="G153" s="54"/>
      <c r="H153" s="54"/>
      <c r="I153" s="54"/>
      <c r="J153" s="54"/>
      <c r="K153" s="54"/>
      <c r="L153" s="180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</row>
    <row r="154" spans="1:23" ht="15.75" customHeight="1" x14ac:dyDescent="0.2">
      <c r="A154" s="54"/>
      <c r="B154" s="54"/>
      <c r="C154" s="180"/>
      <c r="D154" s="54"/>
      <c r="E154" s="54"/>
      <c r="F154" s="54"/>
      <c r="G154" s="54"/>
      <c r="H154" s="54"/>
      <c r="I154" s="54"/>
      <c r="J154" s="54"/>
      <c r="K154" s="54"/>
      <c r="L154" s="180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</row>
    <row r="155" spans="1:23" ht="15.75" customHeight="1" x14ac:dyDescent="0.2">
      <c r="A155" s="54"/>
      <c r="B155" s="54"/>
      <c r="C155" s="180"/>
      <c r="D155" s="54"/>
      <c r="E155" s="54"/>
      <c r="F155" s="54"/>
      <c r="G155" s="54"/>
      <c r="H155" s="54"/>
      <c r="I155" s="54"/>
      <c r="J155" s="54"/>
      <c r="K155" s="54"/>
      <c r="L155" s="180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</row>
    <row r="156" spans="1:23" ht="15.75" customHeight="1" x14ac:dyDescent="0.2">
      <c r="A156" s="54"/>
      <c r="B156" s="54"/>
      <c r="C156" s="180"/>
      <c r="D156" s="54"/>
      <c r="E156" s="54"/>
      <c r="F156" s="54"/>
      <c r="G156" s="54"/>
      <c r="H156" s="54"/>
      <c r="I156" s="54"/>
      <c r="J156" s="54"/>
      <c r="K156" s="54"/>
      <c r="L156" s="180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</row>
    <row r="157" spans="1:23" ht="15.75" customHeight="1" x14ac:dyDescent="0.2">
      <c r="A157" s="54"/>
      <c r="B157" s="54"/>
      <c r="C157" s="180"/>
      <c r="D157" s="54"/>
      <c r="E157" s="54"/>
      <c r="F157" s="54"/>
      <c r="G157" s="54"/>
      <c r="H157" s="54"/>
      <c r="I157" s="54"/>
      <c r="J157" s="54"/>
      <c r="K157" s="54"/>
      <c r="L157" s="180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</row>
    <row r="158" spans="1:23" ht="15.75" customHeight="1" x14ac:dyDescent="0.2">
      <c r="A158" s="54"/>
      <c r="B158" s="54"/>
      <c r="C158" s="180"/>
      <c r="D158" s="54"/>
      <c r="E158" s="54"/>
      <c r="F158" s="54"/>
      <c r="G158" s="54"/>
      <c r="H158" s="54"/>
      <c r="I158" s="54"/>
      <c r="J158" s="54"/>
      <c r="K158" s="54"/>
      <c r="L158" s="180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</row>
    <row r="159" spans="1:23" ht="15.75" customHeight="1" x14ac:dyDescent="0.2">
      <c r="A159" s="54"/>
      <c r="B159" s="54"/>
      <c r="C159" s="180"/>
      <c r="D159" s="54"/>
      <c r="E159" s="54"/>
      <c r="F159" s="54"/>
      <c r="G159" s="54"/>
      <c r="H159" s="54"/>
      <c r="I159" s="54"/>
      <c r="J159" s="54"/>
      <c r="K159" s="54"/>
      <c r="L159" s="180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</row>
    <row r="160" spans="1:23" ht="15.75" customHeight="1" x14ac:dyDescent="0.2">
      <c r="A160" s="54"/>
      <c r="B160" s="54"/>
      <c r="C160" s="180"/>
      <c r="D160" s="54"/>
      <c r="E160" s="54"/>
      <c r="F160" s="54"/>
      <c r="G160" s="54"/>
      <c r="H160" s="54"/>
      <c r="I160" s="54"/>
      <c r="J160" s="54"/>
      <c r="K160" s="54"/>
      <c r="L160" s="180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</row>
    <row r="161" spans="1:23" ht="15.75" customHeight="1" x14ac:dyDescent="0.2">
      <c r="A161" s="54"/>
      <c r="B161" s="54"/>
      <c r="C161" s="180"/>
      <c r="D161" s="54"/>
      <c r="E161" s="54"/>
      <c r="F161" s="54"/>
      <c r="G161" s="54"/>
      <c r="H161" s="54"/>
      <c r="I161" s="54"/>
      <c r="J161" s="54"/>
      <c r="K161" s="54"/>
      <c r="L161" s="180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</row>
    <row r="162" spans="1:23" ht="15.75" customHeight="1" x14ac:dyDescent="0.2">
      <c r="A162" s="54"/>
      <c r="B162" s="54"/>
      <c r="C162" s="180"/>
      <c r="D162" s="54"/>
      <c r="E162" s="54"/>
      <c r="F162" s="54"/>
      <c r="G162" s="54"/>
      <c r="H162" s="54"/>
      <c r="I162" s="54"/>
      <c r="J162" s="54"/>
      <c r="K162" s="54"/>
      <c r="L162" s="180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</row>
    <row r="163" spans="1:23" ht="15.75" customHeight="1" x14ac:dyDescent="0.2">
      <c r="A163" s="54"/>
      <c r="B163" s="54"/>
      <c r="C163" s="180"/>
      <c r="D163" s="54"/>
      <c r="E163" s="54"/>
      <c r="F163" s="54"/>
      <c r="G163" s="54"/>
      <c r="H163" s="54"/>
      <c r="I163" s="54"/>
      <c r="J163" s="54"/>
      <c r="K163" s="54"/>
      <c r="L163" s="180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</row>
    <row r="164" spans="1:23" ht="15.75" customHeight="1" x14ac:dyDescent="0.2">
      <c r="A164" s="54"/>
      <c r="B164" s="54"/>
      <c r="C164" s="180"/>
      <c r="D164" s="54"/>
      <c r="E164" s="54"/>
      <c r="F164" s="54"/>
      <c r="G164" s="54"/>
      <c r="H164" s="54"/>
      <c r="I164" s="54"/>
      <c r="J164" s="54"/>
      <c r="K164" s="54"/>
      <c r="L164" s="180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</row>
    <row r="165" spans="1:23" ht="15.75" customHeight="1" x14ac:dyDescent="0.2">
      <c r="A165" s="54"/>
      <c r="B165" s="54"/>
      <c r="C165" s="180"/>
      <c r="D165" s="54"/>
      <c r="E165" s="54"/>
      <c r="F165" s="54"/>
      <c r="G165" s="54"/>
      <c r="H165" s="54"/>
      <c r="I165" s="54"/>
      <c r="J165" s="54"/>
      <c r="K165" s="54"/>
      <c r="L165" s="180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</row>
    <row r="166" spans="1:23" ht="15.75" customHeight="1" x14ac:dyDescent="0.2">
      <c r="A166" s="54"/>
      <c r="B166" s="54"/>
      <c r="C166" s="180"/>
      <c r="D166" s="54"/>
      <c r="E166" s="54"/>
      <c r="F166" s="54"/>
      <c r="G166" s="54"/>
      <c r="H166" s="54"/>
      <c r="I166" s="54"/>
      <c r="J166" s="54"/>
      <c r="K166" s="54"/>
      <c r="L166" s="180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</row>
    <row r="167" spans="1:23" ht="15.75" customHeight="1" x14ac:dyDescent="0.2">
      <c r="A167" s="54"/>
      <c r="B167" s="54"/>
      <c r="C167" s="180"/>
      <c r="D167" s="54"/>
      <c r="E167" s="54"/>
      <c r="F167" s="54"/>
      <c r="G167" s="54"/>
      <c r="H167" s="54"/>
      <c r="I167" s="54"/>
      <c r="J167" s="54"/>
      <c r="K167" s="54"/>
      <c r="L167" s="180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</row>
    <row r="168" spans="1:23" ht="15.75" customHeight="1" x14ac:dyDescent="0.2">
      <c r="A168" s="54"/>
      <c r="B168" s="54"/>
      <c r="C168" s="180"/>
      <c r="D168" s="54"/>
      <c r="E168" s="54"/>
      <c r="F168" s="54"/>
      <c r="G168" s="54"/>
      <c r="H168" s="54"/>
      <c r="I168" s="54"/>
      <c r="J168" s="54"/>
      <c r="K168" s="54"/>
      <c r="L168" s="180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</row>
    <row r="169" spans="1:23" ht="15.75" customHeight="1" x14ac:dyDescent="0.2">
      <c r="A169" s="54"/>
      <c r="B169" s="54"/>
      <c r="C169" s="180"/>
      <c r="D169" s="54"/>
      <c r="E169" s="54"/>
      <c r="F169" s="54"/>
      <c r="G169" s="54"/>
      <c r="H169" s="54"/>
      <c r="I169" s="54"/>
      <c r="J169" s="54"/>
      <c r="K169" s="54"/>
      <c r="L169" s="180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</row>
    <row r="170" spans="1:23" ht="15.75" customHeight="1" x14ac:dyDescent="0.2">
      <c r="A170" s="54"/>
      <c r="B170" s="54"/>
      <c r="C170" s="180"/>
      <c r="D170" s="54"/>
      <c r="E170" s="54"/>
      <c r="F170" s="54"/>
      <c r="G170" s="54"/>
      <c r="H170" s="54"/>
      <c r="I170" s="54"/>
      <c r="J170" s="54"/>
      <c r="K170" s="54"/>
      <c r="L170" s="180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</row>
    <row r="171" spans="1:23" ht="15.75" customHeight="1" x14ac:dyDescent="0.2">
      <c r="A171" s="54"/>
      <c r="B171" s="54"/>
      <c r="C171" s="180"/>
      <c r="D171" s="54"/>
      <c r="E171" s="54"/>
      <c r="F171" s="54"/>
      <c r="G171" s="54"/>
      <c r="H171" s="54"/>
      <c r="I171" s="54"/>
      <c r="J171" s="54"/>
      <c r="K171" s="54"/>
      <c r="L171" s="180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</row>
    <row r="172" spans="1:23" ht="15.75" customHeight="1" x14ac:dyDescent="0.2">
      <c r="A172" s="54"/>
      <c r="B172" s="54"/>
      <c r="C172" s="180"/>
      <c r="D172" s="54"/>
      <c r="E172" s="54"/>
      <c r="F172" s="54"/>
      <c r="G172" s="54"/>
      <c r="H172" s="54"/>
      <c r="I172" s="54"/>
      <c r="J172" s="54"/>
      <c r="K172" s="54"/>
      <c r="L172" s="180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</row>
    <row r="173" spans="1:23" ht="15.75" customHeight="1" x14ac:dyDescent="0.2">
      <c r="A173" s="54"/>
      <c r="B173" s="54"/>
      <c r="C173" s="180"/>
      <c r="D173" s="54"/>
      <c r="E173" s="54"/>
      <c r="F173" s="54"/>
      <c r="G173" s="54"/>
      <c r="H173" s="54"/>
      <c r="I173" s="54"/>
      <c r="J173" s="54"/>
      <c r="K173" s="54"/>
      <c r="L173" s="180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</row>
    <row r="174" spans="1:23" ht="15.75" customHeight="1" x14ac:dyDescent="0.2">
      <c r="A174" s="54"/>
      <c r="B174" s="54"/>
      <c r="C174" s="180"/>
      <c r="D174" s="54"/>
      <c r="E174" s="54"/>
      <c r="F174" s="54"/>
      <c r="G174" s="54"/>
      <c r="H174" s="54"/>
      <c r="I174" s="54"/>
      <c r="J174" s="54"/>
      <c r="K174" s="54"/>
      <c r="L174" s="180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</row>
    <row r="175" spans="1:23" ht="15.75" customHeight="1" x14ac:dyDescent="0.2">
      <c r="A175" s="54"/>
      <c r="B175" s="54"/>
      <c r="C175" s="180"/>
      <c r="D175" s="54"/>
      <c r="E175" s="54"/>
      <c r="F175" s="54"/>
      <c r="G175" s="54"/>
      <c r="H175" s="54"/>
      <c r="I175" s="54"/>
      <c r="J175" s="54"/>
      <c r="K175" s="54"/>
      <c r="L175" s="180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</row>
    <row r="176" spans="1:23" ht="15.75" customHeight="1" x14ac:dyDescent="0.2">
      <c r="A176" s="54"/>
      <c r="B176" s="54"/>
      <c r="C176" s="180"/>
      <c r="D176" s="54"/>
      <c r="E176" s="54"/>
      <c r="F176" s="54"/>
      <c r="G176" s="54"/>
      <c r="H176" s="54"/>
      <c r="I176" s="54"/>
      <c r="J176" s="54"/>
      <c r="K176" s="54"/>
      <c r="L176" s="180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</row>
    <row r="177" spans="1:23" ht="15.75" customHeight="1" x14ac:dyDescent="0.2">
      <c r="A177" s="54"/>
      <c r="B177" s="54"/>
      <c r="C177" s="180"/>
      <c r="D177" s="54"/>
      <c r="E177" s="54"/>
      <c r="F177" s="54"/>
      <c r="G177" s="54"/>
      <c r="H177" s="54"/>
      <c r="I177" s="54"/>
      <c r="J177" s="54"/>
      <c r="K177" s="54"/>
      <c r="L177" s="180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</row>
    <row r="178" spans="1:23" ht="15.75" customHeight="1" x14ac:dyDescent="0.2">
      <c r="A178" s="54"/>
      <c r="B178" s="54"/>
      <c r="C178" s="180"/>
      <c r="D178" s="54"/>
      <c r="E178" s="54"/>
      <c r="F178" s="54"/>
      <c r="G178" s="54"/>
      <c r="H178" s="54"/>
      <c r="I178" s="54"/>
      <c r="J178" s="54"/>
      <c r="K178" s="54"/>
      <c r="L178" s="180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</row>
    <row r="179" spans="1:23" ht="15.75" customHeight="1" x14ac:dyDescent="0.2">
      <c r="A179" s="54"/>
      <c r="B179" s="54"/>
      <c r="C179" s="180"/>
      <c r="D179" s="54"/>
      <c r="E179" s="54"/>
      <c r="F179" s="54"/>
      <c r="G179" s="54"/>
      <c r="H179" s="54"/>
      <c r="I179" s="54"/>
      <c r="J179" s="54"/>
      <c r="K179" s="54"/>
      <c r="L179" s="180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</row>
    <row r="180" spans="1:23" ht="15.75" customHeight="1" x14ac:dyDescent="0.2">
      <c r="A180" s="54"/>
      <c r="B180" s="54"/>
      <c r="C180" s="180"/>
      <c r="D180" s="54"/>
      <c r="E180" s="54"/>
      <c r="F180" s="54"/>
      <c r="G180" s="54"/>
      <c r="H180" s="54"/>
      <c r="I180" s="54"/>
      <c r="J180" s="54"/>
      <c r="K180" s="54"/>
      <c r="L180" s="180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</row>
    <row r="181" spans="1:23" ht="15.75" customHeight="1" x14ac:dyDescent="0.2">
      <c r="A181" s="54"/>
      <c r="B181" s="54"/>
      <c r="C181" s="180"/>
      <c r="D181" s="54"/>
      <c r="E181" s="54"/>
      <c r="F181" s="54"/>
      <c r="G181" s="54"/>
      <c r="H181" s="54"/>
      <c r="I181" s="54"/>
      <c r="J181" s="54"/>
      <c r="K181" s="54"/>
      <c r="L181" s="180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</row>
    <row r="182" spans="1:23" ht="15.75" customHeight="1" x14ac:dyDescent="0.2">
      <c r="A182" s="54"/>
      <c r="B182" s="54"/>
      <c r="C182" s="180"/>
      <c r="D182" s="54"/>
      <c r="E182" s="54"/>
      <c r="F182" s="54"/>
      <c r="G182" s="54"/>
      <c r="H182" s="54"/>
      <c r="I182" s="54"/>
      <c r="J182" s="54"/>
      <c r="K182" s="54"/>
      <c r="L182" s="180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</row>
    <row r="183" spans="1:23" ht="15.75" customHeight="1" x14ac:dyDescent="0.2">
      <c r="A183" s="54"/>
      <c r="B183" s="54"/>
      <c r="C183" s="180"/>
      <c r="D183" s="54"/>
      <c r="E183" s="54"/>
      <c r="F183" s="54"/>
      <c r="G183" s="54"/>
      <c r="H183" s="54"/>
      <c r="I183" s="54"/>
      <c r="J183" s="54"/>
      <c r="K183" s="54"/>
      <c r="L183" s="180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</row>
    <row r="184" spans="1:23" ht="15.75" customHeight="1" x14ac:dyDescent="0.2">
      <c r="A184" s="54"/>
      <c r="B184" s="54"/>
      <c r="C184" s="180"/>
      <c r="D184" s="54"/>
      <c r="E184" s="54"/>
      <c r="F184" s="54"/>
      <c r="G184" s="54"/>
      <c r="H184" s="54"/>
      <c r="I184" s="54"/>
      <c r="J184" s="54"/>
      <c r="K184" s="54"/>
      <c r="L184" s="180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</row>
    <row r="185" spans="1:23" ht="15.75" customHeight="1" x14ac:dyDescent="0.2">
      <c r="A185" s="54"/>
      <c r="B185" s="54"/>
      <c r="C185" s="180"/>
      <c r="D185" s="54"/>
      <c r="E185" s="54"/>
      <c r="F185" s="54"/>
      <c r="G185" s="54"/>
      <c r="H185" s="54"/>
      <c r="I185" s="54"/>
      <c r="J185" s="54"/>
      <c r="K185" s="54"/>
      <c r="L185" s="180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</row>
    <row r="186" spans="1:23" ht="15.75" customHeight="1" x14ac:dyDescent="0.2">
      <c r="A186" s="54"/>
      <c r="B186" s="54"/>
      <c r="C186" s="180"/>
      <c r="D186" s="54"/>
      <c r="E186" s="54"/>
      <c r="F186" s="54"/>
      <c r="G186" s="54"/>
      <c r="H186" s="54"/>
      <c r="I186" s="54"/>
      <c r="J186" s="54"/>
      <c r="K186" s="54"/>
      <c r="L186" s="180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</row>
    <row r="187" spans="1:23" ht="15.75" customHeight="1" x14ac:dyDescent="0.2">
      <c r="A187" s="54"/>
      <c r="B187" s="54"/>
      <c r="C187" s="180"/>
      <c r="D187" s="54"/>
      <c r="E187" s="54"/>
      <c r="F187" s="54"/>
      <c r="G187" s="54"/>
      <c r="H187" s="54"/>
      <c r="I187" s="54"/>
      <c r="J187" s="54"/>
      <c r="K187" s="54"/>
      <c r="L187" s="180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</row>
    <row r="188" spans="1:23" ht="15.75" customHeight="1" x14ac:dyDescent="0.2">
      <c r="A188" s="54"/>
      <c r="B188" s="54"/>
      <c r="C188" s="180"/>
      <c r="D188" s="54"/>
      <c r="E188" s="54"/>
      <c r="F188" s="54"/>
      <c r="G188" s="54"/>
      <c r="H188" s="54"/>
      <c r="I188" s="54"/>
      <c r="J188" s="54"/>
      <c r="K188" s="54"/>
      <c r="L188" s="180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</row>
    <row r="189" spans="1:23" ht="15.75" customHeight="1" x14ac:dyDescent="0.2">
      <c r="A189" s="54"/>
      <c r="B189" s="54"/>
      <c r="C189" s="180"/>
      <c r="D189" s="54"/>
      <c r="E189" s="54"/>
      <c r="F189" s="54"/>
      <c r="G189" s="54"/>
      <c r="H189" s="54"/>
      <c r="I189" s="54"/>
      <c r="J189" s="54"/>
      <c r="K189" s="54"/>
      <c r="L189" s="180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</row>
    <row r="190" spans="1:23" ht="15.75" customHeight="1" x14ac:dyDescent="0.2">
      <c r="A190" s="54"/>
      <c r="B190" s="54"/>
      <c r="C190" s="180"/>
      <c r="D190" s="54"/>
      <c r="E190" s="54"/>
      <c r="F190" s="54"/>
      <c r="G190" s="54"/>
      <c r="H190" s="54"/>
      <c r="I190" s="54"/>
      <c r="J190" s="54"/>
      <c r="K190" s="54"/>
      <c r="L190" s="180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</row>
    <row r="191" spans="1:23" ht="15.75" customHeight="1" x14ac:dyDescent="0.2">
      <c r="A191" s="54"/>
      <c r="B191" s="54"/>
      <c r="C191" s="180"/>
      <c r="D191" s="54"/>
      <c r="E191" s="54"/>
      <c r="F191" s="54"/>
      <c r="G191" s="54"/>
      <c r="H191" s="54"/>
      <c r="I191" s="54"/>
      <c r="J191" s="54"/>
      <c r="K191" s="54"/>
      <c r="L191" s="180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</row>
    <row r="192" spans="1:23" ht="15.75" customHeight="1" x14ac:dyDescent="0.2">
      <c r="A192" s="54"/>
      <c r="B192" s="54"/>
      <c r="C192" s="180"/>
      <c r="D192" s="54"/>
      <c r="E192" s="54"/>
      <c r="F192" s="54"/>
      <c r="G192" s="54"/>
      <c r="H192" s="54"/>
      <c r="I192" s="54"/>
      <c r="J192" s="54"/>
      <c r="K192" s="54"/>
      <c r="L192" s="180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</row>
    <row r="193" spans="1:23" ht="15.75" customHeight="1" x14ac:dyDescent="0.2">
      <c r="A193" s="54"/>
      <c r="B193" s="54"/>
      <c r="C193" s="180"/>
      <c r="D193" s="54"/>
      <c r="E193" s="54"/>
      <c r="F193" s="54"/>
      <c r="G193" s="54"/>
      <c r="H193" s="54"/>
      <c r="I193" s="54"/>
      <c r="J193" s="54"/>
      <c r="K193" s="54"/>
      <c r="L193" s="180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</row>
    <row r="194" spans="1:23" ht="15.75" customHeight="1" x14ac:dyDescent="0.2">
      <c r="A194" s="54"/>
      <c r="B194" s="54"/>
      <c r="C194" s="180"/>
      <c r="D194" s="54"/>
      <c r="E194" s="54"/>
      <c r="F194" s="54"/>
      <c r="G194" s="54"/>
      <c r="H194" s="54"/>
      <c r="I194" s="54"/>
      <c r="J194" s="54"/>
      <c r="K194" s="54"/>
      <c r="L194" s="180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</row>
    <row r="195" spans="1:23" ht="15.75" customHeight="1" x14ac:dyDescent="0.2">
      <c r="A195" s="54"/>
      <c r="B195" s="54"/>
      <c r="C195" s="180"/>
      <c r="D195" s="54"/>
      <c r="E195" s="54"/>
      <c r="F195" s="54"/>
      <c r="G195" s="54"/>
      <c r="H195" s="54"/>
      <c r="I195" s="54"/>
      <c r="J195" s="54"/>
      <c r="K195" s="54"/>
      <c r="L195" s="180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</row>
    <row r="196" spans="1:23" ht="15.75" customHeight="1" x14ac:dyDescent="0.2">
      <c r="A196" s="54"/>
      <c r="B196" s="54"/>
      <c r="C196" s="180"/>
      <c r="D196" s="54"/>
      <c r="E196" s="54"/>
      <c r="F196" s="54"/>
      <c r="G196" s="54"/>
      <c r="H196" s="54"/>
      <c r="I196" s="54"/>
      <c r="J196" s="54"/>
      <c r="K196" s="54"/>
      <c r="L196" s="180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</row>
    <row r="197" spans="1:23" ht="15.75" customHeight="1" x14ac:dyDescent="0.2">
      <c r="A197" s="54"/>
      <c r="B197" s="54"/>
      <c r="C197" s="180"/>
      <c r="D197" s="54"/>
      <c r="E197" s="54"/>
      <c r="F197" s="54"/>
      <c r="G197" s="54"/>
      <c r="H197" s="54"/>
      <c r="I197" s="54"/>
      <c r="J197" s="54"/>
      <c r="K197" s="54"/>
      <c r="L197" s="180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</row>
    <row r="198" spans="1:23" ht="15.75" customHeight="1" x14ac:dyDescent="0.2">
      <c r="A198" s="54"/>
      <c r="B198" s="54"/>
      <c r="C198" s="180"/>
      <c r="D198" s="54"/>
      <c r="E198" s="54"/>
      <c r="F198" s="54"/>
      <c r="G198" s="54"/>
      <c r="H198" s="54"/>
      <c r="I198" s="54"/>
      <c r="J198" s="54"/>
      <c r="K198" s="54"/>
      <c r="L198" s="180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</row>
    <row r="199" spans="1:23" ht="15.75" customHeight="1" x14ac:dyDescent="0.2">
      <c r="A199" s="54"/>
      <c r="B199" s="54"/>
      <c r="C199" s="180"/>
      <c r="D199" s="54"/>
      <c r="E199" s="54"/>
      <c r="F199" s="54"/>
      <c r="G199" s="54"/>
      <c r="H199" s="54"/>
      <c r="I199" s="54"/>
      <c r="J199" s="54"/>
      <c r="K199" s="54"/>
      <c r="L199" s="180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</row>
    <row r="200" spans="1:23" ht="15.75" customHeight="1" x14ac:dyDescent="0.2">
      <c r="A200" s="54"/>
      <c r="B200" s="54"/>
      <c r="C200" s="180"/>
      <c r="D200" s="54"/>
      <c r="E200" s="54"/>
      <c r="F200" s="54"/>
      <c r="G200" s="54"/>
      <c r="H200" s="54"/>
      <c r="I200" s="54"/>
      <c r="J200" s="54"/>
      <c r="K200" s="54"/>
      <c r="L200" s="180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</row>
    <row r="201" spans="1:23" ht="15.75" customHeight="1" x14ac:dyDescent="0.2">
      <c r="A201" s="54"/>
      <c r="B201" s="54"/>
      <c r="C201" s="180"/>
      <c r="D201" s="54"/>
      <c r="E201" s="54"/>
      <c r="F201" s="54"/>
      <c r="G201" s="54"/>
      <c r="H201" s="54"/>
      <c r="I201" s="54"/>
      <c r="J201" s="54"/>
      <c r="K201" s="54"/>
      <c r="L201" s="180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</row>
    <row r="202" spans="1:23" ht="15.75" customHeight="1" x14ac:dyDescent="0.2">
      <c r="A202" s="54"/>
      <c r="B202" s="54"/>
      <c r="C202" s="180"/>
      <c r="D202" s="54"/>
      <c r="E202" s="54"/>
      <c r="F202" s="54"/>
      <c r="G202" s="54"/>
      <c r="H202" s="54"/>
      <c r="I202" s="54"/>
      <c r="J202" s="54"/>
      <c r="K202" s="54"/>
      <c r="L202" s="180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</row>
    <row r="203" spans="1:23" ht="15.75" customHeight="1" x14ac:dyDescent="0.2">
      <c r="A203" s="54"/>
      <c r="B203" s="54"/>
      <c r="C203" s="180"/>
      <c r="D203" s="54"/>
      <c r="E203" s="54"/>
      <c r="F203" s="54"/>
      <c r="G203" s="54"/>
      <c r="H203" s="54"/>
      <c r="I203" s="54"/>
      <c r="J203" s="54"/>
      <c r="K203" s="54"/>
      <c r="L203" s="180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</row>
    <row r="204" spans="1:23" ht="15.75" customHeight="1" x14ac:dyDescent="0.2">
      <c r="A204" s="54"/>
      <c r="B204" s="54"/>
      <c r="C204" s="180"/>
      <c r="D204" s="54"/>
      <c r="E204" s="54"/>
      <c r="F204" s="54"/>
      <c r="G204" s="54"/>
      <c r="H204" s="54"/>
      <c r="I204" s="54"/>
      <c r="J204" s="54"/>
      <c r="K204" s="54"/>
      <c r="L204" s="180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</row>
    <row r="205" spans="1:23" ht="15.75" customHeight="1" x14ac:dyDescent="0.2">
      <c r="A205" s="54"/>
      <c r="B205" s="54"/>
      <c r="C205" s="180"/>
      <c r="D205" s="54"/>
      <c r="E205" s="54"/>
      <c r="F205" s="54"/>
      <c r="G205" s="54"/>
      <c r="H205" s="54"/>
      <c r="I205" s="54"/>
      <c r="J205" s="54"/>
      <c r="K205" s="54"/>
      <c r="L205" s="180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</row>
    <row r="206" spans="1:23" ht="15.75" customHeight="1" x14ac:dyDescent="0.2">
      <c r="A206" s="54"/>
      <c r="B206" s="54"/>
      <c r="C206" s="180"/>
      <c r="D206" s="54"/>
      <c r="E206" s="54"/>
      <c r="F206" s="54"/>
      <c r="G206" s="54"/>
      <c r="H206" s="54"/>
      <c r="I206" s="54"/>
      <c r="J206" s="54"/>
      <c r="K206" s="54"/>
      <c r="L206" s="180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</row>
    <row r="207" spans="1:23" ht="15.75" customHeight="1" x14ac:dyDescent="0.2">
      <c r="A207" s="54"/>
      <c r="B207" s="54"/>
      <c r="C207" s="180"/>
      <c r="D207" s="54"/>
      <c r="E207" s="54"/>
      <c r="F207" s="54"/>
      <c r="G207" s="54"/>
      <c r="H207" s="54"/>
      <c r="I207" s="54"/>
      <c r="J207" s="54"/>
      <c r="K207" s="54"/>
      <c r="L207" s="180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</row>
    <row r="208" spans="1:23" ht="15.75" customHeight="1" x14ac:dyDescent="0.2">
      <c r="A208" s="54"/>
      <c r="B208" s="54"/>
      <c r="C208" s="180"/>
      <c r="D208" s="54"/>
      <c r="E208" s="54"/>
      <c r="F208" s="54"/>
      <c r="G208" s="54"/>
      <c r="H208" s="54"/>
      <c r="I208" s="54"/>
      <c r="J208" s="54"/>
      <c r="K208" s="54"/>
      <c r="L208" s="180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</row>
    <row r="209" spans="1:23" ht="15.75" customHeight="1" x14ac:dyDescent="0.2">
      <c r="A209" s="54"/>
      <c r="B209" s="54"/>
      <c r="C209" s="180"/>
      <c r="D209" s="54"/>
      <c r="E209" s="54"/>
      <c r="F209" s="54"/>
      <c r="G209" s="54"/>
      <c r="H209" s="54"/>
      <c r="I209" s="54"/>
      <c r="J209" s="54"/>
      <c r="K209" s="54"/>
      <c r="L209" s="180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</row>
    <row r="210" spans="1:23" ht="15.75" customHeight="1" x14ac:dyDescent="0.2">
      <c r="A210" s="54"/>
      <c r="B210" s="54"/>
      <c r="C210" s="180"/>
      <c r="D210" s="54"/>
      <c r="E210" s="54"/>
      <c r="F210" s="54"/>
      <c r="G210" s="54"/>
      <c r="H210" s="54"/>
      <c r="I210" s="54"/>
      <c r="J210" s="54"/>
      <c r="K210" s="54"/>
      <c r="L210" s="180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</row>
    <row r="211" spans="1:23" ht="15.75" customHeight="1" x14ac:dyDescent="0.2">
      <c r="A211" s="54"/>
      <c r="B211" s="54"/>
      <c r="C211" s="180"/>
      <c r="D211" s="54"/>
      <c r="E211" s="54"/>
      <c r="F211" s="54"/>
      <c r="G211" s="54"/>
      <c r="H211" s="54"/>
      <c r="I211" s="54"/>
      <c r="J211" s="54"/>
      <c r="K211" s="54"/>
      <c r="L211" s="180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</row>
    <row r="212" spans="1:23" ht="15.75" customHeight="1" x14ac:dyDescent="0.2">
      <c r="A212" s="54"/>
      <c r="B212" s="54"/>
      <c r="C212" s="180"/>
      <c r="D212" s="54"/>
      <c r="E212" s="54"/>
      <c r="F212" s="54"/>
      <c r="G212" s="54"/>
      <c r="H212" s="54"/>
      <c r="I212" s="54"/>
      <c r="J212" s="54"/>
      <c r="K212" s="54"/>
      <c r="L212" s="180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</row>
    <row r="213" spans="1:23" ht="15.75" customHeight="1" x14ac:dyDescent="0.2">
      <c r="A213" s="54"/>
      <c r="B213" s="54"/>
      <c r="C213" s="180"/>
      <c r="D213" s="54"/>
      <c r="E213" s="54"/>
      <c r="F213" s="54"/>
      <c r="G213" s="54"/>
      <c r="H213" s="54"/>
      <c r="I213" s="54"/>
      <c r="J213" s="54"/>
      <c r="K213" s="54"/>
      <c r="L213" s="180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</row>
    <row r="214" spans="1:23" ht="15.75" customHeight="1" x14ac:dyDescent="0.2">
      <c r="A214" s="54"/>
      <c r="B214" s="54"/>
      <c r="C214" s="180"/>
      <c r="D214" s="54"/>
      <c r="E214" s="54"/>
      <c r="F214" s="54"/>
      <c r="G214" s="54"/>
      <c r="H214" s="54"/>
      <c r="I214" s="54"/>
      <c r="J214" s="54"/>
      <c r="K214" s="54"/>
      <c r="L214" s="180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</row>
    <row r="215" spans="1:23" ht="15.75" customHeight="1" x14ac:dyDescent="0.2">
      <c r="A215" s="54"/>
      <c r="B215" s="54"/>
      <c r="C215" s="180"/>
      <c r="D215" s="54"/>
      <c r="E215" s="54"/>
      <c r="F215" s="54"/>
      <c r="G215" s="54"/>
      <c r="H215" s="54"/>
      <c r="I215" s="54"/>
      <c r="J215" s="54"/>
      <c r="K215" s="54"/>
      <c r="L215" s="180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</row>
    <row r="216" spans="1:23" ht="15.75" customHeight="1" x14ac:dyDescent="0.2">
      <c r="A216" s="54"/>
      <c r="B216" s="54"/>
      <c r="C216" s="180"/>
      <c r="D216" s="54"/>
      <c r="E216" s="54"/>
      <c r="F216" s="54"/>
      <c r="G216" s="54"/>
      <c r="H216" s="54"/>
      <c r="I216" s="54"/>
      <c r="J216" s="54"/>
      <c r="K216" s="54"/>
      <c r="L216" s="180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</row>
    <row r="217" spans="1:23" ht="15.75" customHeight="1" x14ac:dyDescent="0.2">
      <c r="A217" s="54"/>
      <c r="B217" s="54"/>
      <c r="C217" s="180"/>
      <c r="D217" s="54"/>
      <c r="E217" s="54"/>
      <c r="F217" s="54"/>
      <c r="G217" s="54"/>
      <c r="H217" s="54"/>
      <c r="I217" s="54"/>
      <c r="J217" s="54"/>
      <c r="K217" s="54"/>
      <c r="L217" s="180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</row>
    <row r="218" spans="1:23" ht="15.75" customHeight="1" x14ac:dyDescent="0.2">
      <c r="A218" s="54"/>
      <c r="B218" s="54"/>
      <c r="C218" s="180"/>
      <c r="D218" s="54"/>
      <c r="E218" s="54"/>
      <c r="F218" s="54"/>
      <c r="G218" s="54"/>
      <c r="H218" s="54"/>
      <c r="I218" s="54"/>
      <c r="J218" s="54"/>
      <c r="K218" s="54"/>
      <c r="L218" s="180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</row>
    <row r="219" spans="1:23" ht="15.75" customHeight="1" x14ac:dyDescent="0.2">
      <c r="A219" s="54"/>
      <c r="B219" s="54"/>
      <c r="C219" s="180"/>
      <c r="D219" s="54"/>
      <c r="E219" s="54"/>
      <c r="F219" s="54"/>
      <c r="G219" s="54"/>
      <c r="H219" s="54"/>
      <c r="I219" s="54"/>
      <c r="J219" s="54"/>
      <c r="K219" s="54"/>
      <c r="L219" s="180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</row>
    <row r="220" spans="1:23" ht="15.75" customHeight="1" x14ac:dyDescent="0.2">
      <c r="A220" s="54"/>
      <c r="B220" s="54"/>
      <c r="C220" s="180"/>
      <c r="D220" s="54"/>
      <c r="E220" s="54"/>
      <c r="F220" s="54"/>
      <c r="G220" s="54"/>
      <c r="H220" s="54"/>
      <c r="I220" s="54"/>
      <c r="J220" s="54"/>
      <c r="K220" s="54"/>
      <c r="L220" s="180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</row>
    <row r="221" spans="1:23" ht="15.75" customHeight="1" x14ac:dyDescent="0.2">
      <c r="A221" s="54"/>
      <c r="B221" s="54"/>
      <c r="C221" s="180"/>
      <c r="D221" s="54"/>
      <c r="E221" s="54"/>
      <c r="F221" s="54"/>
      <c r="G221" s="54"/>
      <c r="H221" s="54"/>
      <c r="I221" s="54"/>
      <c r="J221" s="54"/>
      <c r="K221" s="54"/>
      <c r="L221" s="180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</row>
    <row r="222" spans="1:23" ht="15.75" customHeight="1" x14ac:dyDescent="0.2">
      <c r="A222" s="54"/>
      <c r="B222" s="54"/>
      <c r="C222" s="180"/>
      <c r="D222" s="54"/>
      <c r="E222" s="54"/>
      <c r="F222" s="54"/>
      <c r="G222" s="54"/>
      <c r="H222" s="54"/>
      <c r="I222" s="54"/>
      <c r="J222" s="54"/>
      <c r="K222" s="54"/>
      <c r="L222" s="180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</row>
    <row r="223" spans="1:23" ht="15.75" customHeight="1" x14ac:dyDescent="0.2">
      <c r="A223" s="54"/>
      <c r="B223" s="54"/>
      <c r="C223" s="180"/>
      <c r="D223" s="54"/>
      <c r="E223" s="54"/>
      <c r="F223" s="54"/>
      <c r="G223" s="54"/>
      <c r="H223" s="54"/>
      <c r="I223" s="54"/>
      <c r="J223" s="54"/>
      <c r="K223" s="54"/>
      <c r="L223" s="180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</row>
    <row r="224" spans="1:23" ht="15.75" customHeight="1" x14ac:dyDescent="0.2">
      <c r="A224" s="54"/>
      <c r="B224" s="54"/>
      <c r="C224" s="180"/>
      <c r="D224" s="54"/>
      <c r="E224" s="54"/>
      <c r="F224" s="54"/>
      <c r="G224" s="54"/>
      <c r="H224" s="54"/>
      <c r="I224" s="54"/>
      <c r="J224" s="54"/>
      <c r="K224" s="54"/>
      <c r="L224" s="180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</row>
    <row r="225" spans="1:23" ht="15.75" customHeight="1" x14ac:dyDescent="0.2">
      <c r="A225" s="54"/>
      <c r="B225" s="54"/>
      <c r="C225" s="180"/>
      <c r="D225" s="54"/>
      <c r="E225" s="54"/>
      <c r="F225" s="54"/>
      <c r="G225" s="54"/>
      <c r="H225" s="54"/>
      <c r="I225" s="54"/>
      <c r="J225" s="54"/>
      <c r="K225" s="54"/>
      <c r="L225" s="180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</row>
    <row r="226" spans="1:23" ht="15.75" customHeight="1" x14ac:dyDescent="0.2">
      <c r="A226" s="54"/>
      <c r="B226" s="54"/>
      <c r="C226" s="180"/>
      <c r="D226" s="54"/>
      <c r="E226" s="54"/>
      <c r="F226" s="54"/>
      <c r="G226" s="54"/>
      <c r="H226" s="54"/>
      <c r="I226" s="54"/>
      <c r="J226" s="54"/>
      <c r="K226" s="54"/>
      <c r="L226" s="180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</row>
    <row r="227" spans="1:23" ht="15.75" customHeight="1" x14ac:dyDescent="0.2">
      <c r="A227" s="54"/>
      <c r="B227" s="54"/>
      <c r="C227" s="180"/>
      <c r="D227" s="54"/>
      <c r="E227" s="54"/>
      <c r="F227" s="54"/>
      <c r="G227" s="54"/>
      <c r="H227" s="54"/>
      <c r="I227" s="54"/>
      <c r="J227" s="54"/>
      <c r="K227" s="54"/>
      <c r="L227" s="180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</row>
    <row r="228" spans="1:23" ht="15.75" customHeight="1" x14ac:dyDescent="0.2">
      <c r="A228" s="54"/>
      <c r="B228" s="54"/>
      <c r="C228" s="180"/>
      <c r="D228" s="54"/>
      <c r="E228" s="54"/>
      <c r="F228" s="54"/>
      <c r="G228" s="54"/>
      <c r="H228" s="54"/>
      <c r="I228" s="54"/>
      <c r="J228" s="54"/>
      <c r="K228" s="54"/>
      <c r="L228" s="180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</row>
    <row r="229" spans="1:23" ht="15.75" customHeight="1" x14ac:dyDescent="0.2">
      <c r="A229" s="54"/>
      <c r="B229" s="54"/>
      <c r="C229" s="180"/>
      <c r="D229" s="54"/>
      <c r="E229" s="54"/>
      <c r="F229" s="54"/>
      <c r="G229" s="54"/>
      <c r="H229" s="54"/>
      <c r="I229" s="54"/>
      <c r="J229" s="54"/>
      <c r="K229" s="54"/>
      <c r="L229" s="180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</row>
    <row r="230" spans="1:23" ht="15.75" customHeight="1" x14ac:dyDescent="0.2">
      <c r="A230" s="54"/>
      <c r="B230" s="54"/>
      <c r="C230" s="180"/>
      <c r="D230" s="54"/>
      <c r="E230" s="54"/>
      <c r="F230" s="54"/>
      <c r="G230" s="54"/>
      <c r="H230" s="54"/>
      <c r="I230" s="54"/>
      <c r="J230" s="54"/>
      <c r="K230" s="54"/>
      <c r="L230" s="180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</row>
    <row r="231" spans="1:23" ht="15.75" customHeight="1" x14ac:dyDescent="0.2">
      <c r="A231" s="54"/>
      <c r="B231" s="54"/>
      <c r="C231" s="180"/>
      <c r="D231" s="54"/>
      <c r="E231" s="54"/>
      <c r="F231" s="54"/>
      <c r="G231" s="54"/>
      <c r="H231" s="54"/>
      <c r="I231" s="54"/>
      <c r="J231" s="54"/>
      <c r="K231" s="54"/>
      <c r="L231" s="180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</row>
    <row r="232" spans="1:23" ht="15.75" customHeight="1" x14ac:dyDescent="0.2">
      <c r="A232" s="54"/>
      <c r="B232" s="54"/>
      <c r="C232" s="180"/>
      <c r="D232" s="54"/>
      <c r="E232" s="54"/>
      <c r="F232" s="54"/>
      <c r="G232" s="54"/>
      <c r="H232" s="54"/>
      <c r="I232" s="54"/>
      <c r="J232" s="54"/>
      <c r="K232" s="54"/>
      <c r="L232" s="180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</row>
    <row r="233" spans="1:23" ht="15.75" customHeight="1" x14ac:dyDescent="0.2"/>
    <row r="234" spans="1:23" ht="15.75" customHeight="1" x14ac:dyDescent="0.2"/>
    <row r="235" spans="1:23" ht="15.75" customHeight="1" x14ac:dyDescent="0.2"/>
    <row r="236" spans="1:23" ht="15.75" customHeight="1" x14ac:dyDescent="0.2"/>
    <row r="237" spans="1:23" ht="15.75" customHeight="1" x14ac:dyDescent="0.2"/>
    <row r="238" spans="1:23" ht="15.75" customHeight="1" x14ac:dyDescent="0.2"/>
    <row r="239" spans="1:23" ht="15.75" customHeight="1" x14ac:dyDescent="0.2"/>
    <row r="240" spans="1:23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conditionalFormatting sqref="I3:I21 I24:I28">
    <cfRule type="cellIs" dxfId="25" priority="1" operator="lessThan">
      <formula>0</formula>
    </cfRule>
  </conditionalFormatting>
  <printOptions horizontalCentered="1" verticalCentered="1"/>
  <pageMargins left="0.25" right="0.25" top="0.75" bottom="0.75" header="0.3" footer="0.3"/>
  <pageSetup scale="99" fitToHeight="0" orientation="landscape" r:id="rId1"/>
  <headerFooter>
    <oddHeader>&amp;A</oddHeader>
    <oddFooter>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99"/>
  <sheetViews>
    <sheetView topLeftCell="A4" workbookViewId="0"/>
  </sheetViews>
  <sheetFormatPr defaultColWidth="12.5703125" defaultRowHeight="15" customHeight="1" outlineLevelRow="1" outlineLevelCol="1" x14ac:dyDescent="0.2"/>
  <cols>
    <col min="2" max="2" width="30.140625" customWidth="1" collapsed="1"/>
    <col min="3" max="3" width="3.5703125" hidden="1" customWidth="1" outlineLevel="1"/>
    <col min="4" max="10" width="12.5703125" hidden="1" outlineLevel="1"/>
    <col min="11" max="11" width="3.5703125" hidden="1" customWidth="1" outlineLevel="1"/>
    <col min="19" max="19" width="11.42578125" customWidth="1"/>
    <col min="22" max="22" width="5" customWidth="1"/>
  </cols>
  <sheetData>
    <row r="1" spans="1:32" ht="15.75" hidden="1" customHeight="1" x14ac:dyDescent="0.2">
      <c r="A1" s="6" t="s">
        <v>365</v>
      </c>
      <c r="B1" s="5"/>
      <c r="C1" s="15"/>
      <c r="D1" s="18"/>
      <c r="E1" s="18" t="s">
        <v>366</v>
      </c>
      <c r="F1" s="18" t="s">
        <v>367</v>
      </c>
      <c r="G1" s="18"/>
      <c r="H1" s="208"/>
      <c r="I1" s="16"/>
      <c r="J1" s="16"/>
      <c r="K1" s="31"/>
      <c r="L1" s="7"/>
      <c r="M1" s="7"/>
      <c r="N1" s="7"/>
      <c r="O1" s="7"/>
      <c r="P1" s="7"/>
      <c r="Q1" s="7"/>
      <c r="R1" s="5"/>
      <c r="S1" s="5"/>
      <c r="T1" s="207"/>
    </row>
    <row r="2" spans="1:32" ht="15.75" hidden="1" customHeight="1" x14ac:dyDescent="0.25">
      <c r="A2" s="6" t="s">
        <v>368</v>
      </c>
      <c r="B2" s="5"/>
      <c r="C2" s="15"/>
      <c r="D2" s="18"/>
      <c r="E2" s="209" t="s">
        <v>48</v>
      </c>
      <c r="F2" s="209" t="s">
        <v>10</v>
      </c>
      <c r="G2" s="18"/>
      <c r="H2" s="208"/>
      <c r="I2" s="16"/>
      <c r="J2" s="16"/>
      <c r="K2" s="31"/>
      <c r="L2" s="7"/>
      <c r="M2" s="7"/>
      <c r="N2" s="7"/>
      <c r="O2" s="7" t="s">
        <v>369</v>
      </c>
      <c r="P2" s="7"/>
      <c r="Q2" s="7"/>
      <c r="R2" s="5"/>
      <c r="S2" s="5"/>
      <c r="T2" s="207"/>
      <c r="V2" s="210"/>
      <c r="W2" s="210"/>
      <c r="X2" s="185"/>
    </row>
    <row r="3" spans="1:32" ht="15.75" hidden="1" customHeight="1" x14ac:dyDescent="0.2">
      <c r="A3" s="5"/>
      <c r="B3" s="5"/>
      <c r="C3" s="15"/>
      <c r="D3" s="18"/>
      <c r="E3" s="18"/>
      <c r="F3" s="18" t="s">
        <v>370</v>
      </c>
      <c r="G3" s="18"/>
      <c r="H3" s="208"/>
      <c r="I3" s="16"/>
      <c r="J3" s="16"/>
      <c r="K3" s="31"/>
      <c r="L3" s="7"/>
      <c r="M3" s="7"/>
      <c r="N3" s="7"/>
      <c r="O3" s="7" t="s">
        <v>371</v>
      </c>
      <c r="P3" s="7"/>
      <c r="Q3" s="7"/>
      <c r="R3" s="5"/>
      <c r="S3" s="5"/>
      <c r="T3" s="207"/>
    </row>
    <row r="4" spans="1:32" ht="28.5" customHeight="1" x14ac:dyDescent="0.25">
      <c r="A4" s="1" t="s">
        <v>372</v>
      </c>
      <c r="B4" s="5"/>
      <c r="C4" s="15"/>
      <c r="D4" s="16"/>
      <c r="E4" s="16"/>
      <c r="F4" s="16"/>
      <c r="G4" s="16"/>
      <c r="H4" s="18"/>
      <c r="I4" s="16"/>
      <c r="J4" s="16"/>
      <c r="K4" s="15"/>
      <c r="L4" s="7"/>
      <c r="M4" s="7"/>
      <c r="N4" s="7"/>
      <c r="O4" s="7"/>
      <c r="P4" s="7"/>
      <c r="Q4" s="7"/>
      <c r="R4" s="7"/>
      <c r="S4" s="7"/>
      <c r="T4" s="206"/>
      <c r="W4" s="19"/>
      <c r="X4" s="20"/>
    </row>
    <row r="5" spans="1:32" ht="50.25" customHeight="1" x14ac:dyDescent="0.2">
      <c r="A5" s="3" t="s">
        <v>50</v>
      </c>
      <c r="B5" s="3" t="s">
        <v>51</v>
      </c>
      <c r="C5" s="21"/>
      <c r="D5" s="22" t="s">
        <v>52</v>
      </c>
      <c r="E5" s="23" t="s">
        <v>53</v>
      </c>
      <c r="F5" s="23" t="s">
        <v>54</v>
      </c>
      <c r="G5" s="23" t="s">
        <v>55</v>
      </c>
      <c r="H5" s="100" t="s">
        <v>56</v>
      </c>
      <c r="I5" s="23" t="s">
        <v>57</v>
      </c>
      <c r="J5" s="129" t="s">
        <v>58</v>
      </c>
      <c r="K5" s="130"/>
      <c r="L5" s="27" t="s">
        <v>59</v>
      </c>
      <c r="M5" s="27" t="s">
        <v>60</v>
      </c>
      <c r="N5" s="27" t="s">
        <v>61</v>
      </c>
      <c r="O5" s="27" t="s">
        <v>62</v>
      </c>
      <c r="P5" s="27" t="s">
        <v>63</v>
      </c>
      <c r="Q5" s="27" t="s">
        <v>64</v>
      </c>
      <c r="R5" s="27" t="s">
        <v>65</v>
      </c>
      <c r="S5" s="27" t="s">
        <v>66</v>
      </c>
      <c r="T5" s="207"/>
      <c r="U5" s="28"/>
      <c r="V5" s="19"/>
      <c r="X5" s="28"/>
      <c r="Y5" s="28"/>
      <c r="Z5" s="28"/>
      <c r="AA5" s="28"/>
      <c r="AB5" s="28"/>
      <c r="AC5" s="28"/>
      <c r="AD5" s="28"/>
      <c r="AE5" s="28"/>
    </row>
    <row r="6" spans="1:32" ht="15.75" customHeight="1" x14ac:dyDescent="0.25">
      <c r="A6" s="176" t="s">
        <v>373</v>
      </c>
      <c r="B6" s="179" t="s">
        <v>68</v>
      </c>
      <c r="C6" s="31"/>
      <c r="D6" s="32">
        <v>1054348</v>
      </c>
      <c r="E6" s="32" t="e">
        <f>D6*#REF!</f>
        <v>#REF!</v>
      </c>
      <c r="F6" s="32" t="e">
        <f>D6*#REF!</f>
        <v>#REF!</v>
      </c>
      <c r="G6" s="32" t="e">
        <f>(D6*#REF!)*#REF!</f>
        <v>#REF!</v>
      </c>
      <c r="H6" s="33">
        <f t="shared" ref="H6:H26" si="0">IFERROR(((Q6-G6)/G6),0)</f>
        <v>0</v>
      </c>
      <c r="I6" s="34" t="e">
        <f t="shared" ref="I6:I25" si="1">Q6-G6</f>
        <v>#REF!</v>
      </c>
      <c r="J6" s="34">
        <f>-86800-116400</f>
        <v>-203200</v>
      </c>
      <c r="K6" s="31"/>
      <c r="L6" s="35">
        <v>1462484</v>
      </c>
      <c r="M6" s="35">
        <v>2040345.95</v>
      </c>
      <c r="N6" s="35">
        <v>2455623</v>
      </c>
      <c r="O6" s="35">
        <v>1845059.4</v>
      </c>
      <c r="P6" s="32">
        <f t="shared" ref="P6:P9" si="2">O6/20*26</f>
        <v>2398577.2200000002</v>
      </c>
      <c r="Q6" s="32">
        <v>2617500</v>
      </c>
      <c r="R6" s="36">
        <f>2617500-203200</f>
        <v>2414300</v>
      </c>
      <c r="S6" s="36">
        <f t="shared" ref="S6:S25" si="3">R6-Q6</f>
        <v>-203200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</row>
    <row r="7" spans="1:32" ht="15.75" customHeight="1" x14ac:dyDescent="0.25">
      <c r="A7" s="176" t="s">
        <v>374</v>
      </c>
      <c r="B7" s="179" t="s">
        <v>70</v>
      </c>
      <c r="C7" s="31"/>
      <c r="D7" s="32">
        <v>2322</v>
      </c>
      <c r="E7" s="32" t="e">
        <f>D7*#REF!</f>
        <v>#REF!</v>
      </c>
      <c r="F7" s="32" t="e">
        <f>D7*#REF!</f>
        <v>#REF!</v>
      </c>
      <c r="G7" s="32" t="e">
        <f>(D7*#REF!)*#REF!</f>
        <v>#REF!</v>
      </c>
      <c r="H7" s="33">
        <f t="shared" si="0"/>
        <v>0</v>
      </c>
      <c r="I7" s="34" t="e">
        <f t="shared" si="1"/>
        <v>#REF!</v>
      </c>
      <c r="J7" s="16"/>
      <c r="K7" s="31"/>
      <c r="L7" s="35">
        <v>6906</v>
      </c>
      <c r="M7" s="35">
        <v>15092.07</v>
      </c>
      <c r="N7" s="35">
        <v>12500</v>
      </c>
      <c r="O7" s="35">
        <v>12092.71</v>
      </c>
      <c r="P7" s="32">
        <f t="shared" si="2"/>
        <v>15720.522999999999</v>
      </c>
      <c r="Q7" s="32">
        <v>15000</v>
      </c>
      <c r="R7" s="36">
        <v>15000</v>
      </c>
      <c r="S7" s="36">
        <f t="shared" si="3"/>
        <v>0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</row>
    <row r="8" spans="1:32" ht="15.75" customHeight="1" x14ac:dyDescent="0.25">
      <c r="A8" s="176" t="s">
        <v>375</v>
      </c>
      <c r="B8" s="179" t="s">
        <v>132</v>
      </c>
      <c r="C8" s="31"/>
      <c r="D8" s="32">
        <v>11051</v>
      </c>
      <c r="E8" s="32" t="e">
        <f>D8*#REF!</f>
        <v>#REF!</v>
      </c>
      <c r="F8" s="32" t="e">
        <f>D8*#REF!</f>
        <v>#REF!</v>
      </c>
      <c r="G8" s="32" t="e">
        <f>(D8*#REF!)*#REF!</f>
        <v>#REF!</v>
      </c>
      <c r="H8" s="39">
        <f t="shared" si="0"/>
        <v>0</v>
      </c>
      <c r="I8" s="34" t="e">
        <f t="shared" si="1"/>
        <v>#REF!</v>
      </c>
      <c r="J8" s="16"/>
      <c r="K8" s="31"/>
      <c r="L8" s="35">
        <v>21203</v>
      </c>
      <c r="M8" s="35">
        <v>16159.49</v>
      </c>
      <c r="N8" s="35">
        <v>75</v>
      </c>
      <c r="O8" s="35">
        <v>3960.6</v>
      </c>
      <c r="P8" s="32">
        <f t="shared" si="2"/>
        <v>5148.78</v>
      </c>
      <c r="Q8" s="32">
        <v>13000</v>
      </c>
      <c r="R8" s="36">
        <v>13000</v>
      </c>
      <c r="S8" s="36">
        <f t="shared" si="3"/>
        <v>0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</row>
    <row r="9" spans="1:32" ht="15.75" customHeight="1" x14ac:dyDescent="0.25">
      <c r="A9" s="176" t="s">
        <v>376</v>
      </c>
      <c r="B9" s="179" t="s">
        <v>72</v>
      </c>
      <c r="C9" s="31"/>
      <c r="D9" s="32">
        <v>505116</v>
      </c>
      <c r="E9" s="32" t="e">
        <f>D9*#REF!</f>
        <v>#REF!</v>
      </c>
      <c r="F9" s="32" t="e">
        <f>D9*#REF!</f>
        <v>#REF!</v>
      </c>
      <c r="G9" s="32" t="e">
        <f>(D9*#REF!)*#REF!</f>
        <v>#REF!</v>
      </c>
      <c r="H9" s="33">
        <f t="shared" si="0"/>
        <v>0</v>
      </c>
      <c r="I9" s="34" t="e">
        <f t="shared" si="1"/>
        <v>#REF!</v>
      </c>
      <c r="J9" s="34">
        <f>-26800-54200</f>
        <v>-81000</v>
      </c>
      <c r="K9" s="31"/>
      <c r="L9" s="35">
        <v>647670</v>
      </c>
      <c r="M9" s="35">
        <v>906907.34</v>
      </c>
      <c r="N9" s="35">
        <v>1129506</v>
      </c>
      <c r="O9" s="35">
        <v>800663.48</v>
      </c>
      <c r="P9" s="32">
        <f t="shared" si="2"/>
        <v>1040862.524</v>
      </c>
      <c r="Q9" s="32">
        <v>1121200</v>
      </c>
      <c r="R9" s="36">
        <f>1121200-81000</f>
        <v>1040200</v>
      </c>
      <c r="S9" s="36">
        <f t="shared" si="3"/>
        <v>-81000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</row>
    <row r="10" spans="1:32" ht="15.75" customHeight="1" x14ac:dyDescent="0.25">
      <c r="A10" s="176" t="s">
        <v>377</v>
      </c>
      <c r="B10" s="179" t="s">
        <v>378</v>
      </c>
      <c r="C10" s="31"/>
      <c r="D10" s="32">
        <v>8937</v>
      </c>
      <c r="E10" s="32" t="e">
        <f>D10*#REF!</f>
        <v>#REF!</v>
      </c>
      <c r="F10" s="32" t="e">
        <f>D10*#REF!</f>
        <v>#REF!</v>
      </c>
      <c r="G10" s="32" t="e">
        <f>(D10*#REF!)*#REF!</f>
        <v>#REF!</v>
      </c>
      <c r="H10" s="33">
        <f t="shared" si="0"/>
        <v>0</v>
      </c>
      <c r="I10" s="34" t="e">
        <f t="shared" si="1"/>
        <v>#REF!</v>
      </c>
      <c r="J10" s="16"/>
      <c r="K10" s="31"/>
      <c r="L10" s="35">
        <v>21744</v>
      </c>
      <c r="M10" s="35">
        <v>23632.41</v>
      </c>
      <c r="N10" s="35">
        <v>18000</v>
      </c>
      <c r="O10" s="35">
        <v>17168.11</v>
      </c>
      <c r="P10" s="38">
        <f t="shared" ref="P10:P14" si="4">N10</f>
        <v>18000</v>
      </c>
      <c r="Q10" s="32">
        <v>19500</v>
      </c>
      <c r="R10" s="36">
        <v>19500</v>
      </c>
      <c r="S10" s="36">
        <f t="shared" si="3"/>
        <v>0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</row>
    <row r="11" spans="1:32" ht="15.75" customHeight="1" x14ac:dyDescent="0.25">
      <c r="A11" s="176" t="s">
        <v>379</v>
      </c>
      <c r="B11" s="179" t="s">
        <v>74</v>
      </c>
      <c r="C11" s="31"/>
      <c r="D11" s="32">
        <v>721</v>
      </c>
      <c r="E11" s="32" t="e">
        <f>D11*#REF!</f>
        <v>#REF!</v>
      </c>
      <c r="F11" s="32" t="e">
        <f>D11*#REF!</f>
        <v>#REF!</v>
      </c>
      <c r="G11" s="32" t="e">
        <f>(D11*#REF!)*#REF!</f>
        <v>#REF!</v>
      </c>
      <c r="H11" s="33">
        <f t="shared" si="0"/>
        <v>0</v>
      </c>
      <c r="I11" s="34" t="e">
        <f t="shared" si="1"/>
        <v>#REF!</v>
      </c>
      <c r="J11" s="16"/>
      <c r="K11" s="31"/>
      <c r="L11" s="35">
        <v>8195</v>
      </c>
      <c r="M11" s="35">
        <v>7695.96</v>
      </c>
      <c r="N11" s="35">
        <v>13100</v>
      </c>
      <c r="O11" s="35">
        <v>12120.6</v>
      </c>
      <c r="P11" s="38">
        <f t="shared" si="4"/>
        <v>13100</v>
      </c>
      <c r="Q11" s="32">
        <v>13100</v>
      </c>
      <c r="R11" s="36">
        <v>13100</v>
      </c>
      <c r="S11" s="36">
        <f t="shared" si="3"/>
        <v>0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</row>
    <row r="12" spans="1:32" ht="15.75" customHeight="1" x14ac:dyDescent="0.25">
      <c r="A12" s="176" t="s">
        <v>380</v>
      </c>
      <c r="B12" s="179" t="s">
        <v>76</v>
      </c>
      <c r="C12" s="31"/>
      <c r="D12" s="32">
        <v>24609</v>
      </c>
      <c r="E12" s="32" t="e">
        <f>D12*#REF!</f>
        <v>#REF!</v>
      </c>
      <c r="F12" s="32" t="e">
        <f>D12*#REF!</f>
        <v>#REF!</v>
      </c>
      <c r="G12" s="32" t="e">
        <f>(D12*#REF!)*#REF!</f>
        <v>#REF!</v>
      </c>
      <c r="H12" s="39">
        <f t="shared" si="0"/>
        <v>0</v>
      </c>
      <c r="I12" s="34" t="e">
        <f t="shared" si="1"/>
        <v>#REF!</v>
      </c>
      <c r="J12" s="16"/>
      <c r="K12" s="31"/>
      <c r="L12" s="35">
        <v>9733</v>
      </c>
      <c r="M12" s="35">
        <v>14494.86</v>
      </c>
      <c r="N12" s="35">
        <v>22000</v>
      </c>
      <c r="O12" s="35">
        <v>18758.61</v>
      </c>
      <c r="P12" s="38">
        <f t="shared" si="4"/>
        <v>22000</v>
      </c>
      <c r="Q12" s="32">
        <v>23000</v>
      </c>
      <c r="R12" s="36">
        <v>23000</v>
      </c>
      <c r="S12" s="36">
        <f t="shared" si="3"/>
        <v>0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</row>
    <row r="13" spans="1:32" ht="15.75" customHeight="1" x14ac:dyDescent="0.25">
      <c r="A13" s="176" t="s">
        <v>381</v>
      </c>
      <c r="B13" s="179" t="s">
        <v>80</v>
      </c>
      <c r="C13" s="31"/>
      <c r="D13" s="32">
        <v>14577</v>
      </c>
      <c r="E13" s="32" t="e">
        <f>D13*#REF!</f>
        <v>#REF!</v>
      </c>
      <c r="F13" s="32" t="e">
        <f>D13*#REF!</f>
        <v>#REF!</v>
      </c>
      <c r="G13" s="32" t="e">
        <f>(D13*#REF!)*#REF!</f>
        <v>#REF!</v>
      </c>
      <c r="H13" s="39">
        <f t="shared" si="0"/>
        <v>0</v>
      </c>
      <c r="I13" s="34" t="e">
        <f t="shared" si="1"/>
        <v>#REF!</v>
      </c>
      <c r="J13" s="16"/>
      <c r="K13" s="31"/>
      <c r="L13" s="35">
        <v>10616</v>
      </c>
      <c r="M13" s="35">
        <v>14226.76</v>
      </c>
      <c r="N13" s="35">
        <v>13800</v>
      </c>
      <c r="O13" s="35">
        <v>9151.6</v>
      </c>
      <c r="P13" s="38">
        <f t="shared" si="4"/>
        <v>13800</v>
      </c>
      <c r="Q13" s="32">
        <v>14200</v>
      </c>
      <c r="R13" s="36">
        <v>14200</v>
      </c>
      <c r="S13" s="36">
        <f t="shared" si="3"/>
        <v>0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</row>
    <row r="14" spans="1:32" ht="15.75" customHeight="1" x14ac:dyDescent="0.25">
      <c r="A14" s="176" t="s">
        <v>382</v>
      </c>
      <c r="B14" s="179" t="s">
        <v>82</v>
      </c>
      <c r="C14" s="31"/>
      <c r="D14" s="32">
        <v>12916</v>
      </c>
      <c r="E14" s="32" t="e">
        <f>D14*#REF!</f>
        <v>#REF!</v>
      </c>
      <c r="F14" s="32" t="e">
        <f>D14*#REF!</f>
        <v>#REF!</v>
      </c>
      <c r="G14" s="32" t="e">
        <f>(D14*#REF!)*#REF!</f>
        <v>#REF!</v>
      </c>
      <c r="H14" s="39">
        <f t="shared" si="0"/>
        <v>0</v>
      </c>
      <c r="I14" s="34" t="e">
        <f t="shared" si="1"/>
        <v>#REF!</v>
      </c>
      <c r="J14" s="34">
        <v>-4500</v>
      </c>
      <c r="K14" s="31"/>
      <c r="L14" s="35">
        <v>10296</v>
      </c>
      <c r="M14" s="35">
        <v>7782.04</v>
      </c>
      <c r="N14" s="35">
        <v>12000</v>
      </c>
      <c r="O14" s="35">
        <v>8390.2099999999991</v>
      </c>
      <c r="P14" s="38">
        <f t="shared" si="4"/>
        <v>12000</v>
      </c>
      <c r="Q14" s="32">
        <v>17300</v>
      </c>
      <c r="R14" s="36">
        <f>17300-4500</f>
        <v>12800</v>
      </c>
      <c r="S14" s="36">
        <f t="shared" si="3"/>
        <v>-4500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</row>
    <row r="15" spans="1:32" ht="15.75" customHeight="1" x14ac:dyDescent="0.25">
      <c r="A15" s="176" t="s">
        <v>383</v>
      </c>
      <c r="B15" s="179" t="s">
        <v>115</v>
      </c>
      <c r="C15" s="31"/>
      <c r="D15" s="32">
        <v>2357</v>
      </c>
      <c r="E15" s="32" t="e">
        <f>D15*#REF!</f>
        <v>#REF!</v>
      </c>
      <c r="F15" s="32" t="e">
        <f>D15*#REF!</f>
        <v>#REF!</v>
      </c>
      <c r="G15" s="32" t="e">
        <f>(D15*#REF!)*#REF!</f>
        <v>#REF!</v>
      </c>
      <c r="H15" s="33">
        <f t="shared" si="0"/>
        <v>0</v>
      </c>
      <c r="I15" s="34" t="e">
        <f t="shared" si="1"/>
        <v>#REF!</v>
      </c>
      <c r="J15" s="34">
        <v>-8000</v>
      </c>
      <c r="K15" s="31"/>
      <c r="L15" s="35">
        <v>16617</v>
      </c>
      <c r="M15" s="35">
        <v>12469.06</v>
      </c>
      <c r="N15" s="35">
        <v>32300</v>
      </c>
      <c r="O15" s="35">
        <v>2477.4</v>
      </c>
      <c r="P15" s="32">
        <f>O15*1.5</f>
        <v>3716.1000000000004</v>
      </c>
      <c r="Q15" s="32">
        <v>20000</v>
      </c>
      <c r="R15" s="36">
        <v>12000</v>
      </c>
      <c r="S15" s="36">
        <f t="shared" si="3"/>
        <v>-8000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</row>
    <row r="16" spans="1:32" ht="15.75" customHeight="1" x14ac:dyDescent="0.25">
      <c r="A16" s="176" t="s">
        <v>384</v>
      </c>
      <c r="B16" s="179" t="s">
        <v>84</v>
      </c>
      <c r="C16" s="31"/>
      <c r="D16" s="32">
        <v>12343</v>
      </c>
      <c r="E16" s="32" t="e">
        <f>D16*#REF!</f>
        <v>#REF!</v>
      </c>
      <c r="F16" s="32" t="e">
        <f>D16*#REF!</f>
        <v>#REF!</v>
      </c>
      <c r="G16" s="32" t="e">
        <f>(D16*#REF!)*#REF!</f>
        <v>#REF!</v>
      </c>
      <c r="H16" s="33">
        <f t="shared" si="0"/>
        <v>0</v>
      </c>
      <c r="I16" s="34" t="e">
        <f t="shared" si="1"/>
        <v>#REF!</v>
      </c>
      <c r="J16" s="16"/>
      <c r="K16" s="31"/>
      <c r="L16" s="35">
        <v>19604</v>
      </c>
      <c r="M16" s="35">
        <v>21587.11</v>
      </c>
      <c r="N16" s="35">
        <v>23940</v>
      </c>
      <c r="O16" s="35">
        <v>17239.77</v>
      </c>
      <c r="P16" s="38">
        <f>N16</f>
        <v>23940</v>
      </c>
      <c r="Q16" s="32">
        <v>23940</v>
      </c>
      <c r="R16" s="36">
        <v>23940</v>
      </c>
      <c r="S16" s="36">
        <f t="shared" si="3"/>
        <v>0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</row>
    <row r="17" spans="1:32" ht="15.75" customHeight="1" x14ac:dyDescent="0.25">
      <c r="A17" s="176" t="s">
        <v>385</v>
      </c>
      <c r="B17" s="179" t="s">
        <v>86</v>
      </c>
      <c r="C17" s="31"/>
      <c r="D17" s="32">
        <v>9401</v>
      </c>
      <c r="E17" s="32" t="e">
        <f>D17*#REF!</f>
        <v>#REF!</v>
      </c>
      <c r="F17" s="32" t="e">
        <f>D17*#REF!</f>
        <v>#REF!</v>
      </c>
      <c r="G17" s="32" t="e">
        <f>(D17*#REF!)*#REF!</f>
        <v>#REF!</v>
      </c>
      <c r="H17" s="33">
        <f t="shared" si="0"/>
        <v>0</v>
      </c>
      <c r="I17" s="34" t="e">
        <f t="shared" si="1"/>
        <v>#REF!</v>
      </c>
      <c r="J17" s="34">
        <v>-50000</v>
      </c>
      <c r="K17" s="31"/>
      <c r="L17" s="35">
        <v>81541</v>
      </c>
      <c r="M17" s="35">
        <v>41622.720000000001</v>
      </c>
      <c r="N17" s="35">
        <v>100000</v>
      </c>
      <c r="O17" s="35">
        <v>23484.27</v>
      </c>
      <c r="P17" s="32">
        <f>O17*1.5</f>
        <v>35226.404999999999</v>
      </c>
      <c r="Q17" s="32">
        <v>100000</v>
      </c>
      <c r="R17" s="36">
        <v>50000</v>
      </c>
      <c r="S17" s="36">
        <f t="shared" si="3"/>
        <v>-50000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</row>
    <row r="18" spans="1:32" ht="15.75" customHeight="1" x14ac:dyDescent="0.25">
      <c r="A18" s="176" t="s">
        <v>386</v>
      </c>
      <c r="B18" s="179" t="s">
        <v>88</v>
      </c>
      <c r="C18" s="31"/>
      <c r="D18" s="32">
        <v>12136</v>
      </c>
      <c r="E18" s="32" t="e">
        <f>D18*#REF!</f>
        <v>#REF!</v>
      </c>
      <c r="F18" s="32" t="e">
        <f>D18*#REF!</f>
        <v>#REF!</v>
      </c>
      <c r="G18" s="32" t="e">
        <f>(D18*#REF!)*#REF!</f>
        <v>#REF!</v>
      </c>
      <c r="H18" s="33">
        <f t="shared" si="0"/>
        <v>0</v>
      </c>
      <c r="I18" s="34" t="e">
        <f t="shared" si="1"/>
        <v>#REF!</v>
      </c>
      <c r="J18" s="16"/>
      <c r="K18" s="31"/>
      <c r="L18" s="35">
        <v>19440</v>
      </c>
      <c r="M18" s="35">
        <v>223444.81</v>
      </c>
      <c r="N18" s="35">
        <v>110000</v>
      </c>
      <c r="O18" s="35">
        <v>94052.99</v>
      </c>
      <c r="P18" s="38">
        <f>N18</f>
        <v>110000</v>
      </c>
      <c r="Q18" s="32">
        <v>115000</v>
      </c>
      <c r="R18" s="36">
        <v>115000</v>
      </c>
      <c r="S18" s="36">
        <f t="shared" si="3"/>
        <v>0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</row>
    <row r="19" spans="1:32" ht="15.75" customHeight="1" x14ac:dyDescent="0.25">
      <c r="A19" s="176" t="s">
        <v>387</v>
      </c>
      <c r="B19" s="179" t="s">
        <v>388</v>
      </c>
      <c r="C19" s="31"/>
      <c r="D19" s="32">
        <v>5811</v>
      </c>
      <c r="E19" s="32" t="e">
        <f>D19*#REF!</f>
        <v>#REF!</v>
      </c>
      <c r="F19" s="32" t="e">
        <f>D19*#REF!</f>
        <v>#REF!</v>
      </c>
      <c r="G19" s="32" t="e">
        <f>(D19*#REF!)*#REF!</f>
        <v>#REF!</v>
      </c>
      <c r="H19" s="33">
        <f t="shared" si="0"/>
        <v>0</v>
      </c>
      <c r="I19" s="34" t="e">
        <f t="shared" si="1"/>
        <v>#REF!</v>
      </c>
      <c r="J19" s="34">
        <v>-5000</v>
      </c>
      <c r="K19" s="31"/>
      <c r="L19" s="35">
        <v>15703</v>
      </c>
      <c r="M19" s="35">
        <v>6453.92</v>
      </c>
      <c r="N19" s="35">
        <v>20000</v>
      </c>
      <c r="O19" s="35">
        <v>256.29000000000002</v>
      </c>
      <c r="P19" s="32">
        <f>O19*1.5</f>
        <v>384.43500000000006</v>
      </c>
      <c r="Q19" s="32">
        <v>21000</v>
      </c>
      <c r="R19" s="36">
        <f>21000-5000</f>
        <v>16000</v>
      </c>
      <c r="S19" s="36">
        <f t="shared" si="3"/>
        <v>-5000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</row>
    <row r="20" spans="1:32" ht="15.75" customHeight="1" x14ac:dyDescent="0.25">
      <c r="A20" s="176" t="s">
        <v>389</v>
      </c>
      <c r="B20" s="179" t="s">
        <v>90</v>
      </c>
      <c r="C20" s="31"/>
      <c r="D20" s="32">
        <v>13000</v>
      </c>
      <c r="E20" s="32" t="e">
        <f>D20*#REF!</f>
        <v>#REF!</v>
      </c>
      <c r="F20" s="32" t="e">
        <f>D20*#REF!</f>
        <v>#REF!</v>
      </c>
      <c r="G20" s="32" t="e">
        <f>(D20*#REF!)*#REF!</f>
        <v>#REF!</v>
      </c>
      <c r="H20" s="33">
        <f t="shared" si="0"/>
        <v>0</v>
      </c>
      <c r="I20" s="34" t="e">
        <f t="shared" si="1"/>
        <v>#REF!</v>
      </c>
      <c r="J20" s="16"/>
      <c r="K20" s="31"/>
      <c r="L20" s="35">
        <v>7547</v>
      </c>
      <c r="M20" s="35">
        <v>12340.04</v>
      </c>
      <c r="N20" s="35">
        <v>26800</v>
      </c>
      <c r="O20" s="35">
        <v>13337.72</v>
      </c>
      <c r="P20" s="38">
        <f>N20</f>
        <v>26800</v>
      </c>
      <c r="Q20" s="32">
        <v>27000</v>
      </c>
      <c r="R20" s="36">
        <v>27000</v>
      </c>
      <c r="S20" s="36">
        <f t="shared" si="3"/>
        <v>0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</row>
    <row r="21" spans="1:32" ht="15.75" customHeight="1" x14ac:dyDescent="0.25">
      <c r="A21" s="176" t="s">
        <v>390</v>
      </c>
      <c r="B21" s="179" t="s">
        <v>391</v>
      </c>
      <c r="C21" s="31"/>
      <c r="D21" s="32">
        <v>0</v>
      </c>
      <c r="E21" s="32" t="e">
        <f>D21*#REF!</f>
        <v>#REF!</v>
      </c>
      <c r="F21" s="32" t="e">
        <f>D21*#REF!</f>
        <v>#REF!</v>
      </c>
      <c r="G21" s="32" t="e">
        <f>(D21*#REF!)*#REF!</f>
        <v>#REF!</v>
      </c>
      <c r="H21" s="33">
        <f t="shared" si="0"/>
        <v>0</v>
      </c>
      <c r="I21" s="34" t="e">
        <f t="shared" si="1"/>
        <v>#REF!</v>
      </c>
      <c r="J21" s="16"/>
      <c r="K21" s="31"/>
      <c r="L21" s="35">
        <v>623</v>
      </c>
      <c r="M21" s="35">
        <v>234</v>
      </c>
      <c r="N21" s="35">
        <v>1000</v>
      </c>
      <c r="O21" s="35">
        <v>0</v>
      </c>
      <c r="P21" s="32">
        <f t="shared" ref="P21:P22" si="5">O21*1.5</f>
        <v>0</v>
      </c>
      <c r="Q21" s="32">
        <v>0</v>
      </c>
      <c r="R21" s="36">
        <v>0</v>
      </c>
      <c r="S21" s="36">
        <f t="shared" si="3"/>
        <v>0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</row>
    <row r="22" spans="1:32" ht="15.75" customHeight="1" x14ac:dyDescent="0.25">
      <c r="A22" s="176" t="s">
        <v>392</v>
      </c>
      <c r="B22" s="179" t="s">
        <v>393</v>
      </c>
      <c r="C22" s="31"/>
      <c r="D22" s="32">
        <v>1800</v>
      </c>
      <c r="E22" s="32" t="e">
        <f>D22*#REF!</f>
        <v>#REF!</v>
      </c>
      <c r="F22" s="32" t="e">
        <f>D22*#REF!</f>
        <v>#REF!</v>
      </c>
      <c r="G22" s="32" t="e">
        <f>(D22*#REF!)*#REF!</f>
        <v>#REF!</v>
      </c>
      <c r="H22" s="39">
        <f t="shared" si="0"/>
        <v>0</v>
      </c>
      <c r="I22" s="34" t="e">
        <f t="shared" si="1"/>
        <v>#REF!</v>
      </c>
      <c r="J22" s="16"/>
      <c r="K22" s="31"/>
      <c r="L22" s="35">
        <v>550</v>
      </c>
      <c r="M22" s="35">
        <v>0</v>
      </c>
      <c r="N22" s="35">
        <v>0</v>
      </c>
      <c r="O22" s="35">
        <v>0</v>
      </c>
      <c r="P22" s="32">
        <f t="shared" si="5"/>
        <v>0</v>
      </c>
      <c r="Q22" s="32">
        <v>0</v>
      </c>
      <c r="R22" s="36">
        <v>0</v>
      </c>
      <c r="S22" s="36">
        <f t="shared" si="3"/>
        <v>0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</row>
    <row r="23" spans="1:32" ht="15.75" customHeight="1" x14ac:dyDescent="0.25">
      <c r="A23" s="176" t="s">
        <v>394</v>
      </c>
      <c r="B23" s="179" t="s">
        <v>92</v>
      </c>
      <c r="C23" s="31"/>
      <c r="D23" s="32">
        <v>0</v>
      </c>
      <c r="E23" s="32" t="e">
        <f>D23*#REF!</f>
        <v>#REF!</v>
      </c>
      <c r="F23" s="32" t="e">
        <f>D23*#REF!</f>
        <v>#REF!</v>
      </c>
      <c r="G23" s="32" t="e">
        <f>(D23*#REF!)*#REF!</f>
        <v>#REF!</v>
      </c>
      <c r="H23" s="33">
        <f t="shared" si="0"/>
        <v>0</v>
      </c>
      <c r="I23" s="34" t="e">
        <f t="shared" si="1"/>
        <v>#REF!</v>
      </c>
      <c r="J23" s="16"/>
      <c r="K23" s="31"/>
      <c r="L23" s="35">
        <v>14205</v>
      </c>
      <c r="M23" s="35">
        <v>17230.419999999998</v>
      </c>
      <c r="N23" s="35">
        <v>14000</v>
      </c>
      <c r="O23" s="35">
        <v>23165.4</v>
      </c>
      <c r="P23" s="38">
        <f>O23</f>
        <v>23165.4</v>
      </c>
      <c r="Q23" s="32">
        <v>15000</v>
      </c>
      <c r="R23" s="36">
        <v>15000</v>
      </c>
      <c r="S23" s="36">
        <f t="shared" si="3"/>
        <v>0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</row>
    <row r="24" spans="1:32" ht="15.75" customHeight="1" x14ac:dyDescent="0.25">
      <c r="A24" s="176" t="s">
        <v>395</v>
      </c>
      <c r="B24" s="179" t="s">
        <v>94</v>
      </c>
      <c r="C24" s="31"/>
      <c r="D24" s="32">
        <v>1930</v>
      </c>
      <c r="E24" s="32" t="e">
        <f>D24*#REF!</f>
        <v>#REF!</v>
      </c>
      <c r="F24" s="32" t="e">
        <f>D24*#REF!</f>
        <v>#REF!</v>
      </c>
      <c r="G24" s="32" t="e">
        <f>(D24*#REF!)*#REF!</f>
        <v>#REF!</v>
      </c>
      <c r="H24" s="39">
        <f t="shared" si="0"/>
        <v>0</v>
      </c>
      <c r="I24" s="34" t="e">
        <f t="shared" si="1"/>
        <v>#REF!</v>
      </c>
      <c r="J24" s="16"/>
      <c r="K24" s="31"/>
      <c r="L24" s="35">
        <v>330</v>
      </c>
      <c r="M24" s="35">
        <v>0</v>
      </c>
      <c r="N24" s="35">
        <v>0</v>
      </c>
      <c r="O24" s="35">
        <v>0</v>
      </c>
      <c r="P24" s="32">
        <f>O24*1.5</f>
        <v>0</v>
      </c>
      <c r="Q24" s="32">
        <v>0</v>
      </c>
      <c r="R24" s="36">
        <v>0</v>
      </c>
      <c r="S24" s="36">
        <f t="shared" si="3"/>
        <v>0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</row>
    <row r="25" spans="1:32" ht="15.75" customHeight="1" x14ac:dyDescent="0.25">
      <c r="A25" s="176" t="s">
        <v>396</v>
      </c>
      <c r="B25" s="179" t="s">
        <v>397</v>
      </c>
      <c r="C25" s="31"/>
      <c r="D25" s="32">
        <v>-153465</v>
      </c>
      <c r="E25" s="32" t="e">
        <f>D25*#REF!</f>
        <v>#REF!</v>
      </c>
      <c r="F25" s="32" t="e">
        <f>D25*#REF!</f>
        <v>#REF!</v>
      </c>
      <c r="G25" s="32" t="e">
        <f>(D25*#REF!)*#REF!</f>
        <v>#REF!</v>
      </c>
      <c r="H25" s="33">
        <f t="shared" si="0"/>
        <v>0</v>
      </c>
      <c r="I25" s="34" t="e">
        <f t="shared" si="1"/>
        <v>#REF!</v>
      </c>
      <c r="J25" s="34">
        <v>31653</v>
      </c>
      <c r="K25" s="31"/>
      <c r="L25" s="35">
        <v>-217837</v>
      </c>
      <c r="M25" s="35">
        <v>-311640.09000000003</v>
      </c>
      <c r="N25" s="35">
        <v>-360500</v>
      </c>
      <c r="O25" s="35">
        <v>-246666.83</v>
      </c>
      <c r="P25" s="32">
        <f>SUM(P6:P24)*-0.09</f>
        <v>-338619.72483000002</v>
      </c>
      <c r="Q25" s="32">
        <v>-375817</v>
      </c>
      <c r="R25" s="36">
        <f>0-375817+31653</f>
        <v>-344164</v>
      </c>
      <c r="S25" s="36">
        <f t="shared" si="3"/>
        <v>31653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</row>
    <row r="26" spans="1:32" ht="15.75" customHeight="1" x14ac:dyDescent="0.25">
      <c r="A26" s="559" t="s">
        <v>398</v>
      </c>
      <c r="B26" s="558"/>
      <c r="C26" s="40"/>
      <c r="D26" s="41">
        <f t="shared" ref="D26:G26" si="6">SUM(D5:D25)</f>
        <v>1539910</v>
      </c>
      <c r="E26" s="41" t="e">
        <f t="shared" si="6"/>
        <v>#REF!</v>
      </c>
      <c r="F26" s="41" t="e">
        <f t="shared" si="6"/>
        <v>#REF!</v>
      </c>
      <c r="G26" s="41" t="e">
        <f t="shared" si="6"/>
        <v>#REF!</v>
      </c>
      <c r="H26" s="42">
        <f t="shared" si="0"/>
        <v>0</v>
      </c>
      <c r="I26" s="50" t="e">
        <f t="shared" ref="I26:J26" si="7">SUM(I6:I25)</f>
        <v>#REF!</v>
      </c>
      <c r="J26" s="50">
        <f t="shared" si="7"/>
        <v>-320047</v>
      </c>
      <c r="K26" s="40"/>
      <c r="L26" s="43">
        <f>SUM(L6:L25)</f>
        <v>2157170</v>
      </c>
      <c r="M26" s="43">
        <f t="shared" ref="M26:O26" si="8">SUM(M5:M25)</f>
        <v>3070078.87</v>
      </c>
      <c r="N26" s="43">
        <f t="shared" si="8"/>
        <v>3644144</v>
      </c>
      <c r="O26" s="43">
        <f t="shared" si="8"/>
        <v>2654712.33</v>
      </c>
      <c r="P26" s="41">
        <f>O26*1.5</f>
        <v>3982068.4950000001</v>
      </c>
      <c r="Q26" s="41">
        <f t="shared" ref="Q26:S26" si="9">SUM(Q5:Q25)</f>
        <v>3799923</v>
      </c>
      <c r="R26" s="43">
        <f t="shared" si="9"/>
        <v>3479876</v>
      </c>
      <c r="S26" s="43">
        <f t="shared" si="9"/>
        <v>-320047</v>
      </c>
      <c r="T26" s="207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</row>
    <row r="27" spans="1:32" ht="15.75" customHeight="1" x14ac:dyDescent="0.2">
      <c r="A27" s="7"/>
      <c r="B27" s="7"/>
      <c r="C27" s="31"/>
      <c r="D27" s="7"/>
      <c r="E27" s="7"/>
      <c r="F27" s="7"/>
      <c r="G27" s="7"/>
      <c r="H27" s="115"/>
      <c r="I27" s="7"/>
      <c r="J27" s="7"/>
      <c r="K27" s="31"/>
      <c r="L27" s="7"/>
      <c r="M27" s="7"/>
      <c r="N27" s="7"/>
      <c r="O27" s="7"/>
      <c r="P27" s="7"/>
      <c r="Q27" s="7"/>
      <c r="R27" s="5"/>
      <c r="S27" s="5"/>
      <c r="T27" s="207"/>
    </row>
    <row r="28" spans="1:32" ht="15.75" customHeight="1" x14ac:dyDescent="0.25">
      <c r="A28" s="176" t="s">
        <v>399</v>
      </c>
      <c r="B28" s="179" t="s">
        <v>180</v>
      </c>
      <c r="C28" s="31"/>
      <c r="D28" s="35">
        <v>0</v>
      </c>
      <c r="E28" s="35">
        <v>0</v>
      </c>
      <c r="F28" s="35">
        <v>0</v>
      </c>
      <c r="G28" s="32">
        <v>0</v>
      </c>
      <c r="H28" s="211">
        <f t="shared" ref="H28:H30" si="10">IFERROR(((Q28-G28)/G28),0)</f>
        <v>0</v>
      </c>
      <c r="I28" s="36">
        <f t="shared" ref="I28:I29" si="11">Q28-G28</f>
        <v>0</v>
      </c>
      <c r="J28" s="7"/>
      <c r="K28" s="31"/>
      <c r="L28" s="35">
        <v>0</v>
      </c>
      <c r="M28" s="35">
        <v>67637.320000000007</v>
      </c>
      <c r="N28" s="35">
        <v>0</v>
      </c>
      <c r="O28" s="35">
        <v>0</v>
      </c>
      <c r="P28" s="32">
        <v>0</v>
      </c>
      <c r="Q28" s="32">
        <v>0</v>
      </c>
      <c r="R28" s="112">
        <v>0</v>
      </c>
      <c r="S28" s="36">
        <f t="shared" ref="S28:S29" si="12">R28-Q28</f>
        <v>0</v>
      </c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</row>
    <row r="29" spans="1:32" ht="15.75" customHeight="1" x14ac:dyDescent="0.25">
      <c r="A29" s="176" t="s">
        <v>400</v>
      </c>
      <c r="B29" s="179" t="s">
        <v>99</v>
      </c>
      <c r="C29" s="31"/>
      <c r="D29" s="35">
        <v>0</v>
      </c>
      <c r="E29" s="35">
        <v>0</v>
      </c>
      <c r="F29" s="35">
        <v>0</v>
      </c>
      <c r="G29" s="32">
        <v>0</v>
      </c>
      <c r="H29" s="211">
        <f t="shared" si="10"/>
        <v>0</v>
      </c>
      <c r="I29" s="36">
        <f t="shared" si="11"/>
        <v>0</v>
      </c>
      <c r="J29" s="7"/>
      <c r="K29" s="31"/>
      <c r="L29" s="35">
        <v>45402</v>
      </c>
      <c r="M29" s="35">
        <v>582835.52</v>
      </c>
      <c r="N29" s="35">
        <v>0</v>
      </c>
      <c r="O29" s="35">
        <v>0</v>
      </c>
      <c r="P29" s="32">
        <v>0</v>
      </c>
      <c r="Q29" s="32">
        <v>0</v>
      </c>
      <c r="R29" s="112">
        <v>0</v>
      </c>
      <c r="S29" s="36">
        <f t="shared" si="12"/>
        <v>0</v>
      </c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</row>
    <row r="30" spans="1:32" ht="15.75" customHeight="1" x14ac:dyDescent="0.25">
      <c r="A30" s="559" t="s">
        <v>401</v>
      </c>
      <c r="B30" s="558"/>
      <c r="C30" s="40"/>
      <c r="D30" s="43">
        <f t="shared" ref="D30:G30" si="13">SUM(D28:D29)</f>
        <v>0</v>
      </c>
      <c r="E30" s="43">
        <f t="shared" si="13"/>
        <v>0</v>
      </c>
      <c r="F30" s="43">
        <f t="shared" si="13"/>
        <v>0</v>
      </c>
      <c r="G30" s="41">
        <f t="shared" si="13"/>
        <v>0</v>
      </c>
      <c r="H30" s="212">
        <f t="shared" si="10"/>
        <v>0</v>
      </c>
      <c r="I30" s="12">
        <f t="shared" ref="I30:J30" si="14">SUM(I28:I29)</f>
        <v>0</v>
      </c>
      <c r="J30" s="12">
        <f t="shared" si="14"/>
        <v>0</v>
      </c>
      <c r="K30" s="40"/>
      <c r="L30" s="43">
        <f t="shared" ref="L30:S30" si="15">SUM(L28:L29)</f>
        <v>45402</v>
      </c>
      <c r="M30" s="43">
        <f t="shared" si="15"/>
        <v>650472.84000000008</v>
      </c>
      <c r="N30" s="43">
        <f t="shared" si="15"/>
        <v>0</v>
      </c>
      <c r="O30" s="43">
        <f t="shared" si="15"/>
        <v>0</v>
      </c>
      <c r="P30" s="41">
        <f t="shared" si="15"/>
        <v>0</v>
      </c>
      <c r="Q30" s="41">
        <f t="shared" si="15"/>
        <v>0</v>
      </c>
      <c r="R30" s="43">
        <f t="shared" si="15"/>
        <v>0</v>
      </c>
      <c r="S30" s="43">
        <f t="shared" si="15"/>
        <v>0</v>
      </c>
      <c r="T30" s="207"/>
    </row>
    <row r="31" spans="1:32" ht="15.75" customHeight="1" collapsed="1" x14ac:dyDescent="0.2">
      <c r="A31" s="7"/>
      <c r="B31" s="7"/>
      <c r="C31" s="31"/>
      <c r="D31" s="7"/>
      <c r="E31" s="7"/>
      <c r="F31" s="7"/>
      <c r="G31" s="7"/>
      <c r="H31" s="115"/>
      <c r="I31" s="7"/>
      <c r="J31" s="7"/>
      <c r="K31" s="31"/>
      <c r="L31" s="7"/>
      <c r="M31" s="7"/>
      <c r="N31" s="7"/>
      <c r="O31" s="7"/>
      <c r="P31" s="7"/>
      <c r="Q31" s="7"/>
      <c r="R31" s="5"/>
      <c r="S31" s="5"/>
      <c r="T31" s="207"/>
    </row>
    <row r="32" spans="1:32" ht="15.75" hidden="1" customHeight="1" outlineLevel="1" x14ac:dyDescent="0.2">
      <c r="A32" s="562" t="s">
        <v>402</v>
      </c>
      <c r="B32" s="558"/>
      <c r="C32" s="31"/>
      <c r="D32" s="7"/>
      <c r="E32" s="7"/>
      <c r="F32" s="7"/>
      <c r="G32" s="7"/>
      <c r="H32" s="211">
        <f t="shared" ref="H32:H41" si="16">IFERROR(((Q32-G32)/G32),0)</f>
        <v>0</v>
      </c>
      <c r="I32" s="7">
        <f t="shared" ref="I32:I40" si="17">Q32-G32</f>
        <v>0</v>
      </c>
      <c r="J32" s="7"/>
      <c r="K32" s="31"/>
      <c r="L32" s="7"/>
      <c r="M32" s="7"/>
      <c r="N32" s="7"/>
      <c r="O32" s="7"/>
      <c r="P32" s="213"/>
      <c r="Q32" s="213"/>
      <c r="R32" s="5"/>
      <c r="S32" s="5"/>
      <c r="T32" s="207"/>
    </row>
    <row r="33" spans="1:20" ht="15.75" hidden="1" customHeight="1" outlineLevel="1" x14ac:dyDescent="0.25">
      <c r="A33" s="8" t="s">
        <v>403</v>
      </c>
      <c r="B33" s="8" t="s">
        <v>68</v>
      </c>
      <c r="C33" s="214"/>
      <c r="D33" s="215">
        <v>43876.02</v>
      </c>
      <c r="E33" s="216">
        <v>0</v>
      </c>
      <c r="F33" s="216">
        <v>0</v>
      </c>
      <c r="G33" s="142">
        <v>0</v>
      </c>
      <c r="H33" s="211">
        <f t="shared" si="16"/>
        <v>0</v>
      </c>
      <c r="I33" s="7">
        <f t="shared" si="17"/>
        <v>0</v>
      </c>
      <c r="J33" s="7"/>
      <c r="K33" s="31"/>
      <c r="L33" s="7">
        <v>0</v>
      </c>
      <c r="M33" s="7">
        <v>0</v>
      </c>
      <c r="N33" s="7">
        <v>0</v>
      </c>
      <c r="O33" s="7">
        <v>0</v>
      </c>
      <c r="P33" s="16"/>
      <c r="Q33" s="16">
        <v>0</v>
      </c>
      <c r="R33" s="5"/>
      <c r="S33" s="5"/>
      <c r="T33" s="207"/>
    </row>
    <row r="34" spans="1:20" ht="15.75" hidden="1" customHeight="1" outlineLevel="1" x14ac:dyDescent="0.25">
      <c r="A34" s="8" t="s">
        <v>404</v>
      </c>
      <c r="B34" s="8" t="s">
        <v>70</v>
      </c>
      <c r="C34" s="214"/>
      <c r="D34" s="215">
        <v>282.8</v>
      </c>
      <c r="E34" s="216">
        <v>0</v>
      </c>
      <c r="F34" s="216">
        <v>0</v>
      </c>
      <c r="G34" s="142">
        <v>0</v>
      </c>
      <c r="H34" s="211">
        <f t="shared" si="16"/>
        <v>0</v>
      </c>
      <c r="I34" s="7">
        <f t="shared" si="17"/>
        <v>0</v>
      </c>
      <c r="J34" s="7"/>
      <c r="K34" s="31"/>
      <c r="L34" s="7">
        <v>0</v>
      </c>
      <c r="M34" s="7">
        <v>0</v>
      </c>
      <c r="N34" s="7">
        <v>0</v>
      </c>
      <c r="O34" s="7">
        <v>0</v>
      </c>
      <c r="P34" s="16"/>
      <c r="Q34" s="16">
        <v>0</v>
      </c>
      <c r="R34" s="5"/>
      <c r="S34" s="5"/>
      <c r="T34" s="207"/>
    </row>
    <row r="35" spans="1:20" ht="15.75" hidden="1" customHeight="1" outlineLevel="1" x14ac:dyDescent="0.25">
      <c r="A35" s="8" t="s">
        <v>405</v>
      </c>
      <c r="B35" s="8" t="s">
        <v>72</v>
      </c>
      <c r="C35" s="214"/>
      <c r="D35" s="215">
        <v>15745.09</v>
      </c>
      <c r="E35" s="216">
        <v>0</v>
      </c>
      <c r="F35" s="216">
        <v>0</v>
      </c>
      <c r="G35" s="142">
        <v>0</v>
      </c>
      <c r="H35" s="211">
        <f t="shared" si="16"/>
        <v>0</v>
      </c>
      <c r="I35" s="7">
        <f t="shared" si="17"/>
        <v>0</v>
      </c>
      <c r="J35" s="7"/>
      <c r="K35" s="31"/>
      <c r="L35" s="7">
        <v>0</v>
      </c>
      <c r="M35" s="7">
        <v>0</v>
      </c>
      <c r="N35" s="7">
        <v>0</v>
      </c>
      <c r="O35" s="7">
        <v>0</v>
      </c>
      <c r="P35" s="16"/>
      <c r="Q35" s="16">
        <v>0</v>
      </c>
      <c r="R35" s="5"/>
      <c r="S35" s="5"/>
      <c r="T35" s="207"/>
    </row>
    <row r="36" spans="1:20" ht="15.75" hidden="1" customHeight="1" outlineLevel="1" x14ac:dyDescent="0.25">
      <c r="A36" s="8" t="s">
        <v>406</v>
      </c>
      <c r="B36" s="8" t="s">
        <v>76</v>
      </c>
      <c r="C36" s="214"/>
      <c r="D36" s="215">
        <v>1221.8599999999999</v>
      </c>
      <c r="E36" s="216">
        <v>0</v>
      </c>
      <c r="F36" s="216">
        <v>0</v>
      </c>
      <c r="G36" s="142">
        <v>0</v>
      </c>
      <c r="H36" s="211">
        <f t="shared" si="16"/>
        <v>0</v>
      </c>
      <c r="I36" s="7">
        <f t="shared" si="17"/>
        <v>0</v>
      </c>
      <c r="J36" s="7"/>
      <c r="K36" s="31"/>
      <c r="L36" s="7">
        <v>0</v>
      </c>
      <c r="M36" s="7">
        <v>0</v>
      </c>
      <c r="N36" s="7">
        <v>0</v>
      </c>
      <c r="O36" s="7">
        <v>0</v>
      </c>
      <c r="P36" s="16"/>
      <c r="Q36" s="16">
        <v>0</v>
      </c>
      <c r="R36" s="5"/>
      <c r="S36" s="5"/>
      <c r="T36" s="207"/>
    </row>
    <row r="37" spans="1:20" ht="15.75" hidden="1" customHeight="1" outlineLevel="1" x14ac:dyDescent="0.25">
      <c r="A37" s="8" t="s">
        <v>407</v>
      </c>
      <c r="B37" s="8" t="s">
        <v>80</v>
      </c>
      <c r="C37" s="214"/>
      <c r="D37" s="215">
        <v>154.29</v>
      </c>
      <c r="E37" s="216">
        <v>0</v>
      </c>
      <c r="F37" s="216">
        <v>0</v>
      </c>
      <c r="G37" s="142">
        <v>0</v>
      </c>
      <c r="H37" s="211">
        <f t="shared" si="16"/>
        <v>0</v>
      </c>
      <c r="I37" s="7">
        <f t="shared" si="17"/>
        <v>0</v>
      </c>
      <c r="J37" s="7"/>
      <c r="K37" s="31"/>
      <c r="L37" s="7">
        <v>0</v>
      </c>
      <c r="M37" s="7">
        <v>0</v>
      </c>
      <c r="N37" s="7">
        <v>0</v>
      </c>
      <c r="O37" s="7">
        <v>0</v>
      </c>
      <c r="P37" s="16"/>
      <c r="Q37" s="16">
        <v>0</v>
      </c>
      <c r="R37" s="5"/>
      <c r="S37" s="5"/>
      <c r="T37" s="207"/>
    </row>
    <row r="38" spans="1:20" ht="15.75" hidden="1" customHeight="1" outlineLevel="1" x14ac:dyDescent="0.25">
      <c r="A38" s="8" t="s">
        <v>408</v>
      </c>
      <c r="B38" s="8" t="s">
        <v>115</v>
      </c>
      <c r="C38" s="214"/>
      <c r="D38" s="215">
        <v>0</v>
      </c>
      <c r="E38" s="216">
        <v>0</v>
      </c>
      <c r="F38" s="216">
        <v>0</v>
      </c>
      <c r="G38" s="142">
        <v>0</v>
      </c>
      <c r="H38" s="211">
        <f t="shared" si="16"/>
        <v>0</v>
      </c>
      <c r="I38" s="7">
        <f t="shared" si="17"/>
        <v>0</v>
      </c>
      <c r="J38" s="7"/>
      <c r="K38" s="31"/>
      <c r="L38" s="7">
        <v>0</v>
      </c>
      <c r="M38" s="7">
        <v>0</v>
      </c>
      <c r="N38" s="7">
        <v>0</v>
      </c>
      <c r="O38" s="7">
        <v>0</v>
      </c>
      <c r="P38" s="16"/>
      <c r="Q38" s="16">
        <v>0</v>
      </c>
      <c r="R38" s="5"/>
      <c r="S38" s="5"/>
      <c r="T38" s="207"/>
    </row>
    <row r="39" spans="1:20" ht="15.75" hidden="1" customHeight="1" outlineLevel="1" x14ac:dyDescent="0.25">
      <c r="A39" s="8" t="s">
        <v>409</v>
      </c>
      <c r="B39" s="8" t="s">
        <v>84</v>
      </c>
      <c r="C39" s="214"/>
      <c r="D39" s="215">
        <v>0</v>
      </c>
      <c r="E39" s="216">
        <v>0</v>
      </c>
      <c r="F39" s="216">
        <v>0</v>
      </c>
      <c r="G39" s="142">
        <v>0</v>
      </c>
      <c r="H39" s="211">
        <f t="shared" si="16"/>
        <v>0</v>
      </c>
      <c r="I39" s="7">
        <f t="shared" si="17"/>
        <v>0</v>
      </c>
      <c r="J39" s="7"/>
      <c r="K39" s="31"/>
      <c r="L39" s="7">
        <v>0</v>
      </c>
      <c r="M39" s="7">
        <v>0</v>
      </c>
      <c r="N39" s="7">
        <v>0</v>
      </c>
      <c r="O39" s="7">
        <v>0</v>
      </c>
      <c r="P39" s="16"/>
      <c r="Q39" s="16">
        <v>0</v>
      </c>
      <c r="R39" s="5"/>
      <c r="S39" s="5"/>
      <c r="T39" s="207"/>
    </row>
    <row r="40" spans="1:20" ht="15.75" hidden="1" customHeight="1" outlineLevel="1" x14ac:dyDescent="0.25">
      <c r="A40" s="8" t="s">
        <v>410</v>
      </c>
      <c r="B40" s="8" t="s">
        <v>90</v>
      </c>
      <c r="C40" s="214"/>
      <c r="D40" s="215">
        <v>0</v>
      </c>
      <c r="E40" s="216">
        <v>0</v>
      </c>
      <c r="F40" s="216">
        <v>0</v>
      </c>
      <c r="G40" s="142">
        <v>0</v>
      </c>
      <c r="H40" s="211">
        <f t="shared" si="16"/>
        <v>0</v>
      </c>
      <c r="I40" s="7">
        <f t="shared" si="17"/>
        <v>0</v>
      </c>
      <c r="J40" s="7"/>
      <c r="K40" s="31"/>
      <c r="L40" s="7">
        <v>0</v>
      </c>
      <c r="M40" s="7">
        <v>0</v>
      </c>
      <c r="N40" s="7">
        <v>0</v>
      </c>
      <c r="O40" s="7">
        <v>0</v>
      </c>
      <c r="P40" s="16"/>
      <c r="Q40" s="16">
        <v>0</v>
      </c>
      <c r="R40" s="5"/>
      <c r="S40" s="5"/>
      <c r="T40" s="207"/>
    </row>
    <row r="41" spans="1:20" ht="15.75" hidden="1" customHeight="1" outlineLevel="1" x14ac:dyDescent="0.2">
      <c r="A41" s="562" t="s">
        <v>411</v>
      </c>
      <c r="B41" s="558"/>
      <c r="C41" s="217"/>
      <c r="D41" s="218">
        <f t="shared" ref="D41:G41" si="18">SUM(D33:D40)</f>
        <v>61280.060000000005</v>
      </c>
      <c r="E41" s="218">
        <f t="shared" si="18"/>
        <v>0</v>
      </c>
      <c r="F41" s="218">
        <f t="shared" si="18"/>
        <v>0</v>
      </c>
      <c r="G41" s="218">
        <f t="shared" si="18"/>
        <v>0</v>
      </c>
      <c r="H41" s="212">
        <f t="shared" si="16"/>
        <v>0</v>
      </c>
      <c r="I41" s="12">
        <f t="shared" ref="I41:J41" si="19">SUM(I39:I40)</f>
        <v>0</v>
      </c>
      <c r="J41" s="12">
        <f t="shared" si="19"/>
        <v>0</v>
      </c>
      <c r="K41" s="217"/>
      <c r="L41" s="218">
        <f t="shared" ref="L41:O41" si="20">SUM(L33:L40)</f>
        <v>0</v>
      </c>
      <c r="M41" s="218">
        <f t="shared" si="20"/>
        <v>0</v>
      </c>
      <c r="N41" s="218">
        <f t="shared" si="20"/>
        <v>0</v>
      </c>
      <c r="O41" s="218">
        <f t="shared" si="20"/>
        <v>0</v>
      </c>
      <c r="P41" s="219"/>
      <c r="Q41" s="219">
        <f>SUM(Q33:Q40)</f>
        <v>0</v>
      </c>
      <c r="R41" s="220"/>
      <c r="S41" s="5"/>
      <c r="T41" s="207"/>
    </row>
    <row r="42" spans="1:20" ht="15.75" hidden="1" customHeight="1" outlineLevel="1" x14ac:dyDescent="0.2">
      <c r="A42" s="7"/>
      <c r="B42" s="7"/>
      <c r="C42" s="31"/>
      <c r="D42" s="7"/>
      <c r="E42" s="7"/>
      <c r="F42" s="7"/>
      <c r="G42" s="7"/>
      <c r="H42" s="115"/>
      <c r="I42" s="7"/>
      <c r="J42" s="7"/>
      <c r="K42" s="31"/>
      <c r="L42" s="7"/>
      <c r="M42" s="7"/>
      <c r="N42" s="7"/>
      <c r="O42" s="7"/>
      <c r="P42" s="7"/>
      <c r="Q42" s="7"/>
      <c r="R42" s="5"/>
      <c r="S42" s="5"/>
      <c r="T42" s="207"/>
    </row>
    <row r="43" spans="1:20" ht="15.75" hidden="1" customHeight="1" outlineLevel="1" x14ac:dyDescent="0.25">
      <c r="A43" s="8" t="s">
        <v>412</v>
      </c>
      <c r="B43" s="8" t="s">
        <v>68</v>
      </c>
      <c r="C43" s="31"/>
      <c r="D43" s="7">
        <v>37272.42</v>
      </c>
      <c r="E43" s="216">
        <v>0</v>
      </c>
      <c r="F43" s="216">
        <v>0</v>
      </c>
      <c r="G43" s="142">
        <v>0</v>
      </c>
      <c r="H43" s="211">
        <f t="shared" ref="H43:H50" si="21">IFERROR(((Q43-G43)/G43),0)</f>
        <v>0</v>
      </c>
      <c r="I43" s="7">
        <f t="shared" ref="I43:I48" si="22">Q43-G43</f>
        <v>0</v>
      </c>
      <c r="J43" s="7"/>
      <c r="K43" s="31"/>
      <c r="L43" s="7">
        <v>0</v>
      </c>
      <c r="M43" s="7">
        <v>0</v>
      </c>
      <c r="N43" s="7">
        <v>0</v>
      </c>
      <c r="O43" s="7">
        <v>0</v>
      </c>
      <c r="P43" s="16"/>
      <c r="Q43" s="16">
        <v>0</v>
      </c>
      <c r="R43" s="5"/>
      <c r="S43" s="5"/>
      <c r="T43" s="207"/>
    </row>
    <row r="44" spans="1:20" ht="15.75" hidden="1" customHeight="1" outlineLevel="1" x14ac:dyDescent="0.25">
      <c r="A44" s="8" t="s">
        <v>413</v>
      </c>
      <c r="B44" s="8" t="s">
        <v>72</v>
      </c>
      <c r="C44" s="31"/>
      <c r="D44" s="7">
        <v>17205.07</v>
      </c>
      <c r="E44" s="216">
        <v>0</v>
      </c>
      <c r="F44" s="216">
        <v>0</v>
      </c>
      <c r="G44" s="142">
        <v>0</v>
      </c>
      <c r="H44" s="211">
        <f t="shared" si="21"/>
        <v>0</v>
      </c>
      <c r="I44" s="7">
        <f t="shared" si="22"/>
        <v>0</v>
      </c>
      <c r="J44" s="7"/>
      <c r="K44" s="31"/>
      <c r="L44" s="7">
        <v>0</v>
      </c>
      <c r="M44" s="7">
        <v>0</v>
      </c>
      <c r="N44" s="7">
        <v>0</v>
      </c>
      <c r="O44" s="7">
        <v>0</v>
      </c>
      <c r="P44" s="16"/>
      <c r="Q44" s="16">
        <v>0</v>
      </c>
      <c r="R44" s="5"/>
      <c r="S44" s="5"/>
      <c r="T44" s="207"/>
    </row>
    <row r="45" spans="1:20" ht="15.75" hidden="1" customHeight="1" outlineLevel="1" x14ac:dyDescent="0.25">
      <c r="A45" s="8" t="s">
        <v>414</v>
      </c>
      <c r="B45" s="8" t="s">
        <v>76</v>
      </c>
      <c r="C45" s="31"/>
      <c r="D45" s="7">
        <v>5431.6</v>
      </c>
      <c r="E45" s="216">
        <v>0</v>
      </c>
      <c r="F45" s="216">
        <v>0</v>
      </c>
      <c r="G45" s="142">
        <v>0</v>
      </c>
      <c r="H45" s="211">
        <f t="shared" si="21"/>
        <v>0</v>
      </c>
      <c r="I45" s="7">
        <f t="shared" si="22"/>
        <v>0</v>
      </c>
      <c r="J45" s="7"/>
      <c r="K45" s="31"/>
      <c r="L45" s="7">
        <v>0</v>
      </c>
      <c r="M45" s="7">
        <v>0</v>
      </c>
      <c r="N45" s="7">
        <v>0</v>
      </c>
      <c r="O45" s="7">
        <v>0</v>
      </c>
      <c r="P45" s="16"/>
      <c r="Q45" s="16">
        <v>0</v>
      </c>
      <c r="R45" s="5"/>
      <c r="S45" s="5"/>
      <c r="T45" s="207"/>
    </row>
    <row r="46" spans="1:20" ht="15.75" hidden="1" customHeight="1" outlineLevel="1" x14ac:dyDescent="0.25">
      <c r="A46" s="8" t="s">
        <v>415</v>
      </c>
      <c r="B46" s="8" t="s">
        <v>80</v>
      </c>
      <c r="C46" s="31"/>
      <c r="D46" s="7">
        <v>0</v>
      </c>
      <c r="E46" s="216">
        <v>0</v>
      </c>
      <c r="F46" s="216">
        <v>0</v>
      </c>
      <c r="G46" s="142">
        <v>0</v>
      </c>
      <c r="H46" s="211">
        <f t="shared" si="21"/>
        <v>0</v>
      </c>
      <c r="I46" s="7">
        <f t="shared" si="22"/>
        <v>0</v>
      </c>
      <c r="J46" s="7"/>
      <c r="K46" s="31"/>
      <c r="L46" s="7">
        <v>0</v>
      </c>
      <c r="M46" s="7">
        <v>0</v>
      </c>
      <c r="N46" s="7">
        <v>0</v>
      </c>
      <c r="O46" s="7">
        <v>0</v>
      </c>
      <c r="P46" s="16"/>
      <c r="Q46" s="16">
        <v>0</v>
      </c>
      <c r="R46" s="5"/>
      <c r="S46" s="5"/>
      <c r="T46" s="207"/>
    </row>
    <row r="47" spans="1:20" ht="15.75" hidden="1" customHeight="1" outlineLevel="1" x14ac:dyDescent="0.25">
      <c r="A47" s="8" t="s">
        <v>416</v>
      </c>
      <c r="B47" s="8" t="s">
        <v>84</v>
      </c>
      <c r="C47" s="31"/>
      <c r="D47" s="7">
        <v>880</v>
      </c>
      <c r="E47" s="216">
        <v>0</v>
      </c>
      <c r="F47" s="216">
        <v>0</v>
      </c>
      <c r="G47" s="142">
        <v>0</v>
      </c>
      <c r="H47" s="211">
        <f t="shared" si="21"/>
        <v>0</v>
      </c>
      <c r="I47" s="7">
        <f t="shared" si="22"/>
        <v>0</v>
      </c>
      <c r="J47" s="7"/>
      <c r="K47" s="31"/>
      <c r="L47" s="7">
        <v>0</v>
      </c>
      <c r="M47" s="7">
        <v>0</v>
      </c>
      <c r="N47" s="7">
        <v>0</v>
      </c>
      <c r="O47" s="7">
        <v>0</v>
      </c>
      <c r="P47" s="16"/>
      <c r="Q47" s="16">
        <v>0</v>
      </c>
      <c r="R47" s="5"/>
      <c r="S47" s="5"/>
      <c r="T47" s="207"/>
    </row>
    <row r="48" spans="1:20" ht="15.75" hidden="1" customHeight="1" outlineLevel="1" x14ac:dyDescent="0.25">
      <c r="A48" s="8" t="s">
        <v>417</v>
      </c>
      <c r="B48" s="8" t="s">
        <v>90</v>
      </c>
      <c r="C48" s="31"/>
      <c r="D48" s="7">
        <v>0</v>
      </c>
      <c r="E48" s="216">
        <v>0</v>
      </c>
      <c r="F48" s="216">
        <v>0</v>
      </c>
      <c r="G48" s="142">
        <v>0</v>
      </c>
      <c r="H48" s="211">
        <f t="shared" si="21"/>
        <v>0</v>
      </c>
      <c r="I48" s="7">
        <f t="shared" si="22"/>
        <v>0</v>
      </c>
      <c r="J48" s="7"/>
      <c r="K48" s="31"/>
      <c r="L48" s="7">
        <v>0</v>
      </c>
      <c r="M48" s="7">
        <v>0</v>
      </c>
      <c r="N48" s="7">
        <v>0</v>
      </c>
      <c r="O48" s="7">
        <v>0</v>
      </c>
      <c r="P48" s="16"/>
      <c r="Q48" s="16">
        <v>0</v>
      </c>
      <c r="R48" s="5"/>
      <c r="S48" s="5"/>
      <c r="T48" s="207"/>
    </row>
    <row r="49" spans="1:32" ht="15.75" hidden="1" customHeight="1" outlineLevel="1" x14ac:dyDescent="0.2">
      <c r="A49" s="562" t="s">
        <v>418</v>
      </c>
      <c r="B49" s="558"/>
      <c r="C49" s="217"/>
      <c r="D49" s="218">
        <f t="shared" ref="D49:G49" si="23">SUM(D43:D48)</f>
        <v>60789.09</v>
      </c>
      <c r="E49" s="218">
        <f t="shared" si="23"/>
        <v>0</v>
      </c>
      <c r="F49" s="218">
        <f t="shared" si="23"/>
        <v>0</v>
      </c>
      <c r="G49" s="219">
        <f t="shared" si="23"/>
        <v>0</v>
      </c>
      <c r="H49" s="212">
        <f t="shared" si="21"/>
        <v>0</v>
      </c>
      <c r="I49" s="12">
        <f t="shared" ref="I49:J49" si="24">SUM(I47:I48)</f>
        <v>0</v>
      </c>
      <c r="J49" s="12">
        <f t="shared" si="24"/>
        <v>0</v>
      </c>
      <c r="K49" s="217"/>
      <c r="L49" s="218">
        <f t="shared" ref="L49:O49" si="25">SUM(L43:L48)</f>
        <v>0</v>
      </c>
      <c r="M49" s="218">
        <f t="shared" si="25"/>
        <v>0</v>
      </c>
      <c r="N49" s="218">
        <f t="shared" si="25"/>
        <v>0</v>
      </c>
      <c r="O49" s="218">
        <f t="shared" si="25"/>
        <v>0</v>
      </c>
      <c r="P49" s="219"/>
      <c r="Q49" s="219">
        <f>SUM(Q43:Q48)</f>
        <v>0</v>
      </c>
      <c r="R49" s="5"/>
      <c r="S49" s="5"/>
      <c r="T49" s="207"/>
    </row>
    <row r="50" spans="1:32" ht="15.75" customHeight="1" x14ac:dyDescent="0.25">
      <c r="A50" s="559" t="s">
        <v>419</v>
      </c>
      <c r="B50" s="558"/>
      <c r="C50" s="40"/>
      <c r="D50" s="43">
        <f t="shared" ref="D50:G50" si="26">D49+D41+D30+D26</f>
        <v>1661979.15</v>
      </c>
      <c r="E50" s="43" t="e">
        <f t="shared" si="26"/>
        <v>#REF!</v>
      </c>
      <c r="F50" s="43" t="e">
        <f t="shared" si="26"/>
        <v>#REF!</v>
      </c>
      <c r="G50" s="41" t="e">
        <f t="shared" si="26"/>
        <v>#REF!</v>
      </c>
      <c r="H50" s="212">
        <f t="shared" si="21"/>
        <v>0</v>
      </c>
      <c r="I50" s="43" t="e">
        <f t="shared" ref="I50:J50" si="27">I49+I41+I30+I26</f>
        <v>#REF!</v>
      </c>
      <c r="J50" s="43">
        <f t="shared" si="27"/>
        <v>-320047</v>
      </c>
      <c r="K50" s="40"/>
      <c r="L50" s="43">
        <f t="shared" ref="L50:S50" si="28">L49+L41+L30+L26</f>
        <v>2202572</v>
      </c>
      <c r="M50" s="43">
        <f t="shared" si="28"/>
        <v>3720551.71</v>
      </c>
      <c r="N50" s="43">
        <f t="shared" si="28"/>
        <v>3644144</v>
      </c>
      <c r="O50" s="43">
        <f t="shared" si="28"/>
        <v>2654712.33</v>
      </c>
      <c r="P50" s="41">
        <f t="shared" si="28"/>
        <v>3982068.4950000001</v>
      </c>
      <c r="Q50" s="41">
        <f t="shared" si="28"/>
        <v>3799923</v>
      </c>
      <c r="R50" s="43">
        <f t="shared" si="28"/>
        <v>3479876</v>
      </c>
      <c r="S50" s="43">
        <f t="shared" si="28"/>
        <v>-320047</v>
      </c>
      <c r="T50" s="207"/>
    </row>
    <row r="51" spans="1:32" ht="15.75" customHeight="1" x14ac:dyDescent="0.25">
      <c r="A51" s="202"/>
      <c r="B51" s="202"/>
      <c r="C51" s="40"/>
      <c r="D51" s="43"/>
      <c r="E51" s="43"/>
      <c r="F51" s="43"/>
      <c r="G51" s="221"/>
      <c r="H51" s="212"/>
      <c r="I51" s="12"/>
      <c r="J51" s="12"/>
      <c r="K51" s="40"/>
      <c r="L51" s="43"/>
      <c r="M51" s="43"/>
      <c r="N51" s="43"/>
      <c r="O51" s="43"/>
      <c r="P51" s="221"/>
      <c r="Q51" s="221"/>
      <c r="R51" s="43"/>
      <c r="S51" s="5"/>
      <c r="T51" s="207"/>
    </row>
    <row r="52" spans="1:32" ht="15.75" customHeight="1" x14ac:dyDescent="0.2">
      <c r="A52" s="12" t="s">
        <v>184</v>
      </c>
      <c r="B52" s="7"/>
      <c r="C52" s="31"/>
      <c r="D52" s="7"/>
      <c r="E52" s="7"/>
      <c r="F52" s="7"/>
      <c r="G52" s="7"/>
      <c r="H52" s="115"/>
      <c r="I52" s="7"/>
      <c r="J52" s="7"/>
      <c r="K52" s="31"/>
      <c r="L52" s="7"/>
      <c r="M52" s="7"/>
      <c r="N52" s="7"/>
      <c r="O52" s="7"/>
      <c r="P52" s="7"/>
      <c r="Q52" s="7"/>
      <c r="R52" s="5"/>
      <c r="S52" s="5"/>
      <c r="T52" s="207"/>
    </row>
    <row r="53" spans="1:32" ht="15.75" customHeight="1" x14ac:dyDescent="0.25">
      <c r="A53" s="213" t="s">
        <v>420</v>
      </c>
      <c r="B53" s="222" t="s">
        <v>421</v>
      </c>
      <c r="C53" s="31"/>
      <c r="D53" s="201">
        <v>-96458</v>
      </c>
      <c r="E53" s="120" t="e">
        <f>D53*#REF!</f>
        <v>#REF!</v>
      </c>
      <c r="F53" s="120" t="e">
        <f>D53*#REF!</f>
        <v>#REF!</v>
      </c>
      <c r="G53" s="32" t="e">
        <f>(D53*#REF!)*#REF!</f>
        <v>#REF!</v>
      </c>
      <c r="H53" s="223">
        <f t="shared" ref="H53:H59" si="29">IFERROR(((Q53-G53)/G53),0)</f>
        <v>0</v>
      </c>
      <c r="I53" s="201" t="e">
        <f t="shared" ref="I53:I59" si="30">Q53-G53</f>
        <v>#REF!</v>
      </c>
      <c r="J53" s="213"/>
      <c r="K53" s="31"/>
      <c r="L53" s="201">
        <v>-128209</v>
      </c>
      <c r="M53" s="201">
        <v>-204017.3</v>
      </c>
      <c r="N53" s="201">
        <v>-200000</v>
      </c>
      <c r="O53" s="201">
        <v>-123267.5</v>
      </c>
      <c r="P53" s="224">
        <f>N53</f>
        <v>-200000</v>
      </c>
      <c r="Q53" s="34">
        <v>-170800</v>
      </c>
      <c r="R53" s="225">
        <v>-170800</v>
      </c>
      <c r="S53" s="36">
        <f t="shared" ref="S53:S59" si="31">R53-Q53</f>
        <v>0</v>
      </c>
      <c r="T53" s="51"/>
      <c r="U53" s="51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</row>
    <row r="54" spans="1:32" ht="15.75" customHeight="1" x14ac:dyDescent="0.25">
      <c r="A54" s="213" t="s">
        <v>422</v>
      </c>
      <c r="B54" s="222" t="s">
        <v>423</v>
      </c>
      <c r="C54" s="31"/>
      <c r="D54" s="201">
        <v>-102236</v>
      </c>
      <c r="E54" s="120" t="e">
        <f>D54*#REF!</f>
        <v>#REF!</v>
      </c>
      <c r="F54" s="120" t="e">
        <f>D54*#REF!</f>
        <v>#REF!</v>
      </c>
      <c r="G54" s="32" t="e">
        <f>(D54*#REF!)*#REF!</f>
        <v>#REF!</v>
      </c>
      <c r="H54" s="39">
        <f t="shared" si="29"/>
        <v>0</v>
      </c>
      <c r="I54" s="201" t="e">
        <f t="shared" si="30"/>
        <v>#REF!</v>
      </c>
      <c r="J54" s="213"/>
      <c r="K54" s="31"/>
      <c r="L54" s="201">
        <v>-42684</v>
      </c>
      <c r="M54" s="201">
        <v>0</v>
      </c>
      <c r="N54" s="201">
        <v>0</v>
      </c>
      <c r="O54" s="201">
        <v>0</v>
      </c>
      <c r="P54" s="34">
        <v>0</v>
      </c>
      <c r="Q54" s="34">
        <v>0</v>
      </c>
      <c r="R54" s="225">
        <v>0</v>
      </c>
      <c r="S54" s="36">
        <f t="shared" si="31"/>
        <v>0</v>
      </c>
      <c r="T54" s="51"/>
      <c r="U54" s="51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</row>
    <row r="55" spans="1:32" ht="15.75" customHeight="1" x14ac:dyDescent="0.25">
      <c r="A55" s="7" t="s">
        <v>424</v>
      </c>
      <c r="B55" s="179" t="s">
        <v>425</v>
      </c>
      <c r="C55" s="31"/>
      <c r="D55" s="36">
        <v>-11151</v>
      </c>
      <c r="E55" s="35" t="e">
        <f>D55*#REF!</f>
        <v>#REF!</v>
      </c>
      <c r="F55" s="35" t="e">
        <f>D55*#REF!</f>
        <v>#REF!</v>
      </c>
      <c r="G55" s="32" t="e">
        <f>(D55*#REF!)*#REF!</f>
        <v>#REF!</v>
      </c>
      <c r="H55" s="39">
        <f t="shared" si="29"/>
        <v>0</v>
      </c>
      <c r="I55" s="36" t="e">
        <f t="shared" si="30"/>
        <v>#REF!</v>
      </c>
      <c r="J55" s="7"/>
      <c r="K55" s="31"/>
      <c r="L55" s="36">
        <v>-8400</v>
      </c>
      <c r="M55" s="36">
        <v>-2180</v>
      </c>
      <c r="N55" s="36">
        <v>-3800</v>
      </c>
      <c r="O55" s="36">
        <v>-50</v>
      </c>
      <c r="P55" s="34">
        <f>O55/9*12</f>
        <v>-66.666666666666657</v>
      </c>
      <c r="Q55" s="34">
        <v>-3000</v>
      </c>
      <c r="R55" s="112">
        <v>-3000</v>
      </c>
      <c r="S55" s="36">
        <f t="shared" si="31"/>
        <v>0</v>
      </c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</row>
    <row r="56" spans="1:32" ht="15.75" customHeight="1" x14ac:dyDescent="0.25">
      <c r="A56" s="7" t="s">
        <v>426</v>
      </c>
      <c r="B56" s="179" t="s">
        <v>427</v>
      </c>
      <c r="C56" s="31"/>
      <c r="D56" s="36">
        <v>-118867</v>
      </c>
      <c r="E56" s="35" t="e">
        <f>D56*#REF!</f>
        <v>#REF!</v>
      </c>
      <c r="F56" s="35" t="e">
        <f>D56*#REF!</f>
        <v>#REF!</v>
      </c>
      <c r="G56" s="32" t="e">
        <f>(D56*#REF!)*#REF!</f>
        <v>#REF!</v>
      </c>
      <c r="H56" s="39">
        <f t="shared" si="29"/>
        <v>0</v>
      </c>
      <c r="I56" s="36" t="e">
        <f t="shared" si="30"/>
        <v>#REF!</v>
      </c>
      <c r="J56" s="7"/>
      <c r="K56" s="31"/>
      <c r="L56" s="36">
        <v>-113800</v>
      </c>
      <c r="M56" s="36">
        <v>-18666.66</v>
      </c>
      <c r="N56" s="36">
        <v>-112000</v>
      </c>
      <c r="O56" s="36">
        <v>0</v>
      </c>
      <c r="P56" s="34">
        <v>0</v>
      </c>
      <c r="Q56" s="34">
        <v>0</v>
      </c>
      <c r="R56" s="112">
        <v>0</v>
      </c>
      <c r="S56" s="36">
        <f t="shared" si="31"/>
        <v>0</v>
      </c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</row>
    <row r="57" spans="1:32" ht="15.75" customHeight="1" x14ac:dyDescent="0.25">
      <c r="A57" s="7" t="s">
        <v>428</v>
      </c>
      <c r="B57" s="179" t="s">
        <v>429</v>
      </c>
      <c r="C57" s="31"/>
      <c r="D57" s="36">
        <v>-22727</v>
      </c>
      <c r="E57" s="35" t="e">
        <f>D57*#REF!</f>
        <v>#REF!</v>
      </c>
      <c r="F57" s="35" t="e">
        <f>D57*#REF!</f>
        <v>#REF!</v>
      </c>
      <c r="G57" s="32" t="e">
        <f>(D57*#REF!)*#REF!</f>
        <v>#REF!</v>
      </c>
      <c r="H57" s="39">
        <f t="shared" si="29"/>
        <v>0</v>
      </c>
      <c r="I57" s="36" t="e">
        <f t="shared" si="30"/>
        <v>#REF!</v>
      </c>
      <c r="J57" s="7"/>
      <c r="K57" s="31"/>
      <c r="L57" s="36">
        <v>-13753</v>
      </c>
      <c r="M57" s="36">
        <v>-18484.080000000002</v>
      </c>
      <c r="N57" s="36">
        <v>-15000</v>
      </c>
      <c r="O57" s="36">
        <v>-8264.6299999999992</v>
      </c>
      <c r="P57" s="34">
        <f t="shared" ref="P57:P59" si="32">O57/9*12</f>
        <v>-11019.506666666664</v>
      </c>
      <c r="Q57" s="34">
        <v>-15000</v>
      </c>
      <c r="R57" s="112">
        <v>-15000</v>
      </c>
      <c r="S57" s="36">
        <f t="shared" si="31"/>
        <v>0</v>
      </c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</row>
    <row r="58" spans="1:32" ht="15.75" customHeight="1" x14ac:dyDescent="0.25">
      <c r="A58" s="7" t="s">
        <v>430</v>
      </c>
      <c r="B58" s="179" t="s">
        <v>431</v>
      </c>
      <c r="C58" s="31"/>
      <c r="D58" s="36">
        <v>-67202</v>
      </c>
      <c r="E58" s="35" t="e">
        <f>D58*#REF!</f>
        <v>#REF!</v>
      </c>
      <c r="F58" s="35" t="e">
        <f>D58*#REF!</f>
        <v>#REF!</v>
      </c>
      <c r="G58" s="32" t="e">
        <f>(D58*#REF!)*#REF!</f>
        <v>#REF!</v>
      </c>
      <c r="H58" s="211">
        <f t="shared" si="29"/>
        <v>0</v>
      </c>
      <c r="I58" s="36" t="e">
        <f t="shared" si="30"/>
        <v>#REF!</v>
      </c>
      <c r="J58" s="7"/>
      <c r="K58" s="31"/>
      <c r="L58" s="36">
        <v>-107216</v>
      </c>
      <c r="M58" s="36">
        <v>-133475.03</v>
      </c>
      <c r="N58" s="36">
        <v>-70000</v>
      </c>
      <c r="O58" s="36">
        <v>-108489.91</v>
      </c>
      <c r="P58" s="224">
        <f t="shared" si="32"/>
        <v>-144653.21333333335</v>
      </c>
      <c r="Q58" s="34">
        <v>-120000</v>
      </c>
      <c r="R58" s="112">
        <v>-120000</v>
      </c>
      <c r="S58" s="36">
        <f t="shared" si="31"/>
        <v>0</v>
      </c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</row>
    <row r="59" spans="1:32" ht="15.75" customHeight="1" x14ac:dyDescent="0.25">
      <c r="A59" s="7" t="s">
        <v>432</v>
      </c>
      <c r="B59" s="179" t="s">
        <v>433</v>
      </c>
      <c r="C59" s="31"/>
      <c r="D59" s="36">
        <v>0</v>
      </c>
      <c r="E59" s="35" t="e">
        <f>D59*#REF!</f>
        <v>#REF!</v>
      </c>
      <c r="F59" s="35" t="e">
        <f>D59*#REF!</f>
        <v>#REF!</v>
      </c>
      <c r="G59" s="32" t="e">
        <f>(D59*#REF!)*#REF!</f>
        <v>#REF!</v>
      </c>
      <c r="H59" s="211">
        <f t="shared" si="29"/>
        <v>0</v>
      </c>
      <c r="I59" s="36" t="e">
        <f t="shared" si="30"/>
        <v>#REF!</v>
      </c>
      <c r="J59" s="7"/>
      <c r="K59" s="31"/>
      <c r="L59" s="36">
        <v>-5006</v>
      </c>
      <c r="M59" s="36">
        <v>-2573.6</v>
      </c>
      <c r="N59" s="36">
        <v>-5000</v>
      </c>
      <c r="O59" s="36">
        <v>0</v>
      </c>
      <c r="P59" s="34">
        <f t="shared" si="32"/>
        <v>0</v>
      </c>
      <c r="Q59" s="34">
        <v>-2500</v>
      </c>
      <c r="R59" s="112">
        <v>-2500</v>
      </c>
      <c r="S59" s="36">
        <f t="shared" si="31"/>
        <v>0</v>
      </c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</row>
    <row r="60" spans="1:32" ht="15.75" customHeight="1" x14ac:dyDescent="0.2">
      <c r="A60" s="12" t="s">
        <v>189</v>
      </c>
      <c r="B60" s="7"/>
      <c r="C60" s="49"/>
      <c r="D60" s="12">
        <f t="shared" ref="D60:J60" si="33">SUM(D53:D59)</f>
        <v>-418641</v>
      </c>
      <c r="E60" s="12" t="e">
        <f t="shared" si="33"/>
        <v>#REF!</v>
      </c>
      <c r="F60" s="12" t="e">
        <f t="shared" si="33"/>
        <v>#REF!</v>
      </c>
      <c r="G60" s="50" t="e">
        <f t="shared" si="33"/>
        <v>#REF!</v>
      </c>
      <c r="H60" s="226">
        <f t="shared" si="33"/>
        <v>0</v>
      </c>
      <c r="I60" s="12" t="e">
        <f t="shared" si="33"/>
        <v>#REF!</v>
      </c>
      <c r="J60" s="12">
        <f t="shared" si="33"/>
        <v>0</v>
      </c>
      <c r="K60" s="49"/>
      <c r="L60" s="12">
        <f t="shared" ref="L60:S60" si="34">SUM(L53:L59)</f>
        <v>-419068</v>
      </c>
      <c r="M60" s="12">
        <f t="shared" si="34"/>
        <v>-379396.66999999993</v>
      </c>
      <c r="N60" s="12">
        <f t="shared" si="34"/>
        <v>-405800</v>
      </c>
      <c r="O60" s="12">
        <f t="shared" si="34"/>
        <v>-240072.04</v>
      </c>
      <c r="P60" s="50">
        <f t="shared" si="34"/>
        <v>-355739.38666666666</v>
      </c>
      <c r="Q60" s="50">
        <f t="shared" si="34"/>
        <v>-311300</v>
      </c>
      <c r="R60" s="12">
        <f t="shared" si="34"/>
        <v>-311300</v>
      </c>
      <c r="S60" s="12">
        <f t="shared" si="34"/>
        <v>0</v>
      </c>
      <c r="T60" s="207"/>
    </row>
    <row r="61" spans="1:32" ht="15.75" customHeight="1" x14ac:dyDescent="0.2">
      <c r="A61" s="7"/>
      <c r="B61" s="7"/>
      <c r="C61" s="31"/>
      <c r="D61" s="7"/>
      <c r="E61" s="7"/>
      <c r="F61" s="7"/>
      <c r="G61" s="7"/>
      <c r="H61" s="115"/>
      <c r="I61" s="7"/>
      <c r="J61" s="7"/>
      <c r="K61" s="31"/>
      <c r="L61" s="7"/>
      <c r="M61" s="7"/>
      <c r="N61" s="7"/>
      <c r="O61" s="7"/>
      <c r="P61" s="7"/>
      <c r="Q61" s="7"/>
      <c r="R61" s="5"/>
      <c r="S61" s="5"/>
      <c r="T61" s="207"/>
    </row>
    <row r="62" spans="1:32" ht="15.75" customHeight="1" x14ac:dyDescent="0.2">
      <c r="A62" s="12" t="s">
        <v>190</v>
      </c>
      <c r="B62" s="7"/>
      <c r="C62" s="177"/>
      <c r="D62" s="227">
        <f t="shared" ref="D62:G62" si="35">D50+D60</f>
        <v>1243338.1499999999</v>
      </c>
      <c r="E62" s="227" t="e">
        <f t="shared" si="35"/>
        <v>#REF!</v>
      </c>
      <c r="F62" s="227" t="e">
        <f t="shared" si="35"/>
        <v>#REF!</v>
      </c>
      <c r="G62" s="178" t="e">
        <f t="shared" si="35"/>
        <v>#REF!</v>
      </c>
      <c r="H62" s="39">
        <f>IFERROR(((Q62-G62)/G62),0)</f>
        <v>0</v>
      </c>
      <c r="I62" s="123" t="e">
        <f>Q62-G62</f>
        <v>#REF!</v>
      </c>
      <c r="J62" s="123">
        <f>J50+J60</f>
        <v>-320047</v>
      </c>
      <c r="K62" s="177"/>
      <c r="L62" s="227">
        <f t="shared" ref="L62:S62" si="36">L50+L60</f>
        <v>1783504</v>
      </c>
      <c r="M62" s="227">
        <f t="shared" si="36"/>
        <v>3341155.04</v>
      </c>
      <c r="N62" s="227">
        <f t="shared" si="36"/>
        <v>3238344</v>
      </c>
      <c r="O62" s="227">
        <f t="shared" si="36"/>
        <v>2414640.29</v>
      </c>
      <c r="P62" s="178">
        <f t="shared" si="36"/>
        <v>3626329.1083333334</v>
      </c>
      <c r="Q62" s="178">
        <f t="shared" si="36"/>
        <v>3488623</v>
      </c>
      <c r="R62" s="227">
        <f t="shared" si="36"/>
        <v>3168576</v>
      </c>
      <c r="S62" s="227">
        <f t="shared" si="36"/>
        <v>-320047</v>
      </c>
      <c r="T62" s="207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</row>
    <row r="63" spans="1:32" ht="15.75" customHeight="1" x14ac:dyDescent="0.2">
      <c r="A63" s="54"/>
      <c r="B63" s="54"/>
      <c r="C63" s="180"/>
      <c r="D63" s="54"/>
      <c r="E63" s="54"/>
      <c r="F63" s="54"/>
      <c r="G63" s="54"/>
      <c r="H63" s="62"/>
      <c r="I63" s="54"/>
      <c r="J63" s="54"/>
      <c r="K63" s="180"/>
      <c r="L63" s="54"/>
      <c r="M63" s="54"/>
      <c r="N63" s="54"/>
      <c r="O63" s="54"/>
      <c r="P63" s="54"/>
      <c r="Q63" s="54"/>
    </row>
    <row r="64" spans="1:32" ht="15.75" customHeight="1" collapsed="1" x14ac:dyDescent="0.2">
      <c r="A64" s="54"/>
      <c r="B64" s="54"/>
      <c r="C64" s="180"/>
      <c r="D64" s="54"/>
      <c r="E64" s="54"/>
      <c r="F64" s="54"/>
      <c r="G64" s="54"/>
      <c r="H64" s="62"/>
      <c r="I64" s="54"/>
      <c r="J64" s="54"/>
      <c r="K64" s="180"/>
      <c r="L64" s="54"/>
      <c r="M64" s="54"/>
      <c r="N64" s="54"/>
      <c r="O64" s="54"/>
      <c r="P64" s="54"/>
      <c r="Q64" s="54"/>
    </row>
    <row r="65" spans="1:24" ht="26.25" hidden="1" customHeight="1" outlineLevel="1" x14ac:dyDescent="0.2">
      <c r="A65" s="560" t="s">
        <v>434</v>
      </c>
      <c r="B65" s="561"/>
      <c r="C65" s="180"/>
      <c r="D65" s="228"/>
      <c r="E65" s="54"/>
      <c r="F65" s="54"/>
      <c r="G65" s="54"/>
      <c r="I65" s="54"/>
      <c r="J65" s="54"/>
      <c r="K65" s="180"/>
      <c r="L65" s="54"/>
      <c r="M65" s="54"/>
      <c r="N65" s="54"/>
      <c r="O65" s="54"/>
      <c r="P65" s="54"/>
      <c r="Q65" s="54"/>
    </row>
    <row r="66" spans="1:24" ht="15.75" hidden="1" customHeight="1" outlineLevel="1" x14ac:dyDescent="0.2">
      <c r="A66" s="54"/>
      <c r="B66" s="54"/>
      <c r="C66" s="180"/>
      <c r="D66" s="54"/>
      <c r="E66" s="54"/>
      <c r="F66" s="54"/>
      <c r="G66" s="54"/>
      <c r="I66" s="54"/>
      <c r="J66" s="54"/>
      <c r="K66" s="180"/>
      <c r="L66" s="54"/>
      <c r="M66" s="54"/>
      <c r="N66" s="54"/>
      <c r="O66" s="54"/>
      <c r="P66" s="54"/>
      <c r="Q66" s="54"/>
    </row>
    <row r="67" spans="1:24" ht="15.75" hidden="1" customHeight="1" outlineLevel="1" x14ac:dyDescent="0.25">
      <c r="A67" s="54"/>
      <c r="B67" s="54"/>
      <c r="C67" s="180"/>
      <c r="D67" s="54"/>
      <c r="E67" s="54"/>
      <c r="F67" s="54"/>
      <c r="G67" s="54"/>
      <c r="I67" s="54"/>
      <c r="J67" s="54"/>
      <c r="K67" s="180"/>
      <c r="L67" s="54"/>
      <c r="M67" s="54"/>
      <c r="N67" s="54"/>
      <c r="O67" s="54"/>
      <c r="P67" s="54"/>
      <c r="Q67" s="54"/>
      <c r="W67" s="229" t="s">
        <v>435</v>
      </c>
      <c r="X67" s="185">
        <f>Q89*15%</f>
        <v>569988.44999999995</v>
      </c>
    </row>
    <row r="68" spans="1:24" ht="15.75" hidden="1" customHeight="1" outlineLevel="1" x14ac:dyDescent="0.2">
      <c r="A68" s="4" t="s">
        <v>50</v>
      </c>
      <c r="B68" s="4" t="s">
        <v>51</v>
      </c>
      <c r="C68" s="130"/>
      <c r="D68" s="4" t="s">
        <v>52</v>
      </c>
      <c r="E68" s="27" t="s">
        <v>53</v>
      </c>
      <c r="F68" s="27" t="s">
        <v>54</v>
      </c>
      <c r="G68" s="27" t="s">
        <v>55</v>
      </c>
      <c r="H68" s="3"/>
      <c r="I68" s="4"/>
      <c r="J68" s="4"/>
      <c r="K68" s="130"/>
      <c r="L68" s="4" t="s">
        <v>59</v>
      </c>
      <c r="M68" s="4" t="s">
        <v>60</v>
      </c>
      <c r="N68" s="4" t="s">
        <v>436</v>
      </c>
      <c r="O68" s="4" t="s">
        <v>437</v>
      </c>
      <c r="P68" s="70"/>
      <c r="Q68" s="70" t="s">
        <v>438</v>
      </c>
      <c r="S68" s="230" t="s">
        <v>56</v>
      </c>
      <c r="T68" s="230" t="s">
        <v>57</v>
      </c>
      <c r="U68" s="231" t="s">
        <v>58</v>
      </c>
      <c r="W68" s="232" t="s">
        <v>439</v>
      </c>
      <c r="X68" s="55">
        <f>X67+U89</f>
        <v>569988.44999999995</v>
      </c>
    </row>
    <row r="69" spans="1:24" ht="15.75" hidden="1" customHeight="1" outlineLevel="1" x14ac:dyDescent="0.25">
      <c r="A69" s="54"/>
      <c r="B69" s="54" t="s">
        <v>68</v>
      </c>
      <c r="C69" s="71"/>
      <c r="D69" s="65">
        <f t="shared" ref="D69:D88" si="37">SUMIF($B$6:$B$25,$B69,D$6:D$25)+SUMIF($B$33:$B$40,$B69,D$33:D$40)+SUMIF($B$43:$B$48,$B69,D$43:D$48)</f>
        <v>1135496.44</v>
      </c>
      <c r="E69" s="233" t="e">
        <f>D69*#REF!</f>
        <v>#REF!</v>
      </c>
      <c r="F69" s="233" t="e">
        <f>D69*#REF!</f>
        <v>#REF!</v>
      </c>
      <c r="G69" s="160" t="e">
        <f>(D69*#REF!)*#REF!</f>
        <v>#REF!</v>
      </c>
      <c r="H69" s="65"/>
      <c r="I69" s="65"/>
      <c r="J69" s="65"/>
      <c r="K69" s="71"/>
      <c r="L69" s="65">
        <f t="shared" ref="L69:O69" si="38">SUMIF($B$6:$B$25,$B69,L$6:L$25)+SUMIF($B$33:$B$40,$B69,L$33:L$40)+SUMIF($B$43:$B$48,$B69,L$43:L$48)</f>
        <v>1462484</v>
      </c>
      <c r="M69" s="65">
        <f t="shared" si="38"/>
        <v>2040345.95</v>
      </c>
      <c r="N69" s="65">
        <f t="shared" si="38"/>
        <v>2455623</v>
      </c>
      <c r="O69" s="65">
        <f t="shared" si="38"/>
        <v>1845059.4</v>
      </c>
      <c r="P69" s="157"/>
      <c r="Q69" s="157">
        <f t="shared" ref="Q69:Q88" si="39">SUMIF($B$6:$B$25,$B69,Q$6:Q$25)+SUMIF($B$33:$B$40,$B69,Q$33:Q$40)+SUMIF($B$43:$B$48,$B69,Q$43:Q$48)</f>
        <v>2617500</v>
      </c>
      <c r="S69" s="234">
        <f t="shared" ref="S69:S89" si="40">IFERROR(((Q69-G69)/G69),0)</f>
        <v>0</v>
      </c>
      <c r="T69" s="54" t="e">
        <f t="shared" ref="T69:T89" si="41">Q69-G69</f>
        <v>#REF!</v>
      </c>
      <c r="W69" s="235" t="s">
        <v>440</v>
      </c>
      <c r="X69" s="236">
        <f>U89/Q89</f>
        <v>0</v>
      </c>
    </row>
    <row r="70" spans="1:24" ht="15.75" hidden="1" customHeight="1" outlineLevel="1" x14ac:dyDescent="0.25">
      <c r="A70" s="54"/>
      <c r="B70" s="54" t="s">
        <v>70</v>
      </c>
      <c r="C70" s="71"/>
      <c r="D70" s="65">
        <f t="shared" si="37"/>
        <v>2604.8000000000002</v>
      </c>
      <c r="E70" s="233" t="e">
        <f>D70*#REF!</f>
        <v>#REF!</v>
      </c>
      <c r="F70" s="233" t="e">
        <f>D70*#REF!</f>
        <v>#REF!</v>
      </c>
      <c r="G70" s="160" t="e">
        <f>(D70*#REF!)*#REF!</f>
        <v>#REF!</v>
      </c>
      <c r="H70" s="65"/>
      <c r="I70" s="65"/>
      <c r="J70" s="65"/>
      <c r="K70" s="71"/>
      <c r="L70" s="65">
        <f t="shared" ref="L70:O70" si="42">SUMIF($B$6:$B$25,$B70,L$6:L$25)+SUMIF($B$33:$B$40,$B70,L$33:L$40)+SUMIF($B$43:$B$48,$B70,L$43:L$48)</f>
        <v>6906</v>
      </c>
      <c r="M70" s="65">
        <f t="shared" si="42"/>
        <v>15092.07</v>
      </c>
      <c r="N70" s="65">
        <f t="shared" si="42"/>
        <v>12500</v>
      </c>
      <c r="O70" s="65">
        <f t="shared" si="42"/>
        <v>12092.71</v>
      </c>
      <c r="P70" s="157"/>
      <c r="Q70" s="157">
        <f t="shared" si="39"/>
        <v>15000</v>
      </c>
      <c r="S70" s="234">
        <f t="shared" si="40"/>
        <v>0</v>
      </c>
      <c r="T70" s="54" t="e">
        <f t="shared" si="41"/>
        <v>#REF!</v>
      </c>
    </row>
    <row r="71" spans="1:24" ht="15.75" hidden="1" customHeight="1" outlineLevel="1" x14ac:dyDescent="0.25">
      <c r="A71" s="54"/>
      <c r="B71" s="54" t="s">
        <v>132</v>
      </c>
      <c r="C71" s="71"/>
      <c r="D71" s="65">
        <f t="shared" si="37"/>
        <v>11051</v>
      </c>
      <c r="E71" s="233" t="e">
        <f>D71*#REF!</f>
        <v>#REF!</v>
      </c>
      <c r="F71" s="233" t="e">
        <f>D71*#REF!</f>
        <v>#REF!</v>
      </c>
      <c r="G71" s="160" t="e">
        <f>(D71*#REF!)*#REF!</f>
        <v>#REF!</v>
      </c>
      <c r="H71" s="65"/>
      <c r="I71" s="65"/>
      <c r="J71" s="65"/>
      <c r="K71" s="71"/>
      <c r="L71" s="65">
        <f t="shared" ref="L71:O71" si="43">SUMIF($B$6:$B$25,$B71,L$6:L$25)+SUMIF($B$33:$B$40,$B71,L$33:L$40)+SUMIF($B$43:$B$48,$B71,L$43:L$48)</f>
        <v>21203</v>
      </c>
      <c r="M71" s="65">
        <f t="shared" si="43"/>
        <v>16159.49</v>
      </c>
      <c r="N71" s="65">
        <f t="shared" si="43"/>
        <v>75</v>
      </c>
      <c r="O71" s="65">
        <f t="shared" si="43"/>
        <v>3960.6</v>
      </c>
      <c r="P71" s="157"/>
      <c r="Q71" s="157">
        <f t="shared" si="39"/>
        <v>13000</v>
      </c>
      <c r="S71" s="234">
        <f t="shared" si="40"/>
        <v>0</v>
      </c>
      <c r="T71" s="54" t="e">
        <f t="shared" si="41"/>
        <v>#REF!</v>
      </c>
    </row>
    <row r="72" spans="1:24" ht="15.75" hidden="1" customHeight="1" outlineLevel="1" x14ac:dyDescent="0.25">
      <c r="A72" s="54"/>
      <c r="B72" s="54" t="s">
        <v>72</v>
      </c>
      <c r="C72" s="71"/>
      <c r="D72" s="65">
        <f t="shared" si="37"/>
        <v>538066.16</v>
      </c>
      <c r="E72" s="233" t="e">
        <f>D72*#REF!</f>
        <v>#REF!</v>
      </c>
      <c r="F72" s="233" t="e">
        <f>D72*#REF!</f>
        <v>#REF!</v>
      </c>
      <c r="G72" s="160" t="e">
        <f>(D72*#REF!)*#REF!</f>
        <v>#REF!</v>
      </c>
      <c r="H72" s="65"/>
      <c r="I72" s="65"/>
      <c r="J72" s="65"/>
      <c r="K72" s="71"/>
      <c r="L72" s="65">
        <f t="shared" ref="L72:O72" si="44">SUMIF($B$6:$B$25,$B72,L$6:L$25)+SUMIF($B$33:$B$40,$B72,L$33:L$40)+SUMIF($B$43:$B$48,$B72,L$43:L$48)</f>
        <v>647670</v>
      </c>
      <c r="M72" s="65">
        <f t="shared" si="44"/>
        <v>906907.34</v>
      </c>
      <c r="N72" s="65">
        <f t="shared" si="44"/>
        <v>1129506</v>
      </c>
      <c r="O72" s="65">
        <f t="shared" si="44"/>
        <v>800663.48</v>
      </c>
      <c r="P72" s="157"/>
      <c r="Q72" s="157">
        <f t="shared" si="39"/>
        <v>1121200</v>
      </c>
      <c r="S72" s="234">
        <f t="shared" si="40"/>
        <v>0</v>
      </c>
      <c r="T72" s="54" t="e">
        <f t="shared" si="41"/>
        <v>#REF!</v>
      </c>
    </row>
    <row r="73" spans="1:24" ht="15.75" hidden="1" customHeight="1" outlineLevel="1" x14ac:dyDescent="0.25">
      <c r="A73" s="54"/>
      <c r="B73" s="54" t="s">
        <v>378</v>
      </c>
      <c r="C73" s="71"/>
      <c r="D73" s="65">
        <f t="shared" si="37"/>
        <v>8937</v>
      </c>
      <c r="E73" s="233" t="e">
        <f>D73*#REF!</f>
        <v>#REF!</v>
      </c>
      <c r="F73" s="233" t="e">
        <f>D73*#REF!</f>
        <v>#REF!</v>
      </c>
      <c r="G73" s="160" t="e">
        <f>(D73*#REF!)*#REF!</f>
        <v>#REF!</v>
      </c>
      <c r="H73" s="65"/>
      <c r="I73" s="65"/>
      <c r="J73" s="65"/>
      <c r="K73" s="71"/>
      <c r="L73" s="65">
        <f t="shared" ref="L73:O73" si="45">SUMIF($B$6:$B$25,$B73,L$6:L$25)+SUMIF($B$33:$B$40,$B73,L$33:L$40)+SUMIF($B$43:$B$48,$B73,L$43:L$48)</f>
        <v>21744</v>
      </c>
      <c r="M73" s="65">
        <f t="shared" si="45"/>
        <v>23632.41</v>
      </c>
      <c r="N73" s="65">
        <f t="shared" si="45"/>
        <v>18000</v>
      </c>
      <c r="O73" s="65">
        <f t="shared" si="45"/>
        <v>17168.11</v>
      </c>
      <c r="P73" s="157"/>
      <c r="Q73" s="157">
        <f t="shared" si="39"/>
        <v>19500</v>
      </c>
      <c r="S73" s="234">
        <f t="shared" si="40"/>
        <v>0</v>
      </c>
      <c r="T73" s="54" t="e">
        <f t="shared" si="41"/>
        <v>#REF!</v>
      </c>
    </row>
    <row r="74" spans="1:24" ht="15.75" hidden="1" customHeight="1" outlineLevel="1" x14ac:dyDescent="0.25">
      <c r="A74" s="54"/>
      <c r="B74" s="54" t="s">
        <v>74</v>
      </c>
      <c r="C74" s="71"/>
      <c r="D74" s="65">
        <f t="shared" si="37"/>
        <v>721</v>
      </c>
      <c r="E74" s="233" t="e">
        <f>D74*#REF!</f>
        <v>#REF!</v>
      </c>
      <c r="F74" s="233" t="e">
        <f>D74*#REF!</f>
        <v>#REF!</v>
      </c>
      <c r="G74" s="160" t="e">
        <f>(D74*#REF!)*#REF!</f>
        <v>#REF!</v>
      </c>
      <c r="H74" s="65"/>
      <c r="I74" s="65"/>
      <c r="J74" s="65"/>
      <c r="K74" s="71"/>
      <c r="L74" s="65">
        <f t="shared" ref="L74:O74" si="46">SUMIF($B$6:$B$25,$B74,L$6:L$25)+SUMIF($B$33:$B$40,$B74,L$33:L$40)+SUMIF($B$43:$B$48,$B74,L$43:L$48)</f>
        <v>8195</v>
      </c>
      <c r="M74" s="65">
        <f t="shared" si="46"/>
        <v>7695.96</v>
      </c>
      <c r="N74" s="65">
        <f t="shared" si="46"/>
        <v>13100</v>
      </c>
      <c r="O74" s="65">
        <f t="shared" si="46"/>
        <v>12120.6</v>
      </c>
      <c r="P74" s="157"/>
      <c r="Q74" s="157">
        <f t="shared" si="39"/>
        <v>13100</v>
      </c>
      <c r="S74" s="234">
        <f t="shared" si="40"/>
        <v>0</v>
      </c>
      <c r="T74" s="54" t="e">
        <f t="shared" si="41"/>
        <v>#REF!</v>
      </c>
    </row>
    <row r="75" spans="1:24" ht="15.75" hidden="1" customHeight="1" outlineLevel="1" x14ac:dyDescent="0.25">
      <c r="A75" s="54"/>
      <c r="B75" s="54" t="s">
        <v>76</v>
      </c>
      <c r="C75" s="71"/>
      <c r="D75" s="65">
        <f t="shared" si="37"/>
        <v>31262.46</v>
      </c>
      <c r="E75" s="233" t="e">
        <f>D75*#REF!</f>
        <v>#REF!</v>
      </c>
      <c r="F75" s="233" t="e">
        <f>D75*#REF!</f>
        <v>#REF!</v>
      </c>
      <c r="G75" s="160" t="e">
        <f>(D75*#REF!)*#REF!</f>
        <v>#REF!</v>
      </c>
      <c r="H75" s="65"/>
      <c r="I75" s="65"/>
      <c r="J75" s="65"/>
      <c r="K75" s="71"/>
      <c r="L75" s="65">
        <f t="shared" ref="L75:O75" si="47">SUMIF($B$6:$B$25,$B75,L$6:L$25)+SUMIF($B$33:$B$40,$B75,L$33:L$40)+SUMIF($B$43:$B$48,$B75,L$43:L$48)</f>
        <v>9733</v>
      </c>
      <c r="M75" s="65">
        <f t="shared" si="47"/>
        <v>14494.86</v>
      </c>
      <c r="N75" s="65">
        <f t="shared" si="47"/>
        <v>22000</v>
      </c>
      <c r="O75" s="65">
        <f t="shared" si="47"/>
        <v>18758.61</v>
      </c>
      <c r="P75" s="157"/>
      <c r="Q75" s="157">
        <f t="shared" si="39"/>
        <v>23000</v>
      </c>
      <c r="S75" s="234">
        <f t="shared" si="40"/>
        <v>0</v>
      </c>
      <c r="T75" s="54" t="e">
        <f t="shared" si="41"/>
        <v>#REF!</v>
      </c>
    </row>
    <row r="76" spans="1:24" ht="15.75" hidden="1" customHeight="1" outlineLevel="1" x14ac:dyDescent="0.25">
      <c r="A76" s="54"/>
      <c r="B76" s="54" t="s">
        <v>80</v>
      </c>
      <c r="C76" s="71"/>
      <c r="D76" s="65">
        <f t="shared" si="37"/>
        <v>14731.29</v>
      </c>
      <c r="E76" s="233" t="e">
        <f>D76*#REF!</f>
        <v>#REF!</v>
      </c>
      <c r="F76" s="233" t="e">
        <f>D76*#REF!</f>
        <v>#REF!</v>
      </c>
      <c r="G76" s="160" t="e">
        <f>(D76*#REF!)*#REF!</f>
        <v>#REF!</v>
      </c>
      <c r="H76" s="65"/>
      <c r="I76" s="65"/>
      <c r="J76" s="65"/>
      <c r="K76" s="71"/>
      <c r="L76" s="65">
        <f t="shared" ref="L76:O76" si="48">SUMIF($B$6:$B$25,$B76,L$6:L$25)+SUMIF($B$33:$B$40,$B76,L$33:L$40)+SUMIF($B$43:$B$48,$B76,L$43:L$48)</f>
        <v>10616</v>
      </c>
      <c r="M76" s="65">
        <f t="shared" si="48"/>
        <v>14226.76</v>
      </c>
      <c r="N76" s="65">
        <f t="shared" si="48"/>
        <v>13800</v>
      </c>
      <c r="O76" s="65">
        <f t="shared" si="48"/>
        <v>9151.6</v>
      </c>
      <c r="P76" s="157"/>
      <c r="Q76" s="157">
        <f t="shared" si="39"/>
        <v>14200</v>
      </c>
      <c r="S76" s="234">
        <f t="shared" si="40"/>
        <v>0</v>
      </c>
      <c r="T76" s="54" t="e">
        <f t="shared" si="41"/>
        <v>#REF!</v>
      </c>
    </row>
    <row r="77" spans="1:24" ht="15.75" hidden="1" customHeight="1" outlineLevel="1" x14ac:dyDescent="0.25">
      <c r="A77" s="54"/>
      <c r="B77" s="54" t="s">
        <v>82</v>
      </c>
      <c r="C77" s="71"/>
      <c r="D77" s="65">
        <f t="shared" si="37"/>
        <v>12916</v>
      </c>
      <c r="E77" s="233" t="e">
        <f>D77*#REF!</f>
        <v>#REF!</v>
      </c>
      <c r="F77" s="233" t="e">
        <f>D77*#REF!</f>
        <v>#REF!</v>
      </c>
      <c r="G77" s="160" t="e">
        <f>(D77*#REF!)*#REF!</f>
        <v>#REF!</v>
      </c>
      <c r="H77" s="65"/>
      <c r="I77" s="65"/>
      <c r="J77" s="65"/>
      <c r="K77" s="71"/>
      <c r="L77" s="65">
        <f t="shared" ref="L77:O77" si="49">SUMIF($B$6:$B$25,$B77,L$6:L$25)+SUMIF($B$33:$B$40,$B77,L$33:L$40)+SUMIF($B$43:$B$48,$B77,L$43:L$48)</f>
        <v>10296</v>
      </c>
      <c r="M77" s="65">
        <f t="shared" si="49"/>
        <v>7782.04</v>
      </c>
      <c r="N77" s="65">
        <f t="shared" si="49"/>
        <v>12000</v>
      </c>
      <c r="O77" s="65">
        <f t="shared" si="49"/>
        <v>8390.2099999999991</v>
      </c>
      <c r="P77" s="157"/>
      <c r="Q77" s="157">
        <f t="shared" si="39"/>
        <v>17300</v>
      </c>
      <c r="S77" s="234">
        <f t="shared" si="40"/>
        <v>0</v>
      </c>
      <c r="T77" s="54" t="e">
        <f t="shared" si="41"/>
        <v>#REF!</v>
      </c>
    </row>
    <row r="78" spans="1:24" ht="15.75" hidden="1" customHeight="1" outlineLevel="1" x14ac:dyDescent="0.25">
      <c r="A78" s="54"/>
      <c r="B78" s="54" t="s">
        <v>115</v>
      </c>
      <c r="C78" s="71"/>
      <c r="D78" s="65">
        <f t="shared" si="37"/>
        <v>2357</v>
      </c>
      <c r="E78" s="233" t="e">
        <f>D78*#REF!</f>
        <v>#REF!</v>
      </c>
      <c r="F78" s="233" t="e">
        <f>D78*#REF!</f>
        <v>#REF!</v>
      </c>
      <c r="G78" s="160" t="e">
        <f>(D78*#REF!)*#REF!</f>
        <v>#REF!</v>
      </c>
      <c r="H78" s="65"/>
      <c r="I78" s="65"/>
      <c r="J78" s="65"/>
      <c r="K78" s="71"/>
      <c r="L78" s="65">
        <f t="shared" ref="L78:O78" si="50">SUMIF($B$6:$B$25,$B78,L$6:L$25)+SUMIF($B$33:$B$40,$B78,L$33:L$40)+SUMIF($B$43:$B$48,$B78,L$43:L$48)</f>
        <v>16617</v>
      </c>
      <c r="M78" s="65">
        <f t="shared" si="50"/>
        <v>12469.06</v>
      </c>
      <c r="N78" s="65">
        <f t="shared" si="50"/>
        <v>32300</v>
      </c>
      <c r="O78" s="65">
        <f t="shared" si="50"/>
        <v>2477.4</v>
      </c>
      <c r="P78" s="157"/>
      <c r="Q78" s="157">
        <f t="shared" si="39"/>
        <v>20000</v>
      </c>
      <c r="S78" s="234">
        <f t="shared" si="40"/>
        <v>0</v>
      </c>
      <c r="T78" s="54" t="e">
        <f t="shared" si="41"/>
        <v>#REF!</v>
      </c>
    </row>
    <row r="79" spans="1:24" ht="15.75" hidden="1" customHeight="1" outlineLevel="1" x14ac:dyDescent="0.25">
      <c r="A79" s="54"/>
      <c r="B79" s="54" t="s">
        <v>84</v>
      </c>
      <c r="C79" s="71"/>
      <c r="D79" s="65">
        <f t="shared" si="37"/>
        <v>13223</v>
      </c>
      <c r="E79" s="233" t="e">
        <f>D79*#REF!</f>
        <v>#REF!</v>
      </c>
      <c r="F79" s="233" t="e">
        <f>D79*#REF!</f>
        <v>#REF!</v>
      </c>
      <c r="G79" s="160" t="e">
        <f>(D79*#REF!)*#REF!</f>
        <v>#REF!</v>
      </c>
      <c r="H79" s="65"/>
      <c r="I79" s="65"/>
      <c r="J79" s="65"/>
      <c r="K79" s="71"/>
      <c r="L79" s="65">
        <f t="shared" ref="L79:O79" si="51">SUMIF($B$6:$B$25,$B79,L$6:L$25)+SUMIF($B$33:$B$40,$B79,L$33:L$40)+SUMIF($B$43:$B$48,$B79,L$43:L$48)</f>
        <v>19604</v>
      </c>
      <c r="M79" s="65">
        <f t="shared" si="51"/>
        <v>21587.11</v>
      </c>
      <c r="N79" s="65">
        <f t="shared" si="51"/>
        <v>23940</v>
      </c>
      <c r="O79" s="65">
        <f t="shared" si="51"/>
        <v>17239.77</v>
      </c>
      <c r="P79" s="157"/>
      <c r="Q79" s="157">
        <f t="shared" si="39"/>
        <v>23940</v>
      </c>
      <c r="S79" s="234">
        <f t="shared" si="40"/>
        <v>0</v>
      </c>
      <c r="T79" s="54" t="e">
        <f t="shared" si="41"/>
        <v>#REF!</v>
      </c>
    </row>
    <row r="80" spans="1:24" ht="15.75" hidden="1" customHeight="1" outlineLevel="1" x14ac:dyDescent="0.25">
      <c r="A80" s="54"/>
      <c r="B80" s="54" t="s">
        <v>86</v>
      </c>
      <c r="C80" s="71"/>
      <c r="D80" s="65">
        <f t="shared" si="37"/>
        <v>9401</v>
      </c>
      <c r="E80" s="233" t="e">
        <f>D80*#REF!</f>
        <v>#REF!</v>
      </c>
      <c r="F80" s="233" t="e">
        <f>D80*#REF!</f>
        <v>#REF!</v>
      </c>
      <c r="G80" s="160" t="e">
        <f>(D80*#REF!)*#REF!</f>
        <v>#REF!</v>
      </c>
      <c r="H80" s="65"/>
      <c r="I80" s="65"/>
      <c r="J80" s="65"/>
      <c r="K80" s="71"/>
      <c r="L80" s="65">
        <f t="shared" ref="L80:O80" si="52">SUMIF($B$6:$B$25,$B80,L$6:L$25)+SUMIF($B$33:$B$40,$B80,L$33:L$40)+SUMIF($B$43:$B$48,$B80,L$43:L$48)</f>
        <v>81541</v>
      </c>
      <c r="M80" s="65">
        <f t="shared" si="52"/>
        <v>41622.720000000001</v>
      </c>
      <c r="N80" s="65">
        <f t="shared" si="52"/>
        <v>100000</v>
      </c>
      <c r="O80" s="65">
        <f t="shared" si="52"/>
        <v>23484.27</v>
      </c>
      <c r="P80" s="157"/>
      <c r="Q80" s="157">
        <f t="shared" si="39"/>
        <v>100000</v>
      </c>
      <c r="S80" s="234">
        <f t="shared" si="40"/>
        <v>0</v>
      </c>
      <c r="T80" s="54" t="e">
        <f t="shared" si="41"/>
        <v>#REF!</v>
      </c>
    </row>
    <row r="81" spans="1:32" ht="15.75" hidden="1" customHeight="1" outlineLevel="1" x14ac:dyDescent="0.25">
      <c r="A81" s="54"/>
      <c r="B81" s="54" t="s">
        <v>88</v>
      </c>
      <c r="C81" s="71"/>
      <c r="D81" s="65">
        <f t="shared" si="37"/>
        <v>12136</v>
      </c>
      <c r="E81" s="233" t="e">
        <f>D81*#REF!</f>
        <v>#REF!</v>
      </c>
      <c r="F81" s="233" t="e">
        <f>D81*#REF!</f>
        <v>#REF!</v>
      </c>
      <c r="G81" s="160" t="e">
        <f>(D81*#REF!)*#REF!</f>
        <v>#REF!</v>
      </c>
      <c r="H81" s="65"/>
      <c r="I81" s="65"/>
      <c r="J81" s="65"/>
      <c r="K81" s="71"/>
      <c r="L81" s="65">
        <f t="shared" ref="L81:O81" si="53">SUMIF($B$6:$B$25,$B81,L$6:L$25)+SUMIF($B$33:$B$40,$B81,L$33:L$40)+SUMIF($B$43:$B$48,$B81,L$43:L$48)</f>
        <v>19440</v>
      </c>
      <c r="M81" s="65">
        <f t="shared" si="53"/>
        <v>223444.81</v>
      </c>
      <c r="N81" s="65">
        <f t="shared" si="53"/>
        <v>110000</v>
      </c>
      <c r="O81" s="65">
        <f t="shared" si="53"/>
        <v>94052.99</v>
      </c>
      <c r="P81" s="157"/>
      <c r="Q81" s="157">
        <f t="shared" si="39"/>
        <v>115000</v>
      </c>
      <c r="S81" s="234">
        <f t="shared" si="40"/>
        <v>0</v>
      </c>
      <c r="T81" s="54" t="e">
        <f t="shared" si="41"/>
        <v>#REF!</v>
      </c>
    </row>
    <row r="82" spans="1:32" ht="15.75" hidden="1" customHeight="1" outlineLevel="1" x14ac:dyDescent="0.25">
      <c r="A82" s="54"/>
      <c r="B82" s="54" t="s">
        <v>388</v>
      </c>
      <c r="C82" s="71"/>
      <c r="D82" s="65">
        <f t="shared" si="37"/>
        <v>5811</v>
      </c>
      <c r="E82" s="233" t="e">
        <f>D82*#REF!</f>
        <v>#REF!</v>
      </c>
      <c r="F82" s="233" t="e">
        <f>D82*#REF!</f>
        <v>#REF!</v>
      </c>
      <c r="G82" s="160" t="e">
        <f>(D82*#REF!)*#REF!</f>
        <v>#REF!</v>
      </c>
      <c r="H82" s="65"/>
      <c r="I82" s="65"/>
      <c r="J82" s="65"/>
      <c r="K82" s="71"/>
      <c r="L82" s="65">
        <f t="shared" ref="L82:O82" si="54">SUMIF($B$6:$B$25,$B82,L$6:L$25)+SUMIF($B$33:$B$40,$B82,L$33:L$40)+SUMIF($B$43:$B$48,$B82,L$43:L$48)</f>
        <v>15703</v>
      </c>
      <c r="M82" s="65">
        <f t="shared" si="54"/>
        <v>6453.92</v>
      </c>
      <c r="N82" s="65">
        <f t="shared" si="54"/>
        <v>20000</v>
      </c>
      <c r="O82" s="65">
        <f t="shared" si="54"/>
        <v>256.29000000000002</v>
      </c>
      <c r="P82" s="157"/>
      <c r="Q82" s="157">
        <f t="shared" si="39"/>
        <v>21000</v>
      </c>
      <c r="S82" s="234">
        <f t="shared" si="40"/>
        <v>0</v>
      </c>
      <c r="T82" s="54" t="e">
        <f t="shared" si="41"/>
        <v>#REF!</v>
      </c>
    </row>
    <row r="83" spans="1:32" ht="15.75" hidden="1" customHeight="1" outlineLevel="1" x14ac:dyDescent="0.25">
      <c r="A83" s="54"/>
      <c r="B83" s="54" t="s">
        <v>90</v>
      </c>
      <c r="C83" s="71"/>
      <c r="D83" s="65">
        <f t="shared" si="37"/>
        <v>13000</v>
      </c>
      <c r="E83" s="233" t="e">
        <f>D83*#REF!</f>
        <v>#REF!</v>
      </c>
      <c r="F83" s="233" t="e">
        <f>D83*#REF!</f>
        <v>#REF!</v>
      </c>
      <c r="G83" s="160" t="e">
        <f>(D83*#REF!)*#REF!</f>
        <v>#REF!</v>
      </c>
      <c r="H83" s="65"/>
      <c r="I83" s="65"/>
      <c r="J83" s="65"/>
      <c r="K83" s="71"/>
      <c r="L83" s="65">
        <f t="shared" ref="L83:O83" si="55">SUMIF($B$6:$B$25,$B83,L$6:L$25)+SUMIF($B$33:$B$40,$B83,L$33:L$40)+SUMIF($B$43:$B$48,$B83,L$43:L$48)</f>
        <v>7547</v>
      </c>
      <c r="M83" s="65">
        <f t="shared" si="55"/>
        <v>12340.04</v>
      </c>
      <c r="N83" s="65">
        <f t="shared" si="55"/>
        <v>26800</v>
      </c>
      <c r="O83" s="65">
        <f t="shared" si="55"/>
        <v>13337.72</v>
      </c>
      <c r="P83" s="157"/>
      <c r="Q83" s="157">
        <f t="shared" si="39"/>
        <v>27000</v>
      </c>
      <c r="S83" s="234">
        <f t="shared" si="40"/>
        <v>0</v>
      </c>
      <c r="T83" s="54" t="e">
        <f t="shared" si="41"/>
        <v>#REF!</v>
      </c>
    </row>
    <row r="84" spans="1:32" ht="15.75" hidden="1" customHeight="1" outlineLevel="1" x14ac:dyDescent="0.25">
      <c r="A84" s="54"/>
      <c r="B84" s="54" t="s">
        <v>391</v>
      </c>
      <c r="C84" s="71"/>
      <c r="D84" s="65">
        <f t="shared" si="37"/>
        <v>0</v>
      </c>
      <c r="E84" s="233" t="e">
        <f>D84*#REF!</f>
        <v>#REF!</v>
      </c>
      <c r="F84" s="233" t="e">
        <f>D84*#REF!</f>
        <v>#REF!</v>
      </c>
      <c r="G84" s="160" t="e">
        <f>(D84*#REF!)*#REF!</f>
        <v>#REF!</v>
      </c>
      <c r="H84" s="65"/>
      <c r="I84" s="65"/>
      <c r="J84" s="65"/>
      <c r="K84" s="71"/>
      <c r="L84" s="65">
        <f t="shared" ref="L84:O84" si="56">SUMIF($B$6:$B$25,$B84,L$6:L$25)+SUMIF($B$33:$B$40,$B84,L$33:L$40)+SUMIF($B$43:$B$48,$B84,L$43:L$48)</f>
        <v>623</v>
      </c>
      <c r="M84" s="65">
        <f t="shared" si="56"/>
        <v>234</v>
      </c>
      <c r="N84" s="65">
        <f t="shared" si="56"/>
        <v>1000</v>
      </c>
      <c r="O84" s="65">
        <f t="shared" si="56"/>
        <v>0</v>
      </c>
      <c r="P84" s="157"/>
      <c r="Q84" s="157">
        <f t="shared" si="39"/>
        <v>0</v>
      </c>
      <c r="S84" s="234">
        <f t="shared" si="40"/>
        <v>0</v>
      </c>
      <c r="T84" s="54" t="e">
        <f t="shared" si="41"/>
        <v>#REF!</v>
      </c>
    </row>
    <row r="85" spans="1:32" ht="15.75" hidden="1" customHeight="1" outlineLevel="1" x14ac:dyDescent="0.25">
      <c r="A85" s="54"/>
      <c r="B85" s="54" t="s">
        <v>393</v>
      </c>
      <c r="C85" s="71"/>
      <c r="D85" s="65">
        <f t="shared" si="37"/>
        <v>1800</v>
      </c>
      <c r="E85" s="233" t="e">
        <f>D85*#REF!</f>
        <v>#REF!</v>
      </c>
      <c r="F85" s="233" t="e">
        <f>D85*#REF!</f>
        <v>#REF!</v>
      </c>
      <c r="G85" s="160" t="e">
        <f>(D85*#REF!)*#REF!</f>
        <v>#REF!</v>
      </c>
      <c r="H85" s="65"/>
      <c r="I85" s="65"/>
      <c r="J85" s="65"/>
      <c r="K85" s="71"/>
      <c r="L85" s="65">
        <f t="shared" ref="L85:O85" si="57">SUMIF($B$6:$B$25,$B85,L$6:L$25)+SUMIF($B$33:$B$40,$B85,L$33:L$40)+SUMIF($B$43:$B$48,$B85,L$43:L$48)</f>
        <v>550</v>
      </c>
      <c r="M85" s="65">
        <f t="shared" si="57"/>
        <v>0</v>
      </c>
      <c r="N85" s="65">
        <f t="shared" si="57"/>
        <v>0</v>
      </c>
      <c r="O85" s="65">
        <f t="shared" si="57"/>
        <v>0</v>
      </c>
      <c r="P85" s="157"/>
      <c r="Q85" s="157">
        <f t="shared" si="39"/>
        <v>0</v>
      </c>
      <c r="S85" s="234">
        <f t="shared" si="40"/>
        <v>0</v>
      </c>
      <c r="T85" s="54" t="e">
        <f t="shared" si="41"/>
        <v>#REF!</v>
      </c>
    </row>
    <row r="86" spans="1:32" ht="15.75" hidden="1" customHeight="1" outlineLevel="1" x14ac:dyDescent="0.25">
      <c r="A86" s="54"/>
      <c r="B86" s="54" t="s">
        <v>92</v>
      </c>
      <c r="C86" s="71"/>
      <c r="D86" s="65">
        <f t="shared" si="37"/>
        <v>0</v>
      </c>
      <c r="E86" s="233" t="e">
        <f>D86*#REF!</f>
        <v>#REF!</v>
      </c>
      <c r="F86" s="233" t="e">
        <f>D86*#REF!</f>
        <v>#REF!</v>
      </c>
      <c r="G86" s="160" t="e">
        <f>(D86*#REF!)*#REF!</f>
        <v>#REF!</v>
      </c>
      <c r="H86" s="65"/>
      <c r="I86" s="65"/>
      <c r="J86" s="65"/>
      <c r="K86" s="71"/>
      <c r="L86" s="65">
        <f t="shared" ref="L86:O86" si="58">SUMIF($B$6:$B$25,$B86,L$6:L$25)+SUMIF($B$33:$B$40,$B86,L$33:L$40)+SUMIF($B$43:$B$48,$B86,L$43:L$48)</f>
        <v>14205</v>
      </c>
      <c r="M86" s="65">
        <f t="shared" si="58"/>
        <v>17230.419999999998</v>
      </c>
      <c r="N86" s="65">
        <f t="shared" si="58"/>
        <v>14000</v>
      </c>
      <c r="O86" s="65">
        <f t="shared" si="58"/>
        <v>23165.4</v>
      </c>
      <c r="P86" s="157"/>
      <c r="Q86" s="157">
        <f t="shared" si="39"/>
        <v>15000</v>
      </c>
      <c r="S86" s="234">
        <f t="shared" si="40"/>
        <v>0</v>
      </c>
      <c r="T86" s="54" t="e">
        <f t="shared" si="41"/>
        <v>#REF!</v>
      </c>
    </row>
    <row r="87" spans="1:32" ht="15.75" hidden="1" customHeight="1" outlineLevel="1" x14ac:dyDescent="0.25">
      <c r="A87" s="54"/>
      <c r="B87" s="54" t="s">
        <v>94</v>
      </c>
      <c r="C87" s="71"/>
      <c r="D87" s="65">
        <f t="shared" si="37"/>
        <v>1930</v>
      </c>
      <c r="E87" s="233" t="e">
        <f>D87*#REF!</f>
        <v>#REF!</v>
      </c>
      <c r="F87" s="233" t="e">
        <f>D87*#REF!</f>
        <v>#REF!</v>
      </c>
      <c r="G87" s="160" t="e">
        <f>(D87*#REF!)*#REF!</f>
        <v>#REF!</v>
      </c>
      <c r="H87" s="65"/>
      <c r="I87" s="65"/>
      <c r="J87" s="65"/>
      <c r="K87" s="71"/>
      <c r="L87" s="65">
        <f t="shared" ref="L87:O87" si="59">SUMIF($B$6:$B$25,$B87,L$6:L$25)+SUMIF($B$33:$B$40,$B87,L$33:L$40)+SUMIF($B$43:$B$48,$B87,L$43:L$48)</f>
        <v>330</v>
      </c>
      <c r="M87" s="65">
        <f t="shared" si="59"/>
        <v>0</v>
      </c>
      <c r="N87" s="65">
        <f t="shared" si="59"/>
        <v>0</v>
      </c>
      <c r="O87" s="65">
        <f t="shared" si="59"/>
        <v>0</v>
      </c>
      <c r="P87" s="157"/>
      <c r="Q87" s="157">
        <f t="shared" si="39"/>
        <v>0</v>
      </c>
      <c r="S87" s="234">
        <f t="shared" si="40"/>
        <v>0</v>
      </c>
      <c r="T87" s="54" t="e">
        <f t="shared" si="41"/>
        <v>#REF!</v>
      </c>
    </row>
    <row r="88" spans="1:32" ht="15.75" hidden="1" customHeight="1" outlineLevel="1" x14ac:dyDescent="0.25">
      <c r="A88" s="54"/>
      <c r="B88" s="54" t="s">
        <v>397</v>
      </c>
      <c r="C88" s="71"/>
      <c r="D88" s="65">
        <f t="shared" si="37"/>
        <v>-153465</v>
      </c>
      <c r="E88" s="233" t="e">
        <f>D88*#REF!</f>
        <v>#REF!</v>
      </c>
      <c r="F88" s="233" t="e">
        <f>D88*#REF!</f>
        <v>#REF!</v>
      </c>
      <c r="G88" s="160" t="e">
        <f>(D88*#REF!)*#REF!</f>
        <v>#REF!</v>
      </c>
      <c r="H88" s="65"/>
      <c r="I88" s="65"/>
      <c r="J88" s="65"/>
      <c r="K88" s="71"/>
      <c r="L88" s="65">
        <f t="shared" ref="L88:O88" si="60">SUMIF($B$6:$B$25,$B88,L$6:L$25)+SUMIF($B$33:$B$40,$B88,L$33:L$40)+SUMIF($B$43:$B$48,$B88,L$43:L$48)</f>
        <v>-217837</v>
      </c>
      <c r="M88" s="65">
        <f t="shared" si="60"/>
        <v>-311640.09000000003</v>
      </c>
      <c r="N88" s="65">
        <f t="shared" si="60"/>
        <v>-360500</v>
      </c>
      <c r="O88" s="65">
        <f t="shared" si="60"/>
        <v>-246666.83</v>
      </c>
      <c r="P88" s="157"/>
      <c r="Q88" s="157">
        <f t="shared" si="39"/>
        <v>-375817</v>
      </c>
      <c r="S88" s="234">
        <f t="shared" si="40"/>
        <v>0</v>
      </c>
      <c r="T88" s="54" t="e">
        <f t="shared" si="41"/>
        <v>#REF!</v>
      </c>
    </row>
    <row r="89" spans="1:32" ht="15.75" hidden="1" customHeight="1" outlineLevel="1" x14ac:dyDescent="0.25">
      <c r="A89" s="237" t="s">
        <v>441</v>
      </c>
      <c r="B89" s="77"/>
      <c r="C89" s="188"/>
      <c r="D89" s="77">
        <f t="shared" ref="D89:G89" si="61">SUM(D69:D88)</f>
        <v>1661979.15</v>
      </c>
      <c r="E89" s="77" t="e">
        <f t="shared" si="61"/>
        <v>#REF!</v>
      </c>
      <c r="F89" s="77" t="e">
        <f t="shared" si="61"/>
        <v>#REF!</v>
      </c>
      <c r="G89" s="189" t="e">
        <f t="shared" si="61"/>
        <v>#REF!</v>
      </c>
      <c r="H89" s="77"/>
      <c r="I89" s="77"/>
      <c r="J89" s="77"/>
      <c r="K89" s="188"/>
      <c r="L89" s="77">
        <f t="shared" ref="L89:O89" si="62">SUM(L69:L88)</f>
        <v>2157170</v>
      </c>
      <c r="M89" s="77">
        <f t="shared" si="62"/>
        <v>3070078.87</v>
      </c>
      <c r="N89" s="77">
        <f t="shared" si="62"/>
        <v>3644144</v>
      </c>
      <c r="O89" s="77">
        <f t="shared" si="62"/>
        <v>2654712.33</v>
      </c>
      <c r="P89" s="189"/>
      <c r="Q89" s="189">
        <f>SUM(Q69:Q88)</f>
        <v>3799923</v>
      </c>
      <c r="R89" s="44"/>
      <c r="S89" s="238">
        <f t="shared" si="40"/>
        <v>0</v>
      </c>
      <c r="T89" s="77" t="e">
        <f t="shared" si="41"/>
        <v>#REF!</v>
      </c>
      <c r="U89" s="239">
        <f>SUM(U69:U88)</f>
        <v>0</v>
      </c>
    </row>
    <row r="90" spans="1:32" ht="15.75" hidden="1" customHeight="1" outlineLevel="1" x14ac:dyDescent="0.2">
      <c r="A90" s="54"/>
      <c r="B90" s="54"/>
      <c r="C90" s="180"/>
      <c r="D90" s="54">
        <f>D89-D26-D41-D49</f>
        <v>-9.4587448984384537E-11</v>
      </c>
      <c r="E90" s="54"/>
      <c r="F90" s="54"/>
      <c r="G90" s="54"/>
      <c r="I90" s="54"/>
      <c r="J90" s="54"/>
      <c r="K90" s="180"/>
      <c r="L90" s="54">
        <f t="shared" ref="L90:O90" si="63">L89-L26-L41-L49</f>
        <v>0</v>
      </c>
      <c r="M90" s="54">
        <f t="shared" si="63"/>
        <v>0</v>
      </c>
      <c r="N90" s="54">
        <f t="shared" si="63"/>
        <v>0</v>
      </c>
      <c r="O90" s="54">
        <f t="shared" si="63"/>
        <v>0</v>
      </c>
      <c r="P90" s="54"/>
      <c r="Q90" s="54">
        <f>Q89-Q26-Q41-Q49</f>
        <v>0</v>
      </c>
      <c r="S90" s="62"/>
    </row>
    <row r="91" spans="1:32" ht="15.75" hidden="1" customHeight="1" outlineLevel="1" x14ac:dyDescent="0.2">
      <c r="A91" s="78" t="s">
        <v>184</v>
      </c>
      <c r="B91" s="54"/>
      <c r="C91" s="180"/>
      <c r="D91" s="54"/>
      <c r="E91" s="54"/>
      <c r="F91" s="54"/>
      <c r="G91" s="54"/>
      <c r="I91" s="54"/>
      <c r="J91" s="54"/>
      <c r="K91" s="180"/>
      <c r="L91" s="54"/>
      <c r="M91" s="54"/>
      <c r="N91" s="54"/>
      <c r="O91" s="54"/>
      <c r="P91" s="54"/>
      <c r="Q91" s="54"/>
      <c r="S91" s="62"/>
    </row>
    <row r="92" spans="1:32" ht="15.75" hidden="1" customHeight="1" outlineLevel="1" x14ac:dyDescent="0.25">
      <c r="A92" s="81" t="s">
        <v>420</v>
      </c>
      <c r="B92" s="240" t="s">
        <v>421</v>
      </c>
      <c r="C92" s="180"/>
      <c r="D92" s="81">
        <v>-96458</v>
      </c>
      <c r="E92" s="233" t="e">
        <f>D92*#REF!</f>
        <v>#REF!</v>
      </c>
      <c r="F92" s="233" t="e">
        <f>D92*#REF!</f>
        <v>#REF!</v>
      </c>
      <c r="G92" s="160" t="e">
        <f>(D92*#REF!)*#REF!</f>
        <v>#REF!</v>
      </c>
      <c r="H92" s="81"/>
      <c r="I92" s="81"/>
      <c r="J92" s="81"/>
      <c r="K92" s="180"/>
      <c r="L92" s="81">
        <v>-128209</v>
      </c>
      <c r="M92" s="81">
        <v>-204017.3</v>
      </c>
      <c r="N92" s="81">
        <v>-200000</v>
      </c>
      <c r="O92" s="81">
        <v>-123267.5</v>
      </c>
      <c r="P92" s="147"/>
      <c r="Q92" s="147">
        <v>-170800</v>
      </c>
      <c r="R92" s="83"/>
      <c r="S92" s="241">
        <f t="shared" ref="S92:S98" si="64">IFERROR(((Q92-G92)/G92),0)</f>
        <v>0</v>
      </c>
      <c r="T92" s="81" t="e">
        <f t="shared" ref="T92:T98" si="65">Q92-G92</f>
        <v>#REF!</v>
      </c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</row>
    <row r="93" spans="1:32" ht="15.75" hidden="1" customHeight="1" outlineLevel="1" x14ac:dyDescent="0.25">
      <c r="A93" s="81" t="s">
        <v>422</v>
      </c>
      <c r="B93" s="240" t="s">
        <v>423</v>
      </c>
      <c r="C93" s="180"/>
      <c r="D93" s="81">
        <v>-102236</v>
      </c>
      <c r="E93" s="233" t="e">
        <f>D93*#REF!</f>
        <v>#REF!</v>
      </c>
      <c r="F93" s="233" t="e">
        <f>D93*#REF!</f>
        <v>#REF!</v>
      </c>
      <c r="G93" s="160" t="e">
        <f>(D93*#REF!)*#REF!</f>
        <v>#REF!</v>
      </c>
      <c r="H93" s="81"/>
      <c r="I93" s="81"/>
      <c r="J93" s="81"/>
      <c r="K93" s="180"/>
      <c r="L93" s="81">
        <v>-42684</v>
      </c>
      <c r="M93" s="81">
        <v>0</v>
      </c>
      <c r="N93" s="81">
        <v>0</v>
      </c>
      <c r="O93" s="81">
        <v>0</v>
      </c>
      <c r="P93" s="147"/>
      <c r="Q93" s="147">
        <v>0</v>
      </c>
      <c r="R93" s="83"/>
      <c r="S93" s="241">
        <f t="shared" si="64"/>
        <v>0</v>
      </c>
      <c r="T93" s="81" t="e">
        <f t="shared" si="65"/>
        <v>#REF!</v>
      </c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</row>
    <row r="94" spans="1:32" ht="15.75" hidden="1" customHeight="1" outlineLevel="1" x14ac:dyDescent="0.25">
      <c r="A94" s="54" t="s">
        <v>424</v>
      </c>
      <c r="B94" s="242" t="s">
        <v>425</v>
      </c>
      <c r="C94" s="180"/>
      <c r="D94" s="54">
        <v>-11151</v>
      </c>
      <c r="E94" s="20" t="e">
        <f>D94*#REF!</f>
        <v>#REF!</v>
      </c>
      <c r="F94" s="20" t="e">
        <f>D94*#REF!</f>
        <v>#REF!</v>
      </c>
      <c r="G94" s="160" t="e">
        <f>(D94*#REF!)*#REF!</f>
        <v>#REF!</v>
      </c>
      <c r="H94" s="54"/>
      <c r="I94" s="54"/>
      <c r="J94" s="54"/>
      <c r="K94" s="180"/>
      <c r="L94" s="54">
        <v>-8400</v>
      </c>
      <c r="M94" s="54">
        <v>-2180</v>
      </c>
      <c r="N94" s="54">
        <v>-3800</v>
      </c>
      <c r="O94" s="54">
        <v>-50</v>
      </c>
      <c r="P94" s="147"/>
      <c r="Q94" s="147">
        <v>-3000</v>
      </c>
      <c r="S94" s="234">
        <f t="shared" si="64"/>
        <v>0</v>
      </c>
      <c r="T94" s="54" t="e">
        <f t="shared" si="65"/>
        <v>#REF!</v>
      </c>
    </row>
    <row r="95" spans="1:32" ht="15.75" hidden="1" customHeight="1" outlineLevel="1" x14ac:dyDescent="0.25">
      <c r="A95" s="54" t="s">
        <v>426</v>
      </c>
      <c r="B95" s="242" t="s">
        <v>427</v>
      </c>
      <c r="C95" s="180"/>
      <c r="D95" s="54">
        <v>-118867</v>
      </c>
      <c r="E95" s="20" t="e">
        <f>D95*#REF!</f>
        <v>#REF!</v>
      </c>
      <c r="F95" s="20" t="e">
        <f>D95*#REF!</f>
        <v>#REF!</v>
      </c>
      <c r="G95" s="160" t="e">
        <f>(D95*#REF!)*#REF!</f>
        <v>#REF!</v>
      </c>
      <c r="H95" s="54"/>
      <c r="I95" s="54"/>
      <c r="J95" s="54"/>
      <c r="K95" s="180"/>
      <c r="L95" s="54">
        <v>-113800</v>
      </c>
      <c r="M95" s="54">
        <v>-18666.66</v>
      </c>
      <c r="N95" s="54">
        <v>-112000</v>
      </c>
      <c r="O95" s="54">
        <v>0</v>
      </c>
      <c r="P95" s="147"/>
      <c r="Q95" s="147">
        <v>0</v>
      </c>
      <c r="S95" s="234">
        <f t="shared" si="64"/>
        <v>0</v>
      </c>
      <c r="T95" s="54" t="e">
        <f t="shared" si="65"/>
        <v>#REF!</v>
      </c>
    </row>
    <row r="96" spans="1:32" ht="15.75" hidden="1" customHeight="1" outlineLevel="1" x14ac:dyDescent="0.25">
      <c r="A96" s="54" t="s">
        <v>428</v>
      </c>
      <c r="B96" s="242" t="s">
        <v>429</v>
      </c>
      <c r="C96" s="180"/>
      <c r="D96" s="54">
        <v>-22727</v>
      </c>
      <c r="E96" s="20" t="e">
        <f>D96*#REF!</f>
        <v>#REF!</v>
      </c>
      <c r="F96" s="20" t="e">
        <f>D96*#REF!</f>
        <v>#REF!</v>
      </c>
      <c r="G96" s="160" t="e">
        <f>(D96*#REF!)*#REF!</f>
        <v>#REF!</v>
      </c>
      <c r="H96" s="54"/>
      <c r="I96" s="54"/>
      <c r="J96" s="54"/>
      <c r="K96" s="180"/>
      <c r="L96" s="54">
        <v>-13753</v>
      </c>
      <c r="M96" s="54">
        <v>-18484.080000000002</v>
      </c>
      <c r="N96" s="54">
        <v>-15000</v>
      </c>
      <c r="O96" s="54">
        <v>-8264.6299999999992</v>
      </c>
      <c r="P96" s="147"/>
      <c r="Q96" s="147">
        <v>-15000</v>
      </c>
      <c r="S96" s="234">
        <f t="shared" si="64"/>
        <v>0</v>
      </c>
      <c r="T96" s="54" t="e">
        <f t="shared" si="65"/>
        <v>#REF!</v>
      </c>
    </row>
    <row r="97" spans="1:32" ht="15.75" hidden="1" customHeight="1" outlineLevel="1" x14ac:dyDescent="0.25">
      <c r="A97" s="54" t="s">
        <v>430</v>
      </c>
      <c r="B97" s="242" t="s">
        <v>431</v>
      </c>
      <c r="C97" s="180"/>
      <c r="D97" s="54">
        <v>-67202</v>
      </c>
      <c r="E97" s="20" t="e">
        <f>D97*#REF!</f>
        <v>#REF!</v>
      </c>
      <c r="F97" s="20" t="e">
        <f>D97*#REF!</f>
        <v>#REF!</v>
      </c>
      <c r="G97" s="160" t="e">
        <f>(D97*#REF!)*#REF!</f>
        <v>#REF!</v>
      </c>
      <c r="H97" s="54"/>
      <c r="I97" s="54"/>
      <c r="J97" s="54"/>
      <c r="K97" s="180"/>
      <c r="L97" s="54">
        <v>-107216</v>
      </c>
      <c r="M97" s="54">
        <v>-133475.03</v>
      </c>
      <c r="N97" s="54">
        <v>-70000</v>
      </c>
      <c r="O97" s="54">
        <v>-108489.91</v>
      </c>
      <c r="P97" s="147"/>
      <c r="Q97" s="147">
        <v>-120000</v>
      </c>
      <c r="S97" s="234">
        <f t="shared" si="64"/>
        <v>0</v>
      </c>
      <c r="T97" s="54" t="e">
        <f t="shared" si="65"/>
        <v>#REF!</v>
      </c>
    </row>
    <row r="98" spans="1:32" ht="15.75" hidden="1" customHeight="1" outlineLevel="1" x14ac:dyDescent="0.25">
      <c r="A98" s="54" t="s">
        <v>432</v>
      </c>
      <c r="B98" s="242" t="s">
        <v>433</v>
      </c>
      <c r="C98" s="180"/>
      <c r="D98" s="54">
        <v>0</v>
      </c>
      <c r="E98" s="20" t="e">
        <f>D98*#REF!</f>
        <v>#REF!</v>
      </c>
      <c r="F98" s="20" t="e">
        <f>D98*#REF!</f>
        <v>#REF!</v>
      </c>
      <c r="G98" s="160" t="e">
        <f>(D98*#REF!)*#REF!</f>
        <v>#REF!</v>
      </c>
      <c r="H98" s="54"/>
      <c r="I98" s="54"/>
      <c r="J98" s="54"/>
      <c r="K98" s="180"/>
      <c r="L98" s="54">
        <v>-5006</v>
      </c>
      <c r="M98" s="54">
        <v>-2573.6</v>
      </c>
      <c r="N98" s="54">
        <v>-5000</v>
      </c>
      <c r="O98" s="54">
        <v>0</v>
      </c>
      <c r="P98" s="147"/>
      <c r="Q98" s="147">
        <v>-2500</v>
      </c>
      <c r="S98" s="234">
        <f t="shared" si="64"/>
        <v>0</v>
      </c>
      <c r="T98" s="54" t="e">
        <f t="shared" si="65"/>
        <v>#REF!</v>
      </c>
    </row>
    <row r="99" spans="1:32" ht="15.75" hidden="1" customHeight="1" outlineLevel="1" x14ac:dyDescent="0.2">
      <c r="A99" s="77" t="s">
        <v>189</v>
      </c>
      <c r="B99" s="191"/>
      <c r="C99" s="188"/>
      <c r="D99" s="77">
        <f t="shared" ref="D99:G99" si="66">SUM(D92:D98)</f>
        <v>-418641</v>
      </c>
      <c r="E99" s="77" t="e">
        <f t="shared" si="66"/>
        <v>#REF!</v>
      </c>
      <c r="F99" s="77" t="e">
        <f t="shared" si="66"/>
        <v>#REF!</v>
      </c>
      <c r="G99" s="189" t="e">
        <f t="shared" si="66"/>
        <v>#REF!</v>
      </c>
      <c r="H99" s="77"/>
      <c r="I99" s="77"/>
      <c r="J99" s="77"/>
      <c r="K99" s="188"/>
      <c r="L99" s="77">
        <f t="shared" ref="L99:O99" si="67">SUM(L92:L98)</f>
        <v>-419068</v>
      </c>
      <c r="M99" s="77">
        <f t="shared" si="67"/>
        <v>-379396.66999999993</v>
      </c>
      <c r="N99" s="77">
        <f t="shared" si="67"/>
        <v>-405800</v>
      </c>
      <c r="O99" s="77">
        <f t="shared" si="67"/>
        <v>-240072.04</v>
      </c>
      <c r="P99" s="189"/>
      <c r="Q99" s="189">
        <f>SUM(Q92:Q98)</f>
        <v>-311300</v>
      </c>
      <c r="S99" s="243">
        <f t="shared" ref="S99:U99" si="68">SUM(S92:S98)</f>
        <v>0</v>
      </c>
      <c r="T99" s="77" t="e">
        <f t="shared" si="68"/>
        <v>#REF!</v>
      </c>
      <c r="U99" s="239">
        <f t="shared" si="68"/>
        <v>0</v>
      </c>
    </row>
    <row r="100" spans="1:32" ht="15.75" hidden="1" customHeight="1" outlineLevel="1" x14ac:dyDescent="0.2">
      <c r="A100" s="54"/>
      <c r="B100" s="54"/>
      <c r="C100" s="180"/>
      <c r="D100" s="54"/>
      <c r="E100" s="54"/>
      <c r="F100" s="54"/>
      <c r="G100" s="54"/>
      <c r="I100" s="54"/>
      <c r="J100" s="54"/>
      <c r="K100" s="180"/>
      <c r="L100" s="54"/>
      <c r="M100" s="54"/>
      <c r="N100" s="54"/>
      <c r="O100" s="54"/>
      <c r="P100" s="54"/>
      <c r="Q100" s="54"/>
      <c r="S100" s="62"/>
    </row>
    <row r="101" spans="1:32" ht="15.75" hidden="1" customHeight="1" outlineLevel="1" x14ac:dyDescent="0.2">
      <c r="A101" s="78" t="s">
        <v>190</v>
      </c>
      <c r="B101" s="54"/>
      <c r="C101" s="244"/>
      <c r="D101" s="245">
        <f t="shared" ref="D101:G101" si="69">D89+D99</f>
        <v>1243338.1499999999</v>
      </c>
      <c r="E101" s="245" t="e">
        <f t="shared" si="69"/>
        <v>#REF!</v>
      </c>
      <c r="F101" s="245" t="e">
        <f t="shared" si="69"/>
        <v>#REF!</v>
      </c>
      <c r="G101" s="193" t="e">
        <f t="shared" si="69"/>
        <v>#REF!</v>
      </c>
      <c r="H101" s="245"/>
      <c r="I101" s="245"/>
      <c r="J101" s="245"/>
      <c r="K101" s="192"/>
      <c r="L101" s="245">
        <f t="shared" ref="L101:O101" si="70">L89+L99</f>
        <v>1738102</v>
      </c>
      <c r="M101" s="245">
        <f t="shared" si="70"/>
        <v>2690682.2</v>
      </c>
      <c r="N101" s="245">
        <f t="shared" si="70"/>
        <v>3238344</v>
      </c>
      <c r="O101" s="245">
        <f t="shared" si="70"/>
        <v>2414640.29</v>
      </c>
      <c r="P101" s="193"/>
      <c r="Q101" s="193">
        <f>Q89+Q99</f>
        <v>3488623</v>
      </c>
      <c r="R101" s="51"/>
      <c r="S101" s="246">
        <f>IFERROR(((Q101-G101)/G101),0)</f>
        <v>0</v>
      </c>
      <c r="T101" s="247" t="e">
        <f>Q101-G101</f>
        <v>#REF!</v>
      </c>
      <c r="U101" s="190">
        <f>U89+U99</f>
        <v>0</v>
      </c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</row>
    <row r="102" spans="1:32" ht="15.75" hidden="1" customHeight="1" outlineLevel="1" x14ac:dyDescent="0.2">
      <c r="A102" s="54"/>
      <c r="B102" s="54"/>
      <c r="C102" s="180"/>
      <c r="D102" s="54"/>
      <c r="E102" s="54"/>
      <c r="F102" s="54"/>
      <c r="G102" s="54"/>
      <c r="I102" s="54"/>
      <c r="J102" s="54"/>
      <c r="K102" s="180"/>
      <c r="L102" s="54"/>
      <c r="M102" s="54"/>
      <c r="N102" s="54"/>
      <c r="O102" s="54"/>
      <c r="P102" s="54"/>
      <c r="Q102" s="54"/>
      <c r="S102" s="62"/>
    </row>
    <row r="103" spans="1:32" ht="28.5" hidden="1" customHeight="1" outlineLevel="1" x14ac:dyDescent="0.2">
      <c r="A103" s="125"/>
      <c r="B103" s="59"/>
      <c r="C103" s="204"/>
      <c r="D103" s="59"/>
      <c r="E103" s="59"/>
      <c r="F103" s="248" t="s">
        <v>102</v>
      </c>
      <c r="G103" s="126" t="s">
        <v>55</v>
      </c>
      <c r="H103" s="249"/>
      <c r="I103" s="126"/>
      <c r="J103" s="126"/>
      <c r="K103" s="250"/>
      <c r="L103" s="126" t="s">
        <v>59</v>
      </c>
      <c r="M103" s="126" t="s">
        <v>60</v>
      </c>
      <c r="N103" s="126" t="s">
        <v>436</v>
      </c>
      <c r="O103" s="126" t="s">
        <v>437</v>
      </c>
      <c r="P103" s="126"/>
      <c r="Q103" s="251" t="s">
        <v>438</v>
      </c>
      <c r="R103" s="56"/>
      <c r="S103" s="252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</row>
    <row r="104" spans="1:32" ht="15.75" hidden="1" customHeight="1" outlineLevel="1" x14ac:dyDescent="0.2">
      <c r="A104" s="54"/>
      <c r="B104" s="54"/>
      <c r="C104" s="180"/>
      <c r="D104" s="54"/>
      <c r="E104" s="54"/>
      <c r="F104" s="253" t="s">
        <v>442</v>
      </c>
      <c r="G104" s="254" t="e">
        <f>G89</f>
        <v>#REF!</v>
      </c>
      <c r="H104" s="254"/>
      <c r="I104" s="254"/>
      <c r="J104" s="254"/>
      <c r="K104" s="255"/>
      <c r="L104" s="254">
        <f t="shared" ref="L104:O104" si="71">L89</f>
        <v>2157170</v>
      </c>
      <c r="M104" s="254">
        <f t="shared" si="71"/>
        <v>3070078.87</v>
      </c>
      <c r="N104" s="254">
        <f t="shared" si="71"/>
        <v>3644144</v>
      </c>
      <c r="O104" s="254">
        <f t="shared" si="71"/>
        <v>2654712.33</v>
      </c>
      <c r="P104" s="254"/>
      <c r="Q104" s="254">
        <f>Q89</f>
        <v>3799923</v>
      </c>
      <c r="S104" s="62"/>
      <c r="T104" s="83"/>
      <c r="U104" s="83"/>
    </row>
    <row r="105" spans="1:32" ht="15.75" hidden="1" customHeight="1" outlineLevel="1" x14ac:dyDescent="0.2">
      <c r="A105" s="54"/>
      <c r="B105" s="54"/>
      <c r="C105" s="180"/>
      <c r="D105" s="54"/>
      <c r="E105" s="54"/>
      <c r="F105" s="54"/>
      <c r="G105" s="54"/>
      <c r="I105" s="54"/>
      <c r="J105" s="54"/>
      <c r="K105" s="180"/>
      <c r="L105" s="54"/>
      <c r="M105" s="54"/>
      <c r="N105" s="54"/>
      <c r="O105" s="54"/>
      <c r="P105" s="54"/>
      <c r="Q105" s="54"/>
      <c r="S105" s="62"/>
    </row>
    <row r="106" spans="1:32" ht="15.75" customHeight="1" x14ac:dyDescent="0.2">
      <c r="A106" s="54"/>
      <c r="B106" s="54"/>
      <c r="C106" s="180"/>
      <c r="D106" s="54"/>
      <c r="E106" s="54"/>
      <c r="F106" s="54"/>
      <c r="G106" s="54"/>
      <c r="I106" s="54"/>
      <c r="J106" s="54"/>
      <c r="K106" s="180"/>
      <c r="L106" s="256" t="s">
        <v>102</v>
      </c>
      <c r="M106" s="256" t="s">
        <v>59</v>
      </c>
      <c r="N106" s="256" t="s">
        <v>60</v>
      </c>
      <c r="O106" s="256" t="s">
        <v>61</v>
      </c>
      <c r="P106" s="256" t="s">
        <v>62</v>
      </c>
      <c r="Q106" s="256" t="s">
        <v>63</v>
      </c>
      <c r="R106" s="256" t="s">
        <v>64</v>
      </c>
      <c r="S106" s="256" t="s">
        <v>65</v>
      </c>
    </row>
    <row r="107" spans="1:32" ht="15.75" customHeight="1" x14ac:dyDescent="0.2">
      <c r="A107" s="54"/>
      <c r="B107" s="54"/>
      <c r="C107" s="180"/>
      <c r="D107" s="54"/>
      <c r="E107" s="54"/>
      <c r="F107" s="54"/>
      <c r="G107" s="54"/>
      <c r="I107" s="54"/>
      <c r="J107" s="54"/>
      <c r="K107" s="180"/>
      <c r="L107" s="7" t="s">
        <v>103</v>
      </c>
      <c r="M107" s="7">
        <v>1783504</v>
      </c>
      <c r="N107" s="7">
        <v>3341155.04</v>
      </c>
      <c r="O107" s="7">
        <v>3238344</v>
      </c>
      <c r="P107" s="7">
        <v>2414640.29</v>
      </c>
      <c r="Q107" s="7">
        <v>3626329.1083333334</v>
      </c>
      <c r="R107" s="7">
        <v>3488623</v>
      </c>
      <c r="S107" s="7">
        <v>3168576</v>
      </c>
    </row>
    <row r="108" spans="1:32" ht="15.75" customHeight="1" x14ac:dyDescent="0.2">
      <c r="A108" s="54"/>
      <c r="B108" s="54"/>
      <c r="C108" s="180"/>
      <c r="D108" s="54"/>
      <c r="E108" s="54"/>
      <c r="F108" s="54"/>
      <c r="G108" s="54"/>
      <c r="I108" s="54"/>
      <c r="J108" s="54"/>
      <c r="K108" s="180"/>
      <c r="L108" s="54"/>
      <c r="M108" s="54"/>
      <c r="N108" s="54"/>
      <c r="O108" s="54"/>
      <c r="P108" s="54"/>
      <c r="Q108" s="54"/>
      <c r="S108" s="62"/>
    </row>
    <row r="109" spans="1:32" ht="15.75" customHeight="1" x14ac:dyDescent="0.2">
      <c r="A109" s="54"/>
      <c r="B109" s="54"/>
      <c r="C109" s="180"/>
      <c r="D109" s="54"/>
      <c r="E109" s="54"/>
      <c r="F109" s="54"/>
      <c r="G109" s="54"/>
      <c r="I109" s="54"/>
      <c r="J109" s="54"/>
      <c r="K109" s="180"/>
      <c r="L109" s="54"/>
      <c r="M109" s="54"/>
      <c r="N109" s="54"/>
      <c r="O109" s="54"/>
      <c r="P109" s="54"/>
      <c r="Q109" s="54"/>
      <c r="S109" s="62"/>
    </row>
    <row r="110" spans="1:32" ht="15.75" customHeight="1" x14ac:dyDescent="0.2">
      <c r="A110" s="54"/>
      <c r="B110" s="54"/>
      <c r="C110" s="180"/>
      <c r="D110" s="54"/>
      <c r="E110" s="54"/>
      <c r="F110" s="54"/>
      <c r="G110" s="54"/>
      <c r="I110" s="54"/>
      <c r="J110" s="54"/>
      <c r="K110" s="180"/>
      <c r="L110" s="54"/>
      <c r="M110" s="54"/>
      <c r="N110" s="54"/>
      <c r="O110" s="54"/>
      <c r="P110" s="54"/>
      <c r="Q110" s="54"/>
      <c r="S110" s="62"/>
    </row>
    <row r="111" spans="1:32" ht="15.75" customHeight="1" x14ac:dyDescent="0.2">
      <c r="A111" s="54"/>
      <c r="B111" s="54"/>
      <c r="C111" s="180"/>
      <c r="D111" s="54"/>
      <c r="E111" s="54"/>
      <c r="F111" s="54"/>
      <c r="G111" s="54"/>
      <c r="I111" s="54"/>
      <c r="J111" s="54"/>
      <c r="K111" s="180"/>
      <c r="L111" s="54"/>
      <c r="M111" s="54"/>
      <c r="N111" s="54"/>
      <c r="O111" s="54"/>
      <c r="P111" s="54"/>
      <c r="Q111" s="54"/>
      <c r="S111" s="62"/>
    </row>
    <row r="112" spans="1:32" ht="15.75" customHeight="1" x14ac:dyDescent="0.2">
      <c r="A112" s="54"/>
      <c r="B112" s="54"/>
      <c r="C112" s="180"/>
      <c r="D112" s="54"/>
      <c r="E112" s="54"/>
      <c r="F112" s="54"/>
      <c r="G112" s="54"/>
      <c r="I112" s="54"/>
      <c r="J112" s="54"/>
      <c r="K112" s="180"/>
      <c r="L112" s="54"/>
      <c r="M112" s="54"/>
      <c r="N112" s="54"/>
      <c r="O112" s="54"/>
      <c r="P112" s="54"/>
      <c r="Q112" s="54"/>
      <c r="S112" s="62"/>
    </row>
    <row r="113" spans="1:19" ht="15.75" customHeight="1" x14ac:dyDescent="0.2">
      <c r="A113" s="54"/>
      <c r="B113" s="54"/>
      <c r="C113" s="180"/>
      <c r="D113" s="54"/>
      <c r="E113" s="54"/>
      <c r="F113" s="54"/>
      <c r="G113" s="54"/>
      <c r="I113" s="54"/>
      <c r="J113" s="54"/>
      <c r="K113" s="180"/>
      <c r="L113" s="54"/>
      <c r="M113" s="54"/>
      <c r="N113" s="54"/>
      <c r="O113" s="54"/>
      <c r="P113" s="54"/>
      <c r="Q113" s="54"/>
      <c r="S113" s="62"/>
    </row>
    <row r="114" spans="1:19" ht="15.75" customHeight="1" x14ac:dyDescent="0.2">
      <c r="A114" s="54"/>
      <c r="B114" s="54"/>
      <c r="C114" s="180"/>
      <c r="D114" s="54"/>
      <c r="E114" s="54"/>
      <c r="F114" s="54"/>
      <c r="G114" s="54"/>
      <c r="I114" s="54"/>
      <c r="J114" s="54"/>
      <c r="K114" s="180"/>
      <c r="L114" s="54"/>
      <c r="M114" s="54"/>
      <c r="N114" s="54"/>
      <c r="O114" s="54"/>
      <c r="P114" s="54"/>
      <c r="Q114" s="54"/>
      <c r="S114" s="62"/>
    </row>
    <row r="115" spans="1:19" ht="15.75" customHeight="1" x14ac:dyDescent="0.2">
      <c r="A115" s="54"/>
      <c r="B115" s="54"/>
      <c r="C115" s="180"/>
      <c r="D115" s="54"/>
      <c r="E115" s="54"/>
      <c r="F115" s="54"/>
      <c r="G115" s="54"/>
      <c r="I115" s="54"/>
      <c r="J115" s="54"/>
      <c r="K115" s="180"/>
      <c r="L115" s="54"/>
      <c r="M115" s="54"/>
      <c r="N115" s="54"/>
      <c r="O115" s="54"/>
      <c r="P115" s="54"/>
      <c r="Q115" s="54"/>
      <c r="S115" s="62"/>
    </row>
    <row r="116" spans="1:19" ht="15.75" customHeight="1" x14ac:dyDescent="0.2">
      <c r="A116" s="54"/>
      <c r="B116" s="54"/>
      <c r="C116" s="180"/>
      <c r="D116" s="54"/>
      <c r="E116" s="54"/>
      <c r="F116" s="54"/>
      <c r="G116" s="54"/>
      <c r="I116" s="54"/>
      <c r="J116" s="54"/>
      <c r="K116" s="180"/>
      <c r="L116" s="54"/>
      <c r="M116" s="54"/>
      <c r="N116" s="54"/>
      <c r="O116" s="54"/>
      <c r="P116" s="54"/>
      <c r="Q116" s="54"/>
      <c r="S116" s="62"/>
    </row>
    <row r="117" spans="1:19" ht="15.75" customHeight="1" x14ac:dyDescent="0.2">
      <c r="A117" s="54"/>
      <c r="B117" s="54"/>
      <c r="C117" s="180"/>
      <c r="D117" s="54"/>
      <c r="E117" s="54"/>
      <c r="F117" s="54"/>
      <c r="G117" s="54"/>
      <c r="I117" s="54"/>
      <c r="J117" s="54"/>
      <c r="K117" s="180"/>
      <c r="L117" s="54"/>
      <c r="M117" s="54"/>
      <c r="N117" s="54"/>
      <c r="O117" s="54"/>
      <c r="P117" s="54"/>
      <c r="Q117" s="54"/>
      <c r="S117" s="62"/>
    </row>
    <row r="118" spans="1:19" ht="15.75" customHeight="1" x14ac:dyDescent="0.2">
      <c r="A118" s="54"/>
      <c r="B118" s="54"/>
      <c r="C118" s="180"/>
      <c r="D118" s="54"/>
      <c r="E118" s="54"/>
      <c r="F118" s="54"/>
      <c r="G118" s="54"/>
      <c r="I118" s="54"/>
      <c r="J118" s="54"/>
      <c r="K118" s="180"/>
      <c r="L118" s="54"/>
      <c r="M118" s="54"/>
      <c r="N118" s="54"/>
      <c r="O118" s="54"/>
      <c r="P118" s="54"/>
      <c r="Q118" s="54"/>
      <c r="S118" s="62"/>
    </row>
    <row r="119" spans="1:19" ht="15.75" customHeight="1" x14ac:dyDescent="0.2">
      <c r="A119" s="54"/>
      <c r="B119" s="54"/>
      <c r="C119" s="180"/>
      <c r="D119" s="54"/>
      <c r="E119" s="54"/>
      <c r="F119" s="54"/>
      <c r="G119" s="54"/>
      <c r="I119" s="54"/>
      <c r="J119" s="54"/>
      <c r="K119" s="180"/>
      <c r="L119" s="54"/>
      <c r="M119" s="54"/>
      <c r="N119" s="54"/>
      <c r="O119" s="54"/>
      <c r="P119" s="54"/>
      <c r="Q119" s="54"/>
      <c r="S119" s="62"/>
    </row>
    <row r="120" spans="1:19" ht="15.75" customHeight="1" x14ac:dyDescent="0.2">
      <c r="A120" s="54"/>
      <c r="B120" s="54"/>
      <c r="C120" s="180"/>
      <c r="D120" s="54"/>
      <c r="E120" s="54"/>
      <c r="F120" s="54"/>
      <c r="G120" s="54"/>
      <c r="I120" s="54"/>
      <c r="J120" s="54"/>
      <c r="K120" s="180"/>
      <c r="L120" s="54"/>
      <c r="M120" s="54"/>
      <c r="N120" s="54"/>
      <c r="O120" s="54"/>
      <c r="P120" s="54"/>
      <c r="Q120" s="54"/>
      <c r="S120" s="62"/>
    </row>
    <row r="121" spans="1:19" ht="15.75" customHeight="1" x14ac:dyDescent="0.2">
      <c r="A121" s="54"/>
      <c r="B121" s="54"/>
      <c r="C121" s="180"/>
      <c r="D121" s="54"/>
      <c r="E121" s="54"/>
      <c r="F121" s="54"/>
      <c r="G121" s="54"/>
      <c r="I121" s="54"/>
      <c r="J121" s="54"/>
      <c r="K121" s="180"/>
      <c r="L121" s="54"/>
      <c r="M121" s="54"/>
      <c r="N121" s="54"/>
      <c r="O121" s="54"/>
      <c r="P121" s="54"/>
      <c r="Q121" s="54"/>
      <c r="S121" s="62"/>
    </row>
    <row r="122" spans="1:19" ht="15.75" customHeight="1" x14ac:dyDescent="0.2">
      <c r="A122" s="54"/>
      <c r="B122" s="54"/>
      <c r="C122" s="180"/>
      <c r="D122" s="54"/>
      <c r="E122" s="54"/>
      <c r="F122" s="54"/>
      <c r="G122" s="54"/>
      <c r="I122" s="54"/>
      <c r="J122" s="54"/>
      <c r="K122" s="180"/>
      <c r="L122" s="54"/>
      <c r="M122" s="54"/>
      <c r="N122" s="54"/>
      <c r="O122" s="54"/>
      <c r="P122" s="54"/>
      <c r="Q122" s="54"/>
      <c r="S122" s="62"/>
    </row>
    <row r="123" spans="1:19" ht="15.75" customHeight="1" x14ac:dyDescent="0.2">
      <c r="A123" s="54"/>
      <c r="B123" s="54"/>
      <c r="C123" s="180"/>
      <c r="D123" s="54"/>
      <c r="E123" s="54"/>
      <c r="F123" s="54"/>
      <c r="G123" s="54"/>
      <c r="I123" s="54"/>
      <c r="J123" s="54"/>
      <c r="K123" s="180"/>
      <c r="L123" s="54"/>
      <c r="M123" s="54"/>
      <c r="N123" s="54"/>
      <c r="O123" s="54"/>
      <c r="P123" s="54"/>
      <c r="Q123" s="54"/>
      <c r="S123" s="62"/>
    </row>
    <row r="124" spans="1:19" ht="15.75" customHeight="1" x14ac:dyDescent="0.2">
      <c r="A124" s="54"/>
      <c r="B124" s="54"/>
      <c r="C124" s="180"/>
      <c r="D124" s="54"/>
      <c r="E124" s="54"/>
      <c r="F124" s="54"/>
      <c r="G124" s="54"/>
      <c r="I124" s="54"/>
      <c r="J124" s="54"/>
      <c r="K124" s="180"/>
      <c r="L124" s="54"/>
      <c r="M124" s="54"/>
      <c r="N124" s="54"/>
      <c r="O124" s="54"/>
      <c r="P124" s="54"/>
      <c r="Q124" s="54"/>
      <c r="S124" s="62"/>
    </row>
    <row r="125" spans="1:19" ht="15.75" customHeight="1" x14ac:dyDescent="0.2">
      <c r="A125" s="54"/>
      <c r="B125" s="54"/>
      <c r="C125" s="180"/>
      <c r="D125" s="54"/>
      <c r="E125" s="54"/>
      <c r="F125" s="54"/>
      <c r="G125" s="54"/>
      <c r="I125" s="54"/>
      <c r="J125" s="54"/>
      <c r="K125" s="180"/>
      <c r="L125" s="54"/>
      <c r="M125" s="54"/>
      <c r="N125" s="54"/>
      <c r="O125" s="54"/>
      <c r="P125" s="54"/>
      <c r="Q125" s="54"/>
      <c r="S125" s="62"/>
    </row>
    <row r="126" spans="1:19" ht="15.75" customHeight="1" x14ac:dyDescent="0.2">
      <c r="A126" s="54"/>
      <c r="B126" s="54"/>
      <c r="C126" s="180"/>
      <c r="D126" s="54"/>
      <c r="E126" s="54"/>
      <c r="F126" s="54"/>
      <c r="G126" s="54"/>
      <c r="I126" s="54"/>
      <c r="J126" s="54"/>
      <c r="K126" s="180"/>
      <c r="L126" s="54"/>
      <c r="M126" s="54"/>
      <c r="N126" s="54"/>
      <c r="O126" s="54"/>
      <c r="P126" s="54"/>
      <c r="Q126" s="54"/>
      <c r="S126" s="62"/>
    </row>
    <row r="127" spans="1:19" ht="15.75" customHeight="1" x14ac:dyDescent="0.2">
      <c r="A127" s="54"/>
      <c r="B127" s="54"/>
      <c r="C127" s="180"/>
      <c r="D127" s="54"/>
      <c r="E127" s="54"/>
      <c r="F127" s="54"/>
      <c r="G127" s="54"/>
      <c r="I127" s="54"/>
      <c r="J127" s="54"/>
      <c r="K127" s="180"/>
      <c r="L127" s="54"/>
      <c r="M127" s="54"/>
      <c r="N127" s="54"/>
      <c r="O127" s="54"/>
      <c r="P127" s="54"/>
      <c r="Q127" s="54"/>
      <c r="S127" s="62"/>
    </row>
    <row r="128" spans="1:19" ht="15.75" customHeight="1" x14ac:dyDescent="0.2">
      <c r="A128" s="54"/>
      <c r="B128" s="54"/>
      <c r="C128" s="180"/>
      <c r="D128" s="54"/>
      <c r="E128" s="54"/>
      <c r="F128" s="54"/>
      <c r="G128" s="54"/>
      <c r="I128" s="54"/>
      <c r="J128" s="54"/>
      <c r="K128" s="180"/>
      <c r="L128" s="54"/>
      <c r="M128" s="54"/>
      <c r="N128" s="54"/>
      <c r="O128" s="54"/>
      <c r="P128" s="54"/>
      <c r="Q128" s="54"/>
      <c r="S128" s="62"/>
    </row>
    <row r="129" spans="1:19" ht="15.75" customHeight="1" x14ac:dyDescent="0.2">
      <c r="A129" s="54"/>
      <c r="B129" s="54"/>
      <c r="C129" s="180"/>
      <c r="D129" s="54"/>
      <c r="E129" s="54"/>
      <c r="F129" s="54"/>
      <c r="G129" s="54"/>
      <c r="I129" s="54"/>
      <c r="J129" s="54"/>
      <c r="K129" s="180"/>
      <c r="L129" s="54"/>
      <c r="M129" s="54"/>
      <c r="N129" s="54"/>
      <c r="O129" s="54"/>
      <c r="P129" s="54"/>
      <c r="Q129" s="54"/>
      <c r="S129" s="62"/>
    </row>
    <row r="130" spans="1:19" ht="15.75" customHeight="1" x14ac:dyDescent="0.2">
      <c r="A130" s="54"/>
      <c r="B130" s="54"/>
      <c r="C130" s="180"/>
      <c r="D130" s="54"/>
      <c r="E130" s="54"/>
      <c r="F130" s="54"/>
      <c r="G130" s="54"/>
      <c r="I130" s="54"/>
      <c r="J130" s="54"/>
      <c r="K130" s="180"/>
      <c r="L130" s="54"/>
      <c r="M130" s="54"/>
      <c r="N130" s="54"/>
      <c r="O130" s="54"/>
      <c r="P130" s="54"/>
      <c r="Q130" s="54"/>
      <c r="S130" s="62"/>
    </row>
    <row r="131" spans="1:19" ht="15.75" customHeight="1" x14ac:dyDescent="0.2">
      <c r="A131" s="54"/>
      <c r="B131" s="54"/>
      <c r="C131" s="180"/>
      <c r="D131" s="54"/>
      <c r="E131" s="54"/>
      <c r="F131" s="54"/>
      <c r="G131" s="54"/>
      <c r="I131" s="54"/>
      <c r="J131" s="54"/>
      <c r="K131" s="180"/>
      <c r="L131" s="54"/>
      <c r="M131" s="54"/>
      <c r="N131" s="54"/>
      <c r="O131" s="54"/>
      <c r="P131" s="54"/>
      <c r="Q131" s="54"/>
      <c r="S131" s="62"/>
    </row>
    <row r="132" spans="1:19" ht="15.75" customHeight="1" x14ac:dyDescent="0.2">
      <c r="A132" s="54"/>
      <c r="B132" s="54"/>
      <c r="C132" s="180"/>
      <c r="D132" s="54"/>
      <c r="E132" s="54"/>
      <c r="F132" s="54"/>
      <c r="G132" s="54"/>
      <c r="I132" s="54"/>
      <c r="J132" s="54"/>
      <c r="K132" s="180"/>
      <c r="L132" s="54"/>
      <c r="M132" s="54"/>
      <c r="N132" s="54"/>
      <c r="O132" s="54"/>
      <c r="P132" s="54"/>
      <c r="Q132" s="54"/>
      <c r="S132" s="62"/>
    </row>
    <row r="133" spans="1:19" ht="15.75" customHeight="1" x14ac:dyDescent="0.2">
      <c r="A133" s="54"/>
      <c r="B133" s="54"/>
      <c r="C133" s="180"/>
      <c r="D133" s="54"/>
      <c r="E133" s="54"/>
      <c r="F133" s="54"/>
      <c r="G133" s="54"/>
      <c r="I133" s="54"/>
      <c r="J133" s="54"/>
      <c r="K133" s="180"/>
      <c r="L133" s="54"/>
      <c r="M133" s="54"/>
      <c r="N133" s="54"/>
      <c r="O133" s="54"/>
      <c r="P133" s="54"/>
      <c r="Q133" s="54"/>
      <c r="S133" s="62"/>
    </row>
    <row r="134" spans="1:19" ht="15.75" customHeight="1" x14ac:dyDescent="0.2">
      <c r="A134" s="54"/>
      <c r="B134" s="54"/>
      <c r="C134" s="180"/>
      <c r="D134" s="54"/>
      <c r="E134" s="54"/>
      <c r="F134" s="54"/>
      <c r="G134" s="54"/>
      <c r="I134" s="54"/>
      <c r="J134" s="54"/>
      <c r="K134" s="180"/>
      <c r="L134" s="54"/>
      <c r="M134" s="54"/>
      <c r="N134" s="54"/>
      <c r="O134" s="54"/>
      <c r="P134" s="54"/>
      <c r="Q134" s="54"/>
      <c r="S134" s="62"/>
    </row>
    <row r="135" spans="1:19" ht="15.75" customHeight="1" x14ac:dyDescent="0.2">
      <c r="A135" s="54"/>
      <c r="B135" s="54"/>
      <c r="C135" s="180"/>
      <c r="D135" s="54"/>
      <c r="E135" s="54"/>
      <c r="F135" s="54"/>
      <c r="G135" s="54"/>
      <c r="I135" s="54"/>
      <c r="J135" s="54"/>
      <c r="K135" s="180"/>
      <c r="L135" s="54"/>
      <c r="M135" s="54"/>
      <c r="N135" s="54"/>
      <c r="O135" s="54"/>
      <c r="P135" s="54"/>
      <c r="Q135" s="54"/>
      <c r="S135" s="62"/>
    </row>
    <row r="136" spans="1:19" ht="15.75" customHeight="1" x14ac:dyDescent="0.2">
      <c r="A136" s="54"/>
      <c r="B136" s="54"/>
      <c r="C136" s="180"/>
      <c r="D136" s="54"/>
      <c r="E136" s="54"/>
      <c r="F136" s="54"/>
      <c r="G136" s="54"/>
      <c r="I136" s="54"/>
      <c r="J136" s="54"/>
      <c r="K136" s="180"/>
      <c r="L136" s="54"/>
      <c r="M136" s="54"/>
      <c r="N136" s="54"/>
      <c r="O136" s="54"/>
      <c r="P136" s="54"/>
      <c r="Q136" s="54"/>
      <c r="S136" s="62"/>
    </row>
    <row r="137" spans="1:19" ht="15.75" customHeight="1" x14ac:dyDescent="0.2">
      <c r="A137" s="54"/>
      <c r="B137" s="54"/>
      <c r="C137" s="180"/>
      <c r="D137" s="54"/>
      <c r="E137" s="54"/>
      <c r="F137" s="54"/>
      <c r="G137" s="54"/>
      <c r="I137" s="54"/>
      <c r="J137" s="54"/>
      <c r="K137" s="180"/>
      <c r="L137" s="54"/>
      <c r="M137" s="54"/>
      <c r="N137" s="54"/>
      <c r="O137" s="54"/>
      <c r="P137" s="54"/>
      <c r="Q137" s="54"/>
      <c r="S137" s="62"/>
    </row>
    <row r="138" spans="1:19" ht="15.75" customHeight="1" x14ac:dyDescent="0.2">
      <c r="A138" s="54"/>
      <c r="B138" s="54"/>
      <c r="C138" s="180"/>
      <c r="D138" s="54"/>
      <c r="E138" s="54"/>
      <c r="F138" s="54"/>
      <c r="G138" s="54"/>
      <c r="I138" s="54"/>
      <c r="J138" s="54"/>
      <c r="K138" s="180"/>
      <c r="L138" s="54"/>
      <c r="M138" s="54"/>
      <c r="N138" s="54"/>
      <c r="O138" s="54"/>
      <c r="P138" s="54"/>
      <c r="Q138" s="54"/>
      <c r="S138" s="62"/>
    </row>
    <row r="139" spans="1:19" ht="15.75" customHeight="1" x14ac:dyDescent="0.2">
      <c r="A139" s="54"/>
      <c r="B139" s="54"/>
      <c r="C139" s="180"/>
      <c r="D139" s="54"/>
      <c r="E139" s="54"/>
      <c r="F139" s="54"/>
      <c r="G139" s="54"/>
      <c r="I139" s="54"/>
      <c r="J139" s="54"/>
      <c r="K139" s="180"/>
      <c r="L139" s="54"/>
      <c r="M139" s="54"/>
      <c r="N139" s="54"/>
      <c r="O139" s="54"/>
      <c r="P139" s="54"/>
      <c r="Q139" s="54"/>
      <c r="S139" s="62"/>
    </row>
    <row r="140" spans="1:19" ht="15.75" customHeight="1" x14ac:dyDescent="0.2">
      <c r="A140" s="54"/>
      <c r="B140" s="54"/>
      <c r="C140" s="180"/>
      <c r="D140" s="54"/>
      <c r="E140" s="54"/>
      <c r="F140" s="54"/>
      <c r="G140" s="54"/>
      <c r="I140" s="54"/>
      <c r="J140" s="54"/>
      <c r="K140" s="180"/>
      <c r="L140" s="54"/>
      <c r="M140" s="54"/>
      <c r="N140" s="54"/>
      <c r="O140" s="54"/>
      <c r="P140" s="54"/>
      <c r="Q140" s="54"/>
      <c r="S140" s="62"/>
    </row>
    <row r="141" spans="1:19" ht="15.75" customHeight="1" x14ac:dyDescent="0.2">
      <c r="A141" s="54"/>
      <c r="B141" s="54"/>
      <c r="C141" s="180"/>
      <c r="D141" s="54"/>
      <c r="E141" s="54"/>
      <c r="F141" s="54"/>
      <c r="G141" s="54"/>
      <c r="I141" s="54"/>
      <c r="J141" s="54"/>
      <c r="K141" s="180"/>
      <c r="L141" s="54"/>
      <c r="M141" s="54"/>
      <c r="N141" s="54"/>
      <c r="O141" s="54"/>
      <c r="P141" s="54"/>
      <c r="Q141" s="54"/>
      <c r="S141" s="62"/>
    </row>
    <row r="142" spans="1:19" ht="15.75" customHeight="1" x14ac:dyDescent="0.2">
      <c r="A142" s="54"/>
      <c r="B142" s="54"/>
      <c r="C142" s="180"/>
      <c r="D142" s="54"/>
      <c r="E142" s="54"/>
      <c r="F142" s="54"/>
      <c r="G142" s="54"/>
      <c r="I142" s="54"/>
      <c r="J142" s="54"/>
      <c r="K142" s="180"/>
      <c r="L142" s="54"/>
      <c r="M142" s="54"/>
      <c r="N142" s="54"/>
      <c r="O142" s="54"/>
      <c r="P142" s="54"/>
      <c r="Q142" s="54"/>
      <c r="S142" s="62"/>
    </row>
    <row r="143" spans="1:19" ht="15.75" customHeight="1" x14ac:dyDescent="0.2">
      <c r="A143" s="54"/>
      <c r="B143" s="54"/>
      <c r="C143" s="180"/>
      <c r="D143" s="54"/>
      <c r="E143" s="54"/>
      <c r="F143" s="54"/>
      <c r="G143" s="54"/>
      <c r="I143" s="54"/>
      <c r="J143" s="54"/>
      <c r="K143" s="180"/>
      <c r="L143" s="54"/>
      <c r="M143" s="54"/>
      <c r="N143" s="54"/>
      <c r="O143" s="54"/>
      <c r="P143" s="54"/>
      <c r="Q143" s="54"/>
      <c r="S143" s="62"/>
    </row>
    <row r="144" spans="1:19" ht="15.75" customHeight="1" x14ac:dyDescent="0.2">
      <c r="A144" s="54"/>
      <c r="B144" s="54"/>
      <c r="C144" s="180"/>
      <c r="D144" s="54"/>
      <c r="E144" s="54"/>
      <c r="F144" s="54"/>
      <c r="G144" s="54"/>
      <c r="I144" s="54"/>
      <c r="J144" s="54"/>
      <c r="K144" s="180"/>
      <c r="L144" s="54"/>
      <c r="M144" s="54"/>
      <c r="N144" s="54"/>
      <c r="O144" s="54"/>
      <c r="P144" s="54"/>
      <c r="Q144" s="54"/>
      <c r="S144" s="62"/>
    </row>
    <row r="145" spans="1:19" ht="15.75" customHeight="1" x14ac:dyDescent="0.2">
      <c r="A145" s="54"/>
      <c r="B145" s="54"/>
      <c r="C145" s="180"/>
      <c r="D145" s="54"/>
      <c r="E145" s="54"/>
      <c r="F145" s="54"/>
      <c r="G145" s="54"/>
      <c r="I145" s="54"/>
      <c r="J145" s="54"/>
      <c r="K145" s="180"/>
      <c r="L145" s="54"/>
      <c r="M145" s="54"/>
      <c r="N145" s="54"/>
      <c r="O145" s="54"/>
      <c r="P145" s="54"/>
      <c r="Q145" s="54"/>
      <c r="S145" s="62"/>
    </row>
    <row r="146" spans="1:19" ht="15.75" customHeight="1" x14ac:dyDescent="0.2">
      <c r="A146" s="54"/>
      <c r="B146" s="54"/>
      <c r="C146" s="180"/>
      <c r="D146" s="54"/>
      <c r="E146" s="54"/>
      <c r="F146" s="54"/>
      <c r="G146" s="54"/>
      <c r="I146" s="54"/>
      <c r="J146" s="54"/>
      <c r="K146" s="180"/>
      <c r="L146" s="54"/>
      <c r="M146" s="54"/>
      <c r="N146" s="54"/>
      <c r="O146" s="54"/>
      <c r="P146" s="54"/>
      <c r="Q146" s="54"/>
      <c r="S146" s="62"/>
    </row>
    <row r="147" spans="1:19" ht="15.75" customHeight="1" x14ac:dyDescent="0.2">
      <c r="A147" s="54"/>
      <c r="B147" s="54"/>
      <c r="C147" s="180"/>
      <c r="D147" s="54"/>
      <c r="E147" s="54"/>
      <c r="F147" s="54"/>
      <c r="G147" s="54"/>
      <c r="I147" s="54"/>
      <c r="J147" s="54"/>
      <c r="K147" s="180"/>
      <c r="L147" s="54"/>
      <c r="M147" s="54"/>
      <c r="N147" s="54"/>
      <c r="O147" s="54"/>
      <c r="P147" s="54"/>
      <c r="Q147" s="54"/>
      <c r="S147" s="62"/>
    </row>
    <row r="148" spans="1:19" ht="15.75" customHeight="1" x14ac:dyDescent="0.2">
      <c r="A148" s="54"/>
      <c r="B148" s="54"/>
      <c r="C148" s="180"/>
      <c r="D148" s="54"/>
      <c r="E148" s="54"/>
      <c r="F148" s="54"/>
      <c r="G148" s="54"/>
      <c r="I148" s="54"/>
      <c r="J148" s="54"/>
      <c r="K148" s="180"/>
      <c r="L148" s="54"/>
      <c r="M148" s="54"/>
      <c r="N148" s="54"/>
      <c r="O148" s="54"/>
      <c r="P148" s="54"/>
      <c r="Q148" s="54"/>
      <c r="S148" s="62"/>
    </row>
    <row r="149" spans="1:19" ht="15.75" customHeight="1" x14ac:dyDescent="0.2">
      <c r="A149" s="54"/>
      <c r="B149" s="54"/>
      <c r="C149" s="180"/>
      <c r="D149" s="54"/>
      <c r="E149" s="54"/>
      <c r="F149" s="54"/>
      <c r="G149" s="54"/>
      <c r="I149" s="54"/>
      <c r="J149" s="54"/>
      <c r="K149" s="180"/>
      <c r="L149" s="54"/>
      <c r="M149" s="54"/>
      <c r="N149" s="54"/>
      <c r="O149" s="54"/>
      <c r="P149" s="54"/>
      <c r="Q149" s="54"/>
      <c r="S149" s="62"/>
    </row>
    <row r="150" spans="1:19" ht="15.75" customHeight="1" x14ac:dyDescent="0.2">
      <c r="A150" s="54"/>
      <c r="B150" s="54"/>
      <c r="C150" s="180"/>
      <c r="D150" s="54"/>
      <c r="E150" s="54"/>
      <c r="F150" s="54"/>
      <c r="G150" s="54"/>
      <c r="I150" s="54"/>
      <c r="J150" s="54"/>
      <c r="K150" s="180"/>
      <c r="L150" s="54"/>
      <c r="M150" s="54"/>
      <c r="N150" s="54"/>
      <c r="O150" s="54"/>
      <c r="P150" s="54"/>
      <c r="Q150" s="54"/>
      <c r="S150" s="62"/>
    </row>
    <row r="151" spans="1:19" ht="15.75" customHeight="1" x14ac:dyDescent="0.2">
      <c r="A151" s="54"/>
      <c r="B151" s="54"/>
      <c r="C151" s="180"/>
      <c r="D151" s="54"/>
      <c r="E151" s="54"/>
      <c r="F151" s="54"/>
      <c r="G151" s="54"/>
      <c r="I151" s="54"/>
      <c r="J151" s="54"/>
      <c r="K151" s="180"/>
      <c r="L151" s="54"/>
      <c r="M151" s="54"/>
      <c r="N151" s="54"/>
      <c r="O151" s="54"/>
      <c r="P151" s="54"/>
      <c r="Q151" s="54"/>
      <c r="S151" s="62"/>
    </row>
    <row r="152" spans="1:19" ht="15.75" customHeight="1" x14ac:dyDescent="0.2">
      <c r="A152" s="54"/>
      <c r="B152" s="54"/>
      <c r="C152" s="180"/>
      <c r="D152" s="54"/>
      <c r="E152" s="54"/>
      <c r="F152" s="54"/>
      <c r="G152" s="54"/>
      <c r="I152" s="54"/>
      <c r="J152" s="54"/>
      <c r="K152" s="180"/>
      <c r="L152" s="54"/>
      <c r="M152" s="54"/>
      <c r="N152" s="54"/>
      <c r="O152" s="54"/>
      <c r="P152" s="54"/>
      <c r="Q152" s="54"/>
      <c r="S152" s="62"/>
    </row>
    <row r="153" spans="1:19" ht="15.75" customHeight="1" x14ac:dyDescent="0.2">
      <c r="A153" s="54"/>
      <c r="B153" s="54"/>
      <c r="C153" s="180"/>
      <c r="D153" s="54"/>
      <c r="E153" s="54"/>
      <c r="F153" s="54"/>
      <c r="G153" s="54"/>
      <c r="I153" s="54"/>
      <c r="J153" s="54"/>
      <c r="K153" s="180"/>
      <c r="L153" s="54"/>
      <c r="M153" s="54"/>
      <c r="N153" s="54"/>
      <c r="O153" s="54"/>
      <c r="P153" s="54"/>
      <c r="Q153" s="54"/>
      <c r="S153" s="62"/>
    </row>
    <row r="154" spans="1:19" ht="15.75" customHeight="1" x14ac:dyDescent="0.2">
      <c r="A154" s="54"/>
      <c r="B154" s="54"/>
      <c r="C154" s="180"/>
      <c r="D154" s="54"/>
      <c r="E154" s="54"/>
      <c r="F154" s="54"/>
      <c r="G154" s="54"/>
      <c r="I154" s="54"/>
      <c r="J154" s="54"/>
      <c r="K154" s="180"/>
      <c r="L154" s="54"/>
      <c r="M154" s="54"/>
      <c r="N154" s="54"/>
      <c r="O154" s="54"/>
      <c r="P154" s="54"/>
      <c r="Q154" s="54"/>
      <c r="S154" s="62"/>
    </row>
    <row r="155" spans="1:19" ht="15.75" customHeight="1" x14ac:dyDescent="0.2">
      <c r="A155" s="54"/>
      <c r="B155" s="54"/>
      <c r="C155" s="180"/>
      <c r="D155" s="54"/>
      <c r="E155" s="54"/>
      <c r="F155" s="54"/>
      <c r="G155" s="54"/>
      <c r="I155" s="54"/>
      <c r="J155" s="54"/>
      <c r="K155" s="180"/>
      <c r="L155" s="54"/>
      <c r="M155" s="54"/>
      <c r="N155" s="54"/>
      <c r="O155" s="54"/>
      <c r="P155" s="54"/>
      <c r="Q155" s="54"/>
      <c r="S155" s="62"/>
    </row>
    <row r="156" spans="1:19" ht="15.75" customHeight="1" x14ac:dyDescent="0.2">
      <c r="A156" s="54"/>
      <c r="B156" s="54"/>
      <c r="C156" s="180"/>
      <c r="D156" s="54"/>
      <c r="E156" s="54"/>
      <c r="F156" s="54"/>
      <c r="G156" s="54"/>
      <c r="I156" s="54"/>
      <c r="J156" s="54"/>
      <c r="K156" s="180"/>
      <c r="L156" s="54"/>
      <c r="M156" s="54"/>
      <c r="N156" s="54"/>
      <c r="O156" s="54"/>
      <c r="P156" s="54"/>
      <c r="Q156" s="54"/>
      <c r="S156" s="62"/>
    </row>
    <row r="157" spans="1:19" ht="15.75" customHeight="1" x14ac:dyDescent="0.2">
      <c r="A157" s="54"/>
      <c r="B157" s="54"/>
      <c r="C157" s="180"/>
      <c r="D157" s="54"/>
      <c r="E157" s="54"/>
      <c r="F157" s="54"/>
      <c r="G157" s="54"/>
      <c r="I157" s="54"/>
      <c r="J157" s="54"/>
      <c r="K157" s="180"/>
      <c r="L157" s="54"/>
      <c r="M157" s="54"/>
      <c r="N157" s="54"/>
      <c r="O157" s="54"/>
      <c r="P157" s="54"/>
      <c r="Q157" s="54"/>
      <c r="S157" s="62"/>
    </row>
    <row r="158" spans="1:19" ht="15.75" customHeight="1" x14ac:dyDescent="0.2">
      <c r="A158" s="54"/>
      <c r="B158" s="54"/>
      <c r="C158" s="180"/>
      <c r="D158" s="54"/>
      <c r="E158" s="54"/>
      <c r="F158" s="54"/>
      <c r="G158" s="54"/>
      <c r="I158" s="54"/>
      <c r="J158" s="54"/>
      <c r="K158" s="180"/>
      <c r="L158" s="54"/>
      <c r="M158" s="54"/>
      <c r="N158" s="54"/>
      <c r="O158" s="54"/>
      <c r="P158" s="54"/>
      <c r="Q158" s="54"/>
      <c r="S158" s="62"/>
    </row>
    <row r="159" spans="1:19" ht="15.75" customHeight="1" x14ac:dyDescent="0.2">
      <c r="A159" s="54"/>
      <c r="B159" s="54"/>
      <c r="C159" s="180"/>
      <c r="D159" s="54"/>
      <c r="E159" s="54"/>
      <c r="F159" s="54"/>
      <c r="G159" s="54"/>
      <c r="I159" s="54"/>
      <c r="J159" s="54"/>
      <c r="K159" s="180"/>
      <c r="L159" s="54"/>
      <c r="M159" s="54"/>
      <c r="N159" s="54"/>
      <c r="O159" s="54"/>
      <c r="P159" s="54"/>
      <c r="Q159" s="54"/>
      <c r="S159" s="62"/>
    </row>
    <row r="160" spans="1:19" ht="15.75" customHeight="1" x14ac:dyDescent="0.2">
      <c r="A160" s="54"/>
      <c r="B160" s="54"/>
      <c r="C160" s="180"/>
      <c r="D160" s="54"/>
      <c r="E160" s="54"/>
      <c r="F160" s="54"/>
      <c r="G160" s="54"/>
      <c r="I160" s="54"/>
      <c r="J160" s="54"/>
      <c r="K160" s="180"/>
      <c r="L160" s="54"/>
      <c r="M160" s="54"/>
      <c r="N160" s="54"/>
      <c r="O160" s="54"/>
      <c r="P160" s="54"/>
      <c r="Q160" s="54"/>
      <c r="S160" s="62"/>
    </row>
    <row r="161" spans="1:19" ht="15.75" customHeight="1" x14ac:dyDescent="0.2">
      <c r="A161" s="54"/>
      <c r="B161" s="54"/>
      <c r="C161" s="180"/>
      <c r="D161" s="54"/>
      <c r="E161" s="54"/>
      <c r="F161" s="54"/>
      <c r="G161" s="54"/>
      <c r="I161" s="54"/>
      <c r="J161" s="54"/>
      <c r="K161" s="180"/>
      <c r="L161" s="54"/>
      <c r="M161" s="54"/>
      <c r="N161" s="54"/>
      <c r="O161" s="54"/>
      <c r="P161" s="54"/>
      <c r="Q161" s="54"/>
      <c r="S161" s="62"/>
    </row>
    <row r="162" spans="1:19" ht="15.75" customHeight="1" x14ac:dyDescent="0.2">
      <c r="A162" s="54"/>
      <c r="B162" s="54"/>
      <c r="C162" s="180"/>
      <c r="D162" s="54"/>
      <c r="E162" s="54"/>
      <c r="F162" s="54"/>
      <c r="G162" s="54"/>
      <c r="I162" s="54"/>
      <c r="J162" s="54"/>
      <c r="K162" s="180"/>
      <c r="L162" s="54"/>
      <c r="M162" s="54"/>
      <c r="N162" s="54"/>
      <c r="O162" s="54"/>
      <c r="P162" s="54"/>
      <c r="Q162" s="54"/>
      <c r="S162" s="62"/>
    </row>
    <row r="163" spans="1:19" ht="15.75" customHeight="1" x14ac:dyDescent="0.2">
      <c r="A163" s="54"/>
      <c r="B163" s="54"/>
      <c r="C163" s="180"/>
      <c r="D163" s="54"/>
      <c r="E163" s="54"/>
      <c r="F163" s="54"/>
      <c r="G163" s="54"/>
      <c r="I163" s="54"/>
      <c r="J163" s="54"/>
      <c r="K163" s="180"/>
      <c r="L163" s="54"/>
      <c r="M163" s="54"/>
      <c r="N163" s="54"/>
      <c r="O163" s="54"/>
      <c r="P163" s="54"/>
      <c r="Q163" s="54"/>
      <c r="S163" s="62"/>
    </row>
    <row r="164" spans="1:19" ht="15.75" customHeight="1" x14ac:dyDescent="0.2">
      <c r="A164" s="54"/>
      <c r="B164" s="54"/>
      <c r="C164" s="180"/>
      <c r="D164" s="54"/>
      <c r="E164" s="54"/>
      <c r="F164" s="54"/>
      <c r="G164" s="54"/>
      <c r="I164" s="54"/>
      <c r="J164" s="54"/>
      <c r="K164" s="180"/>
      <c r="L164" s="54"/>
      <c r="M164" s="54"/>
      <c r="N164" s="54"/>
      <c r="O164" s="54"/>
      <c r="P164" s="54"/>
      <c r="Q164" s="54"/>
      <c r="S164" s="62"/>
    </row>
    <row r="165" spans="1:19" ht="15.75" customHeight="1" x14ac:dyDescent="0.2">
      <c r="A165" s="54"/>
      <c r="B165" s="54"/>
      <c r="C165" s="180"/>
      <c r="D165" s="54"/>
      <c r="E165" s="54"/>
      <c r="F165" s="54"/>
      <c r="G165" s="54"/>
      <c r="I165" s="54"/>
      <c r="J165" s="54"/>
      <c r="K165" s="180"/>
      <c r="L165" s="54"/>
      <c r="M165" s="54"/>
      <c r="N165" s="54"/>
      <c r="O165" s="54"/>
      <c r="P165" s="54"/>
      <c r="Q165" s="54"/>
      <c r="S165" s="62"/>
    </row>
    <row r="166" spans="1:19" ht="15.75" customHeight="1" x14ac:dyDescent="0.2">
      <c r="A166" s="54"/>
      <c r="B166" s="54"/>
      <c r="C166" s="180"/>
      <c r="D166" s="54"/>
      <c r="E166" s="54"/>
      <c r="F166" s="54"/>
      <c r="G166" s="54"/>
      <c r="I166" s="54"/>
      <c r="J166" s="54"/>
      <c r="K166" s="180"/>
      <c r="L166" s="54"/>
      <c r="M166" s="54"/>
      <c r="N166" s="54"/>
      <c r="O166" s="54"/>
      <c r="P166" s="54"/>
      <c r="Q166" s="54"/>
      <c r="S166" s="62"/>
    </row>
    <row r="167" spans="1:19" ht="15.75" customHeight="1" x14ac:dyDescent="0.2">
      <c r="A167" s="54"/>
      <c r="B167" s="54"/>
      <c r="C167" s="180"/>
      <c r="D167" s="54"/>
      <c r="E167" s="54"/>
      <c r="F167" s="54"/>
      <c r="G167" s="54"/>
      <c r="I167" s="54"/>
      <c r="J167" s="54"/>
      <c r="K167" s="180"/>
      <c r="L167" s="54"/>
      <c r="M167" s="54"/>
      <c r="N167" s="54"/>
      <c r="O167" s="54"/>
      <c r="P167" s="54"/>
      <c r="Q167" s="54"/>
      <c r="S167" s="62"/>
    </row>
    <row r="168" spans="1:19" ht="15.75" customHeight="1" x14ac:dyDescent="0.2">
      <c r="A168" s="54"/>
      <c r="B168" s="54"/>
      <c r="C168" s="180"/>
      <c r="D168" s="54"/>
      <c r="E168" s="54"/>
      <c r="F168" s="54"/>
      <c r="G168" s="54"/>
      <c r="I168" s="54"/>
      <c r="J168" s="54"/>
      <c r="K168" s="180"/>
      <c r="L168" s="54"/>
      <c r="M168" s="54"/>
      <c r="N168" s="54"/>
      <c r="O168" s="54"/>
      <c r="P168" s="54"/>
      <c r="Q168" s="54"/>
      <c r="S168" s="62"/>
    </row>
    <row r="169" spans="1:19" ht="15.75" customHeight="1" x14ac:dyDescent="0.2">
      <c r="A169" s="54"/>
      <c r="B169" s="54"/>
      <c r="C169" s="180"/>
      <c r="D169" s="54"/>
      <c r="E169" s="54"/>
      <c r="F169" s="54"/>
      <c r="G169" s="54"/>
      <c r="I169" s="54"/>
      <c r="J169" s="54"/>
      <c r="K169" s="180"/>
      <c r="L169" s="54"/>
      <c r="M169" s="54"/>
      <c r="N169" s="54"/>
      <c r="O169" s="54"/>
      <c r="P169" s="54"/>
      <c r="Q169" s="54"/>
      <c r="S169" s="62"/>
    </row>
    <row r="170" spans="1:19" ht="15.75" customHeight="1" x14ac:dyDescent="0.2">
      <c r="A170" s="54"/>
      <c r="B170" s="54"/>
      <c r="C170" s="180"/>
      <c r="D170" s="54"/>
      <c r="E170" s="54"/>
      <c r="F170" s="54"/>
      <c r="G170" s="54"/>
      <c r="I170" s="54"/>
      <c r="J170" s="54"/>
      <c r="K170" s="180"/>
      <c r="L170" s="54"/>
      <c r="M170" s="54"/>
      <c r="N170" s="54"/>
      <c r="O170" s="54"/>
      <c r="P170" s="54"/>
      <c r="Q170" s="54"/>
      <c r="S170" s="62"/>
    </row>
    <row r="171" spans="1:19" ht="15.75" customHeight="1" x14ac:dyDescent="0.2">
      <c r="A171" s="54"/>
      <c r="B171" s="54"/>
      <c r="C171" s="180"/>
      <c r="D171" s="54"/>
      <c r="E171" s="54"/>
      <c r="F171" s="54"/>
      <c r="G171" s="54"/>
      <c r="I171" s="54"/>
      <c r="J171" s="54"/>
      <c r="K171" s="180"/>
      <c r="L171" s="54"/>
      <c r="M171" s="54"/>
      <c r="N171" s="54"/>
      <c r="O171" s="54"/>
      <c r="P171" s="54"/>
      <c r="Q171" s="54"/>
      <c r="S171" s="62"/>
    </row>
    <row r="172" spans="1:19" ht="15.75" customHeight="1" x14ac:dyDescent="0.2">
      <c r="A172" s="54"/>
      <c r="B172" s="54"/>
      <c r="C172" s="180"/>
      <c r="D172" s="54"/>
      <c r="E172" s="54"/>
      <c r="F172" s="54"/>
      <c r="G172" s="54"/>
      <c r="I172" s="54"/>
      <c r="J172" s="54"/>
      <c r="K172" s="180"/>
      <c r="L172" s="54"/>
      <c r="M172" s="54"/>
      <c r="N172" s="54"/>
      <c r="O172" s="54"/>
      <c r="P172" s="54"/>
      <c r="Q172" s="54"/>
      <c r="S172" s="62"/>
    </row>
    <row r="173" spans="1:19" ht="15.75" customHeight="1" x14ac:dyDescent="0.2">
      <c r="A173" s="54"/>
      <c r="B173" s="54"/>
      <c r="C173" s="180"/>
      <c r="D173" s="54"/>
      <c r="E173" s="54"/>
      <c r="F173" s="54"/>
      <c r="G173" s="54"/>
      <c r="I173" s="54"/>
      <c r="J173" s="54"/>
      <c r="K173" s="180"/>
      <c r="L173" s="54"/>
      <c r="M173" s="54"/>
      <c r="N173" s="54"/>
      <c r="O173" s="54"/>
      <c r="P173" s="54"/>
      <c r="Q173" s="54"/>
      <c r="S173" s="62"/>
    </row>
    <row r="174" spans="1:19" ht="15.75" customHeight="1" x14ac:dyDescent="0.2">
      <c r="A174" s="54"/>
      <c r="B174" s="54"/>
      <c r="C174" s="180"/>
      <c r="D174" s="54"/>
      <c r="E174" s="54"/>
      <c r="F174" s="54"/>
      <c r="G174" s="54"/>
      <c r="I174" s="54"/>
      <c r="J174" s="54"/>
      <c r="K174" s="180"/>
      <c r="L174" s="54"/>
      <c r="M174" s="54"/>
      <c r="N174" s="54"/>
      <c r="O174" s="54"/>
      <c r="P174" s="54"/>
      <c r="Q174" s="54"/>
      <c r="S174" s="62"/>
    </row>
    <row r="175" spans="1:19" ht="15.75" customHeight="1" x14ac:dyDescent="0.2">
      <c r="A175" s="54"/>
      <c r="B175" s="54"/>
      <c r="C175" s="180"/>
      <c r="D175" s="54"/>
      <c r="E175" s="54"/>
      <c r="F175" s="54"/>
      <c r="G175" s="54"/>
      <c r="I175" s="54"/>
      <c r="J175" s="54"/>
      <c r="K175" s="180"/>
      <c r="L175" s="54"/>
      <c r="M175" s="54"/>
      <c r="N175" s="54"/>
      <c r="O175" s="54"/>
      <c r="P175" s="54"/>
      <c r="Q175" s="54"/>
      <c r="S175" s="62"/>
    </row>
    <row r="176" spans="1:19" ht="15.75" customHeight="1" x14ac:dyDescent="0.2">
      <c r="A176" s="54"/>
      <c r="B176" s="54"/>
      <c r="C176" s="180"/>
      <c r="D176" s="54"/>
      <c r="E176" s="54"/>
      <c r="F176" s="54"/>
      <c r="G176" s="54"/>
      <c r="I176" s="54"/>
      <c r="J176" s="54"/>
      <c r="K176" s="180"/>
      <c r="L176" s="54"/>
      <c r="M176" s="54"/>
      <c r="N176" s="54"/>
      <c r="O176" s="54"/>
      <c r="P176" s="54"/>
      <c r="Q176" s="54"/>
      <c r="S176" s="62"/>
    </row>
    <row r="177" spans="1:19" ht="15.75" customHeight="1" x14ac:dyDescent="0.2">
      <c r="A177" s="54"/>
      <c r="B177" s="54"/>
      <c r="C177" s="180"/>
      <c r="D177" s="54"/>
      <c r="E177" s="54"/>
      <c r="F177" s="54"/>
      <c r="G177" s="54"/>
      <c r="I177" s="54"/>
      <c r="J177" s="54"/>
      <c r="K177" s="180"/>
      <c r="L177" s="54"/>
      <c r="M177" s="54"/>
      <c r="N177" s="54"/>
      <c r="O177" s="54"/>
      <c r="P177" s="54"/>
      <c r="Q177" s="54"/>
      <c r="S177" s="62"/>
    </row>
    <row r="178" spans="1:19" ht="15.75" customHeight="1" x14ac:dyDescent="0.2">
      <c r="A178" s="54"/>
      <c r="B178" s="54"/>
      <c r="C178" s="180"/>
      <c r="D178" s="54"/>
      <c r="E178" s="54"/>
      <c r="F178" s="54"/>
      <c r="G178" s="54"/>
      <c r="I178" s="54"/>
      <c r="J178" s="54"/>
      <c r="K178" s="180"/>
      <c r="L178" s="54"/>
      <c r="M178" s="54"/>
      <c r="N178" s="54"/>
      <c r="O178" s="54"/>
      <c r="P178" s="54"/>
      <c r="Q178" s="54"/>
      <c r="S178" s="62"/>
    </row>
    <row r="179" spans="1:19" ht="15.75" customHeight="1" x14ac:dyDescent="0.2">
      <c r="A179" s="54"/>
      <c r="B179" s="54"/>
      <c r="C179" s="180"/>
      <c r="D179" s="54"/>
      <c r="E179" s="54"/>
      <c r="F179" s="54"/>
      <c r="G179" s="54"/>
      <c r="I179" s="54"/>
      <c r="J179" s="54"/>
      <c r="K179" s="180"/>
      <c r="L179" s="54"/>
      <c r="M179" s="54"/>
      <c r="N179" s="54"/>
      <c r="O179" s="54"/>
      <c r="P179" s="54"/>
      <c r="Q179" s="54"/>
      <c r="S179" s="62"/>
    </row>
    <row r="180" spans="1:19" ht="15.75" customHeight="1" x14ac:dyDescent="0.2">
      <c r="A180" s="54"/>
      <c r="B180" s="54"/>
      <c r="C180" s="180"/>
      <c r="D180" s="54"/>
      <c r="E180" s="54"/>
      <c r="F180" s="54"/>
      <c r="G180" s="54"/>
      <c r="I180" s="54"/>
      <c r="J180" s="54"/>
      <c r="K180" s="180"/>
      <c r="L180" s="54"/>
      <c r="M180" s="54"/>
      <c r="N180" s="54"/>
      <c r="O180" s="54"/>
      <c r="P180" s="54"/>
      <c r="Q180" s="54"/>
      <c r="S180" s="62"/>
    </row>
    <row r="181" spans="1:19" ht="15.75" customHeight="1" x14ac:dyDescent="0.2">
      <c r="A181" s="54"/>
      <c r="B181" s="54"/>
      <c r="C181" s="180"/>
      <c r="D181" s="54"/>
      <c r="E181" s="54"/>
      <c r="F181" s="54"/>
      <c r="G181" s="54"/>
      <c r="I181" s="54"/>
      <c r="J181" s="54"/>
      <c r="K181" s="180"/>
      <c r="L181" s="54"/>
      <c r="M181" s="54"/>
      <c r="N181" s="54"/>
      <c r="O181" s="54"/>
      <c r="P181" s="54"/>
      <c r="Q181" s="54"/>
      <c r="S181" s="62"/>
    </row>
    <row r="182" spans="1:19" ht="15.75" customHeight="1" x14ac:dyDescent="0.2">
      <c r="A182" s="54"/>
      <c r="B182" s="54"/>
      <c r="C182" s="180"/>
      <c r="D182" s="54"/>
      <c r="E182" s="54"/>
      <c r="F182" s="54"/>
      <c r="G182" s="54"/>
      <c r="I182" s="54"/>
      <c r="J182" s="54"/>
      <c r="K182" s="180"/>
      <c r="L182" s="54"/>
      <c r="M182" s="54"/>
      <c r="N182" s="54"/>
      <c r="O182" s="54"/>
      <c r="P182" s="54"/>
      <c r="Q182" s="54"/>
      <c r="S182" s="62"/>
    </row>
    <row r="183" spans="1:19" ht="15.75" customHeight="1" x14ac:dyDescent="0.2">
      <c r="A183" s="54"/>
      <c r="B183" s="54"/>
      <c r="C183" s="180"/>
      <c r="D183" s="54"/>
      <c r="E183" s="54"/>
      <c r="F183" s="54"/>
      <c r="G183" s="54"/>
      <c r="I183" s="54"/>
      <c r="J183" s="54"/>
      <c r="K183" s="180"/>
      <c r="L183" s="54"/>
      <c r="M183" s="54"/>
      <c r="N183" s="54"/>
      <c r="O183" s="54"/>
      <c r="P183" s="54"/>
      <c r="Q183" s="54"/>
      <c r="S183" s="62"/>
    </row>
    <row r="184" spans="1:19" ht="15.75" customHeight="1" x14ac:dyDescent="0.2">
      <c r="A184" s="54"/>
      <c r="B184" s="54"/>
      <c r="C184" s="180"/>
      <c r="D184" s="54"/>
      <c r="E184" s="54"/>
      <c r="F184" s="54"/>
      <c r="G184" s="54"/>
      <c r="I184" s="54"/>
      <c r="J184" s="54"/>
      <c r="K184" s="180"/>
      <c r="L184" s="54"/>
      <c r="M184" s="54"/>
      <c r="N184" s="54"/>
      <c r="O184" s="54"/>
      <c r="P184" s="54"/>
      <c r="Q184" s="54"/>
      <c r="S184" s="62"/>
    </row>
    <row r="185" spans="1:19" ht="15.75" customHeight="1" x14ac:dyDescent="0.2">
      <c r="A185" s="54"/>
      <c r="B185" s="54"/>
      <c r="C185" s="180"/>
      <c r="D185" s="54"/>
      <c r="E185" s="54"/>
      <c r="F185" s="54"/>
      <c r="G185" s="54"/>
      <c r="I185" s="54"/>
      <c r="J185" s="54"/>
      <c r="K185" s="180"/>
      <c r="L185" s="54"/>
      <c r="M185" s="54"/>
      <c r="N185" s="54"/>
      <c r="O185" s="54"/>
      <c r="P185" s="54"/>
      <c r="Q185" s="54"/>
      <c r="S185" s="62"/>
    </row>
    <row r="186" spans="1:19" ht="15.75" customHeight="1" x14ac:dyDescent="0.2">
      <c r="A186" s="54"/>
      <c r="B186" s="54"/>
      <c r="C186" s="180"/>
      <c r="D186" s="54"/>
      <c r="E186" s="54"/>
      <c r="F186" s="54"/>
      <c r="G186" s="54"/>
      <c r="I186" s="54"/>
      <c r="J186" s="54"/>
      <c r="K186" s="180"/>
      <c r="L186" s="54"/>
      <c r="M186" s="54"/>
      <c r="N186" s="54"/>
      <c r="O186" s="54"/>
      <c r="P186" s="54"/>
      <c r="Q186" s="54"/>
      <c r="S186" s="62"/>
    </row>
    <row r="187" spans="1:19" ht="15.75" customHeight="1" x14ac:dyDescent="0.2">
      <c r="A187" s="54"/>
      <c r="B187" s="54"/>
      <c r="C187" s="180"/>
      <c r="D187" s="54"/>
      <c r="E187" s="54"/>
      <c r="F187" s="54"/>
      <c r="G187" s="54"/>
      <c r="I187" s="54"/>
      <c r="J187" s="54"/>
      <c r="K187" s="180"/>
      <c r="L187" s="54"/>
      <c r="M187" s="54"/>
      <c r="N187" s="54"/>
      <c r="O187" s="54"/>
      <c r="P187" s="54"/>
      <c r="Q187" s="54"/>
      <c r="S187" s="62"/>
    </row>
    <row r="188" spans="1:19" ht="15.75" customHeight="1" x14ac:dyDescent="0.2">
      <c r="A188" s="54"/>
      <c r="B188" s="54"/>
      <c r="C188" s="180"/>
      <c r="D188" s="54"/>
      <c r="E188" s="54"/>
      <c r="F188" s="54"/>
      <c r="G188" s="54"/>
      <c r="I188" s="54"/>
      <c r="J188" s="54"/>
      <c r="K188" s="180"/>
      <c r="L188" s="54"/>
      <c r="M188" s="54"/>
      <c r="N188" s="54"/>
      <c r="O188" s="54"/>
      <c r="P188" s="54"/>
      <c r="Q188" s="54"/>
      <c r="S188" s="62"/>
    </row>
    <row r="189" spans="1:19" ht="15.75" customHeight="1" x14ac:dyDescent="0.2">
      <c r="A189" s="54"/>
      <c r="B189" s="54"/>
      <c r="C189" s="180"/>
      <c r="D189" s="54"/>
      <c r="E189" s="54"/>
      <c r="F189" s="54"/>
      <c r="G189" s="54"/>
      <c r="I189" s="54"/>
      <c r="J189" s="54"/>
      <c r="K189" s="180"/>
      <c r="L189" s="54"/>
      <c r="M189" s="54"/>
      <c r="N189" s="54"/>
      <c r="O189" s="54"/>
      <c r="P189" s="54"/>
      <c r="Q189" s="54"/>
      <c r="S189" s="62"/>
    </row>
    <row r="190" spans="1:19" ht="15.75" customHeight="1" x14ac:dyDescent="0.2">
      <c r="A190" s="54"/>
      <c r="B190" s="54"/>
      <c r="C190" s="180"/>
      <c r="D190" s="54"/>
      <c r="E190" s="54"/>
      <c r="F190" s="54"/>
      <c r="G190" s="54"/>
      <c r="I190" s="54"/>
      <c r="J190" s="54"/>
      <c r="K190" s="180"/>
      <c r="L190" s="54"/>
      <c r="M190" s="54"/>
      <c r="N190" s="54"/>
      <c r="O190" s="54"/>
      <c r="P190" s="54"/>
      <c r="Q190" s="54"/>
      <c r="S190" s="62"/>
    </row>
    <row r="191" spans="1:19" ht="15.75" customHeight="1" x14ac:dyDescent="0.2">
      <c r="A191" s="54"/>
      <c r="B191" s="54"/>
      <c r="C191" s="180"/>
      <c r="D191" s="54"/>
      <c r="E191" s="54"/>
      <c r="F191" s="54"/>
      <c r="G191" s="54"/>
      <c r="I191" s="54"/>
      <c r="J191" s="54"/>
      <c r="K191" s="180"/>
      <c r="L191" s="54"/>
      <c r="M191" s="54"/>
      <c r="N191" s="54"/>
      <c r="O191" s="54"/>
      <c r="P191" s="54"/>
      <c r="Q191" s="54"/>
      <c r="S191" s="62"/>
    </row>
    <row r="192" spans="1:19" ht="15.75" customHeight="1" x14ac:dyDescent="0.2">
      <c r="A192" s="54"/>
      <c r="B192" s="54"/>
      <c r="C192" s="180"/>
      <c r="D192" s="54"/>
      <c r="E192" s="54"/>
      <c r="F192" s="54"/>
      <c r="G192" s="54"/>
      <c r="I192" s="54"/>
      <c r="J192" s="54"/>
      <c r="K192" s="180"/>
      <c r="L192" s="54"/>
      <c r="M192" s="54"/>
      <c r="N192" s="54"/>
      <c r="O192" s="54"/>
      <c r="P192" s="54"/>
      <c r="Q192" s="54"/>
      <c r="S192" s="62"/>
    </row>
    <row r="193" spans="1:19" ht="15.75" customHeight="1" x14ac:dyDescent="0.2">
      <c r="A193" s="54"/>
      <c r="B193" s="54"/>
      <c r="C193" s="180"/>
      <c r="D193" s="54"/>
      <c r="E193" s="54"/>
      <c r="F193" s="54"/>
      <c r="G193" s="54"/>
      <c r="I193" s="54"/>
      <c r="J193" s="54"/>
      <c r="K193" s="180"/>
      <c r="L193" s="54"/>
      <c r="M193" s="54"/>
      <c r="N193" s="54"/>
      <c r="O193" s="54"/>
      <c r="P193" s="54"/>
      <c r="Q193" s="54"/>
      <c r="S193" s="62"/>
    </row>
    <row r="194" spans="1:19" ht="15.75" customHeight="1" x14ac:dyDescent="0.2">
      <c r="A194" s="54"/>
      <c r="B194" s="54"/>
      <c r="C194" s="180"/>
      <c r="D194" s="54"/>
      <c r="E194" s="54"/>
      <c r="F194" s="54"/>
      <c r="G194" s="54"/>
      <c r="I194" s="54"/>
      <c r="J194" s="54"/>
      <c r="K194" s="180"/>
      <c r="L194" s="54"/>
      <c r="M194" s="54"/>
      <c r="N194" s="54"/>
      <c r="O194" s="54"/>
      <c r="P194" s="54"/>
      <c r="Q194" s="54"/>
      <c r="S194" s="62"/>
    </row>
    <row r="195" spans="1:19" ht="15.75" customHeight="1" x14ac:dyDescent="0.2">
      <c r="A195" s="54"/>
      <c r="B195" s="54"/>
      <c r="C195" s="180"/>
      <c r="D195" s="54"/>
      <c r="E195" s="54"/>
      <c r="F195" s="54"/>
      <c r="G195" s="54"/>
      <c r="I195" s="54"/>
      <c r="J195" s="54"/>
      <c r="K195" s="180"/>
      <c r="L195" s="54"/>
      <c r="M195" s="54"/>
      <c r="N195" s="54"/>
      <c r="O195" s="54"/>
      <c r="P195" s="54"/>
      <c r="Q195" s="54"/>
      <c r="S195" s="62"/>
    </row>
    <row r="196" spans="1:19" ht="15.75" customHeight="1" x14ac:dyDescent="0.2">
      <c r="A196" s="54"/>
      <c r="B196" s="54"/>
      <c r="C196" s="180"/>
      <c r="D196" s="54"/>
      <c r="E196" s="54"/>
      <c r="F196" s="54"/>
      <c r="G196" s="54"/>
      <c r="I196" s="54"/>
      <c r="J196" s="54"/>
      <c r="K196" s="180"/>
      <c r="L196" s="54"/>
      <c r="M196" s="54"/>
      <c r="N196" s="54"/>
      <c r="O196" s="54"/>
      <c r="P196" s="54"/>
      <c r="Q196" s="54"/>
      <c r="S196" s="62"/>
    </row>
    <row r="197" spans="1:19" ht="15.75" customHeight="1" x14ac:dyDescent="0.2">
      <c r="A197" s="54"/>
      <c r="B197" s="54"/>
      <c r="C197" s="180"/>
      <c r="D197" s="54"/>
      <c r="E197" s="54"/>
      <c r="F197" s="54"/>
      <c r="G197" s="54"/>
      <c r="I197" s="54"/>
      <c r="J197" s="54"/>
      <c r="K197" s="180"/>
      <c r="L197" s="54"/>
      <c r="M197" s="54"/>
      <c r="N197" s="54"/>
      <c r="O197" s="54"/>
      <c r="P197" s="54"/>
      <c r="Q197" s="54"/>
      <c r="S197" s="62"/>
    </row>
    <row r="198" spans="1:19" ht="15.75" customHeight="1" x14ac:dyDescent="0.2">
      <c r="A198" s="54"/>
      <c r="B198" s="54"/>
      <c r="C198" s="180"/>
      <c r="D198" s="54"/>
      <c r="E198" s="54"/>
      <c r="F198" s="54"/>
      <c r="G198" s="54"/>
      <c r="I198" s="54"/>
      <c r="J198" s="54"/>
      <c r="K198" s="180"/>
      <c r="L198" s="54"/>
      <c r="M198" s="54"/>
      <c r="N198" s="54"/>
      <c r="O198" s="54"/>
      <c r="P198" s="54"/>
      <c r="Q198" s="54"/>
      <c r="S198" s="62"/>
    </row>
    <row r="199" spans="1:19" ht="15.75" customHeight="1" x14ac:dyDescent="0.2">
      <c r="A199" s="54"/>
      <c r="B199" s="54"/>
      <c r="C199" s="180"/>
      <c r="D199" s="54"/>
      <c r="E199" s="54"/>
      <c r="F199" s="54"/>
      <c r="G199" s="54"/>
      <c r="I199" s="54"/>
      <c r="J199" s="54"/>
      <c r="K199" s="180"/>
      <c r="L199" s="54"/>
      <c r="M199" s="54"/>
      <c r="N199" s="54"/>
      <c r="O199" s="54"/>
      <c r="P199" s="54"/>
      <c r="Q199" s="54"/>
      <c r="S199" s="62"/>
    </row>
    <row r="200" spans="1:19" ht="15.75" customHeight="1" x14ac:dyDescent="0.2">
      <c r="A200" s="54"/>
      <c r="B200" s="54"/>
      <c r="C200" s="180"/>
      <c r="D200" s="54"/>
      <c r="E200" s="54"/>
      <c r="F200" s="54"/>
      <c r="G200" s="54"/>
      <c r="I200" s="54"/>
      <c r="J200" s="54"/>
      <c r="K200" s="180"/>
      <c r="L200" s="54"/>
      <c r="M200" s="54"/>
      <c r="N200" s="54"/>
      <c r="O200" s="54"/>
      <c r="P200" s="54"/>
      <c r="Q200" s="54"/>
      <c r="S200" s="62"/>
    </row>
    <row r="201" spans="1:19" ht="15.75" customHeight="1" x14ac:dyDescent="0.2">
      <c r="A201" s="54"/>
      <c r="B201" s="54"/>
      <c r="C201" s="180"/>
      <c r="D201" s="54"/>
      <c r="E201" s="54"/>
      <c r="F201" s="54"/>
      <c r="G201" s="54"/>
      <c r="I201" s="54"/>
      <c r="J201" s="54"/>
      <c r="K201" s="180"/>
      <c r="L201" s="54"/>
      <c r="M201" s="54"/>
      <c r="N201" s="54"/>
      <c r="O201" s="54"/>
      <c r="P201" s="54"/>
      <c r="Q201" s="54"/>
      <c r="S201" s="62"/>
    </row>
    <row r="202" spans="1:19" ht="15.75" customHeight="1" x14ac:dyDescent="0.2">
      <c r="A202" s="54"/>
      <c r="B202" s="54"/>
      <c r="C202" s="180"/>
      <c r="D202" s="54"/>
      <c r="E202" s="54"/>
      <c r="F202" s="54"/>
      <c r="G202" s="54"/>
      <c r="I202" s="54"/>
      <c r="J202" s="54"/>
      <c r="K202" s="180"/>
      <c r="L202" s="54"/>
      <c r="M202" s="54"/>
      <c r="N202" s="54"/>
      <c r="O202" s="54"/>
      <c r="P202" s="54"/>
      <c r="Q202" s="54"/>
      <c r="S202" s="62"/>
    </row>
    <row r="203" spans="1:19" ht="15.75" customHeight="1" x14ac:dyDescent="0.2">
      <c r="A203" s="54"/>
      <c r="B203" s="54"/>
      <c r="C203" s="180"/>
      <c r="D203" s="54"/>
      <c r="E203" s="54"/>
      <c r="F203" s="54"/>
      <c r="G203" s="54"/>
      <c r="I203" s="54"/>
      <c r="J203" s="54"/>
      <c r="K203" s="180"/>
      <c r="L203" s="54"/>
      <c r="M203" s="54"/>
      <c r="N203" s="54"/>
      <c r="O203" s="54"/>
      <c r="P203" s="54"/>
      <c r="Q203" s="54"/>
      <c r="S203" s="62"/>
    </row>
    <row r="204" spans="1:19" ht="15.75" customHeight="1" x14ac:dyDescent="0.2">
      <c r="A204" s="54"/>
      <c r="B204" s="54"/>
      <c r="C204" s="180"/>
      <c r="D204" s="54"/>
      <c r="E204" s="54"/>
      <c r="F204" s="54"/>
      <c r="G204" s="54"/>
      <c r="I204" s="54"/>
      <c r="J204" s="54"/>
      <c r="K204" s="180"/>
      <c r="L204" s="54"/>
      <c r="M204" s="54"/>
      <c r="N204" s="54"/>
      <c r="O204" s="54"/>
      <c r="P204" s="54"/>
      <c r="Q204" s="54"/>
      <c r="S204" s="62"/>
    </row>
    <row r="205" spans="1:19" ht="15.75" customHeight="1" x14ac:dyDescent="0.2">
      <c r="A205" s="54"/>
      <c r="B205" s="54"/>
      <c r="C205" s="180"/>
      <c r="D205" s="54"/>
      <c r="E205" s="54"/>
      <c r="F205" s="54"/>
      <c r="G205" s="54"/>
      <c r="I205" s="54"/>
      <c r="J205" s="54"/>
      <c r="K205" s="180"/>
      <c r="L205" s="54"/>
      <c r="M205" s="54"/>
      <c r="N205" s="54"/>
      <c r="O205" s="54"/>
      <c r="P205" s="54"/>
      <c r="Q205" s="54"/>
      <c r="S205" s="62"/>
    </row>
    <row r="206" spans="1:19" ht="15.75" customHeight="1" x14ac:dyDescent="0.2">
      <c r="A206" s="54"/>
      <c r="B206" s="54"/>
      <c r="C206" s="180"/>
      <c r="D206" s="54"/>
      <c r="E206" s="54"/>
      <c r="F206" s="54"/>
      <c r="G206" s="54"/>
      <c r="I206" s="54"/>
      <c r="J206" s="54"/>
      <c r="K206" s="180"/>
      <c r="L206" s="54"/>
      <c r="M206" s="54"/>
      <c r="N206" s="54"/>
      <c r="O206" s="54"/>
      <c r="P206" s="54"/>
      <c r="Q206" s="54"/>
      <c r="S206" s="62"/>
    </row>
    <row r="207" spans="1:19" ht="15.75" customHeight="1" x14ac:dyDescent="0.2">
      <c r="A207" s="54"/>
      <c r="B207" s="54"/>
      <c r="C207" s="180"/>
      <c r="D207" s="54"/>
      <c r="E207" s="54"/>
      <c r="F207" s="54"/>
      <c r="G207" s="54"/>
      <c r="I207" s="54"/>
      <c r="J207" s="54"/>
      <c r="K207" s="180"/>
      <c r="L207" s="54"/>
      <c r="M207" s="54"/>
      <c r="N207" s="54"/>
      <c r="O207" s="54"/>
      <c r="P207" s="54"/>
      <c r="Q207" s="54"/>
      <c r="S207" s="62"/>
    </row>
    <row r="208" spans="1:19" ht="15.75" customHeight="1" x14ac:dyDescent="0.2">
      <c r="A208" s="54"/>
      <c r="B208" s="54"/>
      <c r="C208" s="180"/>
      <c r="D208" s="54"/>
      <c r="E208" s="54"/>
      <c r="F208" s="54"/>
      <c r="G208" s="54"/>
      <c r="I208" s="54"/>
      <c r="J208" s="54"/>
      <c r="K208" s="180"/>
      <c r="L208" s="54"/>
      <c r="M208" s="54"/>
      <c r="N208" s="54"/>
      <c r="O208" s="54"/>
      <c r="P208" s="54"/>
      <c r="Q208" s="54"/>
      <c r="S208" s="62"/>
    </row>
    <row r="209" spans="1:19" ht="15.75" customHeight="1" x14ac:dyDescent="0.2">
      <c r="A209" s="54"/>
      <c r="B209" s="54"/>
      <c r="C209" s="180"/>
      <c r="D209" s="54"/>
      <c r="E209" s="54"/>
      <c r="F209" s="54"/>
      <c r="G209" s="54"/>
      <c r="I209" s="54"/>
      <c r="J209" s="54"/>
      <c r="K209" s="180"/>
      <c r="L209" s="54"/>
      <c r="M209" s="54"/>
      <c r="N209" s="54"/>
      <c r="O209" s="54"/>
      <c r="P209" s="54"/>
      <c r="Q209" s="54"/>
      <c r="S209" s="62"/>
    </row>
    <row r="210" spans="1:19" ht="15.75" customHeight="1" x14ac:dyDescent="0.2">
      <c r="A210" s="54"/>
      <c r="B210" s="54"/>
      <c r="C210" s="180"/>
      <c r="D210" s="54"/>
      <c r="E210" s="54"/>
      <c r="F210" s="54"/>
      <c r="G210" s="54"/>
      <c r="I210" s="54"/>
      <c r="J210" s="54"/>
      <c r="K210" s="180"/>
      <c r="L210" s="54"/>
      <c r="M210" s="54"/>
      <c r="N210" s="54"/>
      <c r="O210" s="54"/>
      <c r="P210" s="54"/>
      <c r="Q210" s="54"/>
      <c r="S210" s="62"/>
    </row>
    <row r="211" spans="1:19" ht="15.75" customHeight="1" x14ac:dyDescent="0.2">
      <c r="A211" s="54"/>
      <c r="B211" s="54"/>
      <c r="C211" s="180"/>
      <c r="D211" s="54"/>
      <c r="E211" s="54"/>
      <c r="F211" s="54"/>
      <c r="G211" s="54"/>
      <c r="I211" s="54"/>
      <c r="J211" s="54"/>
      <c r="K211" s="180"/>
      <c r="L211" s="54"/>
      <c r="M211" s="54"/>
      <c r="N211" s="54"/>
      <c r="O211" s="54"/>
      <c r="P211" s="54"/>
      <c r="Q211" s="54"/>
      <c r="S211" s="62"/>
    </row>
    <row r="212" spans="1:19" ht="15.75" customHeight="1" x14ac:dyDescent="0.2">
      <c r="A212" s="54"/>
      <c r="B212" s="54"/>
      <c r="C212" s="180"/>
      <c r="D212" s="54"/>
      <c r="E212" s="54"/>
      <c r="F212" s="54"/>
      <c r="G212" s="54"/>
      <c r="I212" s="54"/>
      <c r="J212" s="54"/>
      <c r="K212" s="180"/>
      <c r="L212" s="54"/>
      <c r="M212" s="54"/>
      <c r="N212" s="54"/>
      <c r="O212" s="54"/>
      <c r="P212" s="54"/>
      <c r="Q212" s="54"/>
      <c r="S212" s="62"/>
    </row>
    <row r="213" spans="1:19" ht="15.75" customHeight="1" x14ac:dyDescent="0.2">
      <c r="A213" s="54"/>
      <c r="B213" s="54"/>
      <c r="C213" s="180"/>
      <c r="D213" s="54"/>
      <c r="E213" s="54"/>
      <c r="F213" s="54"/>
      <c r="G213" s="54"/>
      <c r="I213" s="54"/>
      <c r="J213" s="54"/>
      <c r="K213" s="180"/>
      <c r="L213" s="54"/>
      <c r="M213" s="54"/>
      <c r="N213" s="54"/>
      <c r="O213" s="54"/>
      <c r="P213" s="54"/>
      <c r="Q213" s="54"/>
      <c r="S213" s="62"/>
    </row>
    <row r="214" spans="1:19" ht="15.75" customHeight="1" x14ac:dyDescent="0.2">
      <c r="A214" s="54"/>
      <c r="B214" s="54"/>
      <c r="C214" s="180"/>
      <c r="D214" s="54"/>
      <c r="E214" s="54"/>
      <c r="F214" s="54"/>
      <c r="G214" s="54"/>
      <c r="I214" s="54"/>
      <c r="J214" s="54"/>
      <c r="K214" s="180"/>
      <c r="L214" s="54"/>
      <c r="M214" s="54"/>
      <c r="N214" s="54"/>
      <c r="O214" s="54"/>
      <c r="P214" s="54"/>
      <c r="Q214" s="54"/>
      <c r="S214" s="62"/>
    </row>
    <row r="215" spans="1:19" ht="15.75" customHeight="1" x14ac:dyDescent="0.2">
      <c r="A215" s="54"/>
      <c r="B215" s="54"/>
      <c r="C215" s="180"/>
      <c r="D215" s="54"/>
      <c r="E215" s="54"/>
      <c r="F215" s="54"/>
      <c r="G215" s="54"/>
      <c r="I215" s="54"/>
      <c r="J215" s="54"/>
      <c r="K215" s="180"/>
      <c r="L215" s="54"/>
      <c r="M215" s="54"/>
      <c r="N215" s="54"/>
      <c r="O215" s="54"/>
      <c r="P215" s="54"/>
      <c r="Q215" s="54"/>
      <c r="S215" s="62"/>
    </row>
    <row r="216" spans="1:19" ht="15.75" customHeight="1" x14ac:dyDescent="0.2">
      <c r="A216" s="54"/>
      <c r="B216" s="54"/>
      <c r="C216" s="180"/>
      <c r="D216" s="54"/>
      <c r="E216" s="54"/>
      <c r="F216" s="54"/>
      <c r="G216" s="54"/>
      <c r="I216" s="54"/>
      <c r="J216" s="54"/>
      <c r="K216" s="180"/>
      <c r="L216" s="54"/>
      <c r="M216" s="54"/>
      <c r="N216" s="54"/>
      <c r="O216" s="54"/>
      <c r="P216" s="54"/>
      <c r="Q216" s="54"/>
      <c r="S216" s="62"/>
    </row>
    <row r="217" spans="1:19" ht="15.75" customHeight="1" x14ac:dyDescent="0.2">
      <c r="A217" s="54"/>
      <c r="B217" s="54"/>
      <c r="C217" s="180"/>
      <c r="D217" s="54"/>
      <c r="E217" s="54"/>
      <c r="F217" s="54"/>
      <c r="G217" s="54"/>
      <c r="I217" s="54"/>
      <c r="J217" s="54"/>
      <c r="K217" s="180"/>
      <c r="L217" s="54"/>
      <c r="M217" s="54"/>
      <c r="N217" s="54"/>
      <c r="O217" s="54"/>
      <c r="P217" s="54"/>
      <c r="Q217" s="54"/>
      <c r="S217" s="62"/>
    </row>
    <row r="218" spans="1:19" ht="15.75" customHeight="1" x14ac:dyDescent="0.2">
      <c r="A218" s="54"/>
      <c r="B218" s="54"/>
      <c r="C218" s="180"/>
      <c r="D218" s="54"/>
      <c r="E218" s="54"/>
      <c r="F218" s="54"/>
      <c r="G218" s="54"/>
      <c r="I218" s="54"/>
      <c r="J218" s="54"/>
      <c r="K218" s="180"/>
      <c r="L218" s="54"/>
      <c r="M218" s="54"/>
      <c r="N218" s="54"/>
      <c r="O218" s="54"/>
      <c r="P218" s="54"/>
      <c r="Q218" s="54"/>
      <c r="S218" s="62"/>
    </row>
    <row r="219" spans="1:19" ht="15.75" customHeight="1" x14ac:dyDescent="0.2">
      <c r="A219" s="54"/>
      <c r="B219" s="54"/>
      <c r="C219" s="180"/>
      <c r="D219" s="54"/>
      <c r="E219" s="54"/>
      <c r="F219" s="54"/>
      <c r="G219" s="54"/>
      <c r="I219" s="54"/>
      <c r="J219" s="54"/>
      <c r="K219" s="180"/>
      <c r="L219" s="54"/>
      <c r="M219" s="54"/>
      <c r="N219" s="54"/>
      <c r="O219" s="54"/>
      <c r="P219" s="54"/>
      <c r="Q219" s="54"/>
      <c r="S219" s="62"/>
    </row>
    <row r="220" spans="1:19" ht="15.75" customHeight="1" x14ac:dyDescent="0.2">
      <c r="A220" s="54"/>
      <c r="B220" s="54"/>
      <c r="C220" s="180"/>
      <c r="D220" s="54"/>
      <c r="E220" s="54"/>
      <c r="F220" s="54"/>
      <c r="G220" s="54"/>
      <c r="I220" s="54"/>
      <c r="J220" s="54"/>
      <c r="K220" s="180"/>
      <c r="L220" s="54"/>
      <c r="M220" s="54"/>
      <c r="N220" s="54"/>
      <c r="O220" s="54"/>
      <c r="P220" s="54"/>
      <c r="Q220" s="54"/>
      <c r="S220" s="62"/>
    </row>
    <row r="221" spans="1:19" ht="15.75" customHeight="1" x14ac:dyDescent="0.2">
      <c r="A221" s="54"/>
      <c r="B221" s="54"/>
      <c r="C221" s="180"/>
      <c r="D221" s="54"/>
      <c r="E221" s="54"/>
      <c r="F221" s="54"/>
      <c r="G221" s="54"/>
      <c r="I221" s="54"/>
      <c r="J221" s="54"/>
      <c r="K221" s="180"/>
      <c r="L221" s="54"/>
      <c r="M221" s="54"/>
      <c r="N221" s="54"/>
      <c r="O221" s="54"/>
      <c r="P221" s="54"/>
      <c r="Q221" s="54"/>
      <c r="S221" s="62"/>
    </row>
    <row r="222" spans="1:19" ht="15.75" customHeight="1" x14ac:dyDescent="0.2">
      <c r="A222" s="54"/>
      <c r="B222" s="54"/>
      <c r="C222" s="180"/>
      <c r="D222" s="54"/>
      <c r="E222" s="54"/>
      <c r="F222" s="54"/>
      <c r="G222" s="54"/>
      <c r="I222" s="54"/>
      <c r="J222" s="54"/>
      <c r="K222" s="180"/>
      <c r="L222" s="54"/>
      <c r="M222" s="54"/>
      <c r="N222" s="54"/>
      <c r="O222" s="54"/>
      <c r="P222" s="54"/>
      <c r="Q222" s="54"/>
      <c r="S222" s="62"/>
    </row>
    <row r="223" spans="1:19" ht="15.75" customHeight="1" x14ac:dyDescent="0.2">
      <c r="A223" s="54"/>
      <c r="B223" s="54"/>
      <c r="C223" s="180"/>
      <c r="D223" s="54"/>
      <c r="E223" s="54"/>
      <c r="F223" s="54"/>
      <c r="G223" s="54"/>
      <c r="I223" s="54"/>
      <c r="J223" s="54"/>
      <c r="K223" s="180"/>
      <c r="L223" s="54"/>
      <c r="M223" s="54"/>
      <c r="N223" s="54"/>
      <c r="O223" s="54"/>
      <c r="P223" s="54"/>
      <c r="Q223" s="54"/>
      <c r="S223" s="62"/>
    </row>
    <row r="224" spans="1:19" ht="15.75" customHeight="1" x14ac:dyDescent="0.2">
      <c r="A224" s="54"/>
      <c r="B224" s="54"/>
      <c r="C224" s="180"/>
      <c r="D224" s="54"/>
      <c r="E224" s="54"/>
      <c r="F224" s="54"/>
      <c r="G224" s="54"/>
      <c r="I224" s="54"/>
      <c r="J224" s="54"/>
      <c r="K224" s="180"/>
      <c r="L224" s="54"/>
      <c r="M224" s="54"/>
      <c r="N224" s="54"/>
      <c r="O224" s="54"/>
      <c r="P224" s="54"/>
      <c r="Q224" s="54"/>
      <c r="S224" s="62"/>
    </row>
    <row r="225" spans="1:19" ht="15.75" customHeight="1" x14ac:dyDescent="0.2">
      <c r="A225" s="54"/>
      <c r="B225" s="54"/>
      <c r="C225" s="180"/>
      <c r="D225" s="54"/>
      <c r="E225" s="54"/>
      <c r="F225" s="54"/>
      <c r="G225" s="54"/>
      <c r="I225" s="54"/>
      <c r="J225" s="54"/>
      <c r="K225" s="180"/>
      <c r="L225" s="54"/>
      <c r="M225" s="54"/>
      <c r="N225" s="54"/>
      <c r="O225" s="54"/>
      <c r="P225" s="54"/>
      <c r="Q225" s="54"/>
      <c r="S225" s="62"/>
    </row>
    <row r="226" spans="1:19" ht="15.75" customHeight="1" x14ac:dyDescent="0.2">
      <c r="A226" s="54"/>
      <c r="B226" s="54"/>
      <c r="C226" s="180"/>
      <c r="D226" s="54"/>
      <c r="E226" s="54"/>
      <c r="F226" s="54"/>
      <c r="G226" s="54"/>
      <c r="I226" s="54"/>
      <c r="J226" s="54"/>
      <c r="K226" s="180"/>
      <c r="L226" s="54"/>
      <c r="M226" s="54"/>
      <c r="N226" s="54"/>
      <c r="O226" s="54"/>
      <c r="P226" s="54"/>
      <c r="Q226" s="54"/>
      <c r="S226" s="62"/>
    </row>
    <row r="227" spans="1:19" ht="15.75" customHeight="1" x14ac:dyDescent="0.2">
      <c r="A227" s="54"/>
      <c r="B227" s="54"/>
      <c r="C227" s="180"/>
      <c r="D227" s="54"/>
      <c r="E227" s="54"/>
      <c r="F227" s="54"/>
      <c r="G227" s="54"/>
      <c r="I227" s="54"/>
      <c r="J227" s="54"/>
      <c r="K227" s="180"/>
      <c r="L227" s="54"/>
      <c r="M227" s="54"/>
      <c r="N227" s="54"/>
      <c r="O227" s="54"/>
      <c r="P227" s="54"/>
      <c r="Q227" s="54"/>
      <c r="S227" s="62"/>
    </row>
    <row r="228" spans="1:19" ht="15.75" customHeight="1" x14ac:dyDescent="0.2">
      <c r="A228" s="54"/>
      <c r="B228" s="54"/>
      <c r="C228" s="180"/>
      <c r="D228" s="54"/>
      <c r="E228" s="54"/>
      <c r="F228" s="54"/>
      <c r="G228" s="54"/>
      <c r="I228" s="54"/>
      <c r="J228" s="54"/>
      <c r="K228" s="180"/>
      <c r="L228" s="54"/>
      <c r="M228" s="54"/>
      <c r="N228" s="54"/>
      <c r="O228" s="54"/>
      <c r="P228" s="54"/>
      <c r="Q228" s="54"/>
      <c r="S228" s="62"/>
    </row>
    <row r="229" spans="1:19" ht="15.75" customHeight="1" x14ac:dyDescent="0.2">
      <c r="A229" s="54"/>
      <c r="B229" s="54"/>
      <c r="C229" s="180"/>
      <c r="D229" s="54"/>
      <c r="E229" s="54"/>
      <c r="F229" s="54"/>
      <c r="G229" s="54"/>
      <c r="I229" s="54"/>
      <c r="J229" s="54"/>
      <c r="K229" s="180"/>
      <c r="L229" s="54"/>
      <c r="M229" s="54"/>
      <c r="N229" s="54"/>
      <c r="O229" s="54"/>
      <c r="P229" s="54"/>
      <c r="Q229" s="54"/>
      <c r="S229" s="62"/>
    </row>
    <row r="230" spans="1:19" ht="15.75" customHeight="1" x14ac:dyDescent="0.2">
      <c r="A230" s="54"/>
      <c r="B230" s="54"/>
      <c r="C230" s="180"/>
      <c r="D230" s="54"/>
      <c r="E230" s="54"/>
      <c r="F230" s="54"/>
      <c r="G230" s="54"/>
      <c r="I230" s="54"/>
      <c r="J230" s="54"/>
      <c r="K230" s="180"/>
      <c r="L230" s="54"/>
      <c r="M230" s="54"/>
      <c r="N230" s="54"/>
      <c r="O230" s="54"/>
      <c r="P230" s="54"/>
      <c r="Q230" s="54"/>
      <c r="S230" s="62"/>
    </row>
    <row r="231" spans="1:19" ht="15.75" customHeight="1" x14ac:dyDescent="0.2">
      <c r="A231" s="54"/>
      <c r="B231" s="54"/>
      <c r="C231" s="180"/>
      <c r="D231" s="54"/>
      <c r="E231" s="54"/>
      <c r="F231" s="54"/>
      <c r="G231" s="54"/>
      <c r="I231" s="54"/>
      <c r="J231" s="54"/>
      <c r="K231" s="180"/>
      <c r="L231" s="54"/>
      <c r="M231" s="54"/>
      <c r="N231" s="54"/>
      <c r="O231" s="54"/>
      <c r="P231" s="54"/>
      <c r="Q231" s="54"/>
      <c r="S231" s="62"/>
    </row>
    <row r="232" spans="1:19" ht="15.75" customHeight="1" x14ac:dyDescent="0.2">
      <c r="A232" s="54"/>
      <c r="B232" s="54"/>
      <c r="C232" s="180"/>
      <c r="D232" s="54"/>
      <c r="E232" s="54"/>
      <c r="F232" s="54"/>
      <c r="G232" s="54"/>
      <c r="I232" s="54"/>
      <c r="J232" s="54"/>
      <c r="K232" s="180"/>
      <c r="L232" s="54"/>
      <c r="M232" s="54"/>
      <c r="N232" s="54"/>
      <c r="O232" s="54"/>
      <c r="P232" s="54"/>
      <c r="Q232" s="54"/>
      <c r="S232" s="62"/>
    </row>
    <row r="233" spans="1:19" ht="15.75" customHeight="1" x14ac:dyDescent="0.2">
      <c r="C233" s="60"/>
      <c r="I233" s="54"/>
      <c r="J233" s="54"/>
      <c r="K233" s="180"/>
      <c r="L233" s="54"/>
      <c r="M233" s="54"/>
      <c r="N233" s="54"/>
      <c r="O233" s="54"/>
      <c r="P233" s="54"/>
      <c r="Q233" s="54"/>
      <c r="S233" s="62"/>
    </row>
    <row r="234" spans="1:19" ht="15.75" customHeight="1" x14ac:dyDescent="0.2">
      <c r="C234" s="60"/>
      <c r="I234" s="54"/>
      <c r="J234" s="54"/>
      <c r="K234" s="180"/>
      <c r="L234" s="54"/>
      <c r="M234" s="54"/>
      <c r="N234" s="54"/>
      <c r="O234" s="54"/>
      <c r="P234" s="54"/>
      <c r="Q234" s="54"/>
      <c r="S234" s="62"/>
    </row>
    <row r="235" spans="1:19" ht="15.75" customHeight="1" x14ac:dyDescent="0.2">
      <c r="C235" s="60"/>
      <c r="I235" s="54"/>
      <c r="J235" s="54"/>
      <c r="K235" s="180"/>
      <c r="L235" s="54"/>
      <c r="M235" s="54"/>
      <c r="N235" s="54"/>
      <c r="O235" s="54"/>
      <c r="P235" s="54"/>
      <c r="Q235" s="54"/>
      <c r="S235" s="62"/>
    </row>
    <row r="236" spans="1:19" ht="15.75" customHeight="1" x14ac:dyDescent="0.2">
      <c r="C236" s="60"/>
      <c r="I236" s="54"/>
      <c r="J236" s="54"/>
      <c r="K236" s="180"/>
      <c r="L236" s="54"/>
      <c r="M236" s="54"/>
      <c r="N236" s="54"/>
      <c r="O236" s="54"/>
      <c r="P236" s="54"/>
      <c r="Q236" s="54"/>
      <c r="S236" s="62"/>
    </row>
    <row r="237" spans="1:19" ht="15.75" customHeight="1" x14ac:dyDescent="0.2">
      <c r="C237" s="60"/>
      <c r="I237" s="54"/>
      <c r="J237" s="54"/>
      <c r="K237" s="180"/>
      <c r="L237" s="54"/>
      <c r="M237" s="54"/>
      <c r="N237" s="54"/>
      <c r="O237" s="54"/>
      <c r="P237" s="54"/>
      <c r="Q237" s="54"/>
      <c r="S237" s="62"/>
    </row>
    <row r="238" spans="1:19" ht="15.75" customHeight="1" x14ac:dyDescent="0.2">
      <c r="C238" s="60"/>
      <c r="I238" s="54"/>
      <c r="J238" s="54"/>
      <c r="K238" s="180"/>
      <c r="L238" s="54"/>
      <c r="M238" s="54"/>
      <c r="N238" s="54"/>
      <c r="O238" s="54"/>
      <c r="P238" s="54"/>
      <c r="Q238" s="54"/>
      <c r="S238" s="62"/>
    </row>
    <row r="239" spans="1:19" ht="15.75" customHeight="1" x14ac:dyDescent="0.2">
      <c r="C239" s="60"/>
      <c r="I239" s="54"/>
      <c r="J239" s="54"/>
      <c r="K239" s="180"/>
      <c r="L239" s="54"/>
      <c r="M239" s="54"/>
      <c r="N239" s="54"/>
      <c r="O239" s="54"/>
      <c r="P239" s="54"/>
      <c r="Q239" s="54"/>
      <c r="S239" s="62"/>
    </row>
    <row r="240" spans="1:19" ht="15.75" customHeight="1" x14ac:dyDescent="0.2">
      <c r="C240" s="60"/>
      <c r="I240" s="54"/>
      <c r="J240" s="54"/>
      <c r="K240" s="180"/>
      <c r="L240" s="54"/>
      <c r="M240" s="54"/>
      <c r="N240" s="54"/>
      <c r="O240" s="54"/>
      <c r="P240" s="54"/>
      <c r="Q240" s="54"/>
      <c r="S240" s="62"/>
    </row>
    <row r="241" spans="3:19" ht="15.75" customHeight="1" x14ac:dyDescent="0.2">
      <c r="C241" s="60"/>
      <c r="I241" s="54"/>
      <c r="J241" s="54"/>
      <c r="K241" s="180"/>
      <c r="L241" s="54"/>
      <c r="M241" s="54"/>
      <c r="N241" s="54"/>
      <c r="O241" s="54"/>
      <c r="P241" s="54"/>
      <c r="Q241" s="54"/>
      <c r="S241" s="62"/>
    </row>
    <row r="242" spans="3:19" ht="15.75" customHeight="1" x14ac:dyDescent="0.2">
      <c r="C242" s="60"/>
      <c r="I242" s="54"/>
      <c r="J242" s="54"/>
      <c r="K242" s="180"/>
      <c r="L242" s="54"/>
      <c r="M242" s="54"/>
      <c r="N242" s="54"/>
      <c r="O242" s="54"/>
      <c r="P242" s="54"/>
      <c r="Q242" s="54"/>
      <c r="S242" s="62"/>
    </row>
    <row r="243" spans="3:19" ht="15.75" customHeight="1" x14ac:dyDescent="0.2">
      <c r="C243" s="60"/>
      <c r="I243" s="54"/>
      <c r="J243" s="54"/>
      <c r="K243" s="180"/>
      <c r="L243" s="54"/>
      <c r="M243" s="54"/>
      <c r="N243" s="54"/>
      <c r="O243" s="54"/>
      <c r="P243" s="54"/>
      <c r="Q243" s="54"/>
      <c r="S243" s="62"/>
    </row>
    <row r="244" spans="3:19" ht="15.75" customHeight="1" x14ac:dyDescent="0.2">
      <c r="C244" s="60"/>
      <c r="I244" s="54"/>
      <c r="J244" s="54"/>
      <c r="K244" s="180"/>
      <c r="L244" s="54"/>
      <c r="M244" s="54"/>
      <c r="N244" s="54"/>
      <c r="O244" s="54"/>
      <c r="P244" s="54"/>
      <c r="Q244" s="54"/>
      <c r="S244" s="62"/>
    </row>
    <row r="245" spans="3:19" ht="15.75" customHeight="1" x14ac:dyDescent="0.2">
      <c r="C245" s="60"/>
      <c r="I245" s="54"/>
      <c r="J245" s="54"/>
      <c r="K245" s="180"/>
      <c r="L245" s="54"/>
      <c r="M245" s="54"/>
      <c r="N245" s="54"/>
      <c r="O245" s="54"/>
      <c r="P245" s="54"/>
      <c r="Q245" s="54"/>
      <c r="S245" s="62"/>
    </row>
    <row r="246" spans="3:19" ht="15.75" customHeight="1" x14ac:dyDescent="0.2">
      <c r="C246" s="60"/>
      <c r="I246" s="54"/>
      <c r="J246" s="54"/>
      <c r="K246" s="180"/>
      <c r="L246" s="54"/>
      <c r="M246" s="54"/>
      <c r="N246" s="54"/>
      <c r="O246" s="54"/>
      <c r="P246" s="54"/>
      <c r="Q246" s="54"/>
      <c r="S246" s="62"/>
    </row>
    <row r="247" spans="3:19" ht="15.75" customHeight="1" x14ac:dyDescent="0.2">
      <c r="C247" s="60"/>
      <c r="I247" s="54"/>
      <c r="J247" s="54"/>
      <c r="K247" s="180"/>
      <c r="L247" s="54"/>
      <c r="M247" s="54"/>
      <c r="N247" s="54"/>
      <c r="O247" s="54"/>
      <c r="P247" s="54"/>
      <c r="Q247" s="54"/>
      <c r="S247" s="62"/>
    </row>
    <row r="248" spans="3:19" ht="15.75" customHeight="1" x14ac:dyDescent="0.2">
      <c r="C248" s="60"/>
      <c r="I248" s="54"/>
      <c r="J248" s="54"/>
      <c r="K248" s="180"/>
      <c r="L248" s="54"/>
      <c r="M248" s="54"/>
      <c r="N248" s="54"/>
      <c r="O248" s="54"/>
      <c r="P248" s="54"/>
      <c r="Q248" s="54"/>
      <c r="S248" s="62"/>
    </row>
    <row r="249" spans="3:19" ht="15.75" customHeight="1" x14ac:dyDescent="0.2">
      <c r="C249" s="60"/>
      <c r="I249" s="54"/>
      <c r="J249" s="54"/>
      <c r="K249" s="180"/>
      <c r="L249" s="54"/>
      <c r="M249" s="54"/>
      <c r="N249" s="54"/>
      <c r="O249" s="54"/>
      <c r="P249" s="54"/>
      <c r="Q249" s="54"/>
      <c r="S249" s="62"/>
    </row>
    <row r="250" spans="3:19" ht="15.75" customHeight="1" x14ac:dyDescent="0.2">
      <c r="C250" s="60"/>
      <c r="I250" s="54"/>
      <c r="J250" s="54"/>
      <c r="K250" s="180"/>
      <c r="L250" s="54"/>
      <c r="M250" s="54"/>
      <c r="N250" s="54"/>
      <c r="O250" s="54"/>
      <c r="P250" s="54"/>
      <c r="Q250" s="54"/>
      <c r="S250" s="62"/>
    </row>
    <row r="251" spans="3:19" ht="15.75" customHeight="1" x14ac:dyDescent="0.2">
      <c r="C251" s="60"/>
      <c r="I251" s="54"/>
      <c r="J251" s="54"/>
      <c r="K251" s="180"/>
      <c r="L251" s="54"/>
      <c r="M251" s="54"/>
      <c r="N251" s="54"/>
      <c r="O251" s="54"/>
      <c r="P251" s="54"/>
      <c r="Q251" s="54"/>
      <c r="S251" s="62"/>
    </row>
    <row r="252" spans="3:19" ht="15.75" customHeight="1" x14ac:dyDescent="0.2">
      <c r="C252" s="60"/>
      <c r="I252" s="54"/>
      <c r="J252" s="54"/>
      <c r="K252" s="180"/>
      <c r="L252" s="54"/>
      <c r="M252" s="54"/>
      <c r="N252" s="54"/>
      <c r="O252" s="54"/>
      <c r="P252" s="54"/>
      <c r="Q252" s="54"/>
      <c r="S252" s="62"/>
    </row>
    <row r="253" spans="3:19" ht="15.75" customHeight="1" x14ac:dyDescent="0.2">
      <c r="C253" s="60"/>
      <c r="I253" s="54"/>
      <c r="J253" s="54"/>
      <c r="K253" s="180"/>
      <c r="L253" s="54"/>
      <c r="M253" s="54"/>
      <c r="N253" s="54"/>
      <c r="O253" s="54"/>
      <c r="P253" s="54"/>
      <c r="Q253" s="54"/>
      <c r="S253" s="62"/>
    </row>
    <row r="254" spans="3:19" ht="15.75" customHeight="1" x14ac:dyDescent="0.2">
      <c r="C254" s="60"/>
      <c r="I254" s="54"/>
      <c r="J254" s="54"/>
      <c r="K254" s="180"/>
      <c r="L254" s="54"/>
      <c r="M254" s="54"/>
      <c r="N254" s="54"/>
      <c r="O254" s="54"/>
      <c r="P254" s="54"/>
      <c r="Q254" s="54"/>
      <c r="S254" s="62"/>
    </row>
    <row r="255" spans="3:19" ht="15.75" customHeight="1" x14ac:dyDescent="0.2">
      <c r="C255" s="60"/>
      <c r="I255" s="54"/>
      <c r="J255" s="54"/>
      <c r="K255" s="180"/>
      <c r="L255" s="54"/>
      <c r="M255" s="54"/>
      <c r="N255" s="54"/>
      <c r="O255" s="54"/>
      <c r="P255" s="54"/>
      <c r="Q255" s="54"/>
      <c r="S255" s="62"/>
    </row>
    <row r="256" spans="3:19" ht="15.75" customHeight="1" x14ac:dyDescent="0.2">
      <c r="C256" s="60"/>
      <c r="I256" s="54"/>
      <c r="J256" s="54"/>
      <c r="K256" s="180"/>
      <c r="L256" s="54"/>
      <c r="M256" s="54"/>
      <c r="N256" s="54"/>
      <c r="O256" s="54"/>
      <c r="P256" s="54"/>
      <c r="Q256" s="54"/>
      <c r="S256" s="62"/>
    </row>
    <row r="257" spans="3:19" ht="15.75" customHeight="1" x14ac:dyDescent="0.2">
      <c r="C257" s="60"/>
      <c r="I257" s="54"/>
      <c r="J257" s="54"/>
      <c r="K257" s="180"/>
      <c r="L257" s="54"/>
      <c r="M257" s="54"/>
      <c r="N257" s="54"/>
      <c r="O257" s="54"/>
      <c r="P257" s="54"/>
      <c r="Q257" s="54"/>
      <c r="S257" s="62"/>
    </row>
    <row r="258" spans="3:19" ht="15.75" customHeight="1" x14ac:dyDescent="0.2">
      <c r="C258" s="60"/>
      <c r="I258" s="54"/>
      <c r="J258" s="54"/>
      <c r="K258" s="180"/>
      <c r="L258" s="54"/>
      <c r="M258" s="54"/>
      <c r="N258" s="54"/>
      <c r="O258" s="54"/>
      <c r="P258" s="54"/>
      <c r="Q258" s="54"/>
      <c r="S258" s="62"/>
    </row>
    <row r="259" spans="3:19" ht="15.75" customHeight="1" x14ac:dyDescent="0.2">
      <c r="C259" s="60"/>
      <c r="I259" s="54"/>
      <c r="J259" s="54"/>
      <c r="K259" s="180"/>
      <c r="L259" s="54"/>
      <c r="M259" s="54"/>
      <c r="N259" s="54"/>
      <c r="O259" s="54"/>
      <c r="P259" s="54"/>
      <c r="Q259" s="54"/>
      <c r="S259" s="62"/>
    </row>
    <row r="260" spans="3:19" ht="15.75" customHeight="1" x14ac:dyDescent="0.2">
      <c r="C260" s="60"/>
      <c r="I260" s="54"/>
      <c r="J260" s="54"/>
      <c r="K260" s="180"/>
      <c r="L260" s="54"/>
      <c r="M260" s="54"/>
      <c r="N260" s="54"/>
      <c r="O260" s="54"/>
      <c r="P260" s="54"/>
      <c r="Q260" s="54"/>
      <c r="S260" s="62"/>
    </row>
    <row r="261" spans="3:19" ht="15.75" customHeight="1" x14ac:dyDescent="0.2">
      <c r="C261" s="60"/>
      <c r="I261" s="54"/>
      <c r="J261" s="54"/>
      <c r="K261" s="180"/>
      <c r="L261" s="54"/>
      <c r="M261" s="54"/>
      <c r="N261" s="54"/>
      <c r="O261" s="54"/>
      <c r="P261" s="54"/>
      <c r="Q261" s="54"/>
      <c r="S261" s="62"/>
    </row>
    <row r="262" spans="3:19" ht="15.75" customHeight="1" x14ac:dyDescent="0.2">
      <c r="C262" s="60"/>
      <c r="I262" s="54"/>
      <c r="J262" s="54"/>
      <c r="K262" s="180"/>
      <c r="L262" s="54"/>
      <c r="M262" s="54"/>
      <c r="N262" s="54"/>
      <c r="O262" s="54"/>
      <c r="P262" s="54"/>
      <c r="Q262" s="54"/>
      <c r="S262" s="62"/>
    </row>
    <row r="263" spans="3:19" ht="15.75" customHeight="1" x14ac:dyDescent="0.2">
      <c r="C263" s="60"/>
      <c r="I263" s="54"/>
      <c r="J263" s="54"/>
      <c r="K263" s="180"/>
      <c r="L263" s="54"/>
      <c r="M263" s="54"/>
      <c r="N263" s="54"/>
      <c r="O263" s="54"/>
      <c r="P263" s="54"/>
      <c r="Q263" s="54"/>
      <c r="S263" s="62"/>
    </row>
    <row r="264" spans="3:19" ht="15.75" customHeight="1" x14ac:dyDescent="0.2">
      <c r="C264" s="60"/>
      <c r="I264" s="54"/>
      <c r="J264" s="54"/>
      <c r="K264" s="180"/>
      <c r="L264" s="54"/>
      <c r="M264" s="54"/>
      <c r="N264" s="54"/>
      <c r="O264" s="54"/>
      <c r="P264" s="54"/>
      <c r="Q264" s="54"/>
      <c r="S264" s="62"/>
    </row>
    <row r="265" spans="3:19" ht="15.75" customHeight="1" x14ac:dyDescent="0.2">
      <c r="C265" s="60"/>
      <c r="I265" s="54"/>
      <c r="J265" s="54"/>
      <c r="K265" s="180"/>
      <c r="L265" s="54"/>
      <c r="M265" s="54"/>
      <c r="N265" s="54"/>
      <c r="O265" s="54"/>
      <c r="P265" s="54"/>
      <c r="Q265" s="54"/>
      <c r="S265" s="62"/>
    </row>
    <row r="266" spans="3:19" ht="15.75" customHeight="1" x14ac:dyDescent="0.2">
      <c r="C266" s="60"/>
      <c r="I266" s="54"/>
      <c r="J266" s="54"/>
      <c r="K266" s="180"/>
      <c r="L266" s="54"/>
      <c r="M266" s="54"/>
      <c r="N266" s="54"/>
      <c r="O266" s="54"/>
      <c r="P266" s="54"/>
      <c r="Q266" s="54"/>
      <c r="S266" s="62"/>
    </row>
    <row r="267" spans="3:19" ht="15.75" customHeight="1" x14ac:dyDescent="0.2">
      <c r="C267" s="60"/>
      <c r="I267" s="54"/>
      <c r="J267" s="54"/>
      <c r="K267" s="180"/>
      <c r="L267" s="54"/>
      <c r="M267" s="54"/>
      <c r="N267" s="54"/>
      <c r="O267" s="54"/>
      <c r="P267" s="54"/>
      <c r="Q267" s="54"/>
      <c r="S267" s="62"/>
    </row>
    <row r="268" spans="3:19" ht="15.75" customHeight="1" x14ac:dyDescent="0.2">
      <c r="C268" s="60"/>
      <c r="I268" s="54"/>
      <c r="J268" s="54"/>
      <c r="K268" s="180"/>
      <c r="L268" s="54"/>
      <c r="M268" s="54"/>
      <c r="N268" s="54"/>
      <c r="O268" s="54"/>
      <c r="P268" s="54"/>
      <c r="Q268" s="54"/>
      <c r="S268" s="62"/>
    </row>
    <row r="269" spans="3:19" ht="15.75" customHeight="1" x14ac:dyDescent="0.2">
      <c r="C269" s="60"/>
      <c r="I269" s="54"/>
      <c r="J269" s="54"/>
      <c r="K269" s="180"/>
      <c r="L269" s="54"/>
      <c r="M269" s="54"/>
      <c r="N269" s="54"/>
      <c r="O269" s="54"/>
      <c r="P269" s="54"/>
      <c r="Q269" s="54"/>
      <c r="S269" s="62"/>
    </row>
    <row r="270" spans="3:19" ht="15.75" customHeight="1" x14ac:dyDescent="0.2">
      <c r="C270" s="60"/>
      <c r="I270" s="54"/>
      <c r="J270" s="54"/>
      <c r="K270" s="180"/>
      <c r="L270" s="54"/>
      <c r="M270" s="54"/>
      <c r="N270" s="54"/>
      <c r="O270" s="54"/>
      <c r="P270" s="54"/>
      <c r="Q270" s="54"/>
      <c r="S270" s="62"/>
    </row>
    <row r="271" spans="3:19" ht="15.75" customHeight="1" x14ac:dyDescent="0.2">
      <c r="C271" s="60"/>
      <c r="I271" s="54"/>
      <c r="J271" s="54"/>
      <c r="K271" s="180"/>
      <c r="L271" s="54"/>
      <c r="M271" s="54"/>
      <c r="N271" s="54"/>
      <c r="O271" s="54"/>
      <c r="P271" s="54"/>
      <c r="Q271" s="54"/>
      <c r="S271" s="62"/>
    </row>
    <row r="272" spans="3:19" ht="15.75" customHeight="1" x14ac:dyDescent="0.2">
      <c r="C272" s="60"/>
      <c r="I272" s="54"/>
      <c r="J272" s="54"/>
      <c r="K272" s="180"/>
      <c r="L272" s="54"/>
      <c r="M272" s="54"/>
      <c r="N272" s="54"/>
      <c r="O272" s="54"/>
      <c r="P272" s="54"/>
      <c r="Q272" s="54"/>
      <c r="S272" s="62"/>
    </row>
    <row r="273" spans="3:19" ht="15.75" customHeight="1" x14ac:dyDescent="0.2">
      <c r="C273" s="60"/>
      <c r="I273" s="54"/>
      <c r="J273" s="54"/>
      <c r="K273" s="180"/>
      <c r="L273" s="54"/>
      <c r="M273" s="54"/>
      <c r="N273" s="54"/>
      <c r="O273" s="54"/>
      <c r="P273" s="54"/>
      <c r="Q273" s="54"/>
      <c r="S273" s="62"/>
    </row>
    <row r="274" spans="3:19" ht="15.75" customHeight="1" x14ac:dyDescent="0.2">
      <c r="C274" s="60"/>
      <c r="I274" s="54"/>
      <c r="J274" s="54"/>
      <c r="K274" s="180"/>
      <c r="L274" s="54"/>
      <c r="M274" s="54"/>
      <c r="N274" s="54"/>
      <c r="O274" s="54"/>
      <c r="P274" s="54"/>
      <c r="Q274" s="54"/>
      <c r="S274" s="62"/>
    </row>
    <row r="275" spans="3:19" ht="15.75" customHeight="1" x14ac:dyDescent="0.2">
      <c r="C275" s="60"/>
      <c r="I275" s="54"/>
      <c r="J275" s="54"/>
      <c r="K275" s="180"/>
      <c r="L275" s="54"/>
      <c r="M275" s="54"/>
      <c r="N275" s="54"/>
      <c r="O275" s="54"/>
      <c r="P275" s="54"/>
      <c r="Q275" s="54"/>
      <c r="S275" s="62"/>
    </row>
    <row r="276" spans="3:19" ht="15.75" customHeight="1" x14ac:dyDescent="0.2">
      <c r="C276" s="60"/>
      <c r="I276" s="54"/>
      <c r="J276" s="54"/>
      <c r="K276" s="180"/>
      <c r="L276" s="54"/>
      <c r="M276" s="54"/>
      <c r="N276" s="54"/>
      <c r="O276" s="54"/>
      <c r="P276" s="54"/>
      <c r="Q276" s="54"/>
      <c r="S276" s="62"/>
    </row>
    <row r="277" spans="3:19" ht="15.75" customHeight="1" x14ac:dyDescent="0.2">
      <c r="C277" s="60"/>
      <c r="I277" s="54"/>
      <c r="J277" s="54"/>
      <c r="K277" s="180"/>
      <c r="L277" s="54"/>
      <c r="M277" s="54"/>
      <c r="N277" s="54"/>
      <c r="O277" s="54"/>
      <c r="P277" s="54"/>
      <c r="Q277" s="54"/>
      <c r="S277" s="62"/>
    </row>
    <row r="278" spans="3:19" ht="15.75" customHeight="1" x14ac:dyDescent="0.2">
      <c r="C278" s="60"/>
      <c r="I278" s="54"/>
      <c r="J278" s="54"/>
      <c r="K278" s="180"/>
      <c r="L278" s="54"/>
      <c r="M278" s="54"/>
      <c r="N278" s="54"/>
      <c r="O278" s="54"/>
      <c r="P278" s="54"/>
      <c r="Q278" s="54"/>
      <c r="S278" s="62"/>
    </row>
    <row r="279" spans="3:19" ht="15.75" customHeight="1" x14ac:dyDescent="0.2">
      <c r="C279" s="60"/>
      <c r="I279" s="54"/>
      <c r="J279" s="54"/>
      <c r="K279" s="180"/>
      <c r="L279" s="54"/>
      <c r="M279" s="54"/>
      <c r="N279" s="54"/>
      <c r="O279" s="54"/>
      <c r="P279" s="54"/>
      <c r="Q279" s="54"/>
      <c r="S279" s="62"/>
    </row>
    <row r="280" spans="3:19" ht="15.75" customHeight="1" x14ac:dyDescent="0.2">
      <c r="C280" s="60"/>
      <c r="I280" s="54"/>
      <c r="J280" s="54"/>
      <c r="K280" s="180"/>
      <c r="L280" s="54"/>
      <c r="M280" s="54"/>
      <c r="N280" s="54"/>
      <c r="O280" s="54"/>
      <c r="P280" s="54"/>
      <c r="Q280" s="54"/>
      <c r="S280" s="62"/>
    </row>
    <row r="281" spans="3:19" ht="15.75" customHeight="1" x14ac:dyDescent="0.2">
      <c r="C281" s="60"/>
      <c r="I281" s="54"/>
      <c r="J281" s="54"/>
      <c r="K281" s="180"/>
      <c r="L281" s="54"/>
      <c r="M281" s="54"/>
      <c r="N281" s="54"/>
      <c r="O281" s="54"/>
      <c r="P281" s="54"/>
      <c r="Q281" s="54"/>
      <c r="S281" s="62"/>
    </row>
    <row r="282" spans="3:19" ht="15.75" customHeight="1" x14ac:dyDescent="0.2">
      <c r="C282" s="60"/>
      <c r="I282" s="54"/>
      <c r="J282" s="54"/>
      <c r="K282" s="180"/>
      <c r="L282" s="54"/>
      <c r="M282" s="54"/>
      <c r="N282" s="54"/>
      <c r="O282" s="54"/>
      <c r="P282" s="54"/>
      <c r="Q282" s="54"/>
      <c r="S282" s="62"/>
    </row>
    <row r="283" spans="3:19" ht="15.75" customHeight="1" x14ac:dyDescent="0.2">
      <c r="C283" s="60"/>
      <c r="I283" s="54"/>
      <c r="J283" s="54"/>
      <c r="K283" s="180"/>
      <c r="L283" s="54"/>
      <c r="M283" s="54"/>
      <c r="N283" s="54"/>
      <c r="O283" s="54"/>
      <c r="P283" s="54"/>
      <c r="Q283" s="54"/>
      <c r="S283" s="62"/>
    </row>
    <row r="284" spans="3:19" ht="15.75" customHeight="1" x14ac:dyDescent="0.2">
      <c r="C284" s="60"/>
      <c r="I284" s="54"/>
      <c r="J284" s="54"/>
      <c r="K284" s="180"/>
      <c r="L284" s="54"/>
      <c r="M284" s="54"/>
      <c r="N284" s="54"/>
      <c r="O284" s="54"/>
      <c r="P284" s="54"/>
      <c r="Q284" s="54"/>
      <c r="S284" s="62"/>
    </row>
    <row r="285" spans="3:19" ht="15.75" customHeight="1" x14ac:dyDescent="0.2">
      <c r="C285" s="60"/>
      <c r="I285" s="54"/>
      <c r="J285" s="54"/>
      <c r="K285" s="180"/>
      <c r="L285" s="54"/>
      <c r="M285" s="54"/>
      <c r="N285" s="54"/>
      <c r="O285" s="54"/>
      <c r="P285" s="54"/>
      <c r="Q285" s="54"/>
      <c r="S285" s="62"/>
    </row>
    <row r="286" spans="3:19" ht="15.75" customHeight="1" x14ac:dyDescent="0.2">
      <c r="C286" s="60"/>
      <c r="I286" s="54"/>
      <c r="J286" s="54"/>
      <c r="K286" s="180"/>
      <c r="L286" s="54"/>
      <c r="M286" s="54"/>
      <c r="N286" s="54"/>
      <c r="O286" s="54"/>
      <c r="P286" s="54"/>
      <c r="Q286" s="54"/>
      <c r="S286" s="62"/>
    </row>
    <row r="287" spans="3:19" ht="15.75" customHeight="1" x14ac:dyDescent="0.2">
      <c r="C287" s="60"/>
      <c r="I287" s="54"/>
      <c r="J287" s="54"/>
      <c r="K287" s="180"/>
      <c r="L287" s="54"/>
      <c r="M287" s="54"/>
      <c r="N287" s="54"/>
      <c r="O287" s="54"/>
      <c r="P287" s="54"/>
      <c r="Q287" s="54"/>
      <c r="S287" s="62"/>
    </row>
    <row r="288" spans="3:19" ht="15.75" customHeight="1" x14ac:dyDescent="0.2">
      <c r="C288" s="60"/>
      <c r="I288" s="54"/>
      <c r="J288" s="54"/>
      <c r="K288" s="180"/>
      <c r="L288" s="54"/>
      <c r="M288" s="54"/>
      <c r="N288" s="54"/>
      <c r="O288" s="54"/>
      <c r="P288" s="54"/>
      <c r="Q288" s="54"/>
      <c r="S288" s="62"/>
    </row>
    <row r="289" spans="3:19" ht="15.75" customHeight="1" x14ac:dyDescent="0.2">
      <c r="C289" s="60"/>
      <c r="I289" s="54"/>
      <c r="J289" s="54"/>
      <c r="K289" s="180"/>
      <c r="L289" s="54"/>
      <c r="M289" s="54"/>
      <c r="N289" s="54"/>
      <c r="O289" s="54"/>
      <c r="P289" s="54"/>
      <c r="Q289" s="54"/>
      <c r="S289" s="62"/>
    </row>
    <row r="290" spans="3:19" ht="15.75" customHeight="1" x14ac:dyDescent="0.2">
      <c r="C290" s="60"/>
      <c r="I290" s="54"/>
      <c r="J290" s="54"/>
      <c r="K290" s="180"/>
      <c r="L290" s="54"/>
      <c r="M290" s="54"/>
      <c r="N290" s="54"/>
      <c r="O290" s="54"/>
      <c r="P290" s="54"/>
      <c r="Q290" s="54"/>
      <c r="S290" s="62"/>
    </row>
    <row r="291" spans="3:19" ht="15.75" customHeight="1" x14ac:dyDescent="0.2">
      <c r="C291" s="60"/>
      <c r="I291" s="54"/>
      <c r="J291" s="54"/>
      <c r="K291" s="180"/>
      <c r="L291" s="54"/>
      <c r="M291" s="54"/>
      <c r="N291" s="54"/>
      <c r="O291" s="54"/>
      <c r="P291" s="54"/>
      <c r="Q291" s="54"/>
      <c r="S291" s="62"/>
    </row>
    <row r="292" spans="3:19" ht="15.75" customHeight="1" x14ac:dyDescent="0.2">
      <c r="C292" s="60"/>
      <c r="I292" s="54"/>
      <c r="J292" s="54"/>
      <c r="K292" s="180"/>
      <c r="L292" s="54"/>
      <c r="M292" s="54"/>
      <c r="N292" s="54"/>
      <c r="O292" s="54"/>
      <c r="P292" s="54"/>
      <c r="Q292" s="54"/>
      <c r="S292" s="62"/>
    </row>
    <row r="293" spans="3:19" ht="15.75" customHeight="1" x14ac:dyDescent="0.2">
      <c r="C293" s="60"/>
      <c r="I293" s="54"/>
      <c r="J293" s="54"/>
      <c r="K293" s="180"/>
      <c r="L293" s="54"/>
      <c r="M293" s="54"/>
      <c r="N293" s="54"/>
      <c r="O293" s="54"/>
      <c r="P293" s="54"/>
      <c r="Q293" s="54"/>
      <c r="S293" s="62"/>
    </row>
    <row r="294" spans="3:19" ht="15.75" customHeight="1" x14ac:dyDescent="0.2">
      <c r="C294" s="60"/>
      <c r="I294" s="54"/>
      <c r="J294" s="54"/>
      <c r="K294" s="180"/>
      <c r="L294" s="54"/>
      <c r="M294" s="54"/>
      <c r="N294" s="54"/>
      <c r="O294" s="54"/>
      <c r="P294" s="54"/>
      <c r="Q294" s="54"/>
      <c r="S294" s="62"/>
    </row>
    <row r="295" spans="3:19" ht="15.75" customHeight="1" x14ac:dyDescent="0.2">
      <c r="C295" s="60"/>
      <c r="I295" s="54"/>
      <c r="J295" s="54"/>
      <c r="K295" s="180"/>
      <c r="L295" s="54"/>
      <c r="M295" s="54"/>
      <c r="N295" s="54"/>
      <c r="O295" s="54"/>
      <c r="P295" s="54"/>
      <c r="Q295" s="54"/>
      <c r="S295" s="62"/>
    </row>
    <row r="296" spans="3:19" ht="15.75" customHeight="1" x14ac:dyDescent="0.2">
      <c r="C296" s="60"/>
      <c r="I296" s="54"/>
      <c r="J296" s="54"/>
      <c r="K296" s="180"/>
      <c r="L296" s="54"/>
      <c r="M296" s="54"/>
      <c r="N296" s="54"/>
      <c r="O296" s="54"/>
      <c r="P296" s="54"/>
      <c r="Q296" s="54"/>
      <c r="S296" s="62"/>
    </row>
    <row r="297" spans="3:19" ht="15.75" customHeight="1" x14ac:dyDescent="0.2">
      <c r="C297" s="60"/>
      <c r="I297" s="54"/>
      <c r="J297" s="54"/>
      <c r="K297" s="180"/>
      <c r="L297" s="54"/>
      <c r="M297" s="54"/>
      <c r="N297" s="54"/>
      <c r="O297" s="54"/>
      <c r="P297" s="54"/>
      <c r="Q297" s="54"/>
      <c r="S297" s="62"/>
    </row>
    <row r="298" spans="3:19" ht="15.75" customHeight="1" x14ac:dyDescent="0.2">
      <c r="C298" s="60"/>
      <c r="I298" s="54"/>
      <c r="J298" s="54"/>
      <c r="K298" s="180"/>
      <c r="L298" s="54"/>
      <c r="M298" s="54"/>
      <c r="N298" s="54"/>
      <c r="O298" s="54"/>
      <c r="P298" s="54"/>
      <c r="Q298" s="54"/>
      <c r="S298" s="62"/>
    </row>
    <row r="299" spans="3:19" ht="15.75" customHeight="1" x14ac:dyDescent="0.2">
      <c r="C299" s="60"/>
      <c r="I299" s="54"/>
      <c r="J299" s="54"/>
      <c r="K299" s="180"/>
      <c r="L299" s="54"/>
      <c r="M299" s="54"/>
      <c r="N299" s="54"/>
      <c r="O299" s="54"/>
      <c r="P299" s="54"/>
      <c r="Q299" s="54"/>
      <c r="S299" s="62"/>
    </row>
    <row r="300" spans="3:19" ht="15.75" customHeight="1" x14ac:dyDescent="0.2">
      <c r="C300" s="60"/>
      <c r="I300" s="54"/>
      <c r="J300" s="54"/>
      <c r="K300" s="180"/>
      <c r="L300" s="54"/>
      <c r="M300" s="54"/>
      <c r="N300" s="54"/>
      <c r="O300" s="54"/>
      <c r="P300" s="54"/>
      <c r="Q300" s="54"/>
      <c r="S300" s="62"/>
    </row>
    <row r="301" spans="3:19" ht="15.75" customHeight="1" x14ac:dyDescent="0.2">
      <c r="C301" s="60"/>
      <c r="I301" s="54"/>
      <c r="J301" s="54"/>
      <c r="K301" s="180"/>
      <c r="L301" s="54"/>
      <c r="M301" s="54"/>
      <c r="N301" s="54"/>
      <c r="O301" s="54"/>
      <c r="P301" s="54"/>
      <c r="Q301" s="54"/>
      <c r="S301" s="62"/>
    </row>
    <row r="302" spans="3:19" ht="15.75" customHeight="1" x14ac:dyDescent="0.2">
      <c r="C302" s="60"/>
      <c r="I302" s="54"/>
      <c r="J302" s="54"/>
      <c r="K302" s="180"/>
      <c r="L302" s="54"/>
      <c r="M302" s="54"/>
      <c r="N302" s="54"/>
      <c r="O302" s="54"/>
      <c r="P302" s="54"/>
      <c r="Q302" s="54"/>
      <c r="S302" s="62"/>
    </row>
    <row r="303" spans="3:19" ht="15.75" customHeight="1" x14ac:dyDescent="0.2">
      <c r="C303" s="60"/>
      <c r="I303" s="54"/>
      <c r="J303" s="54"/>
      <c r="K303" s="180"/>
      <c r="L303" s="54"/>
      <c r="M303" s="54"/>
      <c r="N303" s="54"/>
      <c r="O303" s="54"/>
      <c r="P303" s="54"/>
      <c r="Q303" s="54"/>
      <c r="S303" s="62"/>
    </row>
    <row r="304" spans="3:19" ht="15.75" customHeight="1" x14ac:dyDescent="0.2">
      <c r="C304" s="60"/>
      <c r="I304" s="54"/>
      <c r="J304" s="54"/>
      <c r="K304" s="180"/>
      <c r="L304" s="54"/>
      <c r="M304" s="54"/>
      <c r="N304" s="54"/>
      <c r="O304" s="54"/>
      <c r="P304" s="54"/>
      <c r="Q304" s="54"/>
      <c r="S304" s="62"/>
    </row>
    <row r="305" spans="3:19" ht="15.75" customHeight="1" x14ac:dyDescent="0.2">
      <c r="C305" s="60"/>
      <c r="I305" s="54"/>
      <c r="J305" s="54"/>
      <c r="K305" s="180"/>
      <c r="L305" s="54"/>
      <c r="M305" s="54"/>
      <c r="N305" s="54"/>
      <c r="O305" s="54"/>
      <c r="P305" s="54"/>
      <c r="Q305" s="54"/>
      <c r="S305" s="62"/>
    </row>
    <row r="306" spans="3:19" ht="15.75" customHeight="1" x14ac:dyDescent="0.2">
      <c r="C306" s="60"/>
      <c r="I306" s="54"/>
      <c r="J306" s="54"/>
      <c r="K306" s="180"/>
      <c r="L306" s="54"/>
      <c r="M306" s="54"/>
      <c r="N306" s="54"/>
      <c r="O306" s="54"/>
      <c r="P306" s="54"/>
      <c r="Q306" s="54"/>
      <c r="S306" s="62"/>
    </row>
    <row r="307" spans="3:19" ht="15.75" customHeight="1" x14ac:dyDescent="0.2">
      <c r="C307" s="60"/>
      <c r="I307" s="54"/>
      <c r="J307" s="54"/>
      <c r="K307" s="180"/>
      <c r="L307" s="54"/>
      <c r="M307" s="54"/>
      <c r="N307" s="54"/>
      <c r="O307" s="54"/>
      <c r="P307" s="54"/>
      <c r="Q307" s="54"/>
      <c r="S307" s="62"/>
    </row>
    <row r="308" spans="3:19" ht="15.75" customHeight="1" x14ac:dyDescent="0.2"/>
    <row r="309" spans="3:19" ht="15.75" customHeight="1" x14ac:dyDescent="0.2"/>
    <row r="310" spans="3:19" ht="15.75" customHeight="1" x14ac:dyDescent="0.2"/>
    <row r="311" spans="3:19" ht="15.75" customHeight="1" x14ac:dyDescent="0.2"/>
    <row r="312" spans="3:19" ht="15.75" customHeight="1" x14ac:dyDescent="0.2"/>
    <row r="313" spans="3:19" ht="15.75" customHeight="1" x14ac:dyDescent="0.2"/>
    <row r="314" spans="3:19" ht="15.75" customHeight="1" x14ac:dyDescent="0.2"/>
    <row r="315" spans="3:19" ht="15.75" customHeight="1" x14ac:dyDescent="0.2"/>
    <row r="316" spans="3:19" ht="15.75" customHeight="1" x14ac:dyDescent="0.2"/>
    <row r="317" spans="3:19" ht="15.75" customHeight="1" x14ac:dyDescent="0.2"/>
    <row r="318" spans="3:19" ht="15.75" customHeight="1" x14ac:dyDescent="0.2"/>
    <row r="319" spans="3:19" ht="15.75" customHeight="1" x14ac:dyDescent="0.2"/>
    <row r="320" spans="3:19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</sheetData>
  <mergeCells count="7">
    <mergeCell ref="A50:B50"/>
    <mergeCell ref="A65:B65"/>
    <mergeCell ref="A26:B26"/>
    <mergeCell ref="A30:B30"/>
    <mergeCell ref="A32:B32"/>
    <mergeCell ref="A41:B41"/>
    <mergeCell ref="A49:B49"/>
  </mergeCells>
  <conditionalFormatting sqref="H6:H26 H28:H30 H32:H41 H43:H51 H53:H59 S92:S98">
    <cfRule type="cellIs" dxfId="24" priority="1" operator="lessThan">
      <formula>0</formula>
    </cfRule>
  </conditionalFormatting>
  <printOptions horizontalCentered="1" verticalCentered="1"/>
  <pageMargins left="0.25" right="0.25" top="0.75" bottom="0.75" header="0.3" footer="0.3"/>
  <pageSetup scale="96" fitToHeight="0" orientation="landscape" r:id="rId1"/>
  <headerFooter>
    <oddHeader>&amp;A</oddHeader>
    <oddFooter>Page &amp;P of &amp;N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1000"/>
  <sheetViews>
    <sheetView topLeftCell="A4" workbookViewId="0"/>
  </sheetViews>
  <sheetFormatPr defaultColWidth="12.5703125" defaultRowHeight="15" customHeight="1" outlineLevelRow="1" outlineLevelCol="1" x14ac:dyDescent="0.2"/>
  <cols>
    <col min="2" max="2" width="33.7109375" customWidth="1" collapsed="1"/>
    <col min="3" max="3" width="3.5703125" hidden="1" customWidth="1" outlineLevel="1"/>
    <col min="4" max="10" width="12.5703125" hidden="1" outlineLevel="1"/>
    <col min="11" max="11" width="3.5703125" hidden="1" customWidth="1" outlineLevel="1"/>
    <col min="13" max="13" width="14.85546875" customWidth="1"/>
    <col min="18" max="19" width="12.42578125" customWidth="1"/>
    <col min="22" max="22" width="5.42578125" customWidth="1"/>
  </cols>
  <sheetData>
    <row r="1" spans="1:32" ht="15.75" hidden="1" customHeight="1" x14ac:dyDescent="0.25">
      <c r="A1" s="5"/>
      <c r="B1" s="5"/>
      <c r="C1" s="15"/>
      <c r="D1" s="16"/>
      <c r="E1" s="17" t="s">
        <v>48</v>
      </c>
      <c r="F1" s="17" t="s">
        <v>443</v>
      </c>
      <c r="G1" s="16"/>
      <c r="H1" s="18"/>
      <c r="I1" s="16"/>
      <c r="J1" s="16"/>
      <c r="K1" s="15"/>
      <c r="L1" s="5"/>
      <c r="M1" s="5"/>
      <c r="N1" s="5"/>
      <c r="O1" s="5"/>
      <c r="P1" s="5"/>
      <c r="Q1" s="5"/>
      <c r="R1" s="5"/>
      <c r="S1" s="5"/>
    </row>
    <row r="2" spans="1:32" ht="15.75" hidden="1" customHeight="1" x14ac:dyDescent="0.2">
      <c r="A2" s="5"/>
      <c r="B2" s="5"/>
      <c r="C2" s="15"/>
      <c r="D2" s="16"/>
      <c r="E2" s="16"/>
      <c r="F2" s="16"/>
      <c r="G2" s="16"/>
      <c r="H2" s="18"/>
      <c r="I2" s="16"/>
      <c r="J2" s="16"/>
      <c r="K2" s="15"/>
      <c r="L2" s="5"/>
      <c r="M2" s="5"/>
      <c r="N2" s="5"/>
      <c r="O2" s="5"/>
      <c r="P2" s="5"/>
      <c r="Q2" s="5"/>
      <c r="R2" s="5"/>
      <c r="S2" s="5"/>
    </row>
    <row r="3" spans="1:32" ht="15.75" hidden="1" customHeight="1" x14ac:dyDescent="0.25">
      <c r="A3" s="5"/>
      <c r="B3" s="5"/>
      <c r="C3" s="15"/>
      <c r="D3" s="16"/>
      <c r="E3" s="16"/>
      <c r="F3" s="16"/>
      <c r="G3" s="16"/>
      <c r="H3" s="18"/>
      <c r="I3" s="16"/>
      <c r="J3" s="16"/>
      <c r="K3" s="15"/>
      <c r="L3" s="5"/>
      <c r="M3" s="5"/>
      <c r="N3" s="5"/>
      <c r="O3" s="5"/>
      <c r="P3" s="5"/>
      <c r="Q3" s="5"/>
      <c r="R3" s="5"/>
      <c r="S3" s="5"/>
      <c r="W3" s="210"/>
      <c r="X3" s="185"/>
    </row>
    <row r="4" spans="1:32" ht="28.5" customHeight="1" x14ac:dyDescent="0.25">
      <c r="A4" s="1" t="s">
        <v>444</v>
      </c>
      <c r="B4" s="5"/>
      <c r="C4" s="15"/>
      <c r="D4" s="16"/>
      <c r="E4" s="16"/>
      <c r="F4" s="16"/>
      <c r="G4" s="16"/>
      <c r="H4" s="18"/>
      <c r="I4" s="16"/>
      <c r="J4" s="16"/>
      <c r="K4" s="15"/>
      <c r="L4" s="7"/>
      <c r="M4" s="7"/>
      <c r="N4" s="7"/>
      <c r="O4" s="7"/>
      <c r="P4" s="7"/>
      <c r="Q4" s="7"/>
      <c r="R4" s="7"/>
      <c r="S4" s="7"/>
      <c r="T4" s="206"/>
      <c r="W4" s="19"/>
      <c r="X4" s="20"/>
    </row>
    <row r="5" spans="1:32" ht="50.25" customHeight="1" x14ac:dyDescent="0.2">
      <c r="A5" s="3" t="s">
        <v>50</v>
      </c>
      <c r="B5" s="3" t="s">
        <v>51</v>
      </c>
      <c r="C5" s="21"/>
      <c r="D5" s="22" t="s">
        <v>52</v>
      </c>
      <c r="E5" s="23" t="s">
        <v>53</v>
      </c>
      <c r="F5" s="23" t="s">
        <v>54</v>
      </c>
      <c r="G5" s="23" t="s">
        <v>55</v>
      </c>
      <c r="H5" s="100" t="s">
        <v>56</v>
      </c>
      <c r="I5" s="23" t="s">
        <v>57</v>
      </c>
      <c r="J5" s="129" t="s">
        <v>58</v>
      </c>
      <c r="K5" s="130"/>
      <c r="L5" s="27" t="s">
        <v>59</v>
      </c>
      <c r="M5" s="27" t="s">
        <v>60</v>
      </c>
      <c r="N5" s="27" t="s">
        <v>61</v>
      </c>
      <c r="O5" s="27" t="s">
        <v>62</v>
      </c>
      <c r="P5" s="27" t="s">
        <v>63</v>
      </c>
      <c r="Q5" s="27" t="s">
        <v>64</v>
      </c>
      <c r="R5" s="27" t="s">
        <v>65</v>
      </c>
      <c r="S5" s="27" t="s">
        <v>66</v>
      </c>
      <c r="T5" s="207"/>
      <c r="U5" s="28"/>
      <c r="V5" s="19"/>
      <c r="X5" s="28"/>
      <c r="Y5" s="28"/>
      <c r="Z5" s="28"/>
      <c r="AA5" s="28"/>
      <c r="AB5" s="28"/>
      <c r="AC5" s="28"/>
      <c r="AD5" s="28"/>
      <c r="AE5" s="28"/>
    </row>
    <row r="6" spans="1:32" ht="15.75" customHeight="1" x14ac:dyDescent="0.25">
      <c r="A6" s="30" t="s">
        <v>445</v>
      </c>
      <c r="B6" s="30" t="s">
        <v>68</v>
      </c>
      <c r="C6" s="31"/>
      <c r="D6" s="32">
        <v>89159</v>
      </c>
      <c r="E6" s="32" t="e">
        <f>D6*#REF!</f>
        <v>#REF!</v>
      </c>
      <c r="F6" s="32" t="e">
        <f>D6*#REF!</f>
        <v>#REF!</v>
      </c>
      <c r="G6" s="32" t="e">
        <f>(D6*#REF!)*#REF!</f>
        <v>#REF!</v>
      </c>
      <c r="H6" s="33">
        <f t="shared" ref="H6:H26" si="0">IFERROR(((Q6-G6)/G6),0)</f>
        <v>0</v>
      </c>
      <c r="I6" s="34" t="e">
        <f t="shared" ref="I6:I26" si="1">Q6-G6</f>
        <v>#REF!</v>
      </c>
      <c r="J6" s="16"/>
      <c r="K6" s="31"/>
      <c r="L6" s="35">
        <v>655680</v>
      </c>
      <c r="M6" s="35">
        <v>552844.73</v>
      </c>
      <c r="N6" s="35">
        <v>461801</v>
      </c>
      <c r="O6" s="35">
        <v>300692.13</v>
      </c>
      <c r="P6" s="32">
        <f t="shared" ref="P6:P11" si="2">O6/20*26</f>
        <v>390899.76899999997</v>
      </c>
      <c r="Q6" s="32">
        <v>492200</v>
      </c>
      <c r="R6" s="36">
        <v>492200</v>
      </c>
      <c r="S6" s="36">
        <f t="shared" ref="S6:S25" si="3">R6-Q6</f>
        <v>0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</row>
    <row r="7" spans="1:32" ht="15.75" customHeight="1" x14ac:dyDescent="0.25">
      <c r="A7" s="30" t="s">
        <v>446</v>
      </c>
      <c r="B7" s="30" t="s">
        <v>70</v>
      </c>
      <c r="C7" s="15"/>
      <c r="D7" s="32">
        <v>978</v>
      </c>
      <c r="E7" s="32" t="e">
        <f>D7*#REF!</f>
        <v>#REF!</v>
      </c>
      <c r="F7" s="32" t="e">
        <f>D7*#REF!</f>
        <v>#REF!</v>
      </c>
      <c r="G7" s="32" t="e">
        <f>(D7*#REF!)*#REF!</f>
        <v>#REF!</v>
      </c>
      <c r="H7" s="33">
        <f t="shared" si="0"/>
        <v>0</v>
      </c>
      <c r="I7" s="34" t="e">
        <f t="shared" si="1"/>
        <v>#REF!</v>
      </c>
      <c r="J7" s="34">
        <v>-2000</v>
      </c>
      <c r="K7" s="15"/>
      <c r="L7" s="35">
        <v>790</v>
      </c>
      <c r="M7" s="35">
        <v>1556.72</v>
      </c>
      <c r="N7" s="35">
        <v>0</v>
      </c>
      <c r="O7" s="35">
        <v>365.36</v>
      </c>
      <c r="P7" s="32">
        <f t="shared" si="2"/>
        <v>474.96800000000002</v>
      </c>
      <c r="Q7" s="32">
        <v>2000</v>
      </c>
      <c r="R7" s="36">
        <v>0</v>
      </c>
      <c r="S7" s="36">
        <f t="shared" si="3"/>
        <v>-2000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</row>
    <row r="8" spans="1:32" ht="15.75" customHeight="1" x14ac:dyDescent="0.25">
      <c r="A8" s="30" t="s">
        <v>447</v>
      </c>
      <c r="B8" s="30" t="s">
        <v>132</v>
      </c>
      <c r="C8" s="31"/>
      <c r="D8" s="32">
        <v>5792</v>
      </c>
      <c r="E8" s="32" t="e">
        <f>D8*#REF!</f>
        <v>#REF!</v>
      </c>
      <c r="F8" s="32" t="e">
        <f>D8*#REF!</f>
        <v>#REF!</v>
      </c>
      <c r="G8" s="32" t="e">
        <f>(D8*#REF!)*#REF!</f>
        <v>#REF!</v>
      </c>
      <c r="H8" s="33">
        <f t="shared" si="0"/>
        <v>0</v>
      </c>
      <c r="I8" s="34" t="e">
        <f t="shared" si="1"/>
        <v>#REF!</v>
      </c>
      <c r="J8" s="16"/>
      <c r="K8" s="31"/>
      <c r="L8" s="35">
        <v>9243</v>
      </c>
      <c r="M8" s="35">
        <v>0</v>
      </c>
      <c r="N8" s="35">
        <v>0</v>
      </c>
      <c r="O8" s="35">
        <v>0</v>
      </c>
      <c r="P8" s="32">
        <f t="shared" si="2"/>
        <v>0</v>
      </c>
      <c r="Q8" s="32">
        <v>0</v>
      </c>
      <c r="R8" s="36">
        <v>0</v>
      </c>
      <c r="S8" s="36">
        <f t="shared" si="3"/>
        <v>0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</row>
    <row r="9" spans="1:32" ht="15.75" customHeight="1" x14ac:dyDescent="0.25">
      <c r="A9" s="30" t="s">
        <v>448</v>
      </c>
      <c r="B9" s="30" t="s">
        <v>108</v>
      </c>
      <c r="C9" s="31"/>
      <c r="D9" s="32">
        <v>0</v>
      </c>
      <c r="E9" s="32" t="e">
        <f>D9*#REF!</f>
        <v>#REF!</v>
      </c>
      <c r="F9" s="32" t="e">
        <f>D9*#REF!</f>
        <v>#REF!</v>
      </c>
      <c r="G9" s="32" t="e">
        <f>(D9*#REF!)*#REF!</f>
        <v>#REF!</v>
      </c>
      <c r="H9" s="33">
        <f t="shared" si="0"/>
        <v>0</v>
      </c>
      <c r="I9" s="34" t="e">
        <f t="shared" si="1"/>
        <v>#REF!</v>
      </c>
      <c r="J9" s="16"/>
      <c r="K9" s="31"/>
      <c r="L9" s="35">
        <v>14952</v>
      </c>
      <c r="M9" s="35">
        <v>0</v>
      </c>
      <c r="N9" s="35">
        <v>0</v>
      </c>
      <c r="O9" s="35">
        <v>0</v>
      </c>
      <c r="P9" s="32">
        <f t="shared" si="2"/>
        <v>0</v>
      </c>
      <c r="Q9" s="32">
        <v>0</v>
      </c>
      <c r="R9" s="36">
        <v>0</v>
      </c>
      <c r="S9" s="36">
        <f t="shared" si="3"/>
        <v>0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</row>
    <row r="10" spans="1:32" ht="15.75" customHeight="1" x14ac:dyDescent="0.25">
      <c r="A10" s="30" t="s">
        <v>449</v>
      </c>
      <c r="B10" s="30" t="s">
        <v>72</v>
      </c>
      <c r="C10" s="31"/>
      <c r="D10" s="32">
        <v>60880</v>
      </c>
      <c r="E10" s="32" t="e">
        <f>D10*#REF!</f>
        <v>#REF!</v>
      </c>
      <c r="F10" s="32" t="e">
        <f>D10*#REF!</f>
        <v>#REF!</v>
      </c>
      <c r="G10" s="32" t="e">
        <f>(D10*#REF!)*#REF!</f>
        <v>#REF!</v>
      </c>
      <c r="H10" s="33">
        <f t="shared" si="0"/>
        <v>0</v>
      </c>
      <c r="I10" s="34" t="e">
        <f t="shared" si="1"/>
        <v>#REF!</v>
      </c>
      <c r="J10" s="16"/>
      <c r="K10" s="31"/>
      <c r="L10" s="35">
        <v>250654</v>
      </c>
      <c r="M10" s="35">
        <v>266103.34999999998</v>
      </c>
      <c r="N10" s="35">
        <v>248513</v>
      </c>
      <c r="O10" s="35">
        <v>152697.76999999999</v>
      </c>
      <c r="P10" s="32">
        <f t="shared" si="2"/>
        <v>198507.10099999997</v>
      </c>
      <c r="Q10" s="32">
        <v>256700</v>
      </c>
      <c r="R10" s="36">
        <v>256700</v>
      </c>
      <c r="S10" s="36">
        <f t="shared" si="3"/>
        <v>0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</row>
    <row r="11" spans="1:32" ht="15.75" customHeight="1" x14ac:dyDescent="0.25">
      <c r="A11" s="30" t="s">
        <v>450</v>
      </c>
      <c r="B11" s="30" t="s">
        <v>451</v>
      </c>
      <c r="C11" s="15"/>
      <c r="D11" s="32">
        <v>0</v>
      </c>
      <c r="E11" s="32" t="e">
        <f>D11*#REF!</f>
        <v>#REF!</v>
      </c>
      <c r="F11" s="32" t="e">
        <f>D11*#REF!</f>
        <v>#REF!</v>
      </c>
      <c r="G11" s="32" t="e">
        <f>(D11*#REF!)*#REF!</f>
        <v>#REF!</v>
      </c>
      <c r="H11" s="33">
        <f t="shared" si="0"/>
        <v>0</v>
      </c>
      <c r="I11" s="34" t="e">
        <f t="shared" si="1"/>
        <v>#REF!</v>
      </c>
      <c r="J11" s="16"/>
      <c r="K11" s="31"/>
      <c r="L11" s="35">
        <v>12427</v>
      </c>
      <c r="M11" s="35">
        <v>27954.25</v>
      </c>
      <c r="N11" s="35">
        <v>32500</v>
      </c>
      <c r="O11" s="35">
        <v>23514</v>
      </c>
      <c r="P11" s="32">
        <f t="shared" si="2"/>
        <v>30568.2</v>
      </c>
      <c r="Q11" s="32">
        <v>33000</v>
      </c>
      <c r="R11" s="36">
        <v>33000</v>
      </c>
      <c r="S11" s="36">
        <f t="shared" si="3"/>
        <v>0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</row>
    <row r="12" spans="1:32" ht="15.75" customHeight="1" x14ac:dyDescent="0.25">
      <c r="A12" s="30" t="s">
        <v>452</v>
      </c>
      <c r="B12" s="30" t="s">
        <v>76</v>
      </c>
      <c r="C12" s="31"/>
      <c r="D12" s="32">
        <v>19048</v>
      </c>
      <c r="E12" s="32" t="e">
        <f>D12*#REF!</f>
        <v>#REF!</v>
      </c>
      <c r="F12" s="32" t="e">
        <f>D12*#REF!</f>
        <v>#REF!</v>
      </c>
      <c r="G12" s="32" t="e">
        <f>(D12*#REF!)*#REF!</f>
        <v>#REF!</v>
      </c>
      <c r="H12" s="33">
        <f t="shared" si="0"/>
        <v>0</v>
      </c>
      <c r="I12" s="34" t="e">
        <f t="shared" si="1"/>
        <v>#REF!</v>
      </c>
      <c r="J12" s="16"/>
      <c r="K12" s="31"/>
      <c r="L12" s="35">
        <v>9867</v>
      </c>
      <c r="M12" s="35">
        <v>3246.38</v>
      </c>
      <c r="N12" s="35">
        <v>5000</v>
      </c>
      <c r="O12" s="35">
        <v>139.44999999999999</v>
      </c>
      <c r="P12" s="32">
        <f>O12/9*12</f>
        <v>185.93333333333334</v>
      </c>
      <c r="Q12" s="32">
        <v>5000</v>
      </c>
      <c r="R12" s="36">
        <v>5000</v>
      </c>
      <c r="S12" s="36">
        <f t="shared" si="3"/>
        <v>0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</row>
    <row r="13" spans="1:32" ht="15.75" customHeight="1" x14ac:dyDescent="0.25">
      <c r="A13" s="30" t="s">
        <v>453</v>
      </c>
      <c r="B13" s="30" t="s">
        <v>80</v>
      </c>
      <c r="C13" s="31"/>
      <c r="D13" s="32">
        <v>5929</v>
      </c>
      <c r="E13" s="32" t="e">
        <f>D13*#REF!</f>
        <v>#REF!</v>
      </c>
      <c r="F13" s="32" t="e">
        <f>D13*#REF!</f>
        <v>#REF!</v>
      </c>
      <c r="G13" s="32" t="e">
        <f>(D13*#REF!)*#REF!</f>
        <v>#REF!</v>
      </c>
      <c r="H13" s="33">
        <f t="shared" si="0"/>
        <v>0</v>
      </c>
      <c r="I13" s="34" t="e">
        <f t="shared" si="1"/>
        <v>#REF!</v>
      </c>
      <c r="J13" s="16"/>
      <c r="K13" s="31"/>
      <c r="L13" s="35">
        <v>10492</v>
      </c>
      <c r="M13" s="35">
        <v>7983.47</v>
      </c>
      <c r="N13" s="35">
        <v>6300</v>
      </c>
      <c r="O13" s="35">
        <v>4489.71</v>
      </c>
      <c r="P13" s="38">
        <f>N13</f>
        <v>6300</v>
      </c>
      <c r="Q13" s="32">
        <v>6300</v>
      </c>
      <c r="R13" s="36">
        <v>6300</v>
      </c>
      <c r="S13" s="36">
        <f t="shared" si="3"/>
        <v>0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</row>
    <row r="14" spans="1:32" ht="15.75" customHeight="1" x14ac:dyDescent="0.25">
      <c r="A14" s="30" t="s">
        <v>454</v>
      </c>
      <c r="B14" s="30" t="s">
        <v>82</v>
      </c>
      <c r="C14" s="31"/>
      <c r="D14" s="32">
        <v>16670</v>
      </c>
      <c r="E14" s="32" t="e">
        <f>D14*#REF!</f>
        <v>#REF!</v>
      </c>
      <c r="F14" s="32" t="e">
        <f>D14*#REF!</f>
        <v>#REF!</v>
      </c>
      <c r="G14" s="32" t="e">
        <f>(D14*#REF!)*#REF!</f>
        <v>#REF!</v>
      </c>
      <c r="H14" s="33">
        <f t="shared" si="0"/>
        <v>0</v>
      </c>
      <c r="I14" s="34" t="e">
        <f t="shared" si="1"/>
        <v>#REF!</v>
      </c>
      <c r="J14" s="16"/>
      <c r="K14" s="31"/>
      <c r="L14" s="35">
        <v>2857</v>
      </c>
      <c r="M14" s="35">
        <v>3785.08</v>
      </c>
      <c r="N14" s="35">
        <v>5600</v>
      </c>
      <c r="O14" s="35">
        <v>958.99</v>
      </c>
      <c r="P14" s="32">
        <f t="shared" ref="P14:P16" si="4">O14/9*12</f>
        <v>1278.6533333333332</v>
      </c>
      <c r="Q14" s="32">
        <v>5000</v>
      </c>
      <c r="R14" s="36">
        <v>5000</v>
      </c>
      <c r="S14" s="36">
        <f t="shared" si="3"/>
        <v>0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</row>
    <row r="15" spans="1:32" ht="15.75" customHeight="1" x14ac:dyDescent="0.25">
      <c r="A15" s="30" t="s">
        <v>455</v>
      </c>
      <c r="B15" s="30" t="s">
        <v>115</v>
      </c>
      <c r="C15" s="15"/>
      <c r="D15" s="32">
        <v>0</v>
      </c>
      <c r="E15" s="32" t="e">
        <f>D15*#REF!</f>
        <v>#REF!</v>
      </c>
      <c r="F15" s="32" t="e">
        <f>D15*#REF!</f>
        <v>#REF!</v>
      </c>
      <c r="G15" s="32" t="e">
        <f>(D15*#REF!)*#REF!</f>
        <v>#REF!</v>
      </c>
      <c r="H15" s="33">
        <f t="shared" si="0"/>
        <v>0</v>
      </c>
      <c r="I15" s="34" t="e">
        <f t="shared" si="1"/>
        <v>#REF!</v>
      </c>
      <c r="J15" s="16"/>
      <c r="K15" s="15"/>
      <c r="L15" s="35">
        <v>0</v>
      </c>
      <c r="M15" s="35">
        <v>0</v>
      </c>
      <c r="N15" s="35">
        <v>0</v>
      </c>
      <c r="O15" s="35">
        <v>414.76</v>
      </c>
      <c r="P15" s="32">
        <f t="shared" si="4"/>
        <v>553.01333333333332</v>
      </c>
      <c r="Q15" s="32">
        <v>15000</v>
      </c>
      <c r="R15" s="36">
        <v>15000</v>
      </c>
      <c r="S15" s="36">
        <f t="shared" si="3"/>
        <v>0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</row>
    <row r="16" spans="1:32" ht="15.75" customHeight="1" x14ac:dyDescent="0.25">
      <c r="A16" s="30" t="s">
        <v>456</v>
      </c>
      <c r="B16" s="30" t="s">
        <v>277</v>
      </c>
      <c r="C16" s="15"/>
      <c r="D16" s="32">
        <v>0</v>
      </c>
      <c r="E16" s="32" t="e">
        <f>D16*#REF!</f>
        <v>#REF!</v>
      </c>
      <c r="F16" s="32" t="e">
        <f>D16*#REF!</f>
        <v>#REF!</v>
      </c>
      <c r="G16" s="32" t="e">
        <f>(D16*#REF!)*#REF!</f>
        <v>#REF!</v>
      </c>
      <c r="H16" s="33">
        <f t="shared" si="0"/>
        <v>0</v>
      </c>
      <c r="I16" s="34" t="e">
        <f t="shared" si="1"/>
        <v>#REF!</v>
      </c>
      <c r="J16" s="16"/>
      <c r="K16" s="31"/>
      <c r="L16" s="35">
        <v>4909</v>
      </c>
      <c r="M16" s="35">
        <v>0</v>
      </c>
      <c r="N16" s="35">
        <v>0</v>
      </c>
      <c r="O16" s="35">
        <v>0</v>
      </c>
      <c r="P16" s="32">
        <f t="shared" si="4"/>
        <v>0</v>
      </c>
      <c r="Q16" s="32">
        <v>0</v>
      </c>
      <c r="R16" s="36">
        <v>0</v>
      </c>
      <c r="S16" s="36">
        <f t="shared" si="3"/>
        <v>0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</row>
    <row r="17" spans="1:32" ht="15.75" customHeight="1" x14ac:dyDescent="0.25">
      <c r="A17" s="30" t="s">
        <v>457</v>
      </c>
      <c r="B17" s="30" t="s">
        <v>84</v>
      </c>
      <c r="C17" s="31"/>
      <c r="D17" s="32">
        <v>2939</v>
      </c>
      <c r="E17" s="32" t="e">
        <f>D17*#REF!</f>
        <v>#REF!</v>
      </c>
      <c r="F17" s="32" t="e">
        <f>D17*#REF!</f>
        <v>#REF!</v>
      </c>
      <c r="G17" s="32" t="e">
        <f>(D17*#REF!)*#REF!</f>
        <v>#REF!</v>
      </c>
      <c r="H17" s="33">
        <f t="shared" si="0"/>
        <v>0</v>
      </c>
      <c r="I17" s="34" t="e">
        <f t="shared" si="1"/>
        <v>#REF!</v>
      </c>
      <c r="J17" s="16"/>
      <c r="K17" s="31"/>
      <c r="L17" s="35">
        <v>7342</v>
      </c>
      <c r="M17" s="35">
        <v>7311.71</v>
      </c>
      <c r="N17" s="35">
        <v>7700</v>
      </c>
      <c r="O17" s="35">
        <v>4655.71</v>
      </c>
      <c r="P17" s="38">
        <f>N17</f>
        <v>7700</v>
      </c>
      <c r="Q17" s="32">
        <v>7940</v>
      </c>
      <c r="R17" s="36">
        <v>7940</v>
      </c>
      <c r="S17" s="36">
        <f t="shared" si="3"/>
        <v>0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</row>
    <row r="18" spans="1:32" ht="15.75" customHeight="1" x14ac:dyDescent="0.25">
      <c r="A18" s="30" t="s">
        <v>458</v>
      </c>
      <c r="B18" s="30" t="s">
        <v>210</v>
      </c>
      <c r="C18" s="15"/>
      <c r="D18" s="32">
        <v>0</v>
      </c>
      <c r="E18" s="32" t="e">
        <f>D18*#REF!</f>
        <v>#REF!</v>
      </c>
      <c r="F18" s="32" t="e">
        <f>D18*#REF!</f>
        <v>#REF!</v>
      </c>
      <c r="G18" s="32" t="e">
        <f>(D18*#REF!)*#REF!</f>
        <v>#REF!</v>
      </c>
      <c r="H18" s="33">
        <f t="shared" si="0"/>
        <v>0</v>
      </c>
      <c r="I18" s="34" t="e">
        <f t="shared" si="1"/>
        <v>#REF!</v>
      </c>
      <c r="J18" s="16"/>
      <c r="K18" s="31"/>
      <c r="L18" s="35">
        <v>0</v>
      </c>
      <c r="M18" s="35">
        <v>2236.81</v>
      </c>
      <c r="N18" s="35">
        <v>6000</v>
      </c>
      <c r="O18" s="35">
        <v>1269.99</v>
      </c>
      <c r="P18" s="32">
        <f t="shared" ref="P18:P19" si="5">O18/9*12</f>
        <v>1693.3200000000002</v>
      </c>
      <c r="Q18" s="32">
        <v>4000</v>
      </c>
      <c r="R18" s="36">
        <v>4000</v>
      </c>
      <c r="S18" s="36">
        <f t="shared" si="3"/>
        <v>0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</row>
    <row r="19" spans="1:32" ht="15.75" customHeight="1" x14ac:dyDescent="0.25">
      <c r="A19" s="30" t="s">
        <v>459</v>
      </c>
      <c r="B19" s="30" t="s">
        <v>86</v>
      </c>
      <c r="C19" s="15"/>
      <c r="D19" s="32">
        <v>0</v>
      </c>
      <c r="E19" s="32" t="e">
        <f>D19*#REF!</f>
        <v>#REF!</v>
      </c>
      <c r="F19" s="32" t="e">
        <f>D19*#REF!</f>
        <v>#REF!</v>
      </c>
      <c r="G19" s="32" t="e">
        <f>(D19*#REF!)*#REF!</f>
        <v>#REF!</v>
      </c>
      <c r="H19" s="33">
        <f t="shared" si="0"/>
        <v>0</v>
      </c>
      <c r="I19" s="34" t="e">
        <f t="shared" si="1"/>
        <v>#REF!</v>
      </c>
      <c r="J19" s="16"/>
      <c r="K19" s="15"/>
      <c r="L19" s="35">
        <v>442</v>
      </c>
      <c r="M19" s="35">
        <v>0</v>
      </c>
      <c r="N19" s="35">
        <v>0</v>
      </c>
      <c r="O19" s="35">
        <v>0</v>
      </c>
      <c r="P19" s="32">
        <f t="shared" si="5"/>
        <v>0</v>
      </c>
      <c r="Q19" s="32">
        <v>0</v>
      </c>
      <c r="R19" s="36">
        <v>0</v>
      </c>
      <c r="S19" s="36">
        <f t="shared" si="3"/>
        <v>0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</row>
    <row r="20" spans="1:32" ht="15.75" customHeight="1" x14ac:dyDescent="0.25">
      <c r="A20" s="30" t="s">
        <v>460</v>
      </c>
      <c r="B20" s="30" t="s">
        <v>90</v>
      </c>
      <c r="C20" s="15"/>
      <c r="D20" s="32">
        <v>0</v>
      </c>
      <c r="E20" s="32" t="e">
        <f>D20*#REF!</f>
        <v>#REF!</v>
      </c>
      <c r="F20" s="32" t="e">
        <f>D20*#REF!</f>
        <v>#REF!</v>
      </c>
      <c r="G20" s="32" t="e">
        <f>(D20*#REF!)*#REF!</f>
        <v>#REF!</v>
      </c>
      <c r="H20" s="33">
        <f t="shared" si="0"/>
        <v>0</v>
      </c>
      <c r="I20" s="34" t="e">
        <f t="shared" si="1"/>
        <v>#REF!</v>
      </c>
      <c r="J20" s="16"/>
      <c r="K20" s="31"/>
      <c r="L20" s="35">
        <v>1311</v>
      </c>
      <c r="M20" s="35">
        <v>2599.5</v>
      </c>
      <c r="N20" s="35">
        <v>4500</v>
      </c>
      <c r="O20" s="35">
        <v>4430.47</v>
      </c>
      <c r="P20" s="38">
        <f>N20</f>
        <v>4500</v>
      </c>
      <c r="Q20" s="32">
        <v>5000</v>
      </c>
      <c r="R20" s="36">
        <v>5000</v>
      </c>
      <c r="S20" s="36">
        <f t="shared" si="3"/>
        <v>0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</row>
    <row r="21" spans="1:32" ht="15.75" customHeight="1" x14ac:dyDescent="0.25">
      <c r="A21" s="30" t="s">
        <v>461</v>
      </c>
      <c r="B21" s="30" t="s">
        <v>462</v>
      </c>
      <c r="C21" s="31"/>
      <c r="D21" s="32">
        <v>9866</v>
      </c>
      <c r="E21" s="32" t="e">
        <f>D21*#REF!</f>
        <v>#REF!</v>
      </c>
      <c r="F21" s="32" t="e">
        <f>D21*#REF!</f>
        <v>#REF!</v>
      </c>
      <c r="G21" s="32" t="e">
        <f>(D21*#REF!)*#REF!</f>
        <v>#REF!</v>
      </c>
      <c r="H21" s="33">
        <f t="shared" si="0"/>
        <v>0</v>
      </c>
      <c r="I21" s="34" t="e">
        <f t="shared" si="1"/>
        <v>#REF!</v>
      </c>
      <c r="J21" s="16"/>
      <c r="K21" s="31"/>
      <c r="L21" s="35">
        <v>4040</v>
      </c>
      <c r="M21" s="35">
        <v>12419.56</v>
      </c>
      <c r="N21" s="35">
        <v>3000</v>
      </c>
      <c r="O21" s="35">
        <v>953.9</v>
      </c>
      <c r="P21" s="32">
        <f t="shared" ref="P21:P22" si="6">O21/9*12</f>
        <v>1271.8666666666666</v>
      </c>
      <c r="Q21" s="32">
        <v>3000</v>
      </c>
      <c r="R21" s="36">
        <v>3000</v>
      </c>
      <c r="S21" s="36">
        <f t="shared" si="3"/>
        <v>0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</row>
    <row r="22" spans="1:32" ht="15.75" customHeight="1" x14ac:dyDescent="0.25">
      <c r="A22" s="30" t="s">
        <v>463</v>
      </c>
      <c r="B22" s="30" t="s">
        <v>464</v>
      </c>
      <c r="C22" s="15"/>
      <c r="D22" s="32">
        <v>0</v>
      </c>
      <c r="E22" s="32" t="e">
        <f>D22*#REF!</f>
        <v>#REF!</v>
      </c>
      <c r="F22" s="32" t="e">
        <f>D22*#REF!</f>
        <v>#REF!</v>
      </c>
      <c r="G22" s="32" t="e">
        <f>(D22*#REF!)*#REF!</f>
        <v>#REF!</v>
      </c>
      <c r="H22" s="33">
        <f t="shared" si="0"/>
        <v>0</v>
      </c>
      <c r="I22" s="34" t="e">
        <f t="shared" si="1"/>
        <v>#REF!</v>
      </c>
      <c r="J22" s="16"/>
      <c r="K22" s="31"/>
      <c r="L22" s="35">
        <v>216751</v>
      </c>
      <c r="M22" s="35">
        <v>345.57</v>
      </c>
      <c r="N22" s="35">
        <v>0</v>
      </c>
      <c r="O22" s="35">
        <v>0</v>
      </c>
      <c r="P22" s="32">
        <f t="shared" si="6"/>
        <v>0</v>
      </c>
      <c r="Q22" s="32">
        <v>0</v>
      </c>
      <c r="R22" s="36">
        <v>0</v>
      </c>
      <c r="S22" s="36">
        <f t="shared" si="3"/>
        <v>0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</row>
    <row r="23" spans="1:32" ht="15.75" customHeight="1" x14ac:dyDescent="0.25">
      <c r="A23" s="30" t="s">
        <v>465</v>
      </c>
      <c r="B23" s="30" t="s">
        <v>466</v>
      </c>
      <c r="C23" s="15"/>
      <c r="D23" s="32">
        <v>0</v>
      </c>
      <c r="E23" s="32" t="e">
        <f>D23*#REF!</f>
        <v>#REF!</v>
      </c>
      <c r="F23" s="32" t="e">
        <f>D23*#REF!</f>
        <v>#REF!</v>
      </c>
      <c r="G23" s="32" t="e">
        <f>(D23*#REF!)*#REF!</f>
        <v>#REF!</v>
      </c>
      <c r="H23" s="33">
        <f t="shared" si="0"/>
        <v>0</v>
      </c>
      <c r="I23" s="34" t="e">
        <f t="shared" si="1"/>
        <v>#REF!</v>
      </c>
      <c r="J23" s="16"/>
      <c r="K23" s="31"/>
      <c r="L23" s="35">
        <v>607152</v>
      </c>
      <c r="M23" s="35">
        <v>517653.06</v>
      </c>
      <c r="N23" s="35">
        <v>0</v>
      </c>
      <c r="O23" s="35">
        <v>-2560</v>
      </c>
      <c r="P23" s="38">
        <f>N23</f>
        <v>0</v>
      </c>
      <c r="Q23" s="32">
        <v>0</v>
      </c>
      <c r="R23" s="36">
        <v>0</v>
      </c>
      <c r="S23" s="36">
        <f t="shared" si="3"/>
        <v>0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</row>
    <row r="24" spans="1:32" ht="15.75" customHeight="1" x14ac:dyDescent="0.25">
      <c r="A24" s="30" t="s">
        <v>467</v>
      </c>
      <c r="B24" s="30" t="s">
        <v>468</v>
      </c>
      <c r="C24" s="15"/>
      <c r="D24" s="32">
        <v>0</v>
      </c>
      <c r="E24" s="32" t="e">
        <f>D24*#REF!</f>
        <v>#REF!</v>
      </c>
      <c r="F24" s="32" t="e">
        <f>D24*#REF!</f>
        <v>#REF!</v>
      </c>
      <c r="G24" s="32" t="e">
        <f>(D24*#REF!)*#REF!</f>
        <v>#REF!</v>
      </c>
      <c r="H24" s="33">
        <f t="shared" si="0"/>
        <v>0</v>
      </c>
      <c r="I24" s="34" t="e">
        <f t="shared" si="1"/>
        <v>#REF!</v>
      </c>
      <c r="J24" s="16"/>
      <c r="K24" s="31"/>
      <c r="L24" s="35">
        <v>72</v>
      </c>
      <c r="M24" s="35">
        <v>1481.98</v>
      </c>
      <c r="N24" s="35">
        <v>1000</v>
      </c>
      <c r="O24" s="35">
        <v>0</v>
      </c>
      <c r="P24" s="32">
        <f>O24/9*12</f>
        <v>0</v>
      </c>
      <c r="Q24" s="32">
        <v>500</v>
      </c>
      <c r="R24" s="36">
        <v>500</v>
      </c>
      <c r="S24" s="36">
        <f t="shared" si="3"/>
        <v>0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</row>
    <row r="25" spans="1:32" ht="15.75" customHeight="1" x14ac:dyDescent="0.25">
      <c r="A25" s="30" t="s">
        <v>469</v>
      </c>
      <c r="B25" s="30" t="s">
        <v>92</v>
      </c>
      <c r="C25" s="15"/>
      <c r="D25" s="32">
        <v>0</v>
      </c>
      <c r="E25" s="32" t="e">
        <f>D25*#REF!</f>
        <v>#REF!</v>
      </c>
      <c r="F25" s="32" t="e">
        <f>D25*#REF!</f>
        <v>#REF!</v>
      </c>
      <c r="G25" s="32" t="e">
        <f>(D25*#REF!)*#REF!</f>
        <v>#REF!</v>
      </c>
      <c r="H25" s="33">
        <f t="shared" si="0"/>
        <v>0</v>
      </c>
      <c r="I25" s="34" t="e">
        <f t="shared" si="1"/>
        <v>#REF!</v>
      </c>
      <c r="J25" s="16"/>
      <c r="K25" s="31"/>
      <c r="L25" s="35">
        <v>5831</v>
      </c>
      <c r="M25" s="35">
        <v>5388.26</v>
      </c>
      <c r="N25" s="35">
        <v>6000</v>
      </c>
      <c r="O25" s="35">
        <v>4510.47</v>
      </c>
      <c r="P25" s="32">
        <f>O25</f>
        <v>4510.47</v>
      </c>
      <c r="Q25" s="32">
        <v>6180</v>
      </c>
      <c r="R25" s="36">
        <v>6180</v>
      </c>
      <c r="S25" s="36">
        <f t="shared" si="3"/>
        <v>0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</row>
    <row r="26" spans="1:32" ht="15.75" customHeight="1" x14ac:dyDescent="0.25">
      <c r="A26" s="47" t="s">
        <v>470</v>
      </c>
      <c r="B26" s="48"/>
      <c r="C26" s="49"/>
      <c r="D26" s="50">
        <f t="shared" ref="D26:G26" si="7">SUM(D5:D25)</f>
        <v>211261</v>
      </c>
      <c r="E26" s="50" t="e">
        <f t="shared" si="7"/>
        <v>#REF!</v>
      </c>
      <c r="F26" s="50" t="e">
        <f t="shared" si="7"/>
        <v>#REF!</v>
      </c>
      <c r="G26" s="50" t="e">
        <f t="shared" si="7"/>
        <v>#REF!</v>
      </c>
      <c r="H26" s="42">
        <f t="shared" si="0"/>
        <v>0</v>
      </c>
      <c r="I26" s="50" t="e">
        <f t="shared" si="1"/>
        <v>#REF!</v>
      </c>
      <c r="J26" s="50">
        <f>SUM(J6:J25)</f>
        <v>-2000</v>
      </c>
      <c r="K26" s="49"/>
      <c r="L26" s="12">
        <f t="shared" ref="L26:S26" si="8">SUM(L5:L25)</f>
        <v>1814812</v>
      </c>
      <c r="M26" s="12">
        <f t="shared" si="8"/>
        <v>1412910.43</v>
      </c>
      <c r="N26" s="12">
        <f t="shared" si="8"/>
        <v>787914</v>
      </c>
      <c r="O26" s="12">
        <f t="shared" si="8"/>
        <v>496532.71</v>
      </c>
      <c r="P26" s="50">
        <f t="shared" si="8"/>
        <v>648443.29466666654</v>
      </c>
      <c r="Q26" s="50">
        <f t="shared" si="8"/>
        <v>841820</v>
      </c>
      <c r="R26" s="12">
        <f t="shared" si="8"/>
        <v>839820</v>
      </c>
      <c r="S26" s="12">
        <f t="shared" si="8"/>
        <v>-2000</v>
      </c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</row>
    <row r="27" spans="1:32" ht="15.75" customHeight="1" collapsed="1" x14ac:dyDescent="0.2">
      <c r="A27" s="5"/>
      <c r="B27" s="5"/>
      <c r="C27" s="15"/>
      <c r="D27" s="16"/>
      <c r="E27" s="16"/>
      <c r="F27" s="16"/>
      <c r="G27" s="16"/>
      <c r="H27" s="18"/>
      <c r="I27" s="16"/>
      <c r="J27" s="16"/>
      <c r="K27" s="15"/>
      <c r="L27" s="7"/>
      <c r="M27" s="7"/>
      <c r="N27" s="7"/>
      <c r="O27" s="7"/>
      <c r="P27" s="7"/>
      <c r="Q27" s="7"/>
      <c r="R27" s="7"/>
      <c r="S27" s="7"/>
    </row>
    <row r="28" spans="1:32" ht="15.75" hidden="1" customHeight="1" outlineLevel="1" x14ac:dyDescent="0.2">
      <c r="A28" s="563" t="s">
        <v>471</v>
      </c>
      <c r="B28" s="558"/>
      <c r="C28" s="15"/>
      <c r="D28" s="16"/>
      <c r="E28" s="16"/>
      <c r="F28" s="16"/>
      <c r="G28" s="16"/>
      <c r="H28" s="18"/>
      <c r="I28" s="16"/>
      <c r="J28" s="16"/>
      <c r="K28" s="15"/>
      <c r="L28" s="7"/>
      <c r="M28" s="7"/>
      <c r="N28" s="7"/>
      <c r="O28" s="7"/>
      <c r="P28" s="213"/>
      <c r="Q28" s="213"/>
      <c r="R28" s="7"/>
      <c r="S28" s="7"/>
    </row>
    <row r="29" spans="1:32" ht="15.75" hidden="1" customHeight="1" outlineLevel="1" x14ac:dyDescent="0.25">
      <c r="A29" s="5" t="s">
        <v>472</v>
      </c>
      <c r="B29" s="5" t="s">
        <v>68</v>
      </c>
      <c r="C29" s="214"/>
      <c r="D29" s="257">
        <v>19671.05</v>
      </c>
      <c r="E29" s="142" t="e">
        <f>D29*#REF!</f>
        <v>#REF!</v>
      </c>
      <c r="F29" s="142" t="e">
        <f>D29*#REF!</f>
        <v>#REF!</v>
      </c>
      <c r="G29" s="142" t="e">
        <f>(D29*#REF!)*#REF!</f>
        <v>#REF!</v>
      </c>
      <c r="H29" s="33">
        <f t="shared" ref="H29:H35" si="9">IFERROR(((Q29-G29)/G29),0)</f>
        <v>0</v>
      </c>
      <c r="I29" s="16" t="e">
        <f t="shared" ref="I29:I35" si="10">Q29-G29</f>
        <v>#REF!</v>
      </c>
      <c r="J29" s="16"/>
      <c r="K29" s="15"/>
      <c r="L29" s="7">
        <v>0</v>
      </c>
      <c r="M29" s="7">
        <v>0</v>
      </c>
      <c r="N29" s="7">
        <v>0</v>
      </c>
      <c r="O29" s="7">
        <v>0</v>
      </c>
      <c r="P29" s="16"/>
      <c r="Q29" s="16">
        <v>0</v>
      </c>
      <c r="R29" s="7"/>
      <c r="S29" s="7"/>
    </row>
    <row r="30" spans="1:32" ht="15.75" hidden="1" customHeight="1" outlineLevel="1" x14ac:dyDescent="0.25">
      <c r="A30" s="5" t="s">
        <v>473</v>
      </c>
      <c r="B30" s="5" t="s">
        <v>132</v>
      </c>
      <c r="C30" s="214"/>
      <c r="D30" s="257">
        <v>50011.5</v>
      </c>
      <c r="E30" s="142" t="e">
        <f>D30*#REF!</f>
        <v>#REF!</v>
      </c>
      <c r="F30" s="142" t="e">
        <f>D30*#REF!</f>
        <v>#REF!</v>
      </c>
      <c r="G30" s="142" t="e">
        <f>(D30*#REF!)*#REF!</f>
        <v>#REF!</v>
      </c>
      <c r="H30" s="33">
        <f t="shared" si="9"/>
        <v>0</v>
      </c>
      <c r="I30" s="16" t="e">
        <f t="shared" si="10"/>
        <v>#REF!</v>
      </c>
      <c r="J30" s="16"/>
      <c r="K30" s="15"/>
      <c r="L30" s="7">
        <v>0</v>
      </c>
      <c r="M30" s="7">
        <v>0</v>
      </c>
      <c r="N30" s="7">
        <v>0</v>
      </c>
      <c r="O30" s="7">
        <v>0</v>
      </c>
      <c r="P30" s="16"/>
      <c r="Q30" s="16">
        <v>0</v>
      </c>
      <c r="R30" s="7"/>
      <c r="S30" s="7"/>
    </row>
    <row r="31" spans="1:32" ht="15.75" hidden="1" customHeight="1" outlineLevel="1" x14ac:dyDescent="0.25">
      <c r="A31" s="5" t="s">
        <v>474</v>
      </c>
      <c r="B31" s="5" t="s">
        <v>108</v>
      </c>
      <c r="C31" s="214"/>
      <c r="D31" s="257">
        <v>2261</v>
      </c>
      <c r="E31" s="142" t="e">
        <f>D31*#REF!</f>
        <v>#REF!</v>
      </c>
      <c r="F31" s="142" t="e">
        <f>D31*#REF!</f>
        <v>#REF!</v>
      </c>
      <c r="G31" s="142" t="e">
        <f>(D31*#REF!)*#REF!</f>
        <v>#REF!</v>
      </c>
      <c r="H31" s="33">
        <f t="shared" si="9"/>
        <v>0</v>
      </c>
      <c r="I31" s="16" t="e">
        <f t="shared" si="10"/>
        <v>#REF!</v>
      </c>
      <c r="J31" s="16"/>
      <c r="K31" s="15"/>
      <c r="L31" s="7">
        <v>0</v>
      </c>
      <c r="M31" s="7">
        <v>0</v>
      </c>
      <c r="N31" s="7">
        <v>0</v>
      </c>
      <c r="O31" s="7">
        <v>0</v>
      </c>
      <c r="P31" s="16"/>
      <c r="Q31" s="16">
        <v>0</v>
      </c>
      <c r="R31" s="7"/>
      <c r="S31" s="7"/>
    </row>
    <row r="32" spans="1:32" ht="15.75" hidden="1" customHeight="1" outlineLevel="1" x14ac:dyDescent="0.25">
      <c r="A32" s="5" t="s">
        <v>475</v>
      </c>
      <c r="B32" s="5" t="s">
        <v>72</v>
      </c>
      <c r="C32" s="214"/>
      <c r="D32" s="257">
        <v>10031.1</v>
      </c>
      <c r="E32" s="142" t="e">
        <f>D32*#REF!</f>
        <v>#REF!</v>
      </c>
      <c r="F32" s="142" t="e">
        <f>D32*#REF!</f>
        <v>#REF!</v>
      </c>
      <c r="G32" s="142" t="e">
        <f>(D32*#REF!)*#REF!</f>
        <v>#REF!</v>
      </c>
      <c r="H32" s="33">
        <f t="shared" si="9"/>
        <v>0</v>
      </c>
      <c r="I32" s="16" t="e">
        <f t="shared" si="10"/>
        <v>#REF!</v>
      </c>
      <c r="J32" s="16"/>
      <c r="K32" s="15"/>
      <c r="L32" s="7">
        <v>0</v>
      </c>
      <c r="M32" s="7">
        <v>0</v>
      </c>
      <c r="N32" s="7">
        <v>0</v>
      </c>
      <c r="O32" s="7">
        <v>0</v>
      </c>
      <c r="P32" s="16"/>
      <c r="Q32" s="16">
        <v>0</v>
      </c>
      <c r="R32" s="7"/>
      <c r="S32" s="7"/>
    </row>
    <row r="33" spans="1:19" ht="15.75" hidden="1" customHeight="1" outlineLevel="1" x14ac:dyDescent="0.25">
      <c r="A33" s="5" t="s">
        <v>476</v>
      </c>
      <c r="B33" s="5" t="s">
        <v>76</v>
      </c>
      <c r="C33" s="214"/>
      <c r="D33" s="257">
        <v>0</v>
      </c>
      <c r="E33" s="142" t="e">
        <f>D33*#REF!</f>
        <v>#REF!</v>
      </c>
      <c r="F33" s="142" t="e">
        <f>D33*#REF!</f>
        <v>#REF!</v>
      </c>
      <c r="G33" s="142" t="e">
        <f>(D33*#REF!)*#REF!</f>
        <v>#REF!</v>
      </c>
      <c r="H33" s="33">
        <f t="shared" si="9"/>
        <v>0</v>
      </c>
      <c r="I33" s="16" t="e">
        <f t="shared" si="10"/>
        <v>#REF!</v>
      </c>
      <c r="J33" s="16"/>
      <c r="K33" s="15"/>
      <c r="L33" s="7">
        <v>0</v>
      </c>
      <c r="M33" s="7">
        <v>0</v>
      </c>
      <c r="N33" s="7">
        <v>0</v>
      </c>
      <c r="O33" s="7">
        <v>0</v>
      </c>
      <c r="P33" s="16"/>
      <c r="Q33" s="16">
        <v>0</v>
      </c>
      <c r="R33" s="7"/>
      <c r="S33" s="7"/>
    </row>
    <row r="34" spans="1:19" ht="15.75" hidden="1" customHeight="1" outlineLevel="1" x14ac:dyDescent="0.25">
      <c r="A34" s="5" t="s">
        <v>477</v>
      </c>
      <c r="B34" s="5" t="s">
        <v>115</v>
      </c>
      <c r="C34" s="214"/>
      <c r="D34" s="257">
        <v>0</v>
      </c>
      <c r="E34" s="142" t="e">
        <f>D34*#REF!</f>
        <v>#REF!</v>
      </c>
      <c r="F34" s="142" t="e">
        <f>D34*#REF!</f>
        <v>#REF!</v>
      </c>
      <c r="G34" s="142" t="e">
        <f>(D34*#REF!)*#REF!</f>
        <v>#REF!</v>
      </c>
      <c r="H34" s="33">
        <f t="shared" si="9"/>
        <v>0</v>
      </c>
      <c r="I34" s="16" t="e">
        <f t="shared" si="10"/>
        <v>#REF!</v>
      </c>
      <c r="J34" s="16"/>
      <c r="K34" s="15"/>
      <c r="L34" s="7">
        <v>0</v>
      </c>
      <c r="M34" s="7">
        <v>0</v>
      </c>
      <c r="N34" s="7">
        <v>0</v>
      </c>
      <c r="O34" s="7">
        <v>0</v>
      </c>
      <c r="P34" s="16"/>
      <c r="Q34" s="16">
        <v>0</v>
      </c>
      <c r="R34" s="7"/>
      <c r="S34" s="7"/>
    </row>
    <row r="35" spans="1:19" ht="15.75" hidden="1" customHeight="1" outlineLevel="1" x14ac:dyDescent="0.2">
      <c r="A35" s="563" t="s">
        <v>478</v>
      </c>
      <c r="B35" s="558"/>
      <c r="C35" s="49"/>
      <c r="D35" s="50">
        <f t="shared" ref="D35:G35" si="11">SUM(D29:D34)</f>
        <v>81974.650000000009</v>
      </c>
      <c r="E35" s="50" t="e">
        <f t="shared" si="11"/>
        <v>#REF!</v>
      </c>
      <c r="F35" s="50" t="e">
        <f t="shared" si="11"/>
        <v>#REF!</v>
      </c>
      <c r="G35" s="50" t="e">
        <f t="shared" si="11"/>
        <v>#REF!</v>
      </c>
      <c r="H35" s="42">
        <f t="shared" si="9"/>
        <v>0</v>
      </c>
      <c r="I35" s="50" t="e">
        <f t="shared" si="10"/>
        <v>#REF!</v>
      </c>
      <c r="J35" s="50">
        <f>SUM(J29:J34)</f>
        <v>0</v>
      </c>
      <c r="K35" s="49"/>
      <c r="L35" s="12">
        <f t="shared" ref="L35:O35" si="12">SUM(L29:L34)</f>
        <v>0</v>
      </c>
      <c r="M35" s="12">
        <f t="shared" si="12"/>
        <v>0</v>
      </c>
      <c r="N35" s="12">
        <f t="shared" si="12"/>
        <v>0</v>
      </c>
      <c r="O35" s="12">
        <f t="shared" si="12"/>
        <v>0</v>
      </c>
      <c r="P35" s="50"/>
      <c r="Q35" s="50">
        <f>SUM(Q29:Q34)</f>
        <v>0</v>
      </c>
      <c r="R35" s="7"/>
      <c r="S35" s="7"/>
    </row>
    <row r="36" spans="1:19" ht="15.75" hidden="1" customHeight="1" outlineLevel="1" x14ac:dyDescent="0.2">
      <c r="A36" s="5"/>
      <c r="B36" s="5"/>
      <c r="C36" s="15"/>
      <c r="D36" s="16"/>
      <c r="E36" s="16"/>
      <c r="F36" s="16"/>
      <c r="G36" s="16"/>
      <c r="H36" s="18"/>
      <c r="I36" s="16"/>
      <c r="J36" s="16"/>
      <c r="K36" s="15"/>
      <c r="L36" s="7"/>
      <c r="M36" s="7"/>
      <c r="N36" s="7"/>
      <c r="O36" s="7"/>
      <c r="P36" s="7"/>
      <c r="Q36" s="7"/>
      <c r="R36" s="7"/>
      <c r="S36" s="7"/>
    </row>
    <row r="37" spans="1:19" ht="15.75" hidden="1" customHeight="1" outlineLevel="1" x14ac:dyDescent="0.2">
      <c r="A37" s="13" t="s">
        <v>479</v>
      </c>
      <c r="B37" s="5"/>
      <c r="C37" s="15"/>
      <c r="D37" s="16"/>
      <c r="E37" s="16"/>
      <c r="F37" s="16"/>
      <c r="G37" s="16"/>
      <c r="H37" s="18"/>
      <c r="I37" s="16"/>
      <c r="J37" s="16"/>
      <c r="K37" s="15"/>
      <c r="L37" s="7"/>
      <c r="M37" s="7"/>
      <c r="N37" s="7"/>
      <c r="O37" s="7"/>
      <c r="P37" s="7"/>
      <c r="Q37" s="7"/>
      <c r="R37" s="7"/>
      <c r="S37" s="7"/>
    </row>
    <row r="38" spans="1:19" ht="15.75" hidden="1" customHeight="1" outlineLevel="1" x14ac:dyDescent="0.25">
      <c r="A38" s="5" t="s">
        <v>480</v>
      </c>
      <c r="B38" s="5" t="s">
        <v>68</v>
      </c>
      <c r="C38" s="214"/>
      <c r="D38" s="257">
        <v>104940.39</v>
      </c>
      <c r="E38" s="142" t="e">
        <f>D38*#REF!</f>
        <v>#REF!</v>
      </c>
      <c r="F38" s="142" t="e">
        <f>D38*#REF!</f>
        <v>#REF!</v>
      </c>
      <c r="G38" s="142" t="e">
        <f>(D38*#REF!)*#REF!</f>
        <v>#REF!</v>
      </c>
      <c r="H38" s="33">
        <f t="shared" ref="H38:H48" si="13">IFERROR(((Q38-G38)/G38),0)</f>
        <v>0</v>
      </c>
      <c r="I38" s="16" t="e">
        <f t="shared" ref="I38:I48" si="14">Q38-G38</f>
        <v>#REF!</v>
      </c>
      <c r="J38" s="16"/>
      <c r="K38" s="15"/>
      <c r="L38" s="7">
        <v>0</v>
      </c>
      <c r="M38" s="7">
        <v>0</v>
      </c>
      <c r="N38" s="7">
        <v>0</v>
      </c>
      <c r="O38" s="7">
        <v>0</v>
      </c>
      <c r="P38" s="16"/>
      <c r="Q38" s="16">
        <v>0</v>
      </c>
      <c r="R38" s="7"/>
      <c r="S38" s="7"/>
    </row>
    <row r="39" spans="1:19" ht="15.75" hidden="1" customHeight="1" outlineLevel="1" x14ac:dyDescent="0.25">
      <c r="A39" s="5" t="s">
        <v>481</v>
      </c>
      <c r="B39" s="5" t="s">
        <v>70</v>
      </c>
      <c r="C39" s="214"/>
      <c r="D39" s="257">
        <v>53.97</v>
      </c>
      <c r="E39" s="142" t="e">
        <f>D39*#REF!</f>
        <v>#REF!</v>
      </c>
      <c r="F39" s="142" t="e">
        <f>D39*#REF!</f>
        <v>#REF!</v>
      </c>
      <c r="G39" s="142" t="e">
        <f>(D39*#REF!)*#REF!</f>
        <v>#REF!</v>
      </c>
      <c r="H39" s="33">
        <f t="shared" si="13"/>
        <v>0</v>
      </c>
      <c r="I39" s="16" t="e">
        <f t="shared" si="14"/>
        <v>#REF!</v>
      </c>
      <c r="J39" s="16"/>
      <c r="K39" s="15"/>
      <c r="L39" s="7">
        <v>0</v>
      </c>
      <c r="M39" s="7">
        <v>0</v>
      </c>
      <c r="N39" s="7">
        <v>0</v>
      </c>
      <c r="O39" s="7">
        <v>0</v>
      </c>
      <c r="P39" s="16"/>
      <c r="Q39" s="16">
        <v>0</v>
      </c>
      <c r="R39" s="7"/>
      <c r="S39" s="7"/>
    </row>
    <row r="40" spans="1:19" ht="15.75" hidden="1" customHeight="1" outlineLevel="1" x14ac:dyDescent="0.25">
      <c r="A40" s="5" t="s">
        <v>482</v>
      </c>
      <c r="B40" s="5" t="s">
        <v>132</v>
      </c>
      <c r="C40" s="214"/>
      <c r="D40" s="257">
        <v>1190</v>
      </c>
      <c r="E40" s="142" t="e">
        <f>D40*#REF!</f>
        <v>#REF!</v>
      </c>
      <c r="F40" s="142" t="e">
        <f>D40*#REF!</f>
        <v>#REF!</v>
      </c>
      <c r="G40" s="142" t="e">
        <f>(D40*#REF!)*#REF!</f>
        <v>#REF!</v>
      </c>
      <c r="H40" s="33">
        <f t="shared" si="13"/>
        <v>0</v>
      </c>
      <c r="I40" s="16" t="e">
        <f t="shared" si="14"/>
        <v>#REF!</v>
      </c>
      <c r="J40" s="16"/>
      <c r="K40" s="15"/>
      <c r="L40" s="7">
        <v>0</v>
      </c>
      <c r="M40" s="7">
        <v>0</v>
      </c>
      <c r="N40" s="7">
        <v>0</v>
      </c>
      <c r="O40" s="7">
        <v>0</v>
      </c>
      <c r="P40" s="16"/>
      <c r="Q40" s="16">
        <v>0</v>
      </c>
      <c r="R40" s="7"/>
      <c r="S40" s="7"/>
    </row>
    <row r="41" spans="1:19" ht="15.75" hidden="1" customHeight="1" outlineLevel="1" x14ac:dyDescent="0.25">
      <c r="A41" s="5" t="s">
        <v>483</v>
      </c>
      <c r="B41" s="5" t="s">
        <v>72</v>
      </c>
      <c r="C41" s="214"/>
      <c r="D41" s="257">
        <v>52822.35</v>
      </c>
      <c r="E41" s="142" t="e">
        <f>D41*#REF!</f>
        <v>#REF!</v>
      </c>
      <c r="F41" s="142" t="e">
        <f>D41*#REF!</f>
        <v>#REF!</v>
      </c>
      <c r="G41" s="142" t="e">
        <f>(D41*#REF!)*#REF!</f>
        <v>#REF!</v>
      </c>
      <c r="H41" s="33">
        <f t="shared" si="13"/>
        <v>0</v>
      </c>
      <c r="I41" s="16" t="e">
        <f t="shared" si="14"/>
        <v>#REF!</v>
      </c>
      <c r="J41" s="16"/>
      <c r="K41" s="15"/>
      <c r="L41" s="7">
        <v>0</v>
      </c>
      <c r="M41" s="7">
        <v>0</v>
      </c>
      <c r="N41" s="7">
        <v>0</v>
      </c>
      <c r="O41" s="7">
        <v>0</v>
      </c>
      <c r="P41" s="16"/>
      <c r="Q41" s="16">
        <v>0</v>
      </c>
      <c r="R41" s="7"/>
      <c r="S41" s="7"/>
    </row>
    <row r="42" spans="1:19" ht="15.75" hidden="1" customHeight="1" outlineLevel="1" x14ac:dyDescent="0.25">
      <c r="A42" s="5" t="s">
        <v>484</v>
      </c>
      <c r="B42" s="5" t="s">
        <v>76</v>
      </c>
      <c r="C42" s="214"/>
      <c r="D42" s="257">
        <v>1261.77</v>
      </c>
      <c r="E42" s="142" t="e">
        <f>D42*#REF!</f>
        <v>#REF!</v>
      </c>
      <c r="F42" s="142" t="e">
        <f>D42*#REF!</f>
        <v>#REF!</v>
      </c>
      <c r="G42" s="142" t="e">
        <f>(D42*#REF!)*#REF!</f>
        <v>#REF!</v>
      </c>
      <c r="H42" s="33">
        <f t="shared" si="13"/>
        <v>0</v>
      </c>
      <c r="I42" s="16" t="e">
        <f t="shared" si="14"/>
        <v>#REF!</v>
      </c>
      <c r="J42" s="16"/>
      <c r="K42" s="15"/>
      <c r="L42" s="7">
        <v>0</v>
      </c>
      <c r="M42" s="7">
        <v>0</v>
      </c>
      <c r="N42" s="7">
        <v>0</v>
      </c>
      <c r="O42" s="7">
        <v>0</v>
      </c>
      <c r="P42" s="16"/>
      <c r="Q42" s="16">
        <v>0</v>
      </c>
      <c r="R42" s="7"/>
      <c r="S42" s="7"/>
    </row>
    <row r="43" spans="1:19" ht="15.75" hidden="1" customHeight="1" outlineLevel="1" x14ac:dyDescent="0.25">
      <c r="A43" s="5" t="s">
        <v>485</v>
      </c>
      <c r="B43" s="5" t="s">
        <v>80</v>
      </c>
      <c r="C43" s="214"/>
      <c r="D43" s="257">
        <v>406.02</v>
      </c>
      <c r="E43" s="142" t="e">
        <f>D43*#REF!</f>
        <v>#REF!</v>
      </c>
      <c r="F43" s="142" t="e">
        <f>D43*#REF!</f>
        <v>#REF!</v>
      </c>
      <c r="G43" s="142" t="e">
        <f>(D43*#REF!)*#REF!</f>
        <v>#REF!</v>
      </c>
      <c r="H43" s="33">
        <f t="shared" si="13"/>
        <v>0</v>
      </c>
      <c r="I43" s="16" t="e">
        <f t="shared" si="14"/>
        <v>#REF!</v>
      </c>
      <c r="J43" s="16"/>
      <c r="K43" s="15"/>
      <c r="L43" s="7">
        <v>0</v>
      </c>
      <c r="M43" s="7">
        <v>0</v>
      </c>
      <c r="N43" s="7">
        <v>0</v>
      </c>
      <c r="O43" s="7">
        <v>0</v>
      </c>
      <c r="P43" s="16"/>
      <c r="Q43" s="16">
        <v>0</v>
      </c>
      <c r="R43" s="7"/>
      <c r="S43" s="7"/>
    </row>
    <row r="44" spans="1:19" ht="15.75" hidden="1" customHeight="1" outlineLevel="1" x14ac:dyDescent="0.25">
      <c r="A44" s="5" t="s">
        <v>486</v>
      </c>
      <c r="B44" s="5" t="s">
        <v>115</v>
      </c>
      <c r="C44" s="214"/>
      <c r="D44" s="257">
        <v>481.5</v>
      </c>
      <c r="E44" s="142" t="e">
        <f>D44*#REF!</f>
        <v>#REF!</v>
      </c>
      <c r="F44" s="142" t="e">
        <f>D44*#REF!</f>
        <v>#REF!</v>
      </c>
      <c r="G44" s="142" t="e">
        <f>(D44*#REF!)*#REF!</f>
        <v>#REF!</v>
      </c>
      <c r="H44" s="33">
        <f t="shared" si="13"/>
        <v>0</v>
      </c>
      <c r="I44" s="16" t="e">
        <f t="shared" si="14"/>
        <v>#REF!</v>
      </c>
      <c r="J44" s="16"/>
      <c r="K44" s="15"/>
      <c r="L44" s="7">
        <v>0</v>
      </c>
      <c r="M44" s="7">
        <v>0</v>
      </c>
      <c r="N44" s="7">
        <v>0</v>
      </c>
      <c r="O44" s="7">
        <v>0</v>
      </c>
      <c r="P44" s="16"/>
      <c r="Q44" s="16">
        <v>0</v>
      </c>
      <c r="R44" s="7"/>
      <c r="S44" s="7"/>
    </row>
    <row r="45" spans="1:19" ht="15.75" hidden="1" customHeight="1" outlineLevel="1" x14ac:dyDescent="0.25">
      <c r="A45" s="5" t="s">
        <v>487</v>
      </c>
      <c r="B45" s="5" t="s">
        <v>84</v>
      </c>
      <c r="C45" s="214"/>
      <c r="D45" s="257">
        <v>2416.62</v>
      </c>
      <c r="E45" s="142" t="e">
        <f>D45*#REF!</f>
        <v>#REF!</v>
      </c>
      <c r="F45" s="142" t="e">
        <f>D45*#REF!</f>
        <v>#REF!</v>
      </c>
      <c r="G45" s="142" t="e">
        <f>(D45*#REF!)*#REF!</f>
        <v>#REF!</v>
      </c>
      <c r="H45" s="33">
        <f t="shared" si="13"/>
        <v>0</v>
      </c>
      <c r="I45" s="16" t="e">
        <f t="shared" si="14"/>
        <v>#REF!</v>
      </c>
      <c r="J45" s="16"/>
      <c r="K45" s="15"/>
      <c r="L45" s="7">
        <v>0</v>
      </c>
      <c r="M45" s="7">
        <v>0</v>
      </c>
      <c r="N45" s="7">
        <v>0</v>
      </c>
      <c r="O45" s="7">
        <v>0</v>
      </c>
      <c r="P45" s="16"/>
      <c r="Q45" s="16">
        <v>0</v>
      </c>
      <c r="R45" s="7"/>
      <c r="S45" s="7"/>
    </row>
    <row r="46" spans="1:19" ht="15.75" hidden="1" customHeight="1" outlineLevel="1" x14ac:dyDescent="0.25">
      <c r="A46" s="5" t="s">
        <v>488</v>
      </c>
      <c r="B46" s="5" t="s">
        <v>90</v>
      </c>
      <c r="C46" s="214"/>
      <c r="D46" s="257">
        <v>0</v>
      </c>
      <c r="E46" s="142" t="e">
        <f>D46*#REF!</f>
        <v>#REF!</v>
      </c>
      <c r="F46" s="142" t="e">
        <f>D46*#REF!</f>
        <v>#REF!</v>
      </c>
      <c r="G46" s="142" t="e">
        <f>(D46*#REF!)*#REF!</f>
        <v>#REF!</v>
      </c>
      <c r="H46" s="33">
        <f t="shared" si="13"/>
        <v>0</v>
      </c>
      <c r="I46" s="16" t="e">
        <f t="shared" si="14"/>
        <v>#REF!</v>
      </c>
      <c r="J46" s="16"/>
      <c r="K46" s="15"/>
      <c r="L46" s="7">
        <v>0</v>
      </c>
      <c r="M46" s="7">
        <v>0</v>
      </c>
      <c r="N46" s="7">
        <v>0</v>
      </c>
      <c r="O46" s="7">
        <v>0</v>
      </c>
      <c r="P46" s="16"/>
      <c r="Q46" s="16">
        <v>0</v>
      </c>
      <c r="R46" s="7"/>
      <c r="S46" s="7"/>
    </row>
    <row r="47" spans="1:19" ht="15.75" hidden="1" customHeight="1" outlineLevel="1" x14ac:dyDescent="0.25">
      <c r="A47" s="5" t="s">
        <v>489</v>
      </c>
      <c r="B47" s="5" t="s">
        <v>490</v>
      </c>
      <c r="C47" s="214"/>
      <c r="D47" s="257">
        <v>3231.81</v>
      </c>
      <c r="E47" s="142" t="e">
        <f>D47*#REF!</f>
        <v>#REF!</v>
      </c>
      <c r="F47" s="142" t="e">
        <f>D47*#REF!</f>
        <v>#REF!</v>
      </c>
      <c r="G47" s="142" t="e">
        <f>(D47*#REF!)*#REF!</f>
        <v>#REF!</v>
      </c>
      <c r="H47" s="33">
        <f t="shared" si="13"/>
        <v>0</v>
      </c>
      <c r="I47" s="16" t="e">
        <f t="shared" si="14"/>
        <v>#REF!</v>
      </c>
      <c r="J47" s="16"/>
      <c r="K47" s="15"/>
      <c r="L47" s="7">
        <v>0</v>
      </c>
      <c r="M47" s="7">
        <v>0</v>
      </c>
      <c r="N47" s="7">
        <v>0</v>
      </c>
      <c r="O47" s="7">
        <v>0</v>
      </c>
      <c r="P47" s="16"/>
      <c r="Q47" s="16">
        <v>0</v>
      </c>
      <c r="R47" s="7"/>
      <c r="S47" s="7"/>
    </row>
    <row r="48" spans="1:19" ht="15.75" hidden="1" customHeight="1" outlineLevel="1" x14ac:dyDescent="0.2">
      <c r="A48" s="13" t="s">
        <v>491</v>
      </c>
      <c r="B48" s="6"/>
      <c r="C48" s="49"/>
      <c r="D48" s="50">
        <f t="shared" ref="D48:G48" si="15">SUM(D38:D47)</f>
        <v>166804.42999999996</v>
      </c>
      <c r="E48" s="50" t="e">
        <f t="shared" si="15"/>
        <v>#REF!</v>
      </c>
      <c r="F48" s="50" t="e">
        <f t="shared" si="15"/>
        <v>#REF!</v>
      </c>
      <c r="G48" s="50" t="e">
        <f t="shared" si="15"/>
        <v>#REF!</v>
      </c>
      <c r="H48" s="42">
        <f t="shared" si="13"/>
        <v>0</v>
      </c>
      <c r="I48" s="50" t="e">
        <f t="shared" si="14"/>
        <v>#REF!</v>
      </c>
      <c r="J48" s="50">
        <f>SUM(J38:J47)</f>
        <v>0</v>
      </c>
      <c r="K48" s="49"/>
      <c r="L48" s="12">
        <f t="shared" ref="L48:O48" si="16">SUM(L42:L47)</f>
        <v>0</v>
      </c>
      <c r="M48" s="12">
        <f t="shared" si="16"/>
        <v>0</v>
      </c>
      <c r="N48" s="12">
        <f t="shared" si="16"/>
        <v>0</v>
      </c>
      <c r="O48" s="12">
        <f t="shared" si="16"/>
        <v>0</v>
      </c>
      <c r="P48" s="50"/>
      <c r="Q48" s="50">
        <f>SUM(Q42:Q47)</f>
        <v>0</v>
      </c>
      <c r="R48" s="7"/>
      <c r="S48" s="7"/>
    </row>
    <row r="49" spans="1:19" ht="15.75" hidden="1" customHeight="1" outlineLevel="1" x14ac:dyDescent="0.2">
      <c r="A49" s="13"/>
      <c r="B49" s="5"/>
      <c r="C49" s="15"/>
      <c r="D49" s="16"/>
      <c r="E49" s="16"/>
      <c r="F49" s="16"/>
      <c r="G49" s="16"/>
      <c r="H49" s="18"/>
      <c r="I49" s="16"/>
      <c r="J49" s="16"/>
      <c r="K49" s="15"/>
      <c r="L49" s="7"/>
      <c r="M49" s="7"/>
      <c r="N49" s="7"/>
      <c r="O49" s="7"/>
      <c r="P49" s="7"/>
      <c r="Q49" s="7"/>
      <c r="R49" s="7"/>
      <c r="S49" s="7"/>
    </row>
    <row r="50" spans="1:19" ht="15.75" hidden="1" customHeight="1" outlineLevel="1" x14ac:dyDescent="0.2">
      <c r="A50" s="13" t="s">
        <v>492</v>
      </c>
      <c r="B50" s="5"/>
      <c r="C50" s="15"/>
      <c r="D50" s="16"/>
      <c r="E50" s="16"/>
      <c r="F50" s="16"/>
      <c r="G50" s="16"/>
      <c r="H50" s="18"/>
      <c r="I50" s="16"/>
      <c r="J50" s="16"/>
      <c r="K50" s="15"/>
      <c r="L50" s="7"/>
      <c r="M50" s="7"/>
      <c r="N50" s="7"/>
      <c r="O50" s="7"/>
      <c r="P50" s="7"/>
      <c r="Q50" s="7"/>
      <c r="R50" s="7"/>
      <c r="S50" s="7"/>
    </row>
    <row r="51" spans="1:19" ht="15.75" hidden="1" customHeight="1" outlineLevel="1" x14ac:dyDescent="0.25">
      <c r="A51" s="5" t="s">
        <v>493</v>
      </c>
      <c r="B51" s="5" t="s">
        <v>68</v>
      </c>
      <c r="C51" s="258"/>
      <c r="D51" s="257">
        <v>30275.94</v>
      </c>
      <c r="E51" s="142" t="e">
        <f>D51*#REF!</f>
        <v>#REF!</v>
      </c>
      <c r="F51" s="142" t="e">
        <f>D51*#REF!</f>
        <v>#REF!</v>
      </c>
      <c r="G51" s="142" t="e">
        <f>(D51*#REF!)*#REF!</f>
        <v>#REF!</v>
      </c>
      <c r="H51" s="33">
        <f t="shared" ref="H51:H60" si="17">IFERROR(((Q51-G51)/G51),0)</f>
        <v>0</v>
      </c>
      <c r="I51" s="16" t="e">
        <f t="shared" ref="I51:I60" si="18">Q51-G51</f>
        <v>#REF!</v>
      </c>
      <c r="J51" s="16"/>
      <c r="K51" s="15"/>
      <c r="L51" s="7">
        <v>0</v>
      </c>
      <c r="M51" s="7">
        <v>0</v>
      </c>
      <c r="N51" s="7">
        <v>0</v>
      </c>
      <c r="O51" s="7">
        <v>0</v>
      </c>
      <c r="P51" s="16"/>
      <c r="Q51" s="16">
        <v>0</v>
      </c>
      <c r="R51" s="7"/>
      <c r="S51" s="7"/>
    </row>
    <row r="52" spans="1:19" ht="15.75" hidden="1" customHeight="1" outlineLevel="1" x14ac:dyDescent="0.25">
      <c r="A52" s="5" t="s">
        <v>494</v>
      </c>
      <c r="B52" s="5" t="s">
        <v>132</v>
      </c>
      <c r="C52" s="259"/>
      <c r="D52" s="257">
        <v>115.36</v>
      </c>
      <c r="E52" s="142" t="e">
        <f>D52*#REF!</f>
        <v>#REF!</v>
      </c>
      <c r="F52" s="142" t="e">
        <f>D52*#REF!</f>
        <v>#REF!</v>
      </c>
      <c r="G52" s="142" t="e">
        <f>(D52*#REF!)*#REF!</f>
        <v>#REF!</v>
      </c>
      <c r="H52" s="33">
        <f t="shared" si="17"/>
        <v>0</v>
      </c>
      <c r="I52" s="16" t="e">
        <f t="shared" si="18"/>
        <v>#REF!</v>
      </c>
      <c r="J52" s="16"/>
      <c r="K52" s="15"/>
      <c r="L52" s="7">
        <v>0</v>
      </c>
      <c r="M52" s="7">
        <v>0</v>
      </c>
      <c r="N52" s="7">
        <v>0</v>
      </c>
      <c r="O52" s="7">
        <v>0</v>
      </c>
      <c r="P52" s="16"/>
      <c r="Q52" s="16">
        <v>0</v>
      </c>
      <c r="R52" s="7"/>
      <c r="S52" s="7"/>
    </row>
    <row r="53" spans="1:19" ht="15.75" hidden="1" customHeight="1" outlineLevel="1" x14ac:dyDescent="0.25">
      <c r="A53" s="5" t="s">
        <v>495</v>
      </c>
      <c r="B53" s="5" t="s">
        <v>72</v>
      </c>
      <c r="C53" s="258"/>
      <c r="D53" s="257">
        <v>15147.54</v>
      </c>
      <c r="E53" s="142" t="e">
        <f>D53*#REF!</f>
        <v>#REF!</v>
      </c>
      <c r="F53" s="142" t="e">
        <f>D53*#REF!</f>
        <v>#REF!</v>
      </c>
      <c r="G53" s="142" t="e">
        <f>(D53*#REF!)*#REF!</f>
        <v>#REF!</v>
      </c>
      <c r="H53" s="33">
        <f t="shared" si="17"/>
        <v>0</v>
      </c>
      <c r="I53" s="16" t="e">
        <f t="shared" si="18"/>
        <v>#REF!</v>
      </c>
      <c r="J53" s="16"/>
      <c r="K53" s="15"/>
      <c r="L53" s="7">
        <v>0</v>
      </c>
      <c r="M53" s="7">
        <v>0</v>
      </c>
      <c r="N53" s="7">
        <v>0</v>
      </c>
      <c r="O53" s="7">
        <v>0</v>
      </c>
      <c r="P53" s="16"/>
      <c r="Q53" s="16">
        <v>0</v>
      </c>
      <c r="R53" s="7"/>
      <c r="S53" s="7"/>
    </row>
    <row r="54" spans="1:19" ht="15.75" hidden="1" customHeight="1" outlineLevel="1" x14ac:dyDescent="0.25">
      <c r="A54" s="5" t="s">
        <v>496</v>
      </c>
      <c r="B54" s="5" t="s">
        <v>76</v>
      </c>
      <c r="C54" s="259"/>
      <c r="D54" s="257">
        <v>228.58</v>
      </c>
      <c r="E54" s="142" t="e">
        <f>D54*#REF!</f>
        <v>#REF!</v>
      </c>
      <c r="F54" s="142" t="e">
        <f>D54*#REF!</f>
        <v>#REF!</v>
      </c>
      <c r="G54" s="142" t="e">
        <f>(D54*#REF!)*#REF!</f>
        <v>#REF!</v>
      </c>
      <c r="H54" s="33">
        <f t="shared" si="17"/>
        <v>0</v>
      </c>
      <c r="I54" s="16" t="e">
        <f t="shared" si="18"/>
        <v>#REF!</v>
      </c>
      <c r="J54" s="16"/>
      <c r="K54" s="15"/>
      <c r="L54" s="7">
        <v>0</v>
      </c>
      <c r="M54" s="7">
        <v>0</v>
      </c>
      <c r="N54" s="7">
        <v>0</v>
      </c>
      <c r="O54" s="7">
        <v>0</v>
      </c>
      <c r="P54" s="16"/>
      <c r="Q54" s="16">
        <v>0</v>
      </c>
      <c r="R54" s="7"/>
      <c r="S54" s="7"/>
    </row>
    <row r="55" spans="1:19" ht="15.75" hidden="1" customHeight="1" outlineLevel="1" x14ac:dyDescent="0.25">
      <c r="A55" s="5" t="s">
        <v>497</v>
      </c>
      <c r="B55" s="5" t="s">
        <v>80</v>
      </c>
      <c r="C55" s="258"/>
      <c r="D55" s="257">
        <v>1412.57</v>
      </c>
      <c r="E55" s="142" t="e">
        <f>D55*#REF!</f>
        <v>#REF!</v>
      </c>
      <c r="F55" s="142" t="e">
        <f>D55*#REF!</f>
        <v>#REF!</v>
      </c>
      <c r="G55" s="142" t="e">
        <f>(D55*#REF!)*#REF!</f>
        <v>#REF!</v>
      </c>
      <c r="H55" s="33">
        <f t="shared" si="17"/>
        <v>0</v>
      </c>
      <c r="I55" s="16" t="e">
        <f t="shared" si="18"/>
        <v>#REF!</v>
      </c>
      <c r="J55" s="16"/>
      <c r="K55" s="15"/>
      <c r="L55" s="7">
        <v>0</v>
      </c>
      <c r="M55" s="7">
        <v>0</v>
      </c>
      <c r="N55" s="7">
        <v>0</v>
      </c>
      <c r="O55" s="7">
        <v>0</v>
      </c>
      <c r="P55" s="16"/>
      <c r="Q55" s="16">
        <v>0</v>
      </c>
      <c r="R55" s="7"/>
      <c r="S55" s="7"/>
    </row>
    <row r="56" spans="1:19" ht="15.75" hidden="1" customHeight="1" outlineLevel="1" x14ac:dyDescent="0.25">
      <c r="A56" s="5" t="s">
        <v>498</v>
      </c>
      <c r="B56" s="5" t="s">
        <v>115</v>
      </c>
      <c r="C56" s="258"/>
      <c r="D56" s="257">
        <v>1304.8399999999999</v>
      </c>
      <c r="E56" s="142" t="e">
        <f>D56*#REF!</f>
        <v>#REF!</v>
      </c>
      <c r="F56" s="142" t="e">
        <f>D56*#REF!</f>
        <v>#REF!</v>
      </c>
      <c r="G56" s="142" t="e">
        <f>(D56*#REF!)*#REF!</f>
        <v>#REF!</v>
      </c>
      <c r="H56" s="33">
        <f t="shared" si="17"/>
        <v>0</v>
      </c>
      <c r="I56" s="16" t="e">
        <f t="shared" si="18"/>
        <v>#REF!</v>
      </c>
      <c r="J56" s="16"/>
      <c r="K56" s="15"/>
      <c r="L56" s="7">
        <v>0</v>
      </c>
      <c r="M56" s="7">
        <v>0</v>
      </c>
      <c r="N56" s="7">
        <v>0</v>
      </c>
      <c r="O56" s="7">
        <v>0</v>
      </c>
      <c r="P56" s="16"/>
      <c r="Q56" s="16">
        <v>0</v>
      </c>
      <c r="R56" s="7"/>
      <c r="S56" s="7"/>
    </row>
    <row r="57" spans="1:19" ht="15.75" hidden="1" customHeight="1" outlineLevel="1" x14ac:dyDescent="0.25">
      <c r="A57" s="5" t="s">
        <v>499</v>
      </c>
      <c r="B57" s="5" t="s">
        <v>84</v>
      </c>
      <c r="C57" s="259"/>
      <c r="D57" s="257">
        <v>0</v>
      </c>
      <c r="E57" s="142" t="e">
        <f>D57*#REF!</f>
        <v>#REF!</v>
      </c>
      <c r="F57" s="142" t="e">
        <f>D57*#REF!</f>
        <v>#REF!</v>
      </c>
      <c r="G57" s="142" t="e">
        <f>(D57*#REF!)*#REF!</f>
        <v>#REF!</v>
      </c>
      <c r="H57" s="33">
        <f t="shared" si="17"/>
        <v>0</v>
      </c>
      <c r="I57" s="16" t="e">
        <f t="shared" si="18"/>
        <v>#REF!</v>
      </c>
      <c r="J57" s="16"/>
      <c r="K57" s="15"/>
      <c r="L57" s="7">
        <v>0</v>
      </c>
      <c r="M57" s="7">
        <v>0</v>
      </c>
      <c r="N57" s="7">
        <v>0</v>
      </c>
      <c r="O57" s="7">
        <v>0</v>
      </c>
      <c r="P57" s="16"/>
      <c r="Q57" s="16">
        <v>0</v>
      </c>
      <c r="R57" s="7"/>
      <c r="S57" s="7"/>
    </row>
    <row r="58" spans="1:19" ht="15.75" hidden="1" customHeight="1" outlineLevel="1" x14ac:dyDescent="0.25">
      <c r="A58" s="5" t="s">
        <v>500</v>
      </c>
      <c r="B58" s="5" t="s">
        <v>90</v>
      </c>
      <c r="C58" s="259"/>
      <c r="D58" s="257">
        <v>0</v>
      </c>
      <c r="E58" s="142" t="e">
        <f>D58*#REF!</f>
        <v>#REF!</v>
      </c>
      <c r="F58" s="142" t="e">
        <f>D58*#REF!</f>
        <v>#REF!</v>
      </c>
      <c r="G58" s="142" t="e">
        <f>(D58*#REF!)*#REF!</f>
        <v>#REF!</v>
      </c>
      <c r="H58" s="33">
        <f t="shared" si="17"/>
        <v>0</v>
      </c>
      <c r="I58" s="16" t="e">
        <f t="shared" si="18"/>
        <v>#REF!</v>
      </c>
      <c r="J58" s="16"/>
      <c r="K58" s="15"/>
      <c r="L58" s="7">
        <v>0</v>
      </c>
      <c r="M58" s="7">
        <v>0</v>
      </c>
      <c r="N58" s="7">
        <v>0</v>
      </c>
      <c r="O58" s="7">
        <v>0</v>
      </c>
      <c r="P58" s="16"/>
      <c r="Q58" s="16">
        <v>0</v>
      </c>
      <c r="R58" s="7"/>
      <c r="S58" s="7"/>
    </row>
    <row r="59" spans="1:19" ht="15.75" hidden="1" customHeight="1" outlineLevel="1" x14ac:dyDescent="0.25">
      <c r="A59" s="5" t="s">
        <v>501</v>
      </c>
      <c r="B59" s="5" t="s">
        <v>502</v>
      </c>
      <c r="C59" s="259"/>
      <c r="D59" s="257">
        <v>111.98</v>
      </c>
      <c r="E59" s="142" t="e">
        <f>D59*#REF!</f>
        <v>#REF!</v>
      </c>
      <c r="F59" s="142" t="e">
        <f>D59*#REF!</f>
        <v>#REF!</v>
      </c>
      <c r="G59" s="142" t="e">
        <f>(D59*#REF!)*#REF!</f>
        <v>#REF!</v>
      </c>
      <c r="H59" s="33">
        <f t="shared" si="17"/>
        <v>0</v>
      </c>
      <c r="I59" s="16" t="e">
        <f t="shared" si="18"/>
        <v>#REF!</v>
      </c>
      <c r="J59" s="16"/>
      <c r="K59" s="15"/>
      <c r="L59" s="7">
        <v>0</v>
      </c>
      <c r="M59" s="7">
        <v>0</v>
      </c>
      <c r="N59" s="7">
        <v>0</v>
      </c>
      <c r="O59" s="7">
        <v>0</v>
      </c>
      <c r="P59" s="16"/>
      <c r="Q59" s="16">
        <v>0</v>
      </c>
      <c r="R59" s="7"/>
      <c r="S59" s="7"/>
    </row>
    <row r="60" spans="1:19" ht="15.75" hidden="1" customHeight="1" outlineLevel="1" x14ac:dyDescent="0.2">
      <c r="A60" s="13" t="s">
        <v>503</v>
      </c>
      <c r="B60" s="6"/>
      <c r="C60" s="49"/>
      <c r="D60" s="50">
        <f t="shared" ref="D60:G60" si="19">SUM(D51:D59)</f>
        <v>48596.81</v>
      </c>
      <c r="E60" s="50" t="e">
        <f t="shared" si="19"/>
        <v>#REF!</v>
      </c>
      <c r="F60" s="50" t="e">
        <f t="shared" si="19"/>
        <v>#REF!</v>
      </c>
      <c r="G60" s="50" t="e">
        <f t="shared" si="19"/>
        <v>#REF!</v>
      </c>
      <c r="H60" s="42">
        <f t="shared" si="17"/>
        <v>0</v>
      </c>
      <c r="I60" s="50" t="e">
        <f t="shared" si="18"/>
        <v>#REF!</v>
      </c>
      <c r="J60" s="50">
        <f>SUM(J51:J59)</f>
        <v>0</v>
      </c>
      <c r="K60" s="49"/>
      <c r="L60" s="12">
        <f t="shared" ref="L60:O60" si="20">SUM(L54:L59)</f>
        <v>0</v>
      </c>
      <c r="M60" s="12">
        <f t="shared" si="20"/>
        <v>0</v>
      </c>
      <c r="N60" s="12">
        <f t="shared" si="20"/>
        <v>0</v>
      </c>
      <c r="O60" s="12">
        <f t="shared" si="20"/>
        <v>0</v>
      </c>
      <c r="P60" s="50"/>
      <c r="Q60" s="50">
        <f>SUM(Q54:Q59)</f>
        <v>0</v>
      </c>
      <c r="R60" s="7"/>
      <c r="S60" s="7"/>
    </row>
    <row r="61" spans="1:19" ht="15.75" customHeight="1" x14ac:dyDescent="0.2">
      <c r="A61" s="11" t="s">
        <v>504</v>
      </c>
      <c r="B61" s="5"/>
      <c r="C61" s="260"/>
      <c r="D61" s="50">
        <f t="shared" ref="D61:G61" si="21">D60+D48+D35+D26</f>
        <v>508636.88999999996</v>
      </c>
      <c r="E61" s="50" t="e">
        <f t="shared" si="21"/>
        <v>#REF!</v>
      </c>
      <c r="F61" s="50" t="e">
        <f t="shared" si="21"/>
        <v>#REF!</v>
      </c>
      <c r="G61" s="50" t="e">
        <f t="shared" si="21"/>
        <v>#REF!</v>
      </c>
      <c r="H61" s="18"/>
      <c r="I61" s="16"/>
      <c r="J61" s="16"/>
      <c r="K61" s="260"/>
      <c r="L61" s="12">
        <f t="shared" ref="L61:S61" si="22">L60+L48+L35+L26</f>
        <v>1814812</v>
      </c>
      <c r="M61" s="12">
        <f t="shared" si="22"/>
        <v>1412910.43</v>
      </c>
      <c r="N61" s="12">
        <f t="shared" si="22"/>
        <v>787914</v>
      </c>
      <c r="O61" s="12">
        <f t="shared" si="22"/>
        <v>496532.71</v>
      </c>
      <c r="P61" s="50">
        <f t="shared" si="22"/>
        <v>648443.29466666654</v>
      </c>
      <c r="Q61" s="50">
        <f t="shared" si="22"/>
        <v>841820</v>
      </c>
      <c r="R61" s="12">
        <f t="shared" si="22"/>
        <v>839820</v>
      </c>
      <c r="S61" s="12">
        <f t="shared" si="22"/>
        <v>-2000</v>
      </c>
    </row>
    <row r="62" spans="1:19" ht="15.75" customHeight="1" collapsed="1" x14ac:dyDescent="0.2">
      <c r="A62" s="11"/>
      <c r="B62" s="5"/>
      <c r="C62" s="15"/>
      <c r="D62" s="7"/>
      <c r="E62" s="7"/>
      <c r="F62" s="7"/>
      <c r="G62" s="7"/>
      <c r="H62" s="5"/>
      <c r="I62" s="7"/>
      <c r="J62" s="7"/>
      <c r="K62" s="15"/>
      <c r="L62" s="7"/>
      <c r="M62" s="7"/>
      <c r="N62" s="7"/>
      <c r="O62" s="7"/>
      <c r="P62" s="7"/>
      <c r="Q62" s="7"/>
      <c r="R62" s="7"/>
      <c r="S62" s="7"/>
    </row>
    <row r="63" spans="1:19" ht="15.75" hidden="1" customHeight="1" outlineLevel="1" x14ac:dyDescent="0.2">
      <c r="A63" s="5"/>
      <c r="B63" s="5"/>
      <c r="C63" s="15"/>
      <c r="D63" s="7"/>
      <c r="E63" s="7"/>
      <c r="F63" s="7"/>
      <c r="G63" s="7"/>
      <c r="H63" s="5"/>
      <c r="I63" s="7"/>
      <c r="J63" s="7"/>
      <c r="K63" s="15"/>
      <c r="L63" s="7"/>
      <c r="M63" s="7"/>
      <c r="N63" s="7"/>
      <c r="O63" s="7"/>
      <c r="P63" s="7"/>
      <c r="Q63" s="7"/>
      <c r="R63" s="7"/>
      <c r="S63" s="7"/>
    </row>
    <row r="64" spans="1:19" ht="26.25" hidden="1" customHeight="1" outlineLevel="1" x14ac:dyDescent="0.2">
      <c r="A64" s="564" t="s">
        <v>505</v>
      </c>
      <c r="B64" s="558"/>
      <c r="C64" s="261"/>
      <c r="D64" s="262"/>
      <c r="E64" s="7"/>
      <c r="F64" s="7"/>
      <c r="G64" s="7"/>
      <c r="H64" s="5"/>
      <c r="I64" s="7"/>
      <c r="J64" s="7"/>
      <c r="K64" s="15"/>
      <c r="L64" s="7"/>
      <c r="M64" s="7"/>
      <c r="N64" s="7"/>
      <c r="O64" s="7"/>
      <c r="P64" s="7"/>
      <c r="Q64" s="7"/>
      <c r="R64" s="7"/>
      <c r="S64" s="7"/>
    </row>
    <row r="65" spans="1:24" ht="15.75" hidden="1" customHeight="1" outlineLevel="1" x14ac:dyDescent="0.2">
      <c r="A65" s="5"/>
      <c r="B65" s="5"/>
      <c r="C65" s="15"/>
      <c r="D65" s="7"/>
      <c r="E65" s="7"/>
      <c r="F65" s="7"/>
      <c r="G65" s="7"/>
      <c r="H65" s="5"/>
      <c r="I65" s="7"/>
      <c r="J65" s="7"/>
      <c r="K65" s="15"/>
      <c r="L65" s="7"/>
      <c r="M65" s="7"/>
      <c r="N65" s="7"/>
      <c r="O65" s="7"/>
      <c r="P65" s="7"/>
      <c r="Q65" s="7"/>
      <c r="R65" s="7"/>
      <c r="S65" s="7"/>
    </row>
    <row r="66" spans="1:24" ht="15.75" hidden="1" customHeight="1" outlineLevel="1" x14ac:dyDescent="0.25">
      <c r="A66" s="5"/>
      <c r="B66" s="5"/>
      <c r="C66" s="15"/>
      <c r="D66" s="7"/>
      <c r="E66" s="7"/>
      <c r="F66" s="7"/>
      <c r="G66" s="7"/>
      <c r="H66" s="5"/>
      <c r="I66" s="7"/>
      <c r="J66" s="7"/>
      <c r="K66" s="15"/>
      <c r="L66" s="7"/>
      <c r="M66" s="7">
        <f t="shared" ref="M66:N66" si="23">M72/M68</f>
        <v>0.4813346959100071</v>
      </c>
      <c r="N66" s="7">
        <f t="shared" si="23"/>
        <v>0.53813872209025104</v>
      </c>
      <c r="O66" s="7"/>
      <c r="P66" s="7"/>
      <c r="Q66" s="7">
        <f>Q72/Q68</f>
        <v>0.52153596099146693</v>
      </c>
      <c r="R66" s="7"/>
      <c r="S66" s="7"/>
      <c r="W66" s="229" t="s">
        <v>435</v>
      </c>
      <c r="X66" s="185">
        <f>Q90*15%</f>
        <v>126273</v>
      </c>
    </row>
    <row r="67" spans="1:24" ht="15.75" hidden="1" customHeight="1" outlineLevel="1" x14ac:dyDescent="0.2">
      <c r="A67" s="3" t="s">
        <v>50</v>
      </c>
      <c r="B67" s="3" t="s">
        <v>51</v>
      </c>
      <c r="C67" s="21"/>
      <c r="D67" s="4" t="s">
        <v>52</v>
      </c>
      <c r="E67" s="27" t="s">
        <v>53</v>
      </c>
      <c r="F67" s="27" t="s">
        <v>54</v>
      </c>
      <c r="G67" s="27" t="s">
        <v>55</v>
      </c>
      <c r="H67" s="230" t="s">
        <v>56</v>
      </c>
      <c r="I67" s="68" t="s">
        <v>57</v>
      </c>
      <c r="J67" s="263" t="s">
        <v>58</v>
      </c>
      <c r="K67" s="21"/>
      <c r="L67" s="4" t="s">
        <v>59</v>
      </c>
      <c r="M67" s="4" t="s">
        <v>60</v>
      </c>
      <c r="N67" s="4" t="s">
        <v>436</v>
      </c>
      <c r="O67" s="4" t="s">
        <v>437</v>
      </c>
      <c r="P67" s="70"/>
      <c r="Q67" s="70" t="s">
        <v>438</v>
      </c>
      <c r="R67" s="7"/>
      <c r="S67" s="7"/>
      <c r="W67" s="232" t="s">
        <v>439</v>
      </c>
      <c r="X67" s="55">
        <f>X66+J90</f>
        <v>126273</v>
      </c>
    </row>
    <row r="68" spans="1:24" ht="15.75" hidden="1" customHeight="1" outlineLevel="1" x14ac:dyDescent="0.25">
      <c r="A68" s="6"/>
      <c r="B68" s="6" t="s">
        <v>68</v>
      </c>
      <c r="C68" s="264"/>
      <c r="D68" s="265">
        <f t="shared" ref="D68:G68" si="24">SUMIF($B$6:$B$25,$B68,D$6:D$25)+SUMIF($B$29:$B$34,$B68,D$29:D$34)+SUMIF($B$38:$B$47,$B68,D$38:D$47)+SUMIF($B$51:$B$59,$B68,D$51:D$59)</f>
        <v>244046.38</v>
      </c>
      <c r="E68" s="265" t="e">
        <f t="shared" si="24"/>
        <v>#REF!</v>
      </c>
      <c r="F68" s="265" t="e">
        <f t="shared" si="24"/>
        <v>#REF!</v>
      </c>
      <c r="G68" s="266" t="e">
        <f t="shared" si="24"/>
        <v>#REF!</v>
      </c>
      <c r="H68" s="211">
        <f t="shared" ref="H68:H84" si="25">IFERROR(((Q68-G68)/G68),0)</f>
        <v>0</v>
      </c>
      <c r="I68" s="7" t="e">
        <f t="shared" ref="I68:I84" si="26">Q68-G68</f>
        <v>#REF!</v>
      </c>
      <c r="J68" s="7"/>
      <c r="K68" s="264"/>
      <c r="L68" s="265">
        <f t="shared" ref="L68:O68" si="27">SUMIF($B$6:$B$25,$B68,L$6:L$25)+SUMIF($B$29:$B$34,$B68,L$29:L$34)+SUMIF($B$38:$B$47,$B68,L$38:L$47)+SUMIF($B$51:$B$59,$B68,L$51:L$59)</f>
        <v>655680</v>
      </c>
      <c r="M68" s="265">
        <f t="shared" si="27"/>
        <v>552844.73</v>
      </c>
      <c r="N68" s="265">
        <f t="shared" si="27"/>
        <v>461801</v>
      </c>
      <c r="O68" s="265">
        <f t="shared" si="27"/>
        <v>300692.13</v>
      </c>
      <c r="P68" s="266"/>
      <c r="Q68" s="266">
        <f t="shared" ref="Q68:Q89" si="28">SUMIF($B$6:$B$25,$B68,Q$6:Q$25)+SUMIF($B$29:$B$34,$B68,Q$29:Q$34)+SUMIF($B$38:$B$47,$B68,Q$38:Q$47)+SUMIF($B$51:$B$59,$B68,Q$51:Q$59)</f>
        <v>492200</v>
      </c>
      <c r="R68" s="7"/>
      <c r="S68" s="7"/>
      <c r="W68" s="235" t="s">
        <v>440</v>
      </c>
      <c r="X68" s="236">
        <f>J90/Q90</f>
        <v>0</v>
      </c>
    </row>
    <row r="69" spans="1:24" ht="15.75" hidden="1" customHeight="1" outlineLevel="1" x14ac:dyDescent="0.25">
      <c r="A69" s="6"/>
      <c r="B69" s="6" t="s">
        <v>70</v>
      </c>
      <c r="C69" s="264"/>
      <c r="D69" s="265">
        <f t="shared" ref="D69:G69" si="29">SUMIF($B$6:$B$25,$B69,D$6:D$25)+SUMIF($B$29:$B$34,$B69,D$29:D$34)+SUMIF($B$38:$B$47,$B69,D$38:D$47)+SUMIF($B$51:$B$59,$B69,D$51:D$59)</f>
        <v>1031.97</v>
      </c>
      <c r="E69" s="265" t="e">
        <f t="shared" si="29"/>
        <v>#REF!</v>
      </c>
      <c r="F69" s="265" t="e">
        <f t="shared" si="29"/>
        <v>#REF!</v>
      </c>
      <c r="G69" s="266" t="e">
        <f t="shared" si="29"/>
        <v>#REF!</v>
      </c>
      <c r="H69" s="211">
        <f t="shared" si="25"/>
        <v>0</v>
      </c>
      <c r="I69" s="7" t="e">
        <f t="shared" si="26"/>
        <v>#REF!</v>
      </c>
      <c r="J69" s="7"/>
      <c r="K69" s="264"/>
      <c r="L69" s="265">
        <f t="shared" ref="L69:O69" si="30">SUMIF($B$6:$B$25,$B69,L$6:L$25)+SUMIF($B$29:$B$34,$B69,L$29:L$34)+SUMIF($B$38:$B$47,$B69,L$38:L$47)+SUMIF($B$51:$B$59,$B69,L$51:L$59)</f>
        <v>790</v>
      </c>
      <c r="M69" s="265">
        <f t="shared" si="30"/>
        <v>1556.72</v>
      </c>
      <c r="N69" s="265">
        <f t="shared" si="30"/>
        <v>0</v>
      </c>
      <c r="O69" s="265">
        <f t="shared" si="30"/>
        <v>365.36</v>
      </c>
      <c r="P69" s="266"/>
      <c r="Q69" s="266">
        <f t="shared" si="28"/>
        <v>2000</v>
      </c>
      <c r="R69" s="7"/>
      <c r="S69" s="7"/>
    </row>
    <row r="70" spans="1:24" ht="15.75" hidden="1" customHeight="1" outlineLevel="1" x14ac:dyDescent="0.25">
      <c r="A70" s="6"/>
      <c r="B70" s="6" t="s">
        <v>132</v>
      </c>
      <c r="C70" s="264"/>
      <c r="D70" s="265">
        <f t="shared" ref="D70:G70" si="31">SUMIF($B$6:$B$25,$B70,D$6:D$25)+SUMIF($B$29:$B$34,$B70,D$29:D$34)+SUMIF($B$38:$B$47,$B70,D$38:D$47)+SUMIF($B$51:$B$59,$B70,D$51:D$59)</f>
        <v>57108.86</v>
      </c>
      <c r="E70" s="265" t="e">
        <f t="shared" si="31"/>
        <v>#REF!</v>
      </c>
      <c r="F70" s="265" t="e">
        <f t="shared" si="31"/>
        <v>#REF!</v>
      </c>
      <c r="G70" s="266" t="e">
        <f t="shared" si="31"/>
        <v>#REF!</v>
      </c>
      <c r="H70" s="211">
        <f t="shared" si="25"/>
        <v>0</v>
      </c>
      <c r="I70" s="7" t="e">
        <f t="shared" si="26"/>
        <v>#REF!</v>
      </c>
      <c r="J70" s="7"/>
      <c r="K70" s="264"/>
      <c r="L70" s="265">
        <f t="shared" ref="L70:O70" si="32">SUMIF($B$6:$B$25,$B70,L$6:L$25)+SUMIF($B$29:$B$34,$B70,L$29:L$34)+SUMIF($B$38:$B$47,$B70,L$38:L$47)+SUMIF($B$51:$B$59,$B70,L$51:L$59)</f>
        <v>9243</v>
      </c>
      <c r="M70" s="265">
        <f t="shared" si="32"/>
        <v>0</v>
      </c>
      <c r="N70" s="265">
        <f t="shared" si="32"/>
        <v>0</v>
      </c>
      <c r="O70" s="265">
        <f t="shared" si="32"/>
        <v>0</v>
      </c>
      <c r="P70" s="266"/>
      <c r="Q70" s="266">
        <f t="shared" si="28"/>
        <v>0</v>
      </c>
      <c r="R70" s="7"/>
      <c r="S70" s="7"/>
    </row>
    <row r="71" spans="1:24" ht="15.75" hidden="1" customHeight="1" outlineLevel="1" x14ac:dyDescent="0.25">
      <c r="A71" s="6"/>
      <c r="B71" s="6" t="s">
        <v>108</v>
      </c>
      <c r="C71" s="264"/>
      <c r="D71" s="265">
        <f t="shared" ref="D71:G71" si="33">SUMIF($B$6:$B$25,$B71,D$6:D$25)+SUMIF($B$29:$B$34,$B71,D$29:D$34)+SUMIF($B$38:$B$47,$B71,D$38:D$47)+SUMIF($B$51:$B$59,$B71,D$51:D$59)</f>
        <v>2261</v>
      </c>
      <c r="E71" s="265" t="e">
        <f t="shared" si="33"/>
        <v>#REF!</v>
      </c>
      <c r="F71" s="265" t="e">
        <f t="shared" si="33"/>
        <v>#REF!</v>
      </c>
      <c r="G71" s="266" t="e">
        <f t="shared" si="33"/>
        <v>#REF!</v>
      </c>
      <c r="H71" s="211">
        <f t="shared" si="25"/>
        <v>0</v>
      </c>
      <c r="I71" s="7" t="e">
        <f t="shared" si="26"/>
        <v>#REF!</v>
      </c>
      <c r="J71" s="7"/>
      <c r="K71" s="264"/>
      <c r="L71" s="265">
        <f t="shared" ref="L71:O71" si="34">SUMIF($B$6:$B$25,$B71,L$6:L$25)+SUMIF($B$29:$B$34,$B71,L$29:L$34)+SUMIF($B$38:$B$47,$B71,L$38:L$47)+SUMIF($B$51:$B$59,$B71,L$51:L$59)</f>
        <v>14952</v>
      </c>
      <c r="M71" s="265">
        <f t="shared" si="34"/>
        <v>0</v>
      </c>
      <c r="N71" s="265">
        <f t="shared" si="34"/>
        <v>0</v>
      </c>
      <c r="O71" s="265">
        <f t="shared" si="34"/>
        <v>0</v>
      </c>
      <c r="P71" s="266"/>
      <c r="Q71" s="266">
        <f t="shared" si="28"/>
        <v>0</v>
      </c>
      <c r="R71" s="7"/>
      <c r="S71" s="7"/>
    </row>
    <row r="72" spans="1:24" ht="15.75" hidden="1" customHeight="1" outlineLevel="1" x14ac:dyDescent="0.25">
      <c r="A72" s="6"/>
      <c r="B72" s="6" t="s">
        <v>72</v>
      </c>
      <c r="C72" s="264"/>
      <c r="D72" s="265">
        <f t="shared" ref="D72:G72" si="35">SUMIF($B$6:$B$25,$B72,D$6:D$25)+SUMIF($B$29:$B$34,$B72,D$29:D$34)+SUMIF($B$38:$B$47,$B72,D$38:D$47)+SUMIF($B$51:$B$59,$B72,D$51:D$59)</f>
        <v>138880.99000000002</v>
      </c>
      <c r="E72" s="265" t="e">
        <f t="shared" si="35"/>
        <v>#REF!</v>
      </c>
      <c r="F72" s="265" t="e">
        <f t="shared" si="35"/>
        <v>#REF!</v>
      </c>
      <c r="G72" s="266" t="e">
        <f t="shared" si="35"/>
        <v>#REF!</v>
      </c>
      <c r="H72" s="211">
        <f t="shared" si="25"/>
        <v>0</v>
      </c>
      <c r="I72" s="7" t="e">
        <f t="shared" si="26"/>
        <v>#REF!</v>
      </c>
      <c r="J72" s="7"/>
      <c r="K72" s="264"/>
      <c r="L72" s="265">
        <f t="shared" ref="L72:O72" si="36">SUMIF($B$6:$B$25,$B72,L$6:L$25)+SUMIF($B$29:$B$34,$B72,L$29:L$34)+SUMIF($B$38:$B$47,$B72,L$38:L$47)+SUMIF($B$51:$B$59,$B72,L$51:L$59)</f>
        <v>250654</v>
      </c>
      <c r="M72" s="265">
        <f t="shared" si="36"/>
        <v>266103.34999999998</v>
      </c>
      <c r="N72" s="265">
        <f t="shared" si="36"/>
        <v>248513</v>
      </c>
      <c r="O72" s="265">
        <f t="shared" si="36"/>
        <v>152697.76999999999</v>
      </c>
      <c r="P72" s="266"/>
      <c r="Q72" s="266">
        <f t="shared" si="28"/>
        <v>256700</v>
      </c>
      <c r="R72" s="7"/>
      <c r="S72" s="7"/>
    </row>
    <row r="73" spans="1:24" ht="15.75" hidden="1" customHeight="1" outlineLevel="1" x14ac:dyDescent="0.25">
      <c r="A73" s="6"/>
      <c r="B73" s="6" t="s">
        <v>451</v>
      </c>
      <c r="C73" s="264"/>
      <c r="D73" s="265">
        <f t="shared" ref="D73:G73" si="37">SUMIF($B$6:$B$25,$B73,D$6:D$25)+SUMIF($B$29:$B$34,$B73,D$29:D$34)+SUMIF($B$38:$B$47,$B73,D$38:D$47)+SUMIF($B$51:$B$59,$B73,D$51:D$59)</f>
        <v>0</v>
      </c>
      <c r="E73" s="265" t="e">
        <f t="shared" si="37"/>
        <v>#REF!</v>
      </c>
      <c r="F73" s="265" t="e">
        <f t="shared" si="37"/>
        <v>#REF!</v>
      </c>
      <c r="G73" s="266" t="e">
        <f t="shared" si="37"/>
        <v>#REF!</v>
      </c>
      <c r="H73" s="211">
        <f t="shared" si="25"/>
        <v>0</v>
      </c>
      <c r="I73" s="7" t="e">
        <f t="shared" si="26"/>
        <v>#REF!</v>
      </c>
      <c r="J73" s="7"/>
      <c r="K73" s="264"/>
      <c r="L73" s="265">
        <f t="shared" ref="L73:O73" si="38">SUMIF($B$6:$B$25,$B73,L$6:L$25)+SUMIF($B$29:$B$34,$B73,L$29:L$34)+SUMIF($B$38:$B$47,$B73,L$38:L$47)+SUMIF($B$51:$B$59,$B73,L$51:L$59)</f>
        <v>12427</v>
      </c>
      <c r="M73" s="265">
        <f t="shared" si="38"/>
        <v>27954.25</v>
      </c>
      <c r="N73" s="265">
        <f t="shared" si="38"/>
        <v>32500</v>
      </c>
      <c r="O73" s="265">
        <f t="shared" si="38"/>
        <v>23514</v>
      </c>
      <c r="P73" s="266"/>
      <c r="Q73" s="266">
        <f t="shared" si="28"/>
        <v>33000</v>
      </c>
      <c r="R73" s="7"/>
      <c r="S73" s="7"/>
    </row>
    <row r="74" spans="1:24" ht="15.75" hidden="1" customHeight="1" outlineLevel="1" x14ac:dyDescent="0.25">
      <c r="A74" s="6"/>
      <c r="B74" s="6" t="s">
        <v>76</v>
      </c>
      <c r="C74" s="264"/>
      <c r="D74" s="265">
        <f t="shared" ref="D74:G74" si="39">SUMIF($B$6:$B$25,$B74,D$6:D$25)+SUMIF($B$29:$B$34,$B74,D$29:D$34)+SUMIF($B$38:$B$47,$B74,D$38:D$47)+SUMIF($B$51:$B$59,$B74,D$51:D$59)</f>
        <v>20538.350000000002</v>
      </c>
      <c r="E74" s="265" t="e">
        <f t="shared" si="39"/>
        <v>#REF!</v>
      </c>
      <c r="F74" s="265" t="e">
        <f t="shared" si="39"/>
        <v>#REF!</v>
      </c>
      <c r="G74" s="266" t="e">
        <f t="shared" si="39"/>
        <v>#REF!</v>
      </c>
      <c r="H74" s="211">
        <f t="shared" si="25"/>
        <v>0</v>
      </c>
      <c r="I74" s="7" t="e">
        <f t="shared" si="26"/>
        <v>#REF!</v>
      </c>
      <c r="J74" s="7"/>
      <c r="K74" s="264"/>
      <c r="L74" s="265">
        <f t="shared" ref="L74:O74" si="40">SUMIF($B$6:$B$25,$B74,L$6:L$25)+SUMIF($B$29:$B$34,$B74,L$29:L$34)+SUMIF($B$38:$B$47,$B74,L$38:L$47)+SUMIF($B$51:$B$59,$B74,L$51:L$59)</f>
        <v>9867</v>
      </c>
      <c r="M74" s="265">
        <f t="shared" si="40"/>
        <v>3246.38</v>
      </c>
      <c r="N74" s="265">
        <f t="shared" si="40"/>
        <v>5000</v>
      </c>
      <c r="O74" s="265">
        <f t="shared" si="40"/>
        <v>139.44999999999999</v>
      </c>
      <c r="P74" s="266"/>
      <c r="Q74" s="266">
        <f t="shared" si="28"/>
        <v>5000</v>
      </c>
      <c r="R74" s="7"/>
      <c r="S74" s="7"/>
    </row>
    <row r="75" spans="1:24" ht="15.75" hidden="1" customHeight="1" outlineLevel="1" x14ac:dyDescent="0.25">
      <c r="A75" s="6"/>
      <c r="B75" s="6" t="s">
        <v>80</v>
      </c>
      <c r="C75" s="264"/>
      <c r="D75" s="265">
        <f t="shared" ref="D75:G75" si="41">SUMIF($B$6:$B$25,$B75,D$6:D$25)+SUMIF($B$29:$B$34,$B75,D$29:D$34)+SUMIF($B$38:$B$47,$B75,D$38:D$47)+SUMIF($B$51:$B$59,$B75,D$51:D$59)</f>
        <v>7747.59</v>
      </c>
      <c r="E75" s="265" t="e">
        <f t="shared" si="41"/>
        <v>#REF!</v>
      </c>
      <c r="F75" s="265" t="e">
        <f t="shared" si="41"/>
        <v>#REF!</v>
      </c>
      <c r="G75" s="266" t="e">
        <f t="shared" si="41"/>
        <v>#REF!</v>
      </c>
      <c r="H75" s="211">
        <f t="shared" si="25"/>
        <v>0</v>
      </c>
      <c r="I75" s="7" t="e">
        <f t="shared" si="26"/>
        <v>#REF!</v>
      </c>
      <c r="J75" s="7"/>
      <c r="K75" s="264"/>
      <c r="L75" s="265">
        <f t="shared" ref="L75:O75" si="42">SUMIF($B$6:$B$25,$B75,L$6:L$25)+SUMIF($B$29:$B$34,$B75,L$29:L$34)+SUMIF($B$38:$B$47,$B75,L$38:L$47)+SUMIF($B$51:$B$59,$B75,L$51:L$59)</f>
        <v>10492</v>
      </c>
      <c r="M75" s="265">
        <f t="shared" si="42"/>
        <v>7983.47</v>
      </c>
      <c r="N75" s="265">
        <f t="shared" si="42"/>
        <v>6300</v>
      </c>
      <c r="O75" s="265">
        <f t="shared" si="42"/>
        <v>4489.71</v>
      </c>
      <c r="P75" s="266"/>
      <c r="Q75" s="266">
        <f t="shared" si="28"/>
        <v>6300</v>
      </c>
      <c r="R75" s="7"/>
      <c r="S75" s="7"/>
    </row>
    <row r="76" spans="1:24" ht="15.75" hidden="1" customHeight="1" outlineLevel="1" x14ac:dyDescent="0.25">
      <c r="A76" s="6"/>
      <c r="B76" s="6" t="s">
        <v>82</v>
      </c>
      <c r="C76" s="264"/>
      <c r="D76" s="265">
        <f t="shared" ref="D76:G76" si="43">SUMIF($B$6:$B$25,$B76,D$6:D$25)+SUMIF($B$29:$B$34,$B76,D$29:D$34)+SUMIF($B$38:$B$47,$B76,D$38:D$47)+SUMIF($B$51:$B$59,$B76,D$51:D$59)</f>
        <v>16670</v>
      </c>
      <c r="E76" s="265" t="e">
        <f t="shared" si="43"/>
        <v>#REF!</v>
      </c>
      <c r="F76" s="265" t="e">
        <f t="shared" si="43"/>
        <v>#REF!</v>
      </c>
      <c r="G76" s="266" t="e">
        <f t="shared" si="43"/>
        <v>#REF!</v>
      </c>
      <c r="H76" s="211">
        <f t="shared" si="25"/>
        <v>0</v>
      </c>
      <c r="I76" s="7" t="e">
        <f t="shared" si="26"/>
        <v>#REF!</v>
      </c>
      <c r="J76" s="7"/>
      <c r="K76" s="264"/>
      <c r="L76" s="265">
        <f t="shared" ref="L76:O76" si="44">SUMIF($B$6:$B$25,$B76,L$6:L$25)+SUMIF($B$29:$B$34,$B76,L$29:L$34)+SUMIF($B$38:$B$47,$B76,L$38:L$47)+SUMIF($B$51:$B$59,$B76,L$51:L$59)</f>
        <v>2857</v>
      </c>
      <c r="M76" s="265">
        <f t="shared" si="44"/>
        <v>3785.08</v>
      </c>
      <c r="N76" s="265">
        <f t="shared" si="44"/>
        <v>5600</v>
      </c>
      <c r="O76" s="265">
        <f t="shared" si="44"/>
        <v>958.99</v>
      </c>
      <c r="P76" s="266"/>
      <c r="Q76" s="266">
        <f t="shared" si="28"/>
        <v>5000</v>
      </c>
      <c r="R76" s="7"/>
      <c r="S76" s="7"/>
    </row>
    <row r="77" spans="1:24" ht="15.75" hidden="1" customHeight="1" outlineLevel="1" x14ac:dyDescent="0.25">
      <c r="A77" s="6"/>
      <c r="B77" s="6" t="s">
        <v>115</v>
      </c>
      <c r="C77" s="264"/>
      <c r="D77" s="265">
        <f t="shared" ref="D77:G77" si="45">SUMIF($B$6:$B$25,$B77,D$6:D$25)+SUMIF($B$29:$B$34,$B77,D$29:D$34)+SUMIF($B$38:$B$47,$B77,D$38:D$47)+SUMIF($B$51:$B$59,$B77,D$51:D$59)</f>
        <v>1786.34</v>
      </c>
      <c r="E77" s="265" t="e">
        <f t="shared" si="45"/>
        <v>#REF!</v>
      </c>
      <c r="F77" s="265" t="e">
        <f t="shared" si="45"/>
        <v>#REF!</v>
      </c>
      <c r="G77" s="266" t="e">
        <f t="shared" si="45"/>
        <v>#REF!</v>
      </c>
      <c r="H77" s="211">
        <f t="shared" si="25"/>
        <v>0</v>
      </c>
      <c r="I77" s="7" t="e">
        <f t="shared" si="26"/>
        <v>#REF!</v>
      </c>
      <c r="J77" s="7"/>
      <c r="K77" s="264"/>
      <c r="L77" s="265">
        <f t="shared" ref="L77:O77" si="46">SUMIF($B$6:$B$25,$B77,L$6:L$25)+SUMIF($B$29:$B$34,$B77,L$29:L$34)+SUMIF($B$38:$B$47,$B77,L$38:L$47)+SUMIF($B$51:$B$59,$B77,L$51:L$59)</f>
        <v>0</v>
      </c>
      <c r="M77" s="265">
        <f t="shared" si="46"/>
        <v>0</v>
      </c>
      <c r="N77" s="265">
        <f t="shared" si="46"/>
        <v>0</v>
      </c>
      <c r="O77" s="265">
        <f t="shared" si="46"/>
        <v>414.76</v>
      </c>
      <c r="P77" s="266"/>
      <c r="Q77" s="266">
        <f t="shared" si="28"/>
        <v>15000</v>
      </c>
      <c r="R77" s="7"/>
      <c r="S77" s="7"/>
    </row>
    <row r="78" spans="1:24" ht="15.75" hidden="1" customHeight="1" outlineLevel="1" x14ac:dyDescent="0.25">
      <c r="A78" s="6"/>
      <c r="B78" s="6" t="s">
        <v>277</v>
      </c>
      <c r="C78" s="264"/>
      <c r="D78" s="265">
        <f t="shared" ref="D78:G78" si="47">SUMIF($B$6:$B$25,$B78,D$6:D$25)+SUMIF($B$29:$B$34,$B78,D$29:D$34)+SUMIF($B$38:$B$47,$B78,D$38:D$47)+SUMIF($B$51:$B$59,$B78,D$51:D$59)</f>
        <v>0</v>
      </c>
      <c r="E78" s="265" t="e">
        <f t="shared" si="47"/>
        <v>#REF!</v>
      </c>
      <c r="F78" s="265" t="e">
        <f t="shared" si="47"/>
        <v>#REF!</v>
      </c>
      <c r="G78" s="266" t="e">
        <f t="shared" si="47"/>
        <v>#REF!</v>
      </c>
      <c r="H78" s="211">
        <f t="shared" si="25"/>
        <v>0</v>
      </c>
      <c r="I78" s="7" t="e">
        <f t="shared" si="26"/>
        <v>#REF!</v>
      </c>
      <c r="J78" s="7"/>
      <c r="K78" s="264"/>
      <c r="L78" s="265">
        <f t="shared" ref="L78:O78" si="48">SUMIF($B$6:$B$25,$B78,L$6:L$25)+SUMIF($B$29:$B$34,$B78,L$29:L$34)+SUMIF($B$38:$B$47,$B78,L$38:L$47)+SUMIF($B$51:$B$59,$B78,L$51:L$59)</f>
        <v>4909</v>
      </c>
      <c r="M78" s="265">
        <f t="shared" si="48"/>
        <v>0</v>
      </c>
      <c r="N78" s="265">
        <f t="shared" si="48"/>
        <v>0</v>
      </c>
      <c r="O78" s="265">
        <f t="shared" si="48"/>
        <v>0</v>
      </c>
      <c r="P78" s="266"/>
      <c r="Q78" s="266">
        <f t="shared" si="28"/>
        <v>0</v>
      </c>
      <c r="R78" s="7"/>
      <c r="S78" s="7"/>
    </row>
    <row r="79" spans="1:24" ht="15.75" hidden="1" customHeight="1" outlineLevel="1" x14ac:dyDescent="0.25">
      <c r="A79" s="6"/>
      <c r="B79" s="6" t="s">
        <v>84</v>
      </c>
      <c r="C79" s="264"/>
      <c r="D79" s="265">
        <f t="shared" ref="D79:G79" si="49">SUMIF($B$6:$B$25,$B79,D$6:D$25)+SUMIF($B$29:$B$34,$B79,D$29:D$34)+SUMIF($B$38:$B$47,$B79,D$38:D$47)+SUMIF($B$51:$B$59,$B79,D$51:D$59)</f>
        <v>5355.62</v>
      </c>
      <c r="E79" s="265" t="e">
        <f t="shared" si="49"/>
        <v>#REF!</v>
      </c>
      <c r="F79" s="265" t="e">
        <f t="shared" si="49"/>
        <v>#REF!</v>
      </c>
      <c r="G79" s="266" t="e">
        <f t="shared" si="49"/>
        <v>#REF!</v>
      </c>
      <c r="H79" s="211">
        <f t="shared" si="25"/>
        <v>0</v>
      </c>
      <c r="I79" s="7" t="e">
        <f t="shared" si="26"/>
        <v>#REF!</v>
      </c>
      <c r="J79" s="7"/>
      <c r="K79" s="264"/>
      <c r="L79" s="265">
        <f t="shared" ref="L79:O79" si="50">SUMIF($B$6:$B$25,$B79,L$6:L$25)+SUMIF($B$29:$B$34,$B79,L$29:L$34)+SUMIF($B$38:$B$47,$B79,L$38:L$47)+SUMIF($B$51:$B$59,$B79,L$51:L$59)</f>
        <v>7342</v>
      </c>
      <c r="M79" s="265">
        <f t="shared" si="50"/>
        <v>7311.71</v>
      </c>
      <c r="N79" s="265">
        <f t="shared" si="50"/>
        <v>7700</v>
      </c>
      <c r="O79" s="265">
        <f t="shared" si="50"/>
        <v>4655.71</v>
      </c>
      <c r="P79" s="266"/>
      <c r="Q79" s="266">
        <f t="shared" si="28"/>
        <v>7940</v>
      </c>
      <c r="R79" s="7"/>
      <c r="S79" s="7"/>
    </row>
    <row r="80" spans="1:24" ht="15.75" hidden="1" customHeight="1" outlineLevel="1" x14ac:dyDescent="0.25">
      <c r="A80" s="6"/>
      <c r="B80" s="6" t="s">
        <v>210</v>
      </c>
      <c r="C80" s="264"/>
      <c r="D80" s="265">
        <f t="shared" ref="D80:G80" si="51">SUMIF($B$6:$B$25,$B80,D$6:D$25)+SUMIF($B$29:$B$34,$B80,D$29:D$34)+SUMIF($B$38:$B$47,$B80,D$38:D$47)+SUMIF($B$51:$B$59,$B80,D$51:D$59)</f>
        <v>0</v>
      </c>
      <c r="E80" s="265" t="e">
        <f t="shared" si="51"/>
        <v>#REF!</v>
      </c>
      <c r="F80" s="265" t="e">
        <f t="shared" si="51"/>
        <v>#REF!</v>
      </c>
      <c r="G80" s="266" t="e">
        <f t="shared" si="51"/>
        <v>#REF!</v>
      </c>
      <c r="H80" s="211">
        <f t="shared" si="25"/>
        <v>0</v>
      </c>
      <c r="I80" s="7" t="e">
        <f t="shared" si="26"/>
        <v>#REF!</v>
      </c>
      <c r="J80" s="7"/>
      <c r="K80" s="264"/>
      <c r="L80" s="265">
        <f t="shared" ref="L80:O80" si="52">SUMIF($B$6:$B$25,$B80,L$6:L$25)+SUMIF($B$29:$B$34,$B80,L$29:L$34)+SUMIF($B$38:$B$47,$B80,L$38:L$47)+SUMIF($B$51:$B$59,$B80,L$51:L$59)</f>
        <v>0</v>
      </c>
      <c r="M80" s="265">
        <f t="shared" si="52"/>
        <v>2236.81</v>
      </c>
      <c r="N80" s="265">
        <f t="shared" si="52"/>
        <v>6000</v>
      </c>
      <c r="O80" s="265">
        <f t="shared" si="52"/>
        <v>1269.99</v>
      </c>
      <c r="P80" s="266"/>
      <c r="Q80" s="266">
        <f t="shared" si="28"/>
        <v>4000</v>
      </c>
      <c r="R80" s="7"/>
      <c r="S80" s="7"/>
    </row>
    <row r="81" spans="1:32" ht="15.75" hidden="1" customHeight="1" outlineLevel="1" x14ac:dyDescent="0.25">
      <c r="A81" s="6"/>
      <c r="B81" s="6" t="s">
        <v>86</v>
      </c>
      <c r="C81" s="264"/>
      <c r="D81" s="265">
        <f t="shared" ref="D81:G81" si="53">SUMIF($B$6:$B$25,$B81,D$6:D$25)+SUMIF($B$29:$B$34,$B81,D$29:D$34)+SUMIF($B$38:$B$47,$B81,D$38:D$47)+SUMIF($B$51:$B$59,$B81,D$51:D$59)</f>
        <v>0</v>
      </c>
      <c r="E81" s="265" t="e">
        <f t="shared" si="53"/>
        <v>#REF!</v>
      </c>
      <c r="F81" s="265" t="e">
        <f t="shared" si="53"/>
        <v>#REF!</v>
      </c>
      <c r="G81" s="266" t="e">
        <f t="shared" si="53"/>
        <v>#REF!</v>
      </c>
      <c r="H81" s="211">
        <f t="shared" si="25"/>
        <v>0</v>
      </c>
      <c r="I81" s="7" t="e">
        <f t="shared" si="26"/>
        <v>#REF!</v>
      </c>
      <c r="J81" s="7"/>
      <c r="K81" s="264"/>
      <c r="L81" s="265">
        <f t="shared" ref="L81:O81" si="54">SUMIF($B$6:$B$25,$B81,L$6:L$25)+SUMIF($B$29:$B$34,$B81,L$29:L$34)+SUMIF($B$38:$B$47,$B81,L$38:L$47)+SUMIF($B$51:$B$59,$B81,L$51:L$59)</f>
        <v>442</v>
      </c>
      <c r="M81" s="265">
        <f t="shared" si="54"/>
        <v>0</v>
      </c>
      <c r="N81" s="265">
        <f t="shared" si="54"/>
        <v>0</v>
      </c>
      <c r="O81" s="265">
        <f t="shared" si="54"/>
        <v>0</v>
      </c>
      <c r="P81" s="266"/>
      <c r="Q81" s="266">
        <f t="shared" si="28"/>
        <v>0</v>
      </c>
      <c r="R81" s="7"/>
      <c r="S81" s="7"/>
    </row>
    <row r="82" spans="1:32" ht="15.75" hidden="1" customHeight="1" outlineLevel="1" x14ac:dyDescent="0.25">
      <c r="A82" s="6"/>
      <c r="B82" s="6" t="s">
        <v>90</v>
      </c>
      <c r="C82" s="264"/>
      <c r="D82" s="265">
        <f t="shared" ref="D82:G82" si="55">SUMIF($B$6:$B$25,$B82,D$6:D$25)+SUMIF($B$29:$B$34,$B82,D$29:D$34)+SUMIF($B$38:$B$47,$B82,D$38:D$47)+SUMIF($B$51:$B$59,$B82,D$51:D$59)</f>
        <v>0</v>
      </c>
      <c r="E82" s="265" t="e">
        <f t="shared" si="55"/>
        <v>#REF!</v>
      </c>
      <c r="F82" s="265" t="e">
        <f t="shared" si="55"/>
        <v>#REF!</v>
      </c>
      <c r="G82" s="266" t="e">
        <f t="shared" si="55"/>
        <v>#REF!</v>
      </c>
      <c r="H82" s="211">
        <f t="shared" si="25"/>
        <v>0</v>
      </c>
      <c r="I82" s="7" t="e">
        <f t="shared" si="26"/>
        <v>#REF!</v>
      </c>
      <c r="J82" s="7"/>
      <c r="K82" s="264"/>
      <c r="L82" s="265">
        <f t="shared" ref="L82:O82" si="56">SUMIF($B$6:$B$25,$B82,L$6:L$25)+SUMIF($B$29:$B$34,$B82,L$29:L$34)+SUMIF($B$38:$B$47,$B82,L$38:L$47)+SUMIF($B$51:$B$59,$B82,L$51:L$59)</f>
        <v>1311</v>
      </c>
      <c r="M82" s="265">
        <f t="shared" si="56"/>
        <v>2599.5</v>
      </c>
      <c r="N82" s="265">
        <f t="shared" si="56"/>
        <v>4500</v>
      </c>
      <c r="O82" s="265">
        <f t="shared" si="56"/>
        <v>4430.47</v>
      </c>
      <c r="P82" s="266"/>
      <c r="Q82" s="266">
        <f t="shared" si="28"/>
        <v>5000</v>
      </c>
      <c r="R82" s="7"/>
      <c r="S82" s="7"/>
    </row>
    <row r="83" spans="1:32" ht="15.75" hidden="1" customHeight="1" outlineLevel="1" x14ac:dyDescent="0.25">
      <c r="A83" s="6"/>
      <c r="B83" s="6" t="s">
        <v>462</v>
      </c>
      <c r="C83" s="264"/>
      <c r="D83" s="265">
        <f t="shared" ref="D83:G83" si="57">SUMIF($B$6:$B$25,$B83,D$6:D$25)+SUMIF($B$29:$B$34,$B83,D$29:D$34)+SUMIF($B$38:$B$47,$B83,D$38:D$47)+SUMIF($B$51:$B$59,$B83,D$51:D$59)</f>
        <v>9866</v>
      </c>
      <c r="E83" s="265" t="e">
        <f t="shared" si="57"/>
        <v>#REF!</v>
      </c>
      <c r="F83" s="265" t="e">
        <f t="shared" si="57"/>
        <v>#REF!</v>
      </c>
      <c r="G83" s="266" t="e">
        <f t="shared" si="57"/>
        <v>#REF!</v>
      </c>
      <c r="H83" s="211">
        <f t="shared" si="25"/>
        <v>0</v>
      </c>
      <c r="I83" s="7" t="e">
        <f t="shared" si="26"/>
        <v>#REF!</v>
      </c>
      <c r="J83" s="7"/>
      <c r="K83" s="264"/>
      <c r="L83" s="265">
        <f t="shared" ref="L83:O83" si="58">SUMIF($B$6:$B$25,$B83,L$6:L$25)+SUMIF($B$29:$B$34,$B83,L$29:L$34)+SUMIF($B$38:$B$47,$B83,L$38:L$47)+SUMIF($B$51:$B$59,$B83,L$51:L$59)</f>
        <v>4040</v>
      </c>
      <c r="M83" s="265">
        <f t="shared" si="58"/>
        <v>12419.56</v>
      </c>
      <c r="N83" s="265">
        <f t="shared" si="58"/>
        <v>3000</v>
      </c>
      <c r="O83" s="265">
        <f t="shared" si="58"/>
        <v>953.9</v>
      </c>
      <c r="P83" s="266"/>
      <c r="Q83" s="266">
        <f t="shared" si="28"/>
        <v>3000</v>
      </c>
      <c r="R83" s="7"/>
      <c r="S83" s="7"/>
    </row>
    <row r="84" spans="1:32" ht="15.75" hidden="1" customHeight="1" outlineLevel="1" x14ac:dyDescent="0.25">
      <c r="A84" s="6"/>
      <c r="B84" s="6" t="s">
        <v>464</v>
      </c>
      <c r="C84" s="264"/>
      <c r="D84" s="265">
        <f t="shared" ref="D84:G84" si="59">SUMIF($B$6:$B$25,$B84,D$6:D$25)+SUMIF($B$29:$B$34,$B84,D$29:D$34)+SUMIF($B$38:$B$47,$B84,D$38:D$47)+SUMIF($B$51:$B$59,$B84,D$51:D$59)</f>
        <v>0</v>
      </c>
      <c r="E84" s="265" t="e">
        <f t="shared" si="59"/>
        <v>#REF!</v>
      </c>
      <c r="F84" s="265" t="e">
        <f t="shared" si="59"/>
        <v>#REF!</v>
      </c>
      <c r="G84" s="266" t="e">
        <f t="shared" si="59"/>
        <v>#REF!</v>
      </c>
      <c r="H84" s="211">
        <f t="shared" si="25"/>
        <v>0</v>
      </c>
      <c r="I84" s="7" t="e">
        <f t="shared" si="26"/>
        <v>#REF!</v>
      </c>
      <c r="J84" s="7"/>
      <c r="K84" s="264"/>
      <c r="L84" s="265">
        <f t="shared" ref="L84:O84" si="60">SUMIF($B$6:$B$25,$B84,L$6:L$25)+SUMIF($B$29:$B$34,$B84,L$29:L$34)+SUMIF($B$38:$B$47,$B84,L$38:L$47)+SUMIF($B$51:$B$59,$B84,L$51:L$59)</f>
        <v>216751</v>
      </c>
      <c r="M84" s="265">
        <f t="shared" si="60"/>
        <v>345.57</v>
      </c>
      <c r="N84" s="265">
        <f t="shared" si="60"/>
        <v>0</v>
      </c>
      <c r="O84" s="265">
        <f t="shared" si="60"/>
        <v>0</v>
      </c>
      <c r="P84" s="266"/>
      <c r="Q84" s="266">
        <f t="shared" si="28"/>
        <v>0</v>
      </c>
      <c r="R84" s="7"/>
      <c r="S84" s="7"/>
    </row>
    <row r="85" spans="1:32" ht="15.75" hidden="1" customHeight="1" outlineLevel="1" x14ac:dyDescent="0.25">
      <c r="A85" s="6"/>
      <c r="B85" s="6" t="s">
        <v>466</v>
      </c>
      <c r="C85" s="264"/>
      <c r="D85" s="265">
        <f t="shared" ref="D85:G85" si="61">SUMIF($B$6:$B$25,$B85,D$6:D$25)+SUMIF($B$29:$B$34,$B85,D$29:D$34)+SUMIF($B$38:$B$47,$B85,D$38:D$47)+SUMIF($B$51:$B$59,$B85,D$51:D$59)</f>
        <v>0</v>
      </c>
      <c r="E85" s="265" t="e">
        <f t="shared" si="61"/>
        <v>#REF!</v>
      </c>
      <c r="F85" s="265" t="e">
        <f t="shared" si="61"/>
        <v>#REF!</v>
      </c>
      <c r="G85" s="266" t="e">
        <f t="shared" si="61"/>
        <v>#REF!</v>
      </c>
      <c r="H85" s="211"/>
      <c r="I85" s="7"/>
      <c r="J85" s="7"/>
      <c r="K85" s="264"/>
      <c r="L85" s="265">
        <f t="shared" ref="L85:O85" si="62">SUMIF($B$6:$B$25,$B85,L$6:L$25)+SUMIF($B$29:$B$34,$B85,L$29:L$34)+SUMIF($B$38:$B$47,$B85,L$38:L$47)+SUMIF($B$51:$B$59,$B85,L$51:L$59)</f>
        <v>607152</v>
      </c>
      <c r="M85" s="265">
        <f t="shared" si="62"/>
        <v>517653.06</v>
      </c>
      <c r="N85" s="265">
        <f t="shared" si="62"/>
        <v>0</v>
      </c>
      <c r="O85" s="265">
        <f t="shared" si="62"/>
        <v>-2560</v>
      </c>
      <c r="P85" s="266"/>
      <c r="Q85" s="266">
        <f t="shared" si="28"/>
        <v>0</v>
      </c>
      <c r="R85" s="7"/>
      <c r="S85" s="7"/>
    </row>
    <row r="86" spans="1:32" ht="15.75" hidden="1" customHeight="1" outlineLevel="1" x14ac:dyDescent="0.25">
      <c r="A86" s="6"/>
      <c r="B86" s="6" t="s">
        <v>468</v>
      </c>
      <c r="C86" s="264"/>
      <c r="D86" s="265">
        <f t="shared" ref="D86:G86" si="63">SUMIF($B$6:$B$25,$B86,D$6:D$25)+SUMIF($B$29:$B$34,$B86,D$29:D$34)+SUMIF($B$38:$B$47,$B86,D$38:D$47)+SUMIF($B$51:$B$59,$B86,D$51:D$59)</f>
        <v>0</v>
      </c>
      <c r="E86" s="265" t="e">
        <f t="shared" si="63"/>
        <v>#REF!</v>
      </c>
      <c r="F86" s="265" t="e">
        <f t="shared" si="63"/>
        <v>#REF!</v>
      </c>
      <c r="G86" s="266" t="e">
        <f t="shared" si="63"/>
        <v>#REF!</v>
      </c>
      <c r="H86" s="211"/>
      <c r="I86" s="7"/>
      <c r="J86" s="7"/>
      <c r="K86" s="264"/>
      <c r="L86" s="265">
        <f t="shared" ref="L86:O86" si="64">SUMIF($B$6:$B$25,$B86,L$6:L$25)+SUMIF($B$29:$B$34,$B86,L$29:L$34)+SUMIF($B$38:$B$47,$B86,L$38:L$47)+SUMIF($B$51:$B$59,$B86,L$51:L$59)</f>
        <v>72</v>
      </c>
      <c r="M86" s="265">
        <f t="shared" si="64"/>
        <v>1481.98</v>
      </c>
      <c r="N86" s="265">
        <f t="shared" si="64"/>
        <v>1000</v>
      </c>
      <c r="O86" s="265">
        <f t="shared" si="64"/>
        <v>0</v>
      </c>
      <c r="P86" s="266"/>
      <c r="Q86" s="266">
        <f t="shared" si="28"/>
        <v>500</v>
      </c>
      <c r="R86" s="7"/>
      <c r="S86" s="7"/>
    </row>
    <row r="87" spans="1:32" ht="15.75" hidden="1" customHeight="1" outlineLevel="1" x14ac:dyDescent="0.25">
      <c r="A87" s="6"/>
      <c r="B87" s="6" t="s">
        <v>92</v>
      </c>
      <c r="C87" s="264"/>
      <c r="D87" s="265">
        <f t="shared" ref="D87:G87" si="65">SUMIF($B$6:$B$25,$B87,D$6:D$25)+SUMIF($B$29:$B$34,$B87,D$29:D$34)+SUMIF($B$38:$B$47,$B87,D$38:D$47)+SUMIF($B$51:$B$59,$B87,D$51:D$59)</f>
        <v>0</v>
      </c>
      <c r="E87" s="265" t="e">
        <f t="shared" si="65"/>
        <v>#REF!</v>
      </c>
      <c r="F87" s="265" t="e">
        <f t="shared" si="65"/>
        <v>#REF!</v>
      </c>
      <c r="G87" s="266" t="e">
        <f t="shared" si="65"/>
        <v>#REF!</v>
      </c>
      <c r="H87" s="211">
        <f>IFERROR(((Q87-G87)/G87),0)</f>
        <v>0</v>
      </c>
      <c r="I87" s="7" t="e">
        <f>Q87-G87</f>
        <v>#REF!</v>
      </c>
      <c r="J87" s="7"/>
      <c r="K87" s="264"/>
      <c r="L87" s="265">
        <f t="shared" ref="L87:O87" si="66">SUMIF($B$6:$B$25,$B87,L$6:L$25)+SUMIF($B$29:$B$34,$B87,L$29:L$34)+SUMIF($B$38:$B$47,$B87,L$38:L$47)+SUMIF($B$51:$B$59,$B87,L$51:L$59)</f>
        <v>5831</v>
      </c>
      <c r="M87" s="265">
        <f t="shared" si="66"/>
        <v>5388.26</v>
      </c>
      <c r="N87" s="265">
        <f t="shared" si="66"/>
        <v>6000</v>
      </c>
      <c r="O87" s="265">
        <f t="shared" si="66"/>
        <v>4510.47</v>
      </c>
      <c r="P87" s="266"/>
      <c r="Q87" s="266">
        <f t="shared" si="28"/>
        <v>6180</v>
      </c>
      <c r="R87" s="7"/>
      <c r="S87" s="7"/>
    </row>
    <row r="88" spans="1:32" ht="15.75" hidden="1" customHeight="1" outlineLevel="1" x14ac:dyDescent="0.25">
      <c r="A88" s="6"/>
      <c r="B88" s="6" t="s">
        <v>502</v>
      </c>
      <c r="C88" s="264"/>
      <c r="D88" s="265">
        <f t="shared" ref="D88:G88" si="67">SUMIF($B$6:$B$25,$B88,D$6:D$25)+SUMIF($B$29:$B$34,$B88,D$29:D$34)+SUMIF($B$38:$B$47,$B88,D$38:D$47)+SUMIF($B$51:$B$59,$B88,D$51:D$59)</f>
        <v>111.98</v>
      </c>
      <c r="E88" s="265" t="e">
        <f t="shared" si="67"/>
        <v>#REF!</v>
      </c>
      <c r="F88" s="265" t="e">
        <f t="shared" si="67"/>
        <v>#REF!</v>
      </c>
      <c r="G88" s="266" t="e">
        <f t="shared" si="67"/>
        <v>#REF!</v>
      </c>
      <c r="H88" s="211"/>
      <c r="I88" s="7"/>
      <c r="J88" s="7"/>
      <c r="K88" s="264"/>
      <c r="L88" s="265">
        <f t="shared" ref="L88:O88" si="68">SUMIF($B$6:$B$25,$B88,L$6:L$25)+SUMIF($B$29:$B$34,$B88,L$29:L$34)+SUMIF($B$38:$B$47,$B88,L$38:L$47)+SUMIF($B$51:$B$59,$B88,L$51:L$59)</f>
        <v>0</v>
      </c>
      <c r="M88" s="265">
        <f t="shared" si="68"/>
        <v>0</v>
      </c>
      <c r="N88" s="265">
        <f t="shared" si="68"/>
        <v>0</v>
      </c>
      <c r="O88" s="265">
        <f t="shared" si="68"/>
        <v>0</v>
      </c>
      <c r="P88" s="266"/>
      <c r="Q88" s="266">
        <f t="shared" si="28"/>
        <v>0</v>
      </c>
      <c r="R88" s="7"/>
      <c r="S88" s="7"/>
    </row>
    <row r="89" spans="1:32" ht="15.75" hidden="1" customHeight="1" outlineLevel="1" x14ac:dyDescent="0.25">
      <c r="A89" s="6"/>
      <c r="B89" s="6" t="s">
        <v>490</v>
      </c>
      <c r="C89" s="264"/>
      <c r="D89" s="265">
        <f t="shared" ref="D89:G89" si="69">SUMIF($B$6:$B$25,$B89,D$6:D$25)+SUMIF($B$29:$B$34,$B89,D$29:D$34)+SUMIF($B$38:$B$47,$B89,D$38:D$47)+SUMIF($B$51:$B$59,$B89,D$51:D$59)</f>
        <v>3231.81</v>
      </c>
      <c r="E89" s="265" t="e">
        <f t="shared" si="69"/>
        <v>#REF!</v>
      </c>
      <c r="F89" s="265" t="e">
        <f t="shared" si="69"/>
        <v>#REF!</v>
      </c>
      <c r="G89" s="266" t="e">
        <f t="shared" si="69"/>
        <v>#REF!</v>
      </c>
      <c r="H89" s="211"/>
      <c r="I89" s="7"/>
      <c r="J89" s="7"/>
      <c r="K89" s="264"/>
      <c r="L89" s="265">
        <f t="shared" ref="L89:O89" si="70">SUMIF($B$6:$B$25,$B89,L$6:L$25)+SUMIF($B$29:$B$34,$B89,L$29:L$34)+SUMIF($B$38:$B$47,$B89,L$38:L$47)+SUMIF($B$51:$B$59,$B89,L$51:L$59)</f>
        <v>0</v>
      </c>
      <c r="M89" s="265">
        <f t="shared" si="70"/>
        <v>0</v>
      </c>
      <c r="N89" s="265">
        <f t="shared" si="70"/>
        <v>0</v>
      </c>
      <c r="O89" s="265">
        <f t="shared" si="70"/>
        <v>0</v>
      </c>
      <c r="P89" s="266"/>
      <c r="Q89" s="266">
        <f t="shared" si="28"/>
        <v>0</v>
      </c>
      <c r="R89" s="7"/>
      <c r="S89" s="7"/>
    </row>
    <row r="90" spans="1:32" ht="15.75" hidden="1" customHeight="1" outlineLevel="1" x14ac:dyDescent="0.25">
      <c r="A90" s="47" t="s">
        <v>506</v>
      </c>
      <c r="B90" s="48"/>
      <c r="C90" s="49"/>
      <c r="D90" s="12">
        <f t="shared" ref="D90:G90" si="71">SUM(D68:D89)</f>
        <v>508636.89000000007</v>
      </c>
      <c r="E90" s="12" t="e">
        <f t="shared" si="71"/>
        <v>#REF!</v>
      </c>
      <c r="F90" s="12" t="e">
        <f t="shared" si="71"/>
        <v>#REF!</v>
      </c>
      <c r="G90" s="50" t="e">
        <f t="shared" si="71"/>
        <v>#REF!</v>
      </c>
      <c r="H90" s="212">
        <f>IFERROR(((Q90-G90)/G90),0)</f>
        <v>0</v>
      </c>
      <c r="I90" s="12" t="e">
        <f>Q90-G90</f>
        <v>#REF!</v>
      </c>
      <c r="J90" s="12">
        <f>SUM(J68:J87)</f>
        <v>0</v>
      </c>
      <c r="K90" s="49"/>
      <c r="L90" s="12">
        <f t="shared" ref="L90:O90" si="72">SUM(L68:L89)</f>
        <v>1814812</v>
      </c>
      <c r="M90" s="12">
        <f t="shared" si="72"/>
        <v>1412910.43</v>
      </c>
      <c r="N90" s="12">
        <f t="shared" si="72"/>
        <v>787914</v>
      </c>
      <c r="O90" s="12">
        <f t="shared" si="72"/>
        <v>496532.71</v>
      </c>
      <c r="P90" s="50"/>
      <c r="Q90" s="50">
        <f>SUM(Q68:Q89)</f>
        <v>841820</v>
      </c>
      <c r="R90" s="12"/>
      <c r="S90" s="7"/>
    </row>
    <row r="91" spans="1:32" ht="15.75" hidden="1" customHeight="1" outlineLevel="1" x14ac:dyDescent="0.25">
      <c r="A91" s="6"/>
      <c r="B91" s="103"/>
      <c r="C91" s="264"/>
      <c r="D91" s="265"/>
      <c r="E91" s="265"/>
      <c r="F91" s="265"/>
      <c r="G91" s="265"/>
      <c r="H91" s="211"/>
      <c r="I91" s="7"/>
      <c r="J91" s="7"/>
      <c r="K91" s="264"/>
      <c r="L91" s="265"/>
      <c r="M91" s="265"/>
      <c r="N91" s="265"/>
      <c r="O91" s="265"/>
      <c r="P91" s="265"/>
      <c r="Q91" s="265"/>
      <c r="R91" s="7"/>
      <c r="S91" s="7"/>
    </row>
    <row r="92" spans="1:32" ht="15.75" customHeight="1" x14ac:dyDescent="0.2">
      <c r="A92" s="11" t="s">
        <v>184</v>
      </c>
      <c r="B92" s="5"/>
      <c r="C92" s="15"/>
      <c r="D92" s="7"/>
      <c r="E92" s="7"/>
      <c r="F92" s="7"/>
      <c r="G92" s="7"/>
      <c r="H92" s="5"/>
      <c r="I92" s="7"/>
      <c r="J92" s="7"/>
      <c r="K92" s="15"/>
      <c r="L92" s="7"/>
      <c r="M92" s="7"/>
      <c r="N92" s="7"/>
      <c r="O92" s="7"/>
      <c r="P92" s="7"/>
      <c r="Q92" s="7"/>
      <c r="R92" s="7"/>
      <c r="S92" s="7"/>
    </row>
    <row r="93" spans="1:32" ht="15.75" customHeight="1" x14ac:dyDescent="0.25">
      <c r="A93" s="267" t="s">
        <v>507</v>
      </c>
      <c r="B93" s="267" t="s">
        <v>508</v>
      </c>
      <c r="C93" s="31"/>
      <c r="D93" s="201">
        <v>-340075</v>
      </c>
      <c r="E93" s="120" t="e">
        <f>D93*#REF!</f>
        <v>#REF!</v>
      </c>
      <c r="F93" s="120" t="e">
        <f>D93*#REF!</f>
        <v>#REF!</v>
      </c>
      <c r="G93" s="32" t="e">
        <f>(D93*#REF!)*#REF!</f>
        <v>#REF!</v>
      </c>
      <c r="H93" s="223">
        <f t="shared" ref="H93:H96" si="73">IFERROR(((Q93-G93)/G93),0)</f>
        <v>0</v>
      </c>
      <c r="I93" s="201" t="e">
        <f t="shared" ref="I93:I96" si="74">Q93-G93</f>
        <v>#REF!</v>
      </c>
      <c r="J93" s="213"/>
      <c r="K93" s="31"/>
      <c r="L93" s="201">
        <v>-222781</v>
      </c>
      <c r="M93" s="201">
        <v>-213879.13</v>
      </c>
      <c r="N93" s="201">
        <v>-200000</v>
      </c>
      <c r="O93" s="201">
        <v>-91020.53</v>
      </c>
      <c r="P93" s="34">
        <f t="shared" ref="P93:P94" si="75">O93/3*4</f>
        <v>-121360.70666666667</v>
      </c>
      <c r="Q93" s="34">
        <v>-165000</v>
      </c>
      <c r="R93" s="268">
        <v>-165000</v>
      </c>
      <c r="S93" s="36">
        <f t="shared" ref="S93:S95" si="76">R93-Q93</f>
        <v>0</v>
      </c>
      <c r="T93" s="51"/>
      <c r="U93" s="51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</row>
    <row r="94" spans="1:32" ht="15.75" customHeight="1" x14ac:dyDescent="0.25">
      <c r="A94" s="267" t="s">
        <v>509</v>
      </c>
      <c r="B94" s="267" t="s">
        <v>510</v>
      </c>
      <c r="C94" s="31"/>
      <c r="D94" s="201">
        <v>-47710</v>
      </c>
      <c r="E94" s="120" t="e">
        <f>D94*#REF!</f>
        <v>#REF!</v>
      </c>
      <c r="F94" s="120" t="e">
        <f>D94*#REF!</f>
        <v>#REF!</v>
      </c>
      <c r="G94" s="32" t="e">
        <f>(D94*#REF!)*#REF!</f>
        <v>#REF!</v>
      </c>
      <c r="H94" s="223">
        <f t="shared" si="73"/>
        <v>0</v>
      </c>
      <c r="I94" s="201" t="e">
        <f t="shared" si="74"/>
        <v>#REF!</v>
      </c>
      <c r="J94" s="213"/>
      <c r="K94" s="31"/>
      <c r="L94" s="201">
        <v>-49530</v>
      </c>
      <c r="M94" s="201">
        <v>0</v>
      </c>
      <c r="N94" s="201">
        <v>0</v>
      </c>
      <c r="O94" s="201">
        <v>0</v>
      </c>
      <c r="P94" s="34">
        <f t="shared" si="75"/>
        <v>0</v>
      </c>
      <c r="Q94" s="34">
        <v>0</v>
      </c>
      <c r="R94" s="36">
        <v>0</v>
      </c>
      <c r="S94" s="36">
        <f t="shared" si="76"/>
        <v>0</v>
      </c>
      <c r="T94" s="51"/>
      <c r="U94" s="51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</row>
    <row r="95" spans="1:32" ht="15.75" customHeight="1" x14ac:dyDescent="0.25">
      <c r="A95" s="267" t="s">
        <v>511</v>
      </c>
      <c r="B95" s="267" t="s">
        <v>512</v>
      </c>
      <c r="C95" s="31"/>
      <c r="D95" s="201">
        <v>-32645</v>
      </c>
      <c r="E95" s="120" t="e">
        <f>D95*#REF!</f>
        <v>#REF!</v>
      </c>
      <c r="F95" s="120" t="e">
        <f>D95*#REF!</f>
        <v>#REF!</v>
      </c>
      <c r="G95" s="32" t="e">
        <f>(D95*#REF!)*#REF!</f>
        <v>#REF!</v>
      </c>
      <c r="H95" s="223">
        <f t="shared" si="73"/>
        <v>0</v>
      </c>
      <c r="I95" s="201" t="e">
        <f t="shared" si="74"/>
        <v>#REF!</v>
      </c>
      <c r="J95" s="213"/>
      <c r="K95" s="31"/>
      <c r="L95" s="201">
        <v>-75000</v>
      </c>
      <c r="M95" s="201">
        <v>-75000</v>
      </c>
      <c r="N95" s="201">
        <v>-75000</v>
      </c>
      <c r="O95" s="201">
        <f>-40804.92</f>
        <v>-40804.92</v>
      </c>
      <c r="P95" s="38">
        <f>N95</f>
        <v>-75000</v>
      </c>
      <c r="Q95" s="34">
        <v>-75000</v>
      </c>
      <c r="R95" s="36">
        <v>-75000</v>
      </c>
      <c r="S95" s="36">
        <f t="shared" si="76"/>
        <v>0</v>
      </c>
      <c r="T95" s="51"/>
      <c r="U95" s="51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</row>
    <row r="96" spans="1:32" ht="15.75" customHeight="1" x14ac:dyDescent="0.2">
      <c r="A96" s="11" t="s">
        <v>189</v>
      </c>
      <c r="B96" s="11"/>
      <c r="C96" s="49"/>
      <c r="D96" s="12">
        <f>SUM(D93:D95)</f>
        <v>-420430</v>
      </c>
      <c r="E96" s="12" t="e">
        <f t="shared" ref="E96:G96" si="77">SUM(E92:E95)</f>
        <v>#REF!</v>
      </c>
      <c r="F96" s="12" t="e">
        <f t="shared" si="77"/>
        <v>#REF!</v>
      </c>
      <c r="G96" s="178" t="e">
        <f t="shared" si="77"/>
        <v>#REF!</v>
      </c>
      <c r="H96" s="212">
        <f t="shared" si="73"/>
        <v>0</v>
      </c>
      <c r="I96" s="12" t="e">
        <f t="shared" si="74"/>
        <v>#REF!</v>
      </c>
      <c r="J96" s="12">
        <f>SUM(J93:J95)</f>
        <v>0</v>
      </c>
      <c r="K96" s="49"/>
      <c r="L96" s="12">
        <f t="shared" ref="L96:S96" si="78">SUM(L92:L95)</f>
        <v>-347311</v>
      </c>
      <c r="M96" s="12">
        <f t="shared" si="78"/>
        <v>-288879.13</v>
      </c>
      <c r="N96" s="12">
        <f t="shared" si="78"/>
        <v>-275000</v>
      </c>
      <c r="O96" s="12">
        <f t="shared" si="78"/>
        <v>-131825.45000000001</v>
      </c>
      <c r="P96" s="50">
        <f t="shared" si="78"/>
        <v>-196360.70666666667</v>
      </c>
      <c r="Q96" s="50">
        <f t="shared" si="78"/>
        <v>-240000</v>
      </c>
      <c r="R96" s="12">
        <f t="shared" si="78"/>
        <v>-240000</v>
      </c>
      <c r="S96" s="12">
        <f t="shared" si="78"/>
        <v>0</v>
      </c>
    </row>
    <row r="97" spans="1:32" ht="15.75" customHeight="1" x14ac:dyDescent="0.2">
      <c r="A97" s="5"/>
      <c r="B97" s="5"/>
      <c r="C97" s="15"/>
      <c r="D97" s="7"/>
      <c r="E97" s="7"/>
      <c r="F97" s="7"/>
      <c r="G97" s="7"/>
      <c r="H97" s="5"/>
      <c r="I97" s="7"/>
      <c r="J97" s="7"/>
      <c r="K97" s="15"/>
      <c r="L97" s="7"/>
      <c r="M97" s="7"/>
      <c r="N97" s="7"/>
      <c r="O97" s="7"/>
      <c r="P97" s="7"/>
      <c r="Q97" s="7"/>
      <c r="R97" s="7"/>
      <c r="S97" s="7"/>
    </row>
    <row r="98" spans="1:32" ht="15.75" customHeight="1" x14ac:dyDescent="0.2">
      <c r="A98" s="11" t="s">
        <v>190</v>
      </c>
      <c r="B98" s="6"/>
      <c r="C98" s="177"/>
      <c r="D98" s="227">
        <f t="shared" ref="D98:G98" si="79">D90+D96</f>
        <v>88206.890000000072</v>
      </c>
      <c r="E98" s="227" t="e">
        <f t="shared" si="79"/>
        <v>#REF!</v>
      </c>
      <c r="F98" s="227" t="e">
        <f t="shared" si="79"/>
        <v>#REF!</v>
      </c>
      <c r="G98" s="178" t="e">
        <f t="shared" si="79"/>
        <v>#REF!</v>
      </c>
      <c r="H98" s="39">
        <f>IFERROR(((Q98-G98)/G98),0)</f>
        <v>0</v>
      </c>
      <c r="I98" s="123" t="e">
        <f>Q98-G98</f>
        <v>#REF!</v>
      </c>
      <c r="J98" s="123">
        <f>J96+J25</f>
        <v>0</v>
      </c>
      <c r="K98" s="177"/>
      <c r="L98" s="227">
        <f t="shared" ref="L98:S98" si="80">L61+L96</f>
        <v>1467501</v>
      </c>
      <c r="M98" s="227">
        <f t="shared" si="80"/>
        <v>1124031.2999999998</v>
      </c>
      <c r="N98" s="227">
        <f t="shared" si="80"/>
        <v>512914</v>
      </c>
      <c r="O98" s="227">
        <f t="shared" si="80"/>
        <v>364707.26</v>
      </c>
      <c r="P98" s="178">
        <f t="shared" si="80"/>
        <v>452082.58799999987</v>
      </c>
      <c r="Q98" s="178">
        <f t="shared" si="80"/>
        <v>601820</v>
      </c>
      <c r="R98" s="227">
        <f t="shared" si="80"/>
        <v>599820</v>
      </c>
      <c r="S98" s="227">
        <f t="shared" si="80"/>
        <v>-2000</v>
      </c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</row>
    <row r="99" spans="1:32" ht="15.75" customHeight="1" x14ac:dyDescent="0.2">
      <c r="C99" s="60"/>
      <c r="D99" s="54"/>
      <c r="E99" s="54"/>
      <c r="F99" s="54"/>
      <c r="G99" s="54"/>
      <c r="I99" s="54"/>
      <c r="J99" s="54"/>
      <c r="K99" s="60"/>
    </row>
    <row r="100" spans="1:32" ht="15.75" customHeight="1" x14ac:dyDescent="0.2">
      <c r="C100" s="60"/>
      <c r="D100" s="54"/>
      <c r="E100" s="54"/>
      <c r="F100" s="54"/>
      <c r="G100" s="54"/>
      <c r="I100" s="54"/>
      <c r="J100" s="54"/>
      <c r="K100" s="60"/>
    </row>
    <row r="101" spans="1:32" ht="15.75" customHeight="1" x14ac:dyDescent="0.2">
      <c r="C101" s="60"/>
      <c r="D101" s="54"/>
      <c r="E101" s="54"/>
      <c r="F101" s="54"/>
      <c r="G101" s="54"/>
      <c r="I101" s="54"/>
      <c r="J101" s="54"/>
      <c r="K101" s="60"/>
      <c r="L101" s="269" t="s">
        <v>102</v>
      </c>
      <c r="M101" s="114" t="s">
        <v>59</v>
      </c>
      <c r="N101" s="173" t="s">
        <v>60</v>
      </c>
      <c r="O101" s="173" t="s">
        <v>61</v>
      </c>
      <c r="P101" s="173" t="s">
        <v>62</v>
      </c>
      <c r="Q101" s="173" t="s">
        <v>63</v>
      </c>
      <c r="R101" s="173" t="s">
        <v>64</v>
      </c>
      <c r="S101" s="173" t="s">
        <v>65</v>
      </c>
    </row>
    <row r="102" spans="1:32" ht="15.75" customHeight="1" x14ac:dyDescent="0.2">
      <c r="C102" s="60"/>
      <c r="D102" s="54"/>
      <c r="E102" s="54"/>
      <c r="F102" s="54"/>
      <c r="G102" s="54"/>
      <c r="I102" s="54"/>
      <c r="J102" s="54"/>
      <c r="K102" s="60"/>
      <c r="L102" s="6" t="s">
        <v>442</v>
      </c>
      <c r="M102" s="7">
        <v>1467501</v>
      </c>
      <c r="N102" s="7">
        <v>1124031.2999999998</v>
      </c>
      <c r="O102" s="7">
        <v>512914</v>
      </c>
      <c r="P102" s="7">
        <v>364707.26</v>
      </c>
      <c r="Q102" s="7">
        <v>452082.58799999987</v>
      </c>
      <c r="R102" s="7">
        <v>601820</v>
      </c>
      <c r="S102" s="7">
        <v>599820</v>
      </c>
    </row>
    <row r="103" spans="1:32" ht="15.75" customHeight="1" x14ac:dyDescent="0.2">
      <c r="C103" s="60"/>
      <c r="D103" s="54"/>
      <c r="E103" s="54"/>
      <c r="F103" s="54"/>
      <c r="G103" s="54"/>
      <c r="I103" s="54"/>
      <c r="J103" s="54"/>
      <c r="K103" s="60"/>
    </row>
    <row r="104" spans="1:32" ht="15.75" customHeight="1" x14ac:dyDescent="0.2">
      <c r="C104" s="60"/>
      <c r="D104" s="54"/>
      <c r="E104" s="54"/>
      <c r="F104" s="54"/>
      <c r="G104" s="54"/>
      <c r="I104" s="54"/>
      <c r="J104" s="54"/>
      <c r="K104" s="60"/>
    </row>
    <row r="105" spans="1:32" ht="15.75" customHeight="1" x14ac:dyDescent="0.2">
      <c r="C105" s="60"/>
      <c r="D105" s="54"/>
      <c r="E105" s="54"/>
      <c r="F105" s="54"/>
      <c r="G105" s="54"/>
      <c r="I105" s="54"/>
      <c r="J105" s="54"/>
      <c r="K105" s="60"/>
    </row>
    <row r="106" spans="1:32" ht="15.75" customHeight="1" x14ac:dyDescent="0.2">
      <c r="C106" s="60"/>
      <c r="D106" s="54"/>
      <c r="E106" s="54"/>
      <c r="F106" s="54"/>
      <c r="G106" s="54"/>
      <c r="I106" s="54"/>
      <c r="J106" s="54"/>
      <c r="K106" s="60"/>
    </row>
    <row r="107" spans="1:32" ht="15.75" customHeight="1" x14ac:dyDescent="0.2">
      <c r="C107" s="60"/>
      <c r="D107" s="54"/>
      <c r="E107" s="54"/>
      <c r="F107" s="54"/>
      <c r="G107" s="54"/>
      <c r="I107" s="54"/>
      <c r="J107" s="54"/>
      <c r="K107" s="60"/>
    </row>
    <row r="108" spans="1:32" ht="15.75" customHeight="1" x14ac:dyDescent="0.2">
      <c r="C108" s="60"/>
      <c r="D108" s="54"/>
      <c r="E108" s="54"/>
      <c r="F108" s="54"/>
      <c r="G108" s="54"/>
      <c r="I108" s="54"/>
      <c r="J108" s="54"/>
      <c r="K108" s="60"/>
    </row>
    <row r="109" spans="1:32" ht="15.75" customHeight="1" x14ac:dyDescent="0.2">
      <c r="C109" s="60"/>
      <c r="D109" s="54"/>
      <c r="E109" s="54"/>
      <c r="F109" s="54"/>
      <c r="G109" s="54"/>
      <c r="I109" s="54"/>
      <c r="J109" s="54"/>
      <c r="K109" s="60"/>
    </row>
    <row r="110" spans="1:32" ht="15.75" customHeight="1" x14ac:dyDescent="0.2">
      <c r="C110" s="60"/>
      <c r="D110" s="54"/>
      <c r="E110" s="54"/>
      <c r="F110" s="54"/>
      <c r="G110" s="54"/>
      <c r="I110" s="54"/>
      <c r="J110" s="54"/>
      <c r="K110" s="60"/>
    </row>
    <row r="111" spans="1:32" ht="15.75" customHeight="1" x14ac:dyDescent="0.2">
      <c r="C111" s="60"/>
      <c r="D111" s="54"/>
      <c r="E111" s="54"/>
      <c r="F111" s="54"/>
      <c r="G111" s="54"/>
      <c r="I111" s="54"/>
      <c r="J111" s="54"/>
      <c r="K111" s="60"/>
    </row>
    <row r="112" spans="1:32" ht="15.75" customHeight="1" x14ac:dyDescent="0.2">
      <c r="C112" s="60"/>
      <c r="D112" s="54"/>
      <c r="E112" s="54"/>
      <c r="F112" s="54"/>
      <c r="G112" s="54"/>
      <c r="I112" s="54"/>
      <c r="J112" s="54"/>
      <c r="K112" s="60"/>
    </row>
    <row r="113" spans="3:11" ht="15.75" customHeight="1" x14ac:dyDescent="0.2">
      <c r="C113" s="60"/>
      <c r="D113" s="54"/>
      <c r="E113" s="54"/>
      <c r="F113" s="54"/>
      <c r="G113" s="54"/>
      <c r="I113" s="54"/>
      <c r="J113" s="54"/>
      <c r="K113" s="60"/>
    </row>
    <row r="114" spans="3:11" ht="15.75" customHeight="1" x14ac:dyDescent="0.2">
      <c r="C114" s="60"/>
      <c r="D114" s="54"/>
      <c r="E114" s="54"/>
      <c r="F114" s="54"/>
      <c r="G114" s="54"/>
      <c r="I114" s="54"/>
      <c r="J114" s="54"/>
      <c r="K114" s="60"/>
    </row>
    <row r="115" spans="3:11" ht="15.75" customHeight="1" x14ac:dyDescent="0.2">
      <c r="C115" s="60"/>
      <c r="D115" s="54"/>
      <c r="E115" s="54"/>
      <c r="F115" s="54"/>
      <c r="G115" s="54"/>
      <c r="I115" s="54"/>
      <c r="J115" s="54"/>
      <c r="K115" s="60"/>
    </row>
    <row r="116" spans="3:11" ht="15.75" customHeight="1" x14ac:dyDescent="0.2">
      <c r="C116" s="60"/>
      <c r="D116" s="54"/>
      <c r="E116" s="54"/>
      <c r="F116" s="54"/>
      <c r="G116" s="54"/>
      <c r="I116" s="54"/>
      <c r="J116" s="54"/>
      <c r="K116" s="60"/>
    </row>
    <row r="117" spans="3:11" ht="15.75" customHeight="1" x14ac:dyDescent="0.2">
      <c r="C117" s="60"/>
      <c r="D117" s="54"/>
      <c r="E117" s="54"/>
      <c r="F117" s="54"/>
      <c r="G117" s="54"/>
      <c r="I117" s="54"/>
      <c r="J117" s="54"/>
      <c r="K117" s="60"/>
    </row>
    <row r="118" spans="3:11" ht="15.75" customHeight="1" x14ac:dyDescent="0.2">
      <c r="C118" s="60"/>
      <c r="D118" s="54"/>
      <c r="E118" s="54"/>
      <c r="F118" s="54"/>
      <c r="G118" s="54"/>
      <c r="I118" s="54"/>
      <c r="J118" s="54"/>
      <c r="K118" s="60"/>
    </row>
    <row r="119" spans="3:11" ht="15.75" customHeight="1" x14ac:dyDescent="0.2">
      <c r="C119" s="60"/>
      <c r="D119" s="54"/>
      <c r="E119" s="54"/>
      <c r="F119" s="54"/>
      <c r="G119" s="54"/>
      <c r="I119" s="54"/>
      <c r="J119" s="54"/>
      <c r="K119" s="60"/>
    </row>
    <row r="120" spans="3:11" ht="15.75" customHeight="1" x14ac:dyDescent="0.2">
      <c r="C120" s="60"/>
      <c r="D120" s="54"/>
      <c r="E120" s="54"/>
      <c r="F120" s="54"/>
      <c r="G120" s="54"/>
      <c r="I120" s="54"/>
      <c r="J120" s="54"/>
      <c r="K120" s="60"/>
    </row>
    <row r="121" spans="3:11" ht="15.75" customHeight="1" x14ac:dyDescent="0.2">
      <c r="C121" s="60"/>
      <c r="D121" s="54"/>
      <c r="E121" s="54"/>
      <c r="F121" s="54"/>
      <c r="G121" s="54"/>
      <c r="I121" s="54"/>
      <c r="J121" s="54"/>
      <c r="K121" s="60"/>
    </row>
    <row r="122" spans="3:11" ht="15.75" customHeight="1" x14ac:dyDescent="0.2">
      <c r="C122" s="60"/>
      <c r="D122" s="54"/>
      <c r="E122" s="54"/>
      <c r="F122" s="54"/>
      <c r="G122" s="54"/>
      <c r="I122" s="54"/>
      <c r="J122" s="54"/>
      <c r="K122" s="60"/>
    </row>
    <row r="123" spans="3:11" ht="15.75" customHeight="1" x14ac:dyDescent="0.2">
      <c r="C123" s="60"/>
      <c r="D123" s="54"/>
      <c r="E123" s="54"/>
      <c r="F123" s="54"/>
      <c r="G123" s="54"/>
      <c r="I123" s="54"/>
      <c r="J123" s="54"/>
      <c r="K123" s="60"/>
    </row>
    <row r="124" spans="3:11" ht="15.75" customHeight="1" x14ac:dyDescent="0.2">
      <c r="C124" s="60"/>
      <c r="D124" s="54"/>
      <c r="E124" s="54"/>
      <c r="F124" s="54"/>
      <c r="G124" s="54"/>
      <c r="I124" s="54"/>
      <c r="J124" s="54"/>
      <c r="K124" s="60"/>
    </row>
    <row r="125" spans="3:11" ht="15.75" customHeight="1" x14ac:dyDescent="0.2">
      <c r="C125" s="60"/>
      <c r="D125" s="54"/>
      <c r="E125" s="54"/>
      <c r="F125" s="54"/>
      <c r="G125" s="54"/>
      <c r="I125" s="54"/>
      <c r="J125" s="54"/>
      <c r="K125" s="60"/>
    </row>
    <row r="126" spans="3:11" ht="15.75" customHeight="1" x14ac:dyDescent="0.2">
      <c r="C126" s="60"/>
      <c r="D126" s="54"/>
      <c r="E126" s="54"/>
      <c r="F126" s="54"/>
      <c r="G126" s="54"/>
      <c r="I126" s="54"/>
      <c r="J126" s="54"/>
      <c r="K126" s="60"/>
    </row>
    <row r="127" spans="3:11" ht="15.75" customHeight="1" x14ac:dyDescent="0.2">
      <c r="C127" s="60"/>
      <c r="D127" s="54"/>
      <c r="E127" s="54"/>
      <c r="F127" s="54"/>
      <c r="G127" s="54"/>
      <c r="I127" s="54"/>
      <c r="J127" s="54"/>
      <c r="K127" s="60"/>
    </row>
    <row r="128" spans="3:11" ht="15.75" customHeight="1" x14ac:dyDescent="0.2">
      <c r="C128" s="60"/>
      <c r="D128" s="54"/>
      <c r="E128" s="54"/>
      <c r="F128" s="54"/>
      <c r="G128" s="54"/>
      <c r="I128" s="54"/>
      <c r="J128" s="54"/>
      <c r="K128" s="60"/>
    </row>
    <row r="129" spans="3:11" ht="15.75" customHeight="1" x14ac:dyDescent="0.2">
      <c r="C129" s="60"/>
      <c r="D129" s="54"/>
      <c r="E129" s="54"/>
      <c r="F129" s="54"/>
      <c r="G129" s="54"/>
      <c r="I129" s="54"/>
      <c r="J129" s="54"/>
      <c r="K129" s="60"/>
    </row>
    <row r="130" spans="3:11" ht="15.75" customHeight="1" x14ac:dyDescent="0.2">
      <c r="C130" s="60"/>
      <c r="D130" s="54"/>
      <c r="E130" s="54"/>
      <c r="F130" s="54"/>
      <c r="G130" s="54"/>
      <c r="I130" s="54"/>
      <c r="J130" s="54"/>
      <c r="K130" s="60"/>
    </row>
    <row r="131" spans="3:11" ht="15.75" customHeight="1" x14ac:dyDescent="0.2">
      <c r="C131" s="60"/>
      <c r="D131" s="54"/>
      <c r="E131" s="54"/>
      <c r="F131" s="54"/>
      <c r="G131" s="54"/>
      <c r="I131" s="54"/>
      <c r="J131" s="54"/>
      <c r="K131" s="60"/>
    </row>
    <row r="132" spans="3:11" ht="15.75" customHeight="1" x14ac:dyDescent="0.2">
      <c r="C132" s="60"/>
      <c r="D132" s="54"/>
      <c r="E132" s="54"/>
      <c r="F132" s="54"/>
      <c r="G132" s="54"/>
      <c r="I132" s="54"/>
      <c r="J132" s="54"/>
      <c r="K132" s="60"/>
    </row>
    <row r="133" spans="3:11" ht="15.75" customHeight="1" x14ac:dyDescent="0.2">
      <c r="C133" s="60"/>
      <c r="D133" s="54"/>
      <c r="E133" s="54"/>
      <c r="F133" s="54"/>
      <c r="G133" s="54"/>
      <c r="I133" s="54"/>
      <c r="J133" s="54"/>
      <c r="K133" s="60"/>
    </row>
    <row r="134" spans="3:11" ht="15.75" customHeight="1" x14ac:dyDescent="0.2">
      <c r="C134" s="60"/>
      <c r="D134" s="54"/>
      <c r="E134" s="54"/>
      <c r="F134" s="54"/>
      <c r="G134" s="54"/>
      <c r="I134" s="54"/>
      <c r="J134" s="54"/>
      <c r="K134" s="60"/>
    </row>
    <row r="135" spans="3:11" ht="15.75" customHeight="1" x14ac:dyDescent="0.2">
      <c r="C135" s="60"/>
      <c r="D135" s="54"/>
      <c r="E135" s="54"/>
      <c r="F135" s="54"/>
      <c r="G135" s="54"/>
      <c r="I135" s="54"/>
      <c r="J135" s="54"/>
      <c r="K135" s="60"/>
    </row>
    <row r="136" spans="3:11" ht="15.75" customHeight="1" x14ac:dyDescent="0.2">
      <c r="C136" s="60"/>
      <c r="D136" s="54"/>
      <c r="E136" s="54"/>
      <c r="F136" s="54"/>
      <c r="G136" s="54"/>
      <c r="I136" s="54"/>
      <c r="J136" s="54"/>
      <c r="K136" s="60"/>
    </row>
    <row r="137" spans="3:11" ht="15.75" customHeight="1" x14ac:dyDescent="0.2">
      <c r="C137" s="60"/>
      <c r="D137" s="54"/>
      <c r="E137" s="54"/>
      <c r="F137" s="54"/>
      <c r="G137" s="54"/>
      <c r="I137" s="54"/>
      <c r="J137" s="54"/>
      <c r="K137" s="60"/>
    </row>
    <row r="138" spans="3:11" ht="15.75" customHeight="1" x14ac:dyDescent="0.2">
      <c r="C138" s="60"/>
      <c r="D138" s="54"/>
      <c r="E138" s="54"/>
      <c r="F138" s="54"/>
      <c r="G138" s="54"/>
      <c r="I138" s="54"/>
      <c r="J138" s="54"/>
      <c r="K138" s="60"/>
    </row>
    <row r="139" spans="3:11" ht="15.75" customHeight="1" x14ac:dyDescent="0.2">
      <c r="C139" s="60"/>
      <c r="D139" s="54"/>
      <c r="E139" s="54"/>
      <c r="F139" s="54"/>
      <c r="G139" s="54"/>
      <c r="I139" s="54"/>
      <c r="J139" s="54"/>
      <c r="K139" s="60"/>
    </row>
    <row r="140" spans="3:11" ht="15.75" customHeight="1" x14ac:dyDescent="0.2">
      <c r="C140" s="60"/>
      <c r="D140" s="54"/>
      <c r="E140" s="54"/>
      <c r="F140" s="54"/>
      <c r="G140" s="54"/>
      <c r="I140" s="54"/>
      <c r="J140" s="54"/>
      <c r="K140" s="60"/>
    </row>
    <row r="141" spans="3:11" ht="15.75" customHeight="1" x14ac:dyDescent="0.2">
      <c r="C141" s="60"/>
      <c r="D141" s="54"/>
      <c r="E141" s="54"/>
      <c r="F141" s="54"/>
      <c r="G141" s="54"/>
      <c r="I141" s="54"/>
      <c r="J141" s="54"/>
      <c r="K141" s="60"/>
    </row>
    <row r="142" spans="3:11" ht="15.75" customHeight="1" x14ac:dyDescent="0.2">
      <c r="C142" s="60"/>
      <c r="D142" s="54"/>
      <c r="E142" s="54"/>
      <c r="F142" s="54"/>
      <c r="G142" s="54"/>
      <c r="I142" s="54"/>
      <c r="J142" s="54"/>
      <c r="K142" s="60"/>
    </row>
    <row r="143" spans="3:11" ht="15.75" customHeight="1" x14ac:dyDescent="0.2">
      <c r="C143" s="60"/>
      <c r="D143" s="54"/>
      <c r="E143" s="54"/>
      <c r="F143" s="54"/>
      <c r="G143" s="54"/>
      <c r="I143" s="54"/>
      <c r="J143" s="54"/>
      <c r="K143" s="60"/>
    </row>
    <row r="144" spans="3:11" ht="15.75" customHeight="1" x14ac:dyDescent="0.2">
      <c r="C144" s="60"/>
      <c r="D144" s="54"/>
      <c r="E144" s="54"/>
      <c r="F144" s="54"/>
      <c r="G144" s="54"/>
      <c r="I144" s="54"/>
      <c r="J144" s="54"/>
      <c r="K144" s="60"/>
    </row>
    <row r="145" spans="3:11" ht="15.75" customHeight="1" x14ac:dyDescent="0.2">
      <c r="C145" s="60"/>
      <c r="D145" s="54"/>
      <c r="E145" s="54"/>
      <c r="F145" s="54"/>
      <c r="G145" s="54"/>
      <c r="I145" s="54"/>
      <c r="J145" s="54"/>
      <c r="K145" s="60"/>
    </row>
    <row r="146" spans="3:11" ht="15.75" customHeight="1" x14ac:dyDescent="0.2">
      <c r="C146" s="60"/>
      <c r="D146" s="54"/>
      <c r="E146" s="54"/>
      <c r="F146" s="54"/>
      <c r="G146" s="54"/>
      <c r="I146" s="54"/>
      <c r="J146" s="54"/>
      <c r="K146" s="60"/>
    </row>
    <row r="147" spans="3:11" ht="15.75" customHeight="1" x14ac:dyDescent="0.2">
      <c r="C147" s="60"/>
      <c r="D147" s="54"/>
      <c r="E147" s="54"/>
      <c r="F147" s="54"/>
      <c r="G147" s="54"/>
      <c r="I147" s="54"/>
      <c r="J147" s="54"/>
      <c r="K147" s="60"/>
    </row>
    <row r="148" spans="3:11" ht="15.75" customHeight="1" x14ac:dyDescent="0.2">
      <c r="C148" s="60"/>
      <c r="D148" s="54"/>
      <c r="E148" s="54"/>
      <c r="F148" s="54"/>
      <c r="G148" s="54"/>
      <c r="I148" s="54"/>
      <c r="J148" s="54"/>
      <c r="K148" s="60"/>
    </row>
    <row r="149" spans="3:11" ht="15.75" customHeight="1" x14ac:dyDescent="0.2">
      <c r="C149" s="60"/>
      <c r="D149" s="54"/>
      <c r="E149" s="54"/>
      <c r="F149" s="54"/>
      <c r="G149" s="54"/>
      <c r="I149" s="54"/>
      <c r="J149" s="54"/>
      <c r="K149" s="60"/>
    </row>
    <row r="150" spans="3:11" ht="15.75" customHeight="1" x14ac:dyDescent="0.2">
      <c r="C150" s="60"/>
      <c r="D150" s="54"/>
      <c r="E150" s="54"/>
      <c r="F150" s="54"/>
      <c r="G150" s="54"/>
      <c r="I150" s="54"/>
      <c r="J150" s="54"/>
      <c r="K150" s="60"/>
    </row>
    <row r="151" spans="3:11" ht="15.75" customHeight="1" x14ac:dyDescent="0.2">
      <c r="C151" s="60"/>
      <c r="D151" s="54"/>
      <c r="E151" s="54"/>
      <c r="F151" s="54"/>
      <c r="G151" s="54"/>
      <c r="I151" s="54"/>
      <c r="J151" s="54"/>
      <c r="K151" s="60"/>
    </row>
    <row r="152" spans="3:11" ht="15.75" customHeight="1" x14ac:dyDescent="0.2">
      <c r="C152" s="60"/>
      <c r="D152" s="54"/>
      <c r="E152" s="54"/>
      <c r="F152" s="54"/>
      <c r="G152" s="54"/>
      <c r="I152" s="54"/>
      <c r="J152" s="54"/>
      <c r="K152" s="60"/>
    </row>
    <row r="153" spans="3:11" ht="15.75" customHeight="1" x14ac:dyDescent="0.2">
      <c r="C153" s="60"/>
      <c r="D153" s="54"/>
      <c r="E153" s="54"/>
      <c r="F153" s="54"/>
      <c r="G153" s="54"/>
      <c r="I153" s="54"/>
      <c r="J153" s="54"/>
      <c r="K153" s="60"/>
    </row>
    <row r="154" spans="3:11" ht="15.75" customHeight="1" x14ac:dyDescent="0.2">
      <c r="C154" s="60"/>
      <c r="D154" s="54"/>
      <c r="E154" s="54"/>
      <c r="F154" s="54"/>
      <c r="G154" s="54"/>
      <c r="I154" s="54"/>
      <c r="J154" s="54"/>
      <c r="K154" s="60"/>
    </row>
    <row r="155" spans="3:11" ht="15.75" customHeight="1" x14ac:dyDescent="0.2">
      <c r="C155" s="60"/>
      <c r="D155" s="54"/>
      <c r="E155" s="54"/>
      <c r="F155" s="54"/>
      <c r="G155" s="54"/>
      <c r="I155" s="54"/>
      <c r="J155" s="54"/>
      <c r="K155" s="60"/>
    </row>
    <row r="156" spans="3:11" ht="15.75" customHeight="1" x14ac:dyDescent="0.2">
      <c r="C156" s="60"/>
      <c r="D156" s="54"/>
      <c r="E156" s="54"/>
      <c r="F156" s="54"/>
      <c r="G156" s="54"/>
      <c r="I156" s="54"/>
      <c r="J156" s="54"/>
      <c r="K156" s="60"/>
    </row>
    <row r="157" spans="3:11" ht="15.75" customHeight="1" x14ac:dyDescent="0.2">
      <c r="C157" s="60"/>
      <c r="D157" s="54"/>
      <c r="E157" s="54"/>
      <c r="F157" s="54"/>
      <c r="G157" s="54"/>
      <c r="I157" s="54"/>
      <c r="J157" s="54"/>
      <c r="K157" s="60"/>
    </row>
    <row r="158" spans="3:11" ht="15.75" customHeight="1" x14ac:dyDescent="0.2">
      <c r="C158" s="60"/>
      <c r="D158" s="54"/>
      <c r="E158" s="54"/>
      <c r="F158" s="54"/>
      <c r="G158" s="54"/>
      <c r="I158" s="54"/>
      <c r="J158" s="54"/>
      <c r="K158" s="60"/>
    </row>
    <row r="159" spans="3:11" ht="15.75" customHeight="1" x14ac:dyDescent="0.2">
      <c r="C159" s="60"/>
      <c r="D159" s="54"/>
      <c r="E159" s="54"/>
      <c r="F159" s="54"/>
      <c r="G159" s="54"/>
      <c r="I159" s="54"/>
      <c r="J159" s="54"/>
      <c r="K159" s="60"/>
    </row>
    <row r="160" spans="3:11" ht="15.75" customHeight="1" x14ac:dyDescent="0.2">
      <c r="C160" s="60"/>
      <c r="D160" s="54"/>
      <c r="E160" s="54"/>
      <c r="F160" s="54"/>
      <c r="G160" s="54"/>
      <c r="I160" s="54"/>
      <c r="J160" s="54"/>
      <c r="K160" s="60"/>
    </row>
    <row r="161" spans="3:11" ht="15.75" customHeight="1" x14ac:dyDescent="0.2">
      <c r="C161" s="60"/>
      <c r="D161" s="54"/>
      <c r="E161" s="54"/>
      <c r="F161" s="54"/>
      <c r="G161" s="54"/>
      <c r="I161" s="54"/>
      <c r="J161" s="54"/>
      <c r="K161" s="60"/>
    </row>
    <row r="162" spans="3:11" ht="15.75" customHeight="1" x14ac:dyDescent="0.2">
      <c r="C162" s="60"/>
      <c r="D162" s="54"/>
      <c r="E162" s="54"/>
      <c r="F162" s="54"/>
      <c r="G162" s="54"/>
      <c r="I162" s="54"/>
      <c r="J162" s="54"/>
      <c r="K162" s="60"/>
    </row>
    <row r="163" spans="3:11" ht="15.75" customHeight="1" x14ac:dyDescent="0.2">
      <c r="C163" s="60"/>
      <c r="D163" s="54"/>
      <c r="E163" s="54"/>
      <c r="F163" s="54"/>
      <c r="G163" s="54"/>
      <c r="I163" s="54"/>
      <c r="J163" s="54"/>
      <c r="K163" s="60"/>
    </row>
    <row r="164" spans="3:11" ht="15.75" customHeight="1" x14ac:dyDescent="0.2">
      <c r="C164" s="60"/>
      <c r="D164" s="54"/>
      <c r="E164" s="54"/>
      <c r="F164" s="54"/>
      <c r="G164" s="54"/>
      <c r="I164" s="54"/>
      <c r="J164" s="54"/>
      <c r="K164" s="60"/>
    </row>
    <row r="165" spans="3:11" ht="15.75" customHeight="1" x14ac:dyDescent="0.2">
      <c r="C165" s="60"/>
      <c r="D165" s="54"/>
      <c r="E165" s="54"/>
      <c r="F165" s="54"/>
      <c r="G165" s="54"/>
      <c r="I165" s="54"/>
      <c r="J165" s="54"/>
      <c r="K165" s="60"/>
    </row>
    <row r="166" spans="3:11" ht="15.75" customHeight="1" x14ac:dyDescent="0.2">
      <c r="C166" s="60"/>
      <c r="D166" s="54"/>
      <c r="E166" s="54"/>
      <c r="F166" s="54"/>
      <c r="G166" s="54"/>
      <c r="I166" s="54"/>
      <c r="J166" s="54"/>
      <c r="K166" s="60"/>
    </row>
    <row r="167" spans="3:11" ht="15.75" customHeight="1" x14ac:dyDescent="0.2">
      <c r="C167" s="60"/>
      <c r="D167" s="54"/>
      <c r="E167" s="54"/>
      <c r="F167" s="54"/>
      <c r="G167" s="54"/>
      <c r="I167" s="54"/>
      <c r="J167" s="54"/>
      <c r="K167" s="60"/>
    </row>
    <row r="168" spans="3:11" ht="15.75" customHeight="1" x14ac:dyDescent="0.2">
      <c r="C168" s="60"/>
      <c r="D168" s="54"/>
      <c r="E168" s="54"/>
      <c r="F168" s="54"/>
      <c r="G168" s="54"/>
      <c r="I168" s="54"/>
      <c r="J168" s="54"/>
      <c r="K168" s="60"/>
    </row>
    <row r="169" spans="3:11" ht="15.75" customHeight="1" x14ac:dyDescent="0.2">
      <c r="C169" s="60"/>
      <c r="D169" s="54"/>
      <c r="E169" s="54"/>
      <c r="F169" s="54"/>
      <c r="G169" s="54"/>
      <c r="I169" s="54"/>
      <c r="J169" s="54"/>
      <c r="K169" s="60"/>
    </row>
    <row r="170" spans="3:11" ht="15.75" customHeight="1" x14ac:dyDescent="0.2">
      <c r="C170" s="60"/>
      <c r="D170" s="54"/>
      <c r="E170" s="54"/>
      <c r="F170" s="54"/>
      <c r="G170" s="54"/>
      <c r="I170" s="54"/>
      <c r="J170" s="54"/>
      <c r="K170" s="60"/>
    </row>
    <row r="171" spans="3:11" ht="15.75" customHeight="1" x14ac:dyDescent="0.2">
      <c r="C171" s="60"/>
      <c r="D171" s="54"/>
      <c r="E171" s="54"/>
      <c r="F171" s="54"/>
      <c r="G171" s="54"/>
      <c r="I171" s="54"/>
      <c r="J171" s="54"/>
      <c r="K171" s="60"/>
    </row>
    <row r="172" spans="3:11" ht="15.75" customHeight="1" x14ac:dyDescent="0.2">
      <c r="C172" s="60"/>
      <c r="D172" s="54"/>
      <c r="E172" s="54"/>
      <c r="F172" s="54"/>
      <c r="G172" s="54"/>
      <c r="I172" s="54"/>
      <c r="J172" s="54"/>
      <c r="K172" s="60"/>
    </row>
    <row r="173" spans="3:11" ht="15.75" customHeight="1" x14ac:dyDescent="0.2">
      <c r="C173" s="60"/>
      <c r="D173" s="54"/>
      <c r="E173" s="54"/>
      <c r="F173" s="54"/>
      <c r="G173" s="54"/>
      <c r="I173" s="54"/>
      <c r="J173" s="54"/>
      <c r="K173" s="60"/>
    </row>
    <row r="174" spans="3:11" ht="15.75" customHeight="1" x14ac:dyDescent="0.2">
      <c r="C174" s="60"/>
      <c r="D174" s="54"/>
      <c r="E174" s="54"/>
      <c r="F174" s="54"/>
      <c r="G174" s="54"/>
      <c r="I174" s="54"/>
      <c r="J174" s="54"/>
      <c r="K174" s="60"/>
    </row>
    <row r="175" spans="3:11" ht="15.75" customHeight="1" x14ac:dyDescent="0.2">
      <c r="C175" s="60"/>
      <c r="D175" s="54"/>
      <c r="E175" s="54"/>
      <c r="F175" s="54"/>
      <c r="G175" s="54"/>
      <c r="I175" s="54"/>
      <c r="J175" s="54"/>
      <c r="K175" s="60"/>
    </row>
    <row r="176" spans="3:11" ht="15.75" customHeight="1" x14ac:dyDescent="0.2">
      <c r="C176" s="60"/>
      <c r="D176" s="54"/>
      <c r="E176" s="54"/>
      <c r="F176" s="54"/>
      <c r="G176" s="54"/>
      <c r="I176" s="54"/>
      <c r="J176" s="54"/>
      <c r="K176" s="60"/>
    </row>
    <row r="177" spans="3:11" ht="15.75" customHeight="1" x14ac:dyDescent="0.2">
      <c r="C177" s="60"/>
      <c r="D177" s="54"/>
      <c r="E177" s="54"/>
      <c r="F177" s="54"/>
      <c r="G177" s="54"/>
      <c r="I177" s="54"/>
      <c r="J177" s="54"/>
      <c r="K177" s="60"/>
    </row>
    <row r="178" spans="3:11" ht="15.75" customHeight="1" x14ac:dyDescent="0.2">
      <c r="C178" s="60"/>
      <c r="D178" s="54"/>
      <c r="E178" s="54"/>
      <c r="F178" s="54"/>
      <c r="G178" s="54"/>
      <c r="I178" s="54"/>
      <c r="J178" s="54"/>
      <c r="K178" s="60"/>
    </row>
    <row r="179" spans="3:11" ht="15.75" customHeight="1" x14ac:dyDescent="0.2">
      <c r="C179" s="60"/>
      <c r="D179" s="54"/>
      <c r="E179" s="54"/>
      <c r="F179" s="54"/>
      <c r="G179" s="54"/>
      <c r="I179" s="54"/>
      <c r="J179" s="54"/>
      <c r="K179" s="60"/>
    </row>
    <row r="180" spans="3:11" ht="15.75" customHeight="1" x14ac:dyDescent="0.2">
      <c r="C180" s="60"/>
      <c r="D180" s="54"/>
      <c r="E180" s="54"/>
      <c r="F180" s="54"/>
      <c r="G180" s="54"/>
      <c r="I180" s="54"/>
      <c r="J180" s="54"/>
      <c r="K180" s="60"/>
    </row>
    <row r="181" spans="3:11" ht="15.75" customHeight="1" x14ac:dyDescent="0.2">
      <c r="C181" s="60"/>
      <c r="D181" s="54"/>
      <c r="E181" s="54"/>
      <c r="F181" s="54"/>
      <c r="G181" s="54"/>
      <c r="I181" s="54"/>
      <c r="J181" s="54"/>
      <c r="K181" s="60"/>
    </row>
    <row r="182" spans="3:11" ht="15.75" customHeight="1" x14ac:dyDescent="0.2">
      <c r="C182" s="60"/>
      <c r="D182" s="54"/>
      <c r="E182" s="54"/>
      <c r="F182" s="54"/>
      <c r="G182" s="54"/>
      <c r="I182" s="54"/>
      <c r="J182" s="54"/>
      <c r="K182" s="60"/>
    </row>
    <row r="183" spans="3:11" ht="15.75" customHeight="1" x14ac:dyDescent="0.2">
      <c r="C183" s="60"/>
      <c r="D183" s="54"/>
      <c r="E183" s="54"/>
      <c r="F183" s="54"/>
      <c r="G183" s="54"/>
      <c r="I183" s="54"/>
      <c r="J183" s="54"/>
      <c r="K183" s="60"/>
    </row>
    <row r="184" spans="3:11" ht="15.75" customHeight="1" x14ac:dyDescent="0.2">
      <c r="C184" s="60"/>
      <c r="D184" s="54"/>
      <c r="E184" s="54"/>
      <c r="F184" s="54"/>
      <c r="G184" s="54"/>
      <c r="I184" s="54"/>
      <c r="J184" s="54"/>
      <c r="K184" s="60"/>
    </row>
    <row r="185" spans="3:11" ht="15.75" customHeight="1" x14ac:dyDescent="0.2">
      <c r="C185" s="60"/>
      <c r="D185" s="54"/>
      <c r="E185" s="54"/>
      <c r="F185" s="54"/>
      <c r="G185" s="54"/>
      <c r="I185" s="54"/>
      <c r="J185" s="54"/>
      <c r="K185" s="60"/>
    </row>
    <row r="186" spans="3:11" ht="15.75" customHeight="1" x14ac:dyDescent="0.2">
      <c r="C186" s="60"/>
      <c r="D186" s="54"/>
      <c r="E186" s="54"/>
      <c r="F186" s="54"/>
      <c r="G186" s="54"/>
      <c r="I186" s="54"/>
      <c r="J186" s="54"/>
      <c r="K186" s="60"/>
    </row>
    <row r="187" spans="3:11" ht="15.75" customHeight="1" x14ac:dyDescent="0.2">
      <c r="C187" s="60"/>
      <c r="D187" s="54"/>
      <c r="E187" s="54"/>
      <c r="F187" s="54"/>
      <c r="G187" s="54"/>
      <c r="I187" s="54"/>
      <c r="J187" s="54"/>
      <c r="K187" s="60"/>
    </row>
    <row r="188" spans="3:11" ht="15.75" customHeight="1" x14ac:dyDescent="0.2">
      <c r="C188" s="60"/>
      <c r="D188" s="54"/>
      <c r="E188" s="54"/>
      <c r="F188" s="54"/>
      <c r="G188" s="54"/>
      <c r="I188" s="54"/>
      <c r="J188" s="54"/>
      <c r="K188" s="60"/>
    </row>
    <row r="189" spans="3:11" ht="15.75" customHeight="1" x14ac:dyDescent="0.2">
      <c r="C189" s="60"/>
      <c r="D189" s="54"/>
      <c r="E189" s="54"/>
      <c r="F189" s="54"/>
      <c r="G189" s="54"/>
      <c r="I189" s="54"/>
      <c r="J189" s="54"/>
      <c r="K189" s="60"/>
    </row>
    <row r="190" spans="3:11" ht="15.75" customHeight="1" x14ac:dyDescent="0.2">
      <c r="C190" s="60"/>
      <c r="D190" s="54"/>
      <c r="E190" s="54"/>
      <c r="F190" s="54"/>
      <c r="G190" s="54"/>
      <c r="I190" s="54"/>
      <c r="J190" s="54"/>
      <c r="K190" s="60"/>
    </row>
    <row r="191" spans="3:11" ht="15.75" customHeight="1" x14ac:dyDescent="0.2">
      <c r="C191" s="60"/>
      <c r="D191" s="54"/>
      <c r="E191" s="54"/>
      <c r="F191" s="54"/>
      <c r="G191" s="54"/>
      <c r="I191" s="54"/>
      <c r="J191" s="54"/>
      <c r="K191" s="60"/>
    </row>
    <row r="192" spans="3:11" ht="15.75" customHeight="1" x14ac:dyDescent="0.2">
      <c r="C192" s="60"/>
      <c r="D192" s="54"/>
      <c r="E192" s="54"/>
      <c r="F192" s="54"/>
      <c r="G192" s="54"/>
      <c r="I192" s="54"/>
      <c r="J192" s="54"/>
      <c r="K192" s="60"/>
    </row>
    <row r="193" spans="3:11" ht="15.75" customHeight="1" x14ac:dyDescent="0.2">
      <c r="C193" s="60"/>
      <c r="D193" s="54"/>
      <c r="E193" s="54"/>
      <c r="F193" s="54"/>
      <c r="G193" s="54"/>
      <c r="I193" s="54"/>
      <c r="J193" s="54"/>
      <c r="K193" s="60"/>
    </row>
    <row r="194" spans="3:11" ht="15.75" customHeight="1" x14ac:dyDescent="0.2">
      <c r="C194" s="60"/>
      <c r="D194" s="54"/>
      <c r="E194" s="54"/>
      <c r="F194" s="54"/>
      <c r="G194" s="54"/>
      <c r="I194" s="54"/>
      <c r="J194" s="54"/>
      <c r="K194" s="60"/>
    </row>
    <row r="195" spans="3:11" ht="15.75" customHeight="1" x14ac:dyDescent="0.2">
      <c r="C195" s="60"/>
      <c r="D195" s="54"/>
      <c r="E195" s="54"/>
      <c r="F195" s="54"/>
      <c r="G195" s="54"/>
      <c r="I195" s="54"/>
      <c r="J195" s="54"/>
      <c r="K195" s="60"/>
    </row>
    <row r="196" spans="3:11" ht="15.75" customHeight="1" x14ac:dyDescent="0.2">
      <c r="C196" s="60"/>
      <c r="D196" s="54"/>
      <c r="E196" s="54"/>
      <c r="F196" s="54"/>
      <c r="G196" s="54"/>
      <c r="I196" s="54"/>
      <c r="J196" s="54"/>
      <c r="K196" s="60"/>
    </row>
    <row r="197" spans="3:11" ht="15.75" customHeight="1" x14ac:dyDescent="0.2">
      <c r="C197" s="60"/>
      <c r="D197" s="54"/>
      <c r="E197" s="54"/>
      <c r="F197" s="54"/>
      <c r="G197" s="54"/>
      <c r="I197" s="54"/>
      <c r="J197" s="54"/>
      <c r="K197" s="60"/>
    </row>
    <row r="198" spans="3:11" ht="15.75" customHeight="1" x14ac:dyDescent="0.2">
      <c r="C198" s="60"/>
      <c r="D198" s="54"/>
      <c r="E198" s="54"/>
      <c r="F198" s="54"/>
      <c r="G198" s="54"/>
      <c r="I198" s="54"/>
      <c r="J198" s="54"/>
      <c r="K198" s="60"/>
    </row>
    <row r="199" spans="3:11" ht="15.75" customHeight="1" x14ac:dyDescent="0.2">
      <c r="C199" s="60"/>
      <c r="D199" s="54"/>
      <c r="E199" s="54"/>
      <c r="F199" s="54"/>
      <c r="G199" s="54"/>
      <c r="I199" s="54"/>
      <c r="J199" s="54"/>
      <c r="K199" s="60"/>
    </row>
    <row r="200" spans="3:11" ht="15.75" customHeight="1" x14ac:dyDescent="0.2">
      <c r="C200" s="60"/>
      <c r="D200" s="54"/>
      <c r="E200" s="54"/>
      <c r="F200" s="54"/>
      <c r="G200" s="54"/>
      <c r="I200" s="54"/>
      <c r="J200" s="54"/>
      <c r="K200" s="60"/>
    </row>
    <row r="201" spans="3:11" ht="15.75" customHeight="1" x14ac:dyDescent="0.2">
      <c r="C201" s="60"/>
      <c r="D201" s="54"/>
      <c r="E201" s="54"/>
      <c r="F201" s="54"/>
      <c r="G201" s="54"/>
      <c r="I201" s="54"/>
      <c r="J201" s="54"/>
      <c r="K201" s="60"/>
    </row>
    <row r="202" spans="3:11" ht="15.75" customHeight="1" x14ac:dyDescent="0.2">
      <c r="C202" s="60"/>
      <c r="D202" s="54"/>
      <c r="E202" s="54"/>
      <c r="F202" s="54"/>
      <c r="G202" s="54"/>
      <c r="I202" s="54"/>
      <c r="J202" s="54"/>
      <c r="K202" s="60"/>
    </row>
    <row r="203" spans="3:11" ht="15.75" customHeight="1" x14ac:dyDescent="0.2">
      <c r="C203" s="60"/>
      <c r="D203" s="54"/>
      <c r="E203" s="54"/>
      <c r="F203" s="54"/>
      <c r="G203" s="54"/>
      <c r="I203" s="54"/>
      <c r="J203" s="54"/>
      <c r="K203" s="60"/>
    </row>
    <row r="204" spans="3:11" ht="15.75" customHeight="1" x14ac:dyDescent="0.2">
      <c r="C204" s="60"/>
      <c r="D204" s="54"/>
      <c r="E204" s="54"/>
      <c r="F204" s="54"/>
      <c r="G204" s="54"/>
      <c r="I204" s="54"/>
      <c r="J204" s="54"/>
      <c r="K204" s="60"/>
    </row>
    <row r="205" spans="3:11" ht="15.75" customHeight="1" x14ac:dyDescent="0.2">
      <c r="C205" s="60"/>
      <c r="D205" s="54"/>
      <c r="E205" s="54"/>
      <c r="F205" s="54"/>
      <c r="G205" s="54"/>
      <c r="I205" s="54"/>
      <c r="J205" s="54"/>
      <c r="K205" s="60"/>
    </row>
    <row r="206" spans="3:11" ht="15.75" customHeight="1" x14ac:dyDescent="0.2">
      <c r="C206" s="60"/>
      <c r="D206" s="54"/>
      <c r="E206" s="54"/>
      <c r="F206" s="54"/>
      <c r="G206" s="54"/>
      <c r="I206" s="54"/>
      <c r="J206" s="54"/>
      <c r="K206" s="60"/>
    </row>
    <row r="207" spans="3:11" ht="15.75" customHeight="1" x14ac:dyDescent="0.2">
      <c r="C207" s="60"/>
      <c r="D207" s="54"/>
      <c r="E207" s="54"/>
      <c r="F207" s="54"/>
      <c r="G207" s="54"/>
      <c r="I207" s="54"/>
      <c r="J207" s="54"/>
      <c r="K207" s="60"/>
    </row>
    <row r="208" spans="3:11" ht="15.75" customHeight="1" x14ac:dyDescent="0.2">
      <c r="C208" s="60"/>
      <c r="D208" s="54"/>
      <c r="E208" s="54"/>
      <c r="F208" s="54"/>
      <c r="G208" s="54"/>
      <c r="I208" s="54"/>
      <c r="J208" s="54"/>
      <c r="K208" s="60"/>
    </row>
    <row r="209" spans="3:11" ht="15.75" customHeight="1" x14ac:dyDescent="0.2">
      <c r="C209" s="60"/>
      <c r="D209" s="54"/>
      <c r="E209" s="54"/>
      <c r="F209" s="54"/>
      <c r="G209" s="54"/>
      <c r="I209" s="54"/>
      <c r="J209" s="54"/>
      <c r="K209" s="60"/>
    </row>
    <row r="210" spans="3:11" ht="15.75" customHeight="1" x14ac:dyDescent="0.2">
      <c r="C210" s="60"/>
      <c r="D210" s="54"/>
      <c r="E210" s="54"/>
      <c r="F210" s="54"/>
      <c r="G210" s="54"/>
      <c r="I210" s="54"/>
      <c r="J210" s="54"/>
      <c r="K210" s="60"/>
    </row>
    <row r="211" spans="3:11" ht="15.75" customHeight="1" x14ac:dyDescent="0.2">
      <c r="C211" s="60"/>
      <c r="D211" s="54"/>
      <c r="E211" s="54"/>
      <c r="F211" s="54"/>
      <c r="G211" s="54"/>
      <c r="I211" s="54"/>
      <c r="J211" s="54"/>
      <c r="K211" s="60"/>
    </row>
    <row r="212" spans="3:11" ht="15.75" customHeight="1" x14ac:dyDescent="0.2">
      <c r="C212" s="60"/>
      <c r="D212" s="54"/>
      <c r="E212" s="54"/>
      <c r="F212" s="54"/>
      <c r="G212" s="54"/>
      <c r="I212" s="54"/>
      <c r="J212" s="54"/>
      <c r="K212" s="60"/>
    </row>
    <row r="213" spans="3:11" ht="15.75" customHeight="1" x14ac:dyDescent="0.2">
      <c r="C213" s="60"/>
      <c r="D213" s="54"/>
      <c r="E213" s="54"/>
      <c r="F213" s="54"/>
      <c r="G213" s="54"/>
      <c r="I213" s="54"/>
      <c r="J213" s="54"/>
      <c r="K213" s="60"/>
    </row>
    <row r="214" spans="3:11" ht="15.75" customHeight="1" x14ac:dyDescent="0.2">
      <c r="C214" s="60"/>
      <c r="D214" s="54"/>
      <c r="E214" s="54"/>
      <c r="F214" s="54"/>
      <c r="G214" s="54"/>
      <c r="I214" s="54"/>
      <c r="J214" s="54"/>
      <c r="K214" s="60"/>
    </row>
    <row r="215" spans="3:11" ht="15.75" customHeight="1" x14ac:dyDescent="0.2">
      <c r="C215" s="60"/>
      <c r="D215" s="54"/>
      <c r="E215" s="54"/>
      <c r="F215" s="54"/>
      <c r="G215" s="54"/>
      <c r="I215" s="54"/>
      <c r="J215" s="54"/>
      <c r="K215" s="60"/>
    </row>
    <row r="216" spans="3:11" ht="15.75" customHeight="1" x14ac:dyDescent="0.2">
      <c r="C216" s="60"/>
      <c r="D216" s="54"/>
      <c r="E216" s="54"/>
      <c r="F216" s="54"/>
      <c r="G216" s="54"/>
      <c r="I216" s="54"/>
      <c r="J216" s="54"/>
      <c r="K216" s="60"/>
    </row>
    <row r="217" spans="3:11" ht="15.75" customHeight="1" x14ac:dyDescent="0.2">
      <c r="C217" s="60"/>
      <c r="D217" s="54"/>
      <c r="E217" s="54"/>
      <c r="F217" s="54"/>
      <c r="G217" s="54"/>
      <c r="I217" s="54"/>
      <c r="J217" s="54"/>
      <c r="K217" s="60"/>
    </row>
    <row r="218" spans="3:11" ht="15.75" customHeight="1" x14ac:dyDescent="0.2">
      <c r="C218" s="60"/>
      <c r="D218" s="54"/>
      <c r="E218" s="54"/>
      <c r="F218" s="54"/>
      <c r="G218" s="54"/>
      <c r="I218" s="54"/>
      <c r="J218" s="54"/>
      <c r="K218" s="60"/>
    </row>
    <row r="219" spans="3:11" ht="15.75" customHeight="1" x14ac:dyDescent="0.2">
      <c r="C219" s="60"/>
      <c r="D219" s="54"/>
      <c r="E219" s="54"/>
      <c r="F219" s="54"/>
      <c r="G219" s="54"/>
      <c r="I219" s="54"/>
      <c r="J219" s="54"/>
      <c r="K219" s="60"/>
    </row>
    <row r="220" spans="3:11" ht="15.75" customHeight="1" x14ac:dyDescent="0.2">
      <c r="C220" s="60"/>
      <c r="D220" s="54"/>
      <c r="E220" s="54"/>
      <c r="F220" s="54"/>
      <c r="G220" s="54"/>
      <c r="I220" s="54"/>
      <c r="J220" s="54"/>
      <c r="K220" s="60"/>
    </row>
    <row r="221" spans="3:11" ht="15.75" customHeight="1" x14ac:dyDescent="0.2">
      <c r="C221" s="60"/>
      <c r="D221" s="54"/>
      <c r="E221" s="54"/>
      <c r="F221" s="54"/>
      <c r="G221" s="54"/>
      <c r="I221" s="54"/>
      <c r="J221" s="54"/>
      <c r="K221" s="60"/>
    </row>
    <row r="222" spans="3:11" ht="15.75" customHeight="1" x14ac:dyDescent="0.2">
      <c r="C222" s="60"/>
      <c r="D222" s="54"/>
      <c r="E222" s="54"/>
      <c r="F222" s="54"/>
      <c r="G222" s="54"/>
      <c r="I222" s="54"/>
      <c r="J222" s="54"/>
      <c r="K222" s="60"/>
    </row>
    <row r="223" spans="3:11" ht="15.75" customHeight="1" x14ac:dyDescent="0.2">
      <c r="C223" s="60"/>
      <c r="D223" s="54"/>
      <c r="E223" s="54"/>
      <c r="F223" s="54"/>
      <c r="G223" s="54"/>
      <c r="I223" s="54"/>
      <c r="J223" s="54"/>
      <c r="K223" s="60"/>
    </row>
    <row r="224" spans="3:11" ht="15.75" customHeight="1" x14ac:dyDescent="0.2">
      <c r="C224" s="60"/>
      <c r="D224" s="54"/>
      <c r="E224" s="54"/>
      <c r="F224" s="54"/>
      <c r="G224" s="54"/>
      <c r="I224" s="54"/>
      <c r="J224" s="54"/>
      <c r="K224" s="60"/>
    </row>
    <row r="225" spans="3:11" ht="15.75" customHeight="1" x14ac:dyDescent="0.2">
      <c r="C225" s="60"/>
      <c r="D225" s="54"/>
      <c r="E225" s="54"/>
      <c r="F225" s="54"/>
      <c r="G225" s="54"/>
      <c r="I225" s="54"/>
      <c r="J225" s="54"/>
      <c r="K225" s="60"/>
    </row>
    <row r="226" spans="3:11" ht="15.75" customHeight="1" x14ac:dyDescent="0.2">
      <c r="C226" s="60"/>
      <c r="D226" s="54"/>
      <c r="E226" s="54"/>
      <c r="F226" s="54"/>
      <c r="G226" s="54"/>
      <c r="I226" s="54"/>
      <c r="J226" s="54"/>
      <c r="K226" s="60"/>
    </row>
    <row r="227" spans="3:11" ht="15.75" customHeight="1" x14ac:dyDescent="0.2">
      <c r="C227" s="60"/>
      <c r="D227" s="54"/>
      <c r="E227" s="54"/>
      <c r="F227" s="54"/>
      <c r="G227" s="54"/>
      <c r="I227" s="54"/>
      <c r="J227" s="54"/>
      <c r="K227" s="60"/>
    </row>
    <row r="228" spans="3:11" ht="15.75" customHeight="1" x14ac:dyDescent="0.2">
      <c r="C228" s="60"/>
      <c r="D228" s="54"/>
      <c r="E228" s="54"/>
      <c r="F228" s="54"/>
      <c r="G228" s="54"/>
      <c r="I228" s="54"/>
      <c r="J228" s="54"/>
      <c r="K228" s="60"/>
    </row>
    <row r="229" spans="3:11" ht="15.75" customHeight="1" x14ac:dyDescent="0.2">
      <c r="C229" s="60"/>
      <c r="D229" s="54"/>
      <c r="E229" s="54"/>
      <c r="F229" s="54"/>
      <c r="G229" s="54"/>
      <c r="I229" s="54"/>
      <c r="J229" s="54"/>
      <c r="K229" s="60"/>
    </row>
    <row r="230" spans="3:11" ht="15.75" customHeight="1" x14ac:dyDescent="0.2">
      <c r="C230" s="60"/>
      <c r="D230" s="54"/>
      <c r="E230" s="54"/>
      <c r="F230" s="54"/>
      <c r="G230" s="54"/>
      <c r="I230" s="54"/>
      <c r="J230" s="54"/>
      <c r="K230" s="60"/>
    </row>
    <row r="231" spans="3:11" ht="15.75" customHeight="1" x14ac:dyDescent="0.2">
      <c r="C231" s="60"/>
      <c r="D231" s="54"/>
      <c r="E231" s="54"/>
      <c r="F231" s="54"/>
      <c r="G231" s="54"/>
      <c r="I231" s="54"/>
      <c r="J231" s="54"/>
      <c r="K231" s="60"/>
    </row>
    <row r="232" spans="3:11" ht="15.75" customHeight="1" x14ac:dyDescent="0.2">
      <c r="C232" s="60"/>
      <c r="D232" s="54"/>
      <c r="E232" s="54"/>
      <c r="F232" s="54"/>
      <c r="G232" s="54"/>
      <c r="I232" s="54"/>
      <c r="J232" s="54"/>
      <c r="K232" s="60"/>
    </row>
    <row r="233" spans="3:11" ht="15.75" customHeight="1" x14ac:dyDescent="0.2">
      <c r="C233" s="60"/>
      <c r="D233" s="54"/>
      <c r="E233" s="54"/>
      <c r="F233" s="54"/>
      <c r="G233" s="54"/>
      <c r="I233" s="54"/>
      <c r="J233" s="54"/>
      <c r="K233" s="60"/>
    </row>
    <row r="234" spans="3:11" ht="15.75" customHeight="1" x14ac:dyDescent="0.2">
      <c r="C234" s="60"/>
      <c r="D234" s="54"/>
      <c r="E234" s="54"/>
      <c r="F234" s="54"/>
      <c r="G234" s="54"/>
      <c r="I234" s="54"/>
      <c r="J234" s="54"/>
      <c r="K234" s="60"/>
    </row>
    <row r="235" spans="3:11" ht="15.75" customHeight="1" x14ac:dyDescent="0.2">
      <c r="C235" s="60"/>
      <c r="D235" s="54"/>
      <c r="E235" s="54"/>
      <c r="F235" s="54"/>
      <c r="G235" s="54"/>
      <c r="I235" s="54"/>
      <c r="J235" s="54"/>
      <c r="K235" s="60"/>
    </row>
    <row r="236" spans="3:11" ht="15.75" customHeight="1" x14ac:dyDescent="0.2">
      <c r="C236" s="60"/>
      <c r="D236" s="54"/>
      <c r="E236" s="54"/>
      <c r="F236" s="54"/>
      <c r="G236" s="54"/>
      <c r="I236" s="54"/>
      <c r="J236" s="54"/>
      <c r="K236" s="60"/>
    </row>
    <row r="237" spans="3:11" ht="15.75" customHeight="1" x14ac:dyDescent="0.2">
      <c r="C237" s="60"/>
      <c r="D237" s="54"/>
      <c r="E237" s="54"/>
      <c r="F237" s="54"/>
      <c r="G237" s="54"/>
      <c r="I237" s="54"/>
      <c r="J237" s="54"/>
      <c r="K237" s="60"/>
    </row>
    <row r="238" spans="3:11" ht="15.75" customHeight="1" x14ac:dyDescent="0.2">
      <c r="C238" s="60"/>
      <c r="D238" s="54"/>
      <c r="E238" s="54"/>
      <c r="F238" s="54"/>
      <c r="G238" s="54"/>
      <c r="I238" s="54"/>
      <c r="J238" s="54"/>
      <c r="K238" s="60"/>
    </row>
    <row r="239" spans="3:11" ht="15.75" customHeight="1" x14ac:dyDescent="0.2">
      <c r="C239" s="60"/>
      <c r="D239" s="54"/>
      <c r="E239" s="54"/>
      <c r="F239" s="54"/>
      <c r="G239" s="54"/>
      <c r="I239" s="54"/>
      <c r="J239" s="54"/>
      <c r="K239" s="60"/>
    </row>
    <row r="240" spans="3:11" ht="15.75" customHeight="1" x14ac:dyDescent="0.2">
      <c r="C240" s="60"/>
      <c r="D240" s="54"/>
      <c r="E240" s="54"/>
      <c r="F240" s="54"/>
      <c r="G240" s="54"/>
      <c r="I240" s="54"/>
      <c r="J240" s="54"/>
      <c r="K240" s="60"/>
    </row>
    <row r="241" spans="3:11" ht="15.75" customHeight="1" x14ac:dyDescent="0.2">
      <c r="C241" s="60"/>
      <c r="D241" s="54"/>
      <c r="E241" s="54"/>
      <c r="F241" s="54"/>
      <c r="G241" s="54"/>
      <c r="I241" s="54"/>
      <c r="J241" s="54"/>
      <c r="K241" s="60"/>
    </row>
    <row r="242" spans="3:11" ht="15.75" customHeight="1" x14ac:dyDescent="0.2">
      <c r="C242" s="60"/>
      <c r="D242" s="54"/>
      <c r="E242" s="54"/>
      <c r="F242" s="54"/>
      <c r="G242" s="54"/>
      <c r="I242" s="54"/>
      <c r="J242" s="54"/>
      <c r="K242" s="60"/>
    </row>
    <row r="243" spans="3:11" ht="15.75" customHeight="1" x14ac:dyDescent="0.2">
      <c r="C243" s="60"/>
      <c r="D243" s="54"/>
      <c r="E243" s="54"/>
      <c r="F243" s="54"/>
      <c r="G243" s="54"/>
      <c r="I243" s="54"/>
      <c r="J243" s="54"/>
      <c r="K243" s="60"/>
    </row>
    <row r="244" spans="3:11" ht="15.75" customHeight="1" x14ac:dyDescent="0.2">
      <c r="C244" s="60"/>
      <c r="D244" s="54"/>
      <c r="E244" s="54"/>
      <c r="F244" s="54"/>
      <c r="G244" s="54"/>
      <c r="I244" s="54"/>
      <c r="J244" s="54"/>
      <c r="K244" s="60"/>
    </row>
    <row r="245" spans="3:11" ht="15.75" customHeight="1" x14ac:dyDescent="0.2">
      <c r="C245" s="60"/>
      <c r="D245" s="54"/>
      <c r="E245" s="54"/>
      <c r="F245" s="54"/>
      <c r="G245" s="54"/>
      <c r="I245" s="54"/>
      <c r="J245" s="54"/>
      <c r="K245" s="60"/>
    </row>
    <row r="246" spans="3:11" ht="15.75" customHeight="1" x14ac:dyDescent="0.2">
      <c r="C246" s="60"/>
      <c r="D246" s="54"/>
      <c r="E246" s="54"/>
      <c r="F246" s="54"/>
      <c r="G246" s="54"/>
      <c r="I246" s="54"/>
      <c r="J246" s="54"/>
      <c r="K246" s="60"/>
    </row>
    <row r="247" spans="3:11" ht="15.75" customHeight="1" x14ac:dyDescent="0.2">
      <c r="C247" s="60"/>
      <c r="D247" s="54"/>
      <c r="E247" s="54"/>
      <c r="F247" s="54"/>
      <c r="G247" s="54"/>
      <c r="I247" s="54"/>
      <c r="J247" s="54"/>
      <c r="K247" s="60"/>
    </row>
    <row r="248" spans="3:11" ht="15.75" customHeight="1" x14ac:dyDescent="0.2">
      <c r="C248" s="60"/>
      <c r="D248" s="54"/>
      <c r="E248" s="54"/>
      <c r="F248" s="54"/>
      <c r="G248" s="54"/>
      <c r="I248" s="54"/>
      <c r="J248" s="54"/>
      <c r="K248" s="60"/>
    </row>
    <row r="249" spans="3:11" ht="15.75" customHeight="1" x14ac:dyDescent="0.2">
      <c r="C249" s="60"/>
      <c r="D249" s="54"/>
      <c r="E249" s="54"/>
      <c r="F249" s="54"/>
      <c r="G249" s="54"/>
      <c r="I249" s="54"/>
      <c r="J249" s="54"/>
      <c r="K249" s="60"/>
    </row>
    <row r="250" spans="3:11" ht="15.75" customHeight="1" x14ac:dyDescent="0.2">
      <c r="C250" s="60"/>
      <c r="D250" s="54"/>
      <c r="E250" s="54"/>
      <c r="F250" s="54"/>
      <c r="G250" s="54"/>
      <c r="I250" s="54"/>
      <c r="J250" s="54"/>
      <c r="K250" s="60"/>
    </row>
    <row r="251" spans="3:11" ht="15.75" customHeight="1" x14ac:dyDescent="0.2">
      <c r="C251" s="60"/>
      <c r="D251" s="54"/>
      <c r="E251" s="54"/>
      <c r="F251" s="54"/>
      <c r="G251" s="54"/>
      <c r="I251" s="54"/>
      <c r="J251" s="54"/>
      <c r="K251" s="60"/>
    </row>
    <row r="252" spans="3:11" ht="15.75" customHeight="1" x14ac:dyDescent="0.2">
      <c r="C252" s="60"/>
      <c r="D252" s="54"/>
      <c r="E252" s="54"/>
      <c r="F252" s="54"/>
      <c r="G252" s="54"/>
      <c r="I252" s="54"/>
      <c r="J252" s="54"/>
      <c r="K252" s="60"/>
    </row>
    <row r="253" spans="3:11" ht="15.75" customHeight="1" x14ac:dyDescent="0.2">
      <c r="C253" s="60"/>
      <c r="D253" s="54"/>
      <c r="E253" s="54"/>
      <c r="F253" s="54"/>
      <c r="G253" s="54"/>
      <c r="I253" s="54"/>
      <c r="J253" s="54"/>
      <c r="K253" s="60"/>
    </row>
    <row r="254" spans="3:11" ht="15.75" customHeight="1" x14ac:dyDescent="0.2">
      <c r="C254" s="60"/>
      <c r="D254" s="54"/>
      <c r="E254" s="54"/>
      <c r="F254" s="54"/>
      <c r="G254" s="54"/>
      <c r="I254" s="54"/>
      <c r="J254" s="54"/>
      <c r="K254" s="60"/>
    </row>
    <row r="255" spans="3:11" ht="15.75" customHeight="1" x14ac:dyDescent="0.2">
      <c r="C255" s="60"/>
      <c r="D255" s="54"/>
      <c r="E255" s="54"/>
      <c r="F255" s="54"/>
      <c r="G255" s="54"/>
      <c r="I255" s="54"/>
      <c r="J255" s="54"/>
      <c r="K255" s="60"/>
    </row>
    <row r="256" spans="3:11" ht="15.75" customHeight="1" x14ac:dyDescent="0.2">
      <c r="C256" s="60"/>
      <c r="D256" s="54"/>
      <c r="E256" s="54"/>
      <c r="F256" s="54"/>
      <c r="G256" s="54"/>
      <c r="I256" s="54"/>
      <c r="J256" s="54"/>
      <c r="K256" s="60"/>
    </row>
    <row r="257" spans="3:11" ht="15.75" customHeight="1" x14ac:dyDescent="0.2">
      <c r="C257" s="60"/>
      <c r="D257" s="54"/>
      <c r="E257" s="54"/>
      <c r="F257" s="54"/>
      <c r="G257" s="54"/>
      <c r="I257" s="54"/>
      <c r="J257" s="54"/>
      <c r="K257" s="60"/>
    </row>
    <row r="258" spans="3:11" ht="15.75" customHeight="1" x14ac:dyDescent="0.2">
      <c r="C258" s="60"/>
      <c r="D258" s="54"/>
      <c r="E258" s="54"/>
      <c r="F258" s="54"/>
      <c r="G258" s="54"/>
      <c r="I258" s="54"/>
      <c r="J258" s="54"/>
      <c r="K258" s="60"/>
    </row>
    <row r="259" spans="3:11" ht="15.75" customHeight="1" x14ac:dyDescent="0.2">
      <c r="C259" s="60"/>
      <c r="D259" s="54"/>
      <c r="E259" s="54"/>
      <c r="F259" s="54"/>
      <c r="G259" s="54"/>
      <c r="I259" s="54"/>
      <c r="J259" s="54"/>
      <c r="K259" s="60"/>
    </row>
    <row r="260" spans="3:11" ht="15.75" customHeight="1" x14ac:dyDescent="0.2">
      <c r="C260" s="60"/>
      <c r="D260" s="54"/>
      <c r="E260" s="54"/>
      <c r="F260" s="54"/>
      <c r="G260" s="54"/>
      <c r="I260" s="54"/>
      <c r="J260" s="54"/>
      <c r="K260" s="60"/>
    </row>
    <row r="261" spans="3:11" ht="15.75" customHeight="1" x14ac:dyDescent="0.2">
      <c r="C261" s="60"/>
      <c r="D261" s="54"/>
      <c r="E261" s="54"/>
      <c r="F261" s="54"/>
      <c r="G261" s="54"/>
      <c r="I261" s="54"/>
      <c r="J261" s="54"/>
      <c r="K261" s="60"/>
    </row>
    <row r="262" spans="3:11" ht="15.75" customHeight="1" x14ac:dyDescent="0.2">
      <c r="C262" s="60"/>
      <c r="D262" s="54"/>
      <c r="E262" s="54"/>
      <c r="F262" s="54"/>
      <c r="G262" s="54"/>
      <c r="I262" s="54"/>
      <c r="J262" s="54"/>
      <c r="K262" s="60"/>
    </row>
    <row r="263" spans="3:11" ht="15.75" customHeight="1" x14ac:dyDescent="0.2">
      <c r="C263" s="60"/>
      <c r="D263" s="54"/>
      <c r="E263" s="54"/>
      <c r="F263" s="54"/>
      <c r="G263" s="54"/>
      <c r="I263" s="54"/>
      <c r="J263" s="54"/>
      <c r="K263" s="60"/>
    </row>
    <row r="264" spans="3:11" ht="15.75" customHeight="1" x14ac:dyDescent="0.2">
      <c r="C264" s="60"/>
      <c r="D264" s="54"/>
      <c r="E264" s="54"/>
      <c r="F264" s="54"/>
      <c r="G264" s="54"/>
      <c r="I264" s="54"/>
      <c r="J264" s="54"/>
      <c r="K264" s="60"/>
    </row>
    <row r="265" spans="3:11" ht="15.75" customHeight="1" x14ac:dyDescent="0.2">
      <c r="C265" s="60"/>
      <c r="D265" s="54"/>
      <c r="E265" s="54"/>
      <c r="F265" s="54"/>
      <c r="G265" s="54"/>
      <c r="I265" s="54"/>
      <c r="J265" s="54"/>
      <c r="K265" s="60"/>
    </row>
    <row r="266" spans="3:11" ht="15.75" customHeight="1" x14ac:dyDescent="0.2">
      <c r="C266" s="60"/>
      <c r="D266" s="54"/>
      <c r="E266" s="54"/>
      <c r="F266" s="54"/>
      <c r="G266" s="54"/>
      <c r="I266" s="54"/>
      <c r="J266" s="54"/>
      <c r="K266" s="60"/>
    </row>
    <row r="267" spans="3:11" ht="15.75" customHeight="1" x14ac:dyDescent="0.2">
      <c r="C267" s="60"/>
      <c r="D267" s="54"/>
      <c r="E267" s="54"/>
      <c r="F267" s="54"/>
      <c r="G267" s="54"/>
      <c r="I267" s="54"/>
      <c r="J267" s="54"/>
      <c r="K267" s="60"/>
    </row>
    <row r="268" spans="3:11" ht="15.75" customHeight="1" x14ac:dyDescent="0.2">
      <c r="C268" s="60"/>
      <c r="D268" s="54"/>
      <c r="E268" s="54"/>
      <c r="F268" s="54"/>
      <c r="G268" s="54"/>
      <c r="I268" s="54"/>
      <c r="J268" s="54"/>
      <c r="K268" s="60"/>
    </row>
    <row r="269" spans="3:11" ht="15.75" customHeight="1" x14ac:dyDescent="0.2">
      <c r="C269" s="60"/>
      <c r="D269" s="54"/>
      <c r="E269" s="54"/>
      <c r="F269" s="54"/>
      <c r="G269" s="54"/>
      <c r="I269" s="54"/>
      <c r="J269" s="54"/>
      <c r="K269" s="60"/>
    </row>
    <row r="270" spans="3:11" ht="15.75" customHeight="1" x14ac:dyDescent="0.2">
      <c r="C270" s="60"/>
      <c r="D270" s="54"/>
      <c r="E270" s="54"/>
      <c r="F270" s="54"/>
      <c r="G270" s="54"/>
      <c r="I270" s="54"/>
      <c r="J270" s="54"/>
      <c r="K270" s="60"/>
    </row>
    <row r="271" spans="3:11" ht="15.75" customHeight="1" x14ac:dyDescent="0.2">
      <c r="C271" s="60"/>
      <c r="D271" s="54"/>
      <c r="E271" s="54"/>
      <c r="F271" s="54"/>
      <c r="G271" s="54"/>
      <c r="I271" s="54"/>
      <c r="J271" s="54"/>
      <c r="K271" s="60"/>
    </row>
    <row r="272" spans="3:11" ht="15.75" customHeight="1" x14ac:dyDescent="0.2">
      <c r="C272" s="60"/>
      <c r="D272" s="54"/>
      <c r="E272" s="54"/>
      <c r="F272" s="54"/>
      <c r="G272" s="54"/>
      <c r="I272" s="54"/>
      <c r="J272" s="54"/>
      <c r="K272" s="60"/>
    </row>
    <row r="273" spans="3:11" ht="15.75" customHeight="1" x14ac:dyDescent="0.2">
      <c r="C273" s="60"/>
      <c r="D273" s="54"/>
      <c r="E273" s="54"/>
      <c r="F273" s="54"/>
      <c r="G273" s="54"/>
      <c r="I273" s="54"/>
      <c r="J273" s="54"/>
      <c r="K273" s="60"/>
    </row>
    <row r="274" spans="3:11" ht="15.75" customHeight="1" x14ac:dyDescent="0.2">
      <c r="C274" s="60"/>
      <c r="D274" s="54"/>
      <c r="E274" s="54"/>
      <c r="F274" s="54"/>
      <c r="G274" s="54"/>
      <c r="I274" s="54"/>
      <c r="J274" s="54"/>
      <c r="K274" s="60"/>
    </row>
    <row r="275" spans="3:11" ht="15.75" customHeight="1" x14ac:dyDescent="0.2">
      <c r="C275" s="60"/>
      <c r="D275" s="54"/>
      <c r="E275" s="54"/>
      <c r="F275" s="54"/>
      <c r="G275" s="54"/>
      <c r="I275" s="54"/>
      <c r="J275" s="54"/>
      <c r="K275" s="60"/>
    </row>
    <row r="276" spans="3:11" ht="15.75" customHeight="1" x14ac:dyDescent="0.2">
      <c r="C276" s="60"/>
      <c r="D276" s="54"/>
      <c r="E276" s="54"/>
      <c r="F276" s="54"/>
      <c r="G276" s="54"/>
      <c r="I276" s="54"/>
      <c r="J276" s="54"/>
      <c r="K276" s="60"/>
    </row>
    <row r="277" spans="3:11" ht="15.75" customHeight="1" x14ac:dyDescent="0.2">
      <c r="C277" s="60"/>
      <c r="D277" s="54"/>
      <c r="E277" s="54"/>
      <c r="F277" s="54"/>
      <c r="G277" s="54"/>
      <c r="I277" s="54"/>
      <c r="J277" s="54"/>
      <c r="K277" s="60"/>
    </row>
    <row r="278" spans="3:11" ht="15.75" customHeight="1" x14ac:dyDescent="0.2">
      <c r="C278" s="60"/>
      <c r="D278" s="54"/>
      <c r="E278" s="54"/>
      <c r="F278" s="54"/>
      <c r="G278" s="54"/>
      <c r="I278" s="54"/>
      <c r="J278" s="54"/>
      <c r="K278" s="60"/>
    </row>
    <row r="279" spans="3:11" ht="15.75" customHeight="1" x14ac:dyDescent="0.2">
      <c r="C279" s="60"/>
      <c r="D279" s="54"/>
      <c r="E279" s="54"/>
      <c r="F279" s="54"/>
      <c r="G279" s="54"/>
      <c r="I279" s="54"/>
      <c r="J279" s="54"/>
      <c r="K279" s="60"/>
    </row>
    <row r="280" spans="3:11" ht="15.75" customHeight="1" x14ac:dyDescent="0.2">
      <c r="C280" s="60"/>
      <c r="D280" s="54"/>
      <c r="E280" s="54"/>
      <c r="F280" s="54"/>
      <c r="G280" s="54"/>
      <c r="I280" s="54"/>
      <c r="J280" s="54"/>
      <c r="K280" s="60"/>
    </row>
    <row r="281" spans="3:11" ht="15.75" customHeight="1" x14ac:dyDescent="0.2">
      <c r="C281" s="60"/>
      <c r="D281" s="54"/>
      <c r="E281" s="54"/>
      <c r="F281" s="54"/>
      <c r="G281" s="54"/>
      <c r="I281" s="54"/>
      <c r="J281" s="54"/>
      <c r="K281" s="60"/>
    </row>
    <row r="282" spans="3:11" ht="15.75" customHeight="1" x14ac:dyDescent="0.2">
      <c r="C282" s="60"/>
      <c r="D282" s="54"/>
      <c r="E282" s="54"/>
      <c r="F282" s="54"/>
      <c r="G282" s="54"/>
      <c r="I282" s="54"/>
      <c r="J282" s="54"/>
      <c r="K282" s="60"/>
    </row>
    <row r="283" spans="3:11" ht="15.75" customHeight="1" x14ac:dyDescent="0.2">
      <c r="C283" s="60"/>
      <c r="D283" s="54"/>
      <c r="E283" s="54"/>
      <c r="F283" s="54"/>
      <c r="G283" s="54"/>
      <c r="I283" s="54"/>
      <c r="J283" s="54"/>
      <c r="K283" s="60"/>
    </row>
    <row r="284" spans="3:11" ht="15.75" customHeight="1" x14ac:dyDescent="0.2">
      <c r="C284" s="60"/>
      <c r="D284" s="54"/>
      <c r="E284" s="54"/>
      <c r="F284" s="54"/>
      <c r="G284" s="54"/>
      <c r="I284" s="54"/>
      <c r="J284" s="54"/>
      <c r="K284" s="60"/>
    </row>
    <row r="285" spans="3:11" ht="15.75" customHeight="1" x14ac:dyDescent="0.2">
      <c r="C285" s="60"/>
      <c r="D285" s="54"/>
      <c r="E285" s="54"/>
      <c r="F285" s="54"/>
      <c r="G285" s="54"/>
      <c r="I285" s="54"/>
      <c r="J285" s="54"/>
      <c r="K285" s="60"/>
    </row>
    <row r="286" spans="3:11" ht="15.75" customHeight="1" x14ac:dyDescent="0.2">
      <c r="C286" s="60"/>
      <c r="D286" s="54"/>
      <c r="E286" s="54"/>
      <c r="F286" s="54"/>
      <c r="G286" s="54"/>
      <c r="I286" s="54"/>
      <c r="J286" s="54"/>
      <c r="K286" s="60"/>
    </row>
    <row r="287" spans="3:11" ht="15.75" customHeight="1" x14ac:dyDescent="0.2">
      <c r="C287" s="60"/>
      <c r="D287" s="54"/>
      <c r="E287" s="54"/>
      <c r="F287" s="54"/>
      <c r="G287" s="54"/>
      <c r="I287" s="54"/>
      <c r="J287" s="54"/>
      <c r="K287" s="60"/>
    </row>
    <row r="288" spans="3:11" ht="15.75" customHeight="1" x14ac:dyDescent="0.2">
      <c r="C288" s="60"/>
      <c r="D288" s="54"/>
      <c r="E288" s="54"/>
      <c r="F288" s="54"/>
      <c r="G288" s="54"/>
      <c r="I288" s="54"/>
      <c r="J288" s="54"/>
      <c r="K288" s="60"/>
    </row>
    <row r="289" spans="3:11" ht="15.75" customHeight="1" x14ac:dyDescent="0.2">
      <c r="C289" s="60"/>
      <c r="D289" s="54"/>
      <c r="E289" s="54"/>
      <c r="F289" s="54"/>
      <c r="G289" s="54"/>
      <c r="I289" s="54"/>
      <c r="J289" s="54"/>
      <c r="K289" s="60"/>
    </row>
    <row r="290" spans="3:11" ht="15.75" customHeight="1" x14ac:dyDescent="0.2">
      <c r="C290" s="60"/>
      <c r="D290" s="54"/>
      <c r="E290" s="54"/>
      <c r="F290" s="54"/>
      <c r="G290" s="54"/>
      <c r="I290" s="54"/>
      <c r="J290" s="54"/>
      <c r="K290" s="60"/>
    </row>
    <row r="291" spans="3:11" ht="15.75" customHeight="1" x14ac:dyDescent="0.2">
      <c r="C291" s="60"/>
      <c r="D291" s="54"/>
      <c r="E291" s="54"/>
      <c r="F291" s="54"/>
      <c r="G291" s="54"/>
      <c r="I291" s="54"/>
      <c r="J291" s="54"/>
      <c r="K291" s="60"/>
    </row>
    <row r="292" spans="3:11" ht="15.75" customHeight="1" x14ac:dyDescent="0.2">
      <c r="C292" s="60"/>
      <c r="D292" s="54"/>
      <c r="E292" s="54"/>
      <c r="F292" s="54"/>
      <c r="G292" s="54"/>
      <c r="I292" s="54"/>
      <c r="J292" s="54"/>
      <c r="K292" s="60"/>
    </row>
    <row r="293" spans="3:11" ht="15.75" customHeight="1" x14ac:dyDescent="0.2">
      <c r="C293" s="60"/>
      <c r="D293" s="54"/>
      <c r="E293" s="54"/>
      <c r="F293" s="54"/>
      <c r="G293" s="54"/>
      <c r="I293" s="54"/>
      <c r="J293" s="54"/>
      <c r="K293" s="60"/>
    </row>
    <row r="294" spans="3:11" ht="15.75" customHeight="1" x14ac:dyDescent="0.2">
      <c r="C294" s="60"/>
      <c r="D294" s="54"/>
      <c r="E294" s="54"/>
      <c r="F294" s="54"/>
      <c r="G294" s="54"/>
      <c r="I294" s="54"/>
      <c r="J294" s="54"/>
      <c r="K294" s="60"/>
    </row>
    <row r="295" spans="3:11" ht="15.75" customHeight="1" x14ac:dyDescent="0.2">
      <c r="C295" s="60"/>
      <c r="D295" s="54"/>
      <c r="E295" s="54"/>
      <c r="F295" s="54"/>
      <c r="G295" s="54"/>
      <c r="I295" s="54"/>
      <c r="J295" s="54"/>
      <c r="K295" s="60"/>
    </row>
    <row r="296" spans="3:11" ht="15.75" customHeight="1" x14ac:dyDescent="0.2">
      <c r="C296" s="60"/>
      <c r="D296" s="54"/>
      <c r="E296" s="54"/>
      <c r="F296" s="54"/>
      <c r="G296" s="54"/>
      <c r="I296" s="54"/>
      <c r="J296" s="54"/>
      <c r="K296" s="60"/>
    </row>
    <row r="297" spans="3:11" ht="15.75" customHeight="1" x14ac:dyDescent="0.2">
      <c r="C297" s="60"/>
      <c r="D297" s="54"/>
      <c r="E297" s="54"/>
      <c r="F297" s="54"/>
      <c r="G297" s="54"/>
      <c r="I297" s="54"/>
      <c r="J297" s="54"/>
      <c r="K297" s="60"/>
    </row>
    <row r="298" spans="3:11" ht="15.75" customHeight="1" x14ac:dyDescent="0.2">
      <c r="C298" s="60"/>
      <c r="D298" s="54"/>
      <c r="E298" s="54"/>
      <c r="F298" s="54"/>
      <c r="G298" s="54"/>
      <c r="I298" s="54"/>
      <c r="J298" s="54"/>
      <c r="K298" s="60"/>
    </row>
    <row r="299" spans="3:11" ht="15.75" customHeight="1" x14ac:dyDescent="0.2">
      <c r="C299" s="60"/>
      <c r="D299" s="54"/>
      <c r="E299" s="54"/>
      <c r="F299" s="54"/>
      <c r="G299" s="54"/>
      <c r="I299" s="54"/>
      <c r="J299" s="54"/>
      <c r="K299" s="60"/>
    </row>
    <row r="300" spans="3:11" ht="15.75" customHeight="1" x14ac:dyDescent="0.2">
      <c r="C300" s="60"/>
      <c r="D300" s="54"/>
      <c r="E300" s="54"/>
      <c r="F300" s="54"/>
      <c r="G300" s="54"/>
      <c r="I300" s="54"/>
      <c r="J300" s="54"/>
      <c r="K300" s="60"/>
    </row>
    <row r="301" spans="3:11" ht="15.75" customHeight="1" x14ac:dyDescent="0.2">
      <c r="C301" s="60"/>
      <c r="D301" s="54"/>
      <c r="E301" s="54"/>
      <c r="F301" s="54"/>
      <c r="G301" s="54"/>
      <c r="I301" s="54"/>
      <c r="J301" s="54"/>
      <c r="K301" s="60"/>
    </row>
    <row r="302" spans="3:11" ht="15.75" customHeight="1" x14ac:dyDescent="0.2">
      <c r="C302" s="60"/>
      <c r="D302" s="54"/>
      <c r="E302" s="54"/>
      <c r="F302" s="54"/>
      <c r="G302" s="54"/>
      <c r="I302" s="54"/>
      <c r="J302" s="54"/>
      <c r="K302" s="60"/>
    </row>
    <row r="303" spans="3:11" ht="15.75" customHeight="1" x14ac:dyDescent="0.2"/>
    <row r="304" spans="3:1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3">
    <mergeCell ref="A28:B28"/>
    <mergeCell ref="A35:B35"/>
    <mergeCell ref="A64:B64"/>
  </mergeCells>
  <printOptions horizontalCentered="1" verticalCentered="1"/>
  <pageMargins left="0.25" right="0.25" top="0.75" bottom="0.75" header="0.3" footer="0.3"/>
  <pageSetup scale="91" fitToHeight="0" orientation="landscape" r:id="rId1"/>
  <headerFooter>
    <oddHeader>&amp;A</oddHeader>
    <oddFooter>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34</vt:i4>
      </vt:variant>
    </vt:vector>
  </HeadingPairs>
  <TitlesOfParts>
    <vt:vector size="69" baseType="lpstr">
      <vt:lpstr>Summary </vt:lpstr>
      <vt:lpstr>Council</vt:lpstr>
      <vt:lpstr>Executive</vt:lpstr>
      <vt:lpstr>Personnel Management</vt:lpstr>
      <vt:lpstr>Auditor (2)</vt:lpstr>
      <vt:lpstr>Clerk (2)</vt:lpstr>
      <vt:lpstr>Recorder</vt:lpstr>
      <vt:lpstr>Attorney</vt:lpstr>
      <vt:lpstr>Victim Services</vt:lpstr>
      <vt:lpstr>Public Defender</vt:lpstr>
      <vt:lpstr>Sheriff</vt:lpstr>
      <vt:lpstr>Sheriff Admin</vt:lpstr>
      <vt:lpstr>Sheriff Support</vt:lpstr>
      <vt:lpstr>Sheriff - IT</vt:lpstr>
      <vt:lpstr>Sheriff Patrol</vt:lpstr>
      <vt:lpstr>Sheriff Criminal</vt:lpstr>
      <vt:lpstr>Sheriff - Search &amp; Rescue</vt:lpstr>
      <vt:lpstr>Sheriff - Corrections</vt:lpstr>
      <vt:lpstr>Sheriff - Animal Control</vt:lpstr>
      <vt:lpstr>Sheriff - Animal Shelter</vt:lpstr>
      <vt:lpstr>Sheriff - Emergency Mgmt.</vt:lpstr>
      <vt:lpstr>Fire &amp; Ambulance</vt:lpstr>
      <vt:lpstr>GIS</vt:lpstr>
      <vt:lpstr>Trails Mgmt.</vt:lpstr>
      <vt:lpstr>IT</vt:lpstr>
      <vt:lpstr>Building &amp; Grounds</vt:lpstr>
      <vt:lpstr>Fairgrounds</vt:lpstr>
      <vt:lpstr>Fair</vt:lpstr>
      <vt:lpstr>Rodeo</vt:lpstr>
      <vt:lpstr>Library</vt:lpstr>
      <vt:lpstr>Public Works</vt:lpstr>
      <vt:lpstr>Public Works - Engineering</vt:lpstr>
      <vt:lpstr>Public Works - Roads</vt:lpstr>
      <vt:lpstr>Public Works - Vegetation</vt:lpstr>
      <vt:lpstr>TB</vt:lpstr>
      <vt:lpstr>Attorney!Print_Area</vt:lpstr>
      <vt:lpstr>'Auditor (2)'!Print_Area</vt:lpstr>
      <vt:lpstr>'Building &amp; Grounds'!Print_Area</vt:lpstr>
      <vt:lpstr>'Clerk (2)'!Print_Area</vt:lpstr>
      <vt:lpstr>Council!Print_Area</vt:lpstr>
      <vt:lpstr>Executive!Print_Area</vt:lpstr>
      <vt:lpstr>Fair!Print_Area</vt:lpstr>
      <vt:lpstr>Fairgrounds!Print_Area</vt:lpstr>
      <vt:lpstr>'Fire &amp; Ambulance'!Print_Area</vt:lpstr>
      <vt:lpstr>GIS!Print_Area</vt:lpstr>
      <vt:lpstr>IT!Print_Area</vt:lpstr>
      <vt:lpstr>Library!Print_Area</vt:lpstr>
      <vt:lpstr>'Personnel Management'!Print_Area</vt:lpstr>
      <vt:lpstr>'Public Defender'!Print_Area</vt:lpstr>
      <vt:lpstr>'Public Works'!Print_Area</vt:lpstr>
      <vt:lpstr>'Public Works - Engineering'!Print_Area</vt:lpstr>
      <vt:lpstr>'Public Works - Roads'!Print_Area</vt:lpstr>
      <vt:lpstr>'Public Works - Vegetation'!Print_Area</vt:lpstr>
      <vt:lpstr>Recorder!Print_Area</vt:lpstr>
      <vt:lpstr>Rodeo!Print_Area</vt:lpstr>
      <vt:lpstr>Sheriff!Print_Area</vt:lpstr>
      <vt:lpstr>'Sheriff - Animal Control'!Print_Area</vt:lpstr>
      <vt:lpstr>'Sheriff - Animal Shelter'!Print_Area</vt:lpstr>
      <vt:lpstr>'Sheriff - Corrections'!Print_Area</vt:lpstr>
      <vt:lpstr>'Sheriff - Emergency Mgmt.'!Print_Area</vt:lpstr>
      <vt:lpstr>'Sheriff - IT'!Print_Area</vt:lpstr>
      <vt:lpstr>'Sheriff - Search &amp; Rescue'!Print_Area</vt:lpstr>
      <vt:lpstr>'Sheriff Admin'!Print_Area</vt:lpstr>
      <vt:lpstr>'Sheriff Criminal'!Print_Area</vt:lpstr>
      <vt:lpstr>'Sheriff Patrol'!Print_Area</vt:lpstr>
      <vt:lpstr>'Sheriff Support'!Print_Area</vt:lpstr>
      <vt:lpstr>'Summary '!Print_Area</vt:lpstr>
      <vt:lpstr>'Trails Mgmt.'!Print_Area</vt:lpstr>
      <vt:lpstr>'Victim Services'!Print_Area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Loreana Cordero</dc:creator>
  <cp:lastModifiedBy>Andrew Erickson</cp:lastModifiedBy>
  <cp:lastPrinted>2025-11-17T22:30:47Z</cp:lastPrinted>
  <dcterms:created xsi:type="dcterms:W3CDTF">2025-10-24T21:41:47Z</dcterms:created>
  <dcterms:modified xsi:type="dcterms:W3CDTF">2025-11-18T19:20:04Z</dcterms:modified>
</cp:coreProperties>
</file>