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ug\Desktop\Budget\2026 Budgets\"/>
    </mc:Choice>
  </mc:AlternateContent>
  <xr:revisionPtr revIDLastSave="0" documentId="8_{619FF9ED-A6D8-4328-BD6B-66D1D71B4141}" xr6:coauthVersionLast="47" xr6:coauthVersionMax="47" xr10:uidLastSave="{00000000-0000-0000-0000-000000000000}"/>
  <bookViews>
    <workbookView xWindow="-110" yWindow="-110" windowWidth="22780" windowHeight="14540" activeTab="4" xr2:uid="{E0806AB9-A019-43BE-8B52-2549D987BCEA}"/>
  </bookViews>
  <sheets>
    <sheet name="Administration" sheetId="13" r:id="rId1"/>
    <sheet name="Safety" sheetId="11" state="hidden" r:id="rId2"/>
    <sheet name="Bayview - Consolidated" sheetId="14" r:id="rId3"/>
    <sheet name="2026 Bayview Operations" sheetId="4" state="hidden" r:id="rId4"/>
    <sheet name="Bayview - Detailed" sheetId="19" r:id="rId5"/>
    <sheet name="Bayview - Capital" sheetId="7" r:id="rId6"/>
    <sheet name="Bayview - Condensed wo-WIWMD" sheetId="16" state="hidden" r:id="rId7"/>
    <sheet name="2025 Bayview Operations wo-WIWM" sheetId="17" state="hidden" r:id="rId8"/>
    <sheet name="2025 Capital wo_WIWMD" sheetId="18" state="hidden" r:id="rId9"/>
    <sheet name="Tonnage" sheetId="8" r:id="rId10"/>
    <sheet name="Fees" sheetId="9" r:id="rId11"/>
    <sheet name="WIWMD" sheetId="10" r:id="rId12"/>
  </sheets>
  <definedNames>
    <definedName name="_xlnm.Print_Area" localSheetId="7">'2025 Bayview Operations wo-WIWM'!$A$1:$F$132</definedName>
    <definedName name="_xlnm.Print_Area" localSheetId="8">'2025 Capital wo_WIWMD'!$A$1:$E$13</definedName>
    <definedName name="_xlnm.Print_Area" localSheetId="3">'2026 Bayview Operations'!$A$1:$H$154</definedName>
    <definedName name="_xlnm.Print_Area" localSheetId="0">Administration!$A$1:$F$30</definedName>
    <definedName name="_xlnm.Print_Area" localSheetId="5">'Bayview - Capital'!$A$1:$E$12</definedName>
    <definedName name="_xlnm.Print_Area" localSheetId="6">'Bayview - Condensed wo-WIWMD'!$A$1:$F$50</definedName>
    <definedName name="_xlnm.Print_Area" localSheetId="2">'Bayview - Consolidated'!$A$1:$F$53</definedName>
    <definedName name="_xlnm.Print_Area" localSheetId="4">'Bayview - Detailed'!$A$1:$I$152</definedName>
    <definedName name="_xlnm.Print_Area" localSheetId="1">Safety!$A$1:$F$35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9" l="1"/>
  <c r="K117" i="19"/>
  <c r="F62" i="14" l="1"/>
  <c r="F61" i="14"/>
  <c r="E61" i="14"/>
  <c r="F60" i="14"/>
  <c r="E60" i="14"/>
  <c r="F59" i="14"/>
  <c r="C63" i="14"/>
  <c r="C62" i="14"/>
  <c r="C61" i="14"/>
  <c r="C60" i="14"/>
  <c r="C59" i="14"/>
  <c r="E59" i="14"/>
  <c r="D163" i="19"/>
  <c r="G161" i="19"/>
  <c r="G160" i="19"/>
  <c r="G159" i="19"/>
  <c r="G162" i="19"/>
  <c r="D159" i="19" s="1"/>
  <c r="D27" i="14" l="1"/>
  <c r="E27" i="14"/>
  <c r="D26" i="14"/>
  <c r="D41" i="14"/>
  <c r="D40" i="14"/>
  <c r="D39" i="14"/>
  <c r="D38" i="14"/>
  <c r="D32" i="14"/>
  <c r="D31" i="14"/>
  <c r="D8" i="14"/>
  <c r="D7" i="14"/>
  <c r="D6" i="14"/>
  <c r="D5" i="14"/>
  <c r="D4" i="14"/>
  <c r="D29" i="14"/>
  <c r="D28" i="14"/>
  <c r="D25" i="14"/>
  <c r="D24" i="14"/>
  <c r="D23" i="14"/>
  <c r="D22" i="14"/>
  <c r="D20" i="14"/>
  <c r="D19" i="14"/>
  <c r="D17" i="14"/>
  <c r="D16" i="14"/>
  <c r="D15" i="14"/>
  <c r="D14" i="14"/>
  <c r="D13" i="14"/>
  <c r="D12" i="14"/>
  <c r="F133" i="19"/>
  <c r="E32" i="14"/>
  <c r="E31" i="14"/>
  <c r="E30" i="14"/>
  <c r="E29" i="14"/>
  <c r="E28" i="14"/>
  <c r="E26" i="14"/>
  <c r="E25" i="14"/>
  <c r="E24" i="14"/>
  <c r="E23" i="14"/>
  <c r="E22" i="14"/>
  <c r="E20" i="14"/>
  <c r="E19" i="14"/>
  <c r="E18" i="14"/>
  <c r="E17" i="14"/>
  <c r="E16" i="14"/>
  <c r="E15" i="14"/>
  <c r="E14" i="14"/>
  <c r="E13" i="14"/>
  <c r="F8" i="14"/>
  <c r="F7" i="14"/>
  <c r="F6" i="14"/>
  <c r="F5" i="14"/>
  <c r="F4" i="14"/>
  <c r="F12" i="14"/>
  <c r="E12" i="14"/>
  <c r="E9" i="14"/>
  <c r="E8" i="14"/>
  <c r="E7" i="14"/>
  <c r="E6" i="14"/>
  <c r="E5" i="14"/>
  <c r="E4" i="14"/>
  <c r="H133" i="19"/>
  <c r="H132" i="19"/>
  <c r="H131" i="19"/>
  <c r="H130" i="19"/>
  <c r="H129" i="19"/>
  <c r="H128" i="19"/>
  <c r="H123" i="19"/>
  <c r="H122" i="19"/>
  <c r="H121" i="19"/>
  <c r="H120" i="19"/>
  <c r="H119" i="19"/>
  <c r="H103" i="19"/>
  <c r="H87" i="19"/>
  <c r="H39" i="19"/>
  <c r="H71" i="19"/>
  <c r="H63" i="19"/>
  <c r="H59" i="19"/>
  <c r="F19" i="19"/>
  <c r="F8" i="19"/>
  <c r="F12" i="19"/>
  <c r="F7" i="19"/>
  <c r="F16" i="19"/>
  <c r="F11" i="19"/>
  <c r="F6" i="19"/>
  <c r="F15" i="19"/>
  <c r="F14" i="19" s="1"/>
  <c r="F10" i="19"/>
  <c r="F9" i="19" s="1"/>
  <c r="F5" i="19"/>
  <c r="F4" i="19" s="1"/>
  <c r="F123" i="19"/>
  <c r="G42" i="19"/>
  <c r="F21" i="19" l="1"/>
  <c r="F143" i="19"/>
  <c r="E143" i="19"/>
  <c r="D143" i="19"/>
  <c r="C143" i="19"/>
  <c r="G142" i="19"/>
  <c r="G141" i="19"/>
  <c r="G140" i="19"/>
  <c r="G139" i="19"/>
  <c r="G132" i="19"/>
  <c r="G131" i="19"/>
  <c r="G130" i="19"/>
  <c r="G129" i="19"/>
  <c r="G128" i="19"/>
  <c r="G127" i="19"/>
  <c r="G126" i="19"/>
  <c r="G124" i="19"/>
  <c r="E123" i="19"/>
  <c r="G123" i="19" s="1"/>
  <c r="D123" i="19"/>
  <c r="C123" i="19"/>
  <c r="G122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F107" i="19"/>
  <c r="E107" i="19"/>
  <c r="D21" i="14" s="1"/>
  <c r="D107" i="19"/>
  <c r="G106" i="19"/>
  <c r="G105" i="19"/>
  <c r="G104" i="19"/>
  <c r="F103" i="19"/>
  <c r="E103" i="19"/>
  <c r="D103" i="19"/>
  <c r="G102" i="19"/>
  <c r="G101" i="19"/>
  <c r="G100" i="19"/>
  <c r="G99" i="19"/>
  <c r="F98" i="19"/>
  <c r="H98" i="19" s="1"/>
  <c r="E98" i="19"/>
  <c r="D98" i="19"/>
  <c r="C98" i="19"/>
  <c r="B98" i="19"/>
  <c r="G97" i="19"/>
  <c r="G96" i="19"/>
  <c r="G95" i="19"/>
  <c r="G94" i="19"/>
  <c r="G93" i="19"/>
  <c r="G92" i="19"/>
  <c r="F91" i="19"/>
  <c r="G90" i="19"/>
  <c r="G89" i="19"/>
  <c r="G88" i="19"/>
  <c r="F87" i="19"/>
  <c r="E87" i="19"/>
  <c r="D87" i="19"/>
  <c r="C87" i="19"/>
  <c r="B87" i="19"/>
  <c r="G86" i="19"/>
  <c r="G85" i="19"/>
  <c r="G84" i="19"/>
  <c r="G83" i="19"/>
  <c r="G82" i="19"/>
  <c r="G81" i="19"/>
  <c r="G80" i="19"/>
  <c r="G78" i="19"/>
  <c r="G77" i="19"/>
  <c r="G76" i="19"/>
  <c r="G75" i="19"/>
  <c r="G74" i="19"/>
  <c r="G73" i="19"/>
  <c r="G72" i="19"/>
  <c r="F71" i="19"/>
  <c r="E71" i="19"/>
  <c r="D71" i="19"/>
  <c r="C71" i="19"/>
  <c r="B71" i="19"/>
  <c r="G70" i="19"/>
  <c r="G69" i="19"/>
  <c r="G68" i="19"/>
  <c r="C68" i="19"/>
  <c r="C63" i="19" s="1"/>
  <c r="G67" i="19"/>
  <c r="G66" i="19"/>
  <c r="G65" i="19"/>
  <c r="G64" i="19"/>
  <c r="F63" i="19"/>
  <c r="E63" i="19"/>
  <c r="D63" i="19"/>
  <c r="B63" i="19"/>
  <c r="G62" i="19"/>
  <c r="G61" i="19"/>
  <c r="G60" i="19"/>
  <c r="F59" i="19"/>
  <c r="E59" i="19"/>
  <c r="D59" i="19"/>
  <c r="C59" i="19"/>
  <c r="B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1" i="19"/>
  <c r="G40" i="19"/>
  <c r="F39" i="19"/>
  <c r="E39" i="19"/>
  <c r="D39" i="19"/>
  <c r="C39" i="19"/>
  <c r="B39" i="19"/>
  <c r="G38" i="19"/>
  <c r="G37" i="19"/>
  <c r="G36" i="19"/>
  <c r="G35" i="19"/>
  <c r="G34" i="19"/>
  <c r="G33" i="19"/>
  <c r="G32" i="19"/>
  <c r="G30" i="19"/>
  <c r="G29" i="19"/>
  <c r="G28" i="19"/>
  <c r="G27" i="19"/>
  <c r="G26" i="19"/>
  <c r="G25" i="19"/>
  <c r="F24" i="19"/>
  <c r="H24" i="19" s="1"/>
  <c r="E24" i="19"/>
  <c r="D24" i="19"/>
  <c r="C24" i="19"/>
  <c r="B24" i="19"/>
  <c r="E21" i="19"/>
  <c r="D21" i="19"/>
  <c r="C21" i="19"/>
  <c r="B21" i="19"/>
  <c r="G20" i="19"/>
  <c r="G19" i="19"/>
  <c r="H107" i="19" l="1"/>
  <c r="E21" i="14"/>
  <c r="G91" i="19"/>
  <c r="H91" i="19"/>
  <c r="C147" i="19"/>
  <c r="E147" i="19"/>
  <c r="G143" i="19"/>
  <c r="D147" i="19"/>
  <c r="G14" i="19"/>
  <c r="G71" i="19"/>
  <c r="G98" i="19"/>
  <c r="G4" i="19"/>
  <c r="D134" i="19"/>
  <c r="D151" i="19" s="1"/>
  <c r="D152" i="19" s="1"/>
  <c r="E134" i="19"/>
  <c r="E151" i="19" s="1"/>
  <c r="E152" i="19" s="1"/>
  <c r="B134" i="19"/>
  <c r="B151" i="19" s="1"/>
  <c r="B152" i="19" s="1"/>
  <c r="B148" i="19" s="1"/>
  <c r="C134" i="19"/>
  <c r="C151" i="19" s="1"/>
  <c r="C152" i="19" s="1"/>
  <c r="G63" i="19"/>
  <c r="G9" i="19"/>
  <c r="G59" i="19"/>
  <c r="G133" i="19"/>
  <c r="G103" i="19"/>
  <c r="G107" i="19"/>
  <c r="G24" i="19"/>
  <c r="G39" i="19"/>
  <c r="G87" i="19"/>
  <c r="F124" i="4"/>
  <c r="F145" i="4"/>
  <c r="G81" i="4"/>
  <c r="G71" i="4"/>
  <c r="F28" i="4"/>
  <c r="E148" i="19" l="1"/>
  <c r="E149" i="19" s="1"/>
  <c r="C148" i="19"/>
  <c r="C149" i="19" s="1"/>
  <c r="D148" i="19"/>
  <c r="D149" i="19" s="1"/>
  <c r="E136" i="19"/>
  <c r="E145" i="19" s="1"/>
  <c r="D136" i="19"/>
  <c r="D145" i="19" s="1"/>
  <c r="B136" i="19"/>
  <c r="C136" i="19"/>
  <c r="C145" i="19" s="1"/>
  <c r="I119" i="19"/>
  <c r="G28" i="4"/>
  <c r="I131" i="19" l="1"/>
  <c r="F147" i="19"/>
  <c r="G147" i="19" s="1"/>
  <c r="I129" i="19"/>
  <c r="I120" i="19"/>
  <c r="I128" i="19"/>
  <c r="I130" i="19"/>
  <c r="I71" i="19"/>
  <c r="G21" i="19"/>
  <c r="I123" i="19"/>
  <c r="I63" i="19"/>
  <c r="I91" i="19"/>
  <c r="I103" i="19"/>
  <c r="I87" i="19"/>
  <c r="I98" i="19"/>
  <c r="I107" i="19"/>
  <c r="I133" i="19"/>
  <c r="F121" i="19"/>
  <c r="I121" i="19" s="1"/>
  <c r="H133" i="4"/>
  <c r="H132" i="4"/>
  <c r="H131" i="4"/>
  <c r="H130" i="4"/>
  <c r="H126" i="4"/>
  <c r="H124" i="4"/>
  <c r="H123" i="4"/>
  <c r="H122" i="4"/>
  <c r="H106" i="4"/>
  <c r="H90" i="4"/>
  <c r="H28" i="4"/>
  <c r="F134" i="19" l="1"/>
  <c r="F136" i="19" s="1"/>
  <c r="G121" i="19"/>
  <c r="F74" i="4"/>
  <c r="H74" i="4" s="1"/>
  <c r="G73" i="4"/>
  <c r="E74" i="4"/>
  <c r="F151" i="19" l="1"/>
  <c r="F152" i="19" s="1"/>
  <c r="G134" i="19"/>
  <c r="G136" i="19"/>
  <c r="F145" i="19"/>
  <c r="F110" i="4"/>
  <c r="H110" i="4" s="1"/>
  <c r="G145" i="19" l="1"/>
  <c r="D158" i="19"/>
  <c r="G151" i="19"/>
  <c r="G152" i="19"/>
  <c r="F148" i="19"/>
  <c r="G143" i="4"/>
  <c r="F40" i="14" s="1"/>
  <c r="G133" i="4"/>
  <c r="F30" i="14" s="1"/>
  <c r="G129" i="4"/>
  <c r="G128" i="4"/>
  <c r="G127" i="4"/>
  <c r="G116" i="4"/>
  <c r="G114" i="4"/>
  <c r="G121" i="4"/>
  <c r="G120" i="4"/>
  <c r="G119" i="4"/>
  <c r="G118" i="4"/>
  <c r="G117" i="4"/>
  <c r="G115" i="4"/>
  <c r="G113" i="4"/>
  <c r="G112" i="4"/>
  <c r="G100" i="4"/>
  <c r="G99" i="4"/>
  <c r="G98" i="4"/>
  <c r="G97" i="4"/>
  <c r="G96" i="4"/>
  <c r="G95" i="4"/>
  <c r="F90" i="4"/>
  <c r="D90" i="4"/>
  <c r="G86" i="4"/>
  <c r="G85" i="4"/>
  <c r="G84" i="4"/>
  <c r="G89" i="4"/>
  <c r="G88" i="4"/>
  <c r="G87" i="4"/>
  <c r="G83" i="4"/>
  <c r="G82" i="4"/>
  <c r="G80" i="4"/>
  <c r="G79" i="4"/>
  <c r="G78" i="4"/>
  <c r="G77" i="4"/>
  <c r="G76" i="4"/>
  <c r="G56" i="4"/>
  <c r="G52" i="4"/>
  <c r="E43" i="4"/>
  <c r="G45" i="4"/>
  <c r="G44" i="4"/>
  <c r="G46" i="4"/>
  <c r="G47" i="4"/>
  <c r="G48" i="4"/>
  <c r="G49" i="4"/>
  <c r="G50" i="4"/>
  <c r="G51" i="4"/>
  <c r="G53" i="4"/>
  <c r="G54" i="4"/>
  <c r="G55" i="4"/>
  <c r="G57" i="4"/>
  <c r="G58" i="4"/>
  <c r="G59" i="4"/>
  <c r="G60" i="4"/>
  <c r="G61" i="4"/>
  <c r="G24" i="4"/>
  <c r="G35" i="4"/>
  <c r="E38" i="14"/>
  <c r="E39" i="14"/>
  <c r="E40" i="14"/>
  <c r="E41" i="14"/>
  <c r="C41" i="14"/>
  <c r="C40" i="14"/>
  <c r="C39" i="14"/>
  <c r="C38" i="14"/>
  <c r="C30" i="14"/>
  <c r="D30" i="14"/>
  <c r="C32" i="14"/>
  <c r="C31" i="14"/>
  <c r="C29" i="14"/>
  <c r="C28" i="14"/>
  <c r="C27" i="14"/>
  <c r="C25" i="14"/>
  <c r="C24" i="14"/>
  <c r="C23" i="14"/>
  <c r="C22" i="14"/>
  <c r="E25" i="4"/>
  <c r="C8" i="14"/>
  <c r="C7" i="14"/>
  <c r="C6" i="14"/>
  <c r="C5" i="14"/>
  <c r="C4" i="14"/>
  <c r="I11" i="7"/>
  <c r="I10" i="7"/>
  <c r="I9" i="7"/>
  <c r="I8" i="7"/>
  <c r="I7" i="7"/>
  <c r="I6" i="7"/>
  <c r="I5" i="7"/>
  <c r="I4" i="7"/>
  <c r="G34" i="4"/>
  <c r="D126" i="4"/>
  <c r="C26" i="14" s="1"/>
  <c r="E126" i="4"/>
  <c r="E110" i="4"/>
  <c r="D110" i="4"/>
  <c r="C21" i="14" s="1"/>
  <c r="E106" i="4"/>
  <c r="D106" i="4"/>
  <c r="C20" i="14" s="1"/>
  <c r="E101" i="4"/>
  <c r="D101" i="4"/>
  <c r="C19" i="14" s="1"/>
  <c r="C17" i="14"/>
  <c r="E90" i="4"/>
  <c r="D74" i="4"/>
  <c r="C16" i="14" s="1"/>
  <c r="D66" i="4"/>
  <c r="C15" i="14" s="1"/>
  <c r="E66" i="4"/>
  <c r="D62" i="4"/>
  <c r="C14" i="14" s="1"/>
  <c r="E62" i="4"/>
  <c r="D43" i="4"/>
  <c r="C13" i="14" s="1"/>
  <c r="D28" i="4"/>
  <c r="E28" i="4"/>
  <c r="D25" i="4"/>
  <c r="E10" i="7"/>
  <c r="C58" i="14" l="1"/>
  <c r="D164" i="19"/>
  <c r="C64" i="14" s="1"/>
  <c r="G148" i="19"/>
  <c r="F149" i="19"/>
  <c r="G149" i="19" s="1"/>
  <c r="I12" i="7"/>
  <c r="I16" i="7" s="1"/>
  <c r="F135" i="4" s="1"/>
  <c r="C9" i="14"/>
  <c r="E136" i="4"/>
  <c r="D136" i="4"/>
  <c r="E138" i="4"/>
  <c r="C12" i="14"/>
  <c r="D9" i="14"/>
  <c r="F106" i="4"/>
  <c r="F94" i="4"/>
  <c r="G94" i="4" l="1"/>
  <c r="H94" i="4"/>
  <c r="H135" i="4"/>
  <c r="F43" i="4"/>
  <c r="H43" i="4" s="1"/>
  <c r="G43" i="4" l="1"/>
  <c r="F18" i="14"/>
  <c r="F66" i="4" l="1"/>
  <c r="F62" i="4"/>
  <c r="H62" i="4" s="1"/>
  <c r="F101" i="4"/>
  <c r="H101" i="4" l="1"/>
  <c r="H66" i="4"/>
  <c r="P9" i="8"/>
  <c r="F17" i="4" l="1"/>
  <c r="F14" i="4"/>
  <c r="F11" i="4"/>
  <c r="F10" i="4"/>
  <c r="F9" i="4"/>
  <c r="F8" i="4" s="1"/>
  <c r="F7" i="4"/>
  <c r="F6" i="4"/>
  <c r="F5" i="4"/>
  <c r="F4" i="4" s="1"/>
  <c r="E16" i="9"/>
  <c r="E15" i="9"/>
  <c r="E14" i="9"/>
  <c r="E13" i="9"/>
  <c r="D12" i="9"/>
  <c r="E10" i="9"/>
  <c r="E9" i="9"/>
  <c r="E8" i="9"/>
  <c r="E7" i="9"/>
  <c r="E5" i="9"/>
  <c r="E4" i="9"/>
  <c r="F12" i="4" l="1"/>
  <c r="F16" i="4"/>
  <c r="F21" i="4"/>
  <c r="F20" i="4"/>
  <c r="E12" i="9"/>
  <c r="J11" i="4" l="1"/>
  <c r="G9" i="8"/>
  <c r="H9" i="8"/>
  <c r="I9" i="8"/>
  <c r="J9" i="8"/>
  <c r="K9" i="8"/>
  <c r="L9" i="8"/>
  <c r="M9" i="8"/>
  <c r="N9" i="8"/>
  <c r="O9" i="8"/>
  <c r="F9" i="8"/>
  <c r="E12" i="7"/>
  <c r="P28" i="8" l="1"/>
  <c r="O28" i="8"/>
  <c r="N28" i="8"/>
  <c r="M28" i="8"/>
  <c r="L28" i="8"/>
  <c r="K28" i="8"/>
  <c r="J28" i="8"/>
  <c r="I28" i="8"/>
  <c r="H28" i="8"/>
  <c r="P27" i="8"/>
  <c r="O27" i="8"/>
  <c r="N27" i="8"/>
  <c r="M27" i="8"/>
  <c r="L27" i="8"/>
  <c r="K27" i="8"/>
  <c r="J27" i="8"/>
  <c r="I27" i="8"/>
  <c r="H27" i="8"/>
  <c r="G27" i="8"/>
  <c r="P26" i="8"/>
  <c r="O26" i="8"/>
  <c r="N26" i="8"/>
  <c r="M26" i="8"/>
  <c r="L26" i="8"/>
  <c r="K26" i="8"/>
  <c r="J26" i="8"/>
  <c r="I26" i="8"/>
  <c r="H26" i="8"/>
  <c r="G26" i="8"/>
  <c r="F26" i="8"/>
  <c r="P25" i="8"/>
  <c r="P24" i="8" s="1"/>
  <c r="N25" i="8"/>
  <c r="L25" i="8"/>
  <c r="L24" i="8" s="1"/>
  <c r="J25" i="8"/>
  <c r="H25" i="8"/>
  <c r="F25" i="8"/>
  <c r="H24" i="8"/>
  <c r="F22" i="8"/>
  <c r="F27" i="8" s="1"/>
  <c r="P19" i="8"/>
  <c r="O19" i="8"/>
  <c r="N19" i="8"/>
  <c r="M19" i="8"/>
  <c r="L19" i="8"/>
  <c r="K19" i="8"/>
  <c r="J19" i="8"/>
  <c r="I19" i="8"/>
  <c r="H19" i="8"/>
  <c r="G19" i="8"/>
  <c r="F19" i="8"/>
  <c r="P14" i="8"/>
  <c r="O14" i="8"/>
  <c r="N14" i="8"/>
  <c r="M14" i="8"/>
  <c r="L14" i="8"/>
  <c r="K14" i="8"/>
  <c r="J14" i="8"/>
  <c r="I14" i="8"/>
  <c r="H14" i="8"/>
  <c r="G14" i="8"/>
  <c r="F14" i="8"/>
  <c r="P4" i="8"/>
  <c r="O4" i="8"/>
  <c r="O25" i="8" s="1"/>
  <c r="O24" i="8" s="1"/>
  <c r="N4" i="8"/>
  <c r="M4" i="8"/>
  <c r="L4" i="8"/>
  <c r="K4" i="8"/>
  <c r="K25" i="8" s="1"/>
  <c r="K24" i="8" s="1"/>
  <c r="J4" i="8"/>
  <c r="I4" i="8"/>
  <c r="H4" i="8"/>
  <c r="G4" i="8"/>
  <c r="G29" i="8" s="1"/>
  <c r="F4" i="8"/>
  <c r="F29" i="8" s="1"/>
  <c r="F28" i="8" s="1"/>
  <c r="H48" i="8"/>
  <c r="I48" i="8" s="1"/>
  <c r="J48" i="8" s="1"/>
  <c r="D16" i="9"/>
  <c r="D15" i="9"/>
  <c r="C16" i="9"/>
  <c r="C15" i="9"/>
  <c r="F23" i="4"/>
  <c r="F22" i="4"/>
  <c r="G21" i="4"/>
  <c r="G20" i="4"/>
  <c r="E153" i="4"/>
  <c r="E154" i="4" s="1"/>
  <c r="E145" i="4"/>
  <c r="E149" i="4" s="1"/>
  <c r="G144" i="4"/>
  <c r="F41" i="14" s="1"/>
  <c r="G142" i="4"/>
  <c r="F39" i="14" s="1"/>
  <c r="G141" i="4"/>
  <c r="F38" i="14" s="1"/>
  <c r="G135" i="4"/>
  <c r="F32" i="14" s="1"/>
  <c r="G134" i="4"/>
  <c r="F31" i="14" s="1"/>
  <c r="G132" i="4"/>
  <c r="F29" i="14" s="1"/>
  <c r="G131" i="4"/>
  <c r="F28" i="14" s="1"/>
  <c r="G130" i="4"/>
  <c r="F27" i="14" s="1"/>
  <c r="G126" i="4"/>
  <c r="F26" i="14" s="1"/>
  <c r="G125" i="4"/>
  <c r="F25" i="14" s="1"/>
  <c r="G123" i="4"/>
  <c r="F23" i="14" s="1"/>
  <c r="G122" i="4"/>
  <c r="F22" i="14" s="1"/>
  <c r="G111" i="4"/>
  <c r="G108" i="4"/>
  <c r="G109" i="4"/>
  <c r="G107" i="4"/>
  <c r="G103" i="4"/>
  <c r="G104" i="4"/>
  <c r="G105" i="4"/>
  <c r="G102" i="4"/>
  <c r="G92" i="4"/>
  <c r="G93" i="4"/>
  <c r="G91" i="4"/>
  <c r="G75" i="4"/>
  <c r="G69" i="4"/>
  <c r="G70" i="4"/>
  <c r="G72" i="4"/>
  <c r="G68" i="4"/>
  <c r="G67" i="4"/>
  <c r="G65" i="4"/>
  <c r="G64" i="4"/>
  <c r="G63" i="4"/>
  <c r="G30" i="4"/>
  <c r="G31" i="4"/>
  <c r="G32" i="4"/>
  <c r="G33" i="4"/>
  <c r="G36" i="4"/>
  <c r="G37" i="4"/>
  <c r="G38" i="4"/>
  <c r="G39" i="4"/>
  <c r="G40" i="4"/>
  <c r="G41" i="4"/>
  <c r="G42" i="4"/>
  <c r="F13" i="14"/>
  <c r="G62" i="4"/>
  <c r="F14" i="14" s="1"/>
  <c r="G66" i="4"/>
  <c r="F15" i="14" s="1"/>
  <c r="G74" i="4"/>
  <c r="F16" i="14" s="1"/>
  <c r="G90" i="4"/>
  <c r="F17" i="14" s="1"/>
  <c r="G101" i="4"/>
  <c r="F19" i="14" s="1"/>
  <c r="G106" i="4"/>
  <c r="F20" i="14" s="1"/>
  <c r="G110" i="4"/>
  <c r="F21" i="14" s="1"/>
  <c r="G29" i="4"/>
  <c r="J12" i="4" l="1"/>
  <c r="J13" i="4" s="1"/>
  <c r="F25" i="4"/>
  <c r="G22" i="4"/>
  <c r="G25" i="4"/>
  <c r="M25" i="8"/>
  <c r="M24" i="8" s="1"/>
  <c r="F24" i="8"/>
  <c r="J24" i="8"/>
  <c r="I25" i="8"/>
  <c r="I24" i="8" s="1"/>
  <c r="N24" i="8"/>
  <c r="G25" i="8"/>
  <c r="G24" i="8" s="1"/>
  <c r="G23" i="4"/>
  <c r="E147" i="4"/>
  <c r="G145" i="4"/>
  <c r="E150" i="4"/>
  <c r="F149" i="4" l="1"/>
  <c r="G149" i="4" s="1"/>
  <c r="F9" i="14"/>
  <c r="F136" i="4"/>
  <c r="F138" i="4" s="1"/>
  <c r="E151" i="4"/>
  <c r="G138" i="4" l="1"/>
  <c r="G124" i="4"/>
  <c r="F24" i="14" s="1"/>
  <c r="C19" i="8"/>
  <c r="C10" i="8"/>
  <c r="C18" i="8" s="1"/>
  <c r="D145" i="4"/>
  <c r="D149" i="4" s="1"/>
  <c r="D153" i="4"/>
  <c r="D154" i="4" s="1"/>
  <c r="F147" i="4" l="1"/>
  <c r="G147" i="4" s="1"/>
  <c r="F153" i="4"/>
  <c r="G136" i="4"/>
  <c r="D150" i="4"/>
  <c r="D151" i="4" s="1"/>
  <c r="D138" i="4"/>
  <c r="D147" i="4" s="1"/>
  <c r="D42" i="14"/>
  <c r="F154" i="4" l="1"/>
  <c r="G153" i="4"/>
  <c r="B40" i="14"/>
  <c r="B41" i="14"/>
  <c r="B39" i="14"/>
  <c r="A39" i="14"/>
  <c r="A40" i="14"/>
  <c r="A41" i="14"/>
  <c r="B38" i="14"/>
  <c r="A38" i="14"/>
  <c r="E14" i="11"/>
  <c r="F14" i="11" s="1"/>
  <c r="B32" i="14"/>
  <c r="B31" i="14"/>
  <c r="B29" i="14"/>
  <c r="B28" i="14"/>
  <c r="B27" i="14"/>
  <c r="B26" i="14"/>
  <c r="B25" i="14"/>
  <c r="B24" i="14"/>
  <c r="B23" i="14"/>
  <c r="B22" i="14"/>
  <c r="B21" i="14"/>
  <c r="B20" i="14"/>
  <c r="B6" i="14"/>
  <c r="B7" i="14"/>
  <c r="B5" i="14"/>
  <c r="B4" i="14"/>
  <c r="C33" i="11"/>
  <c r="D19" i="11"/>
  <c r="C19" i="11"/>
  <c r="C17" i="11"/>
  <c r="D17" i="11"/>
  <c r="F32" i="11"/>
  <c r="F30" i="11"/>
  <c r="B28" i="11"/>
  <c r="F24" i="11"/>
  <c r="F25" i="11"/>
  <c r="F23" i="11"/>
  <c r="F22" i="11"/>
  <c r="F26" i="11"/>
  <c r="F6" i="11"/>
  <c r="F11" i="11"/>
  <c r="F12" i="11"/>
  <c r="F13" i="11"/>
  <c r="F15" i="11"/>
  <c r="F16" i="11"/>
  <c r="F10" i="11"/>
  <c r="F9" i="11"/>
  <c r="F5" i="11"/>
  <c r="F4" i="11"/>
  <c r="E34" i="11"/>
  <c r="E32" i="11"/>
  <c r="E26" i="11"/>
  <c r="E30" i="11"/>
  <c r="E25" i="11"/>
  <c r="E24" i="11"/>
  <c r="E23" i="11"/>
  <c r="E22" i="11"/>
  <c r="E16" i="11"/>
  <c r="E15" i="11"/>
  <c r="E10" i="11"/>
  <c r="E11" i="11"/>
  <c r="E12" i="11"/>
  <c r="E13" i="11"/>
  <c r="E9" i="11"/>
  <c r="E6" i="11"/>
  <c r="E4" i="11"/>
  <c r="G154" i="4" l="1"/>
  <c r="F150" i="4"/>
  <c r="C42" i="14"/>
  <c r="E42" i="14"/>
  <c r="F42" i="14" s="1"/>
  <c r="D33" i="14"/>
  <c r="E17" i="11"/>
  <c r="B9" i="14"/>
  <c r="D46" i="14"/>
  <c r="D28" i="11"/>
  <c r="F151" i="4" l="1"/>
  <c r="G151" i="4" s="1"/>
  <c r="G150" i="4"/>
  <c r="C46" i="14"/>
  <c r="D35" i="14"/>
  <c r="D44" i="14" s="1"/>
  <c r="D50" i="14"/>
  <c r="D51" i="14" s="1"/>
  <c r="D47" i="14" s="1"/>
  <c r="D48" i="14" s="1"/>
  <c r="E19" i="11"/>
  <c r="E35" i="11"/>
  <c r="F17" i="11"/>
  <c r="D5" i="9"/>
  <c r="D7" i="9"/>
  <c r="D8" i="9"/>
  <c r="D9" i="9"/>
  <c r="D10" i="9"/>
  <c r="D4" i="9"/>
  <c r="B101" i="4"/>
  <c r="B19" i="14" s="1"/>
  <c r="C101" i="4"/>
  <c r="B90" i="4"/>
  <c r="B17" i="14" s="1"/>
  <c r="C90" i="4"/>
  <c r="B74" i="4"/>
  <c r="B16" i="14" s="1"/>
  <c r="B66" i="4"/>
  <c r="B15" i="14" s="1"/>
  <c r="C74" i="4"/>
  <c r="C62" i="4"/>
  <c r="B62" i="4"/>
  <c r="B14" i="14" s="1"/>
  <c r="C43" i="4"/>
  <c r="B43" i="4"/>
  <c r="B13" i="14" s="1"/>
  <c r="C28" i="4"/>
  <c r="B28" i="4"/>
  <c r="B12" i="14" s="1"/>
  <c r="B25" i="4"/>
  <c r="C25" i="4"/>
  <c r="E14" i="7"/>
  <c r="E28" i="11" l="1"/>
  <c r="F19" i="11"/>
  <c r="F28" i="11" s="1"/>
  <c r="B136" i="4"/>
  <c r="B138" i="4" s="1"/>
  <c r="D111" i="17"/>
  <c r="D125" i="17"/>
  <c r="D43" i="16"/>
  <c r="D11" i="17"/>
  <c r="D48" i="17"/>
  <c r="D47" i="17" s="1"/>
  <c r="F12" i="17"/>
  <c r="E11" i="18"/>
  <c r="G10" i="18"/>
  <c r="G9" i="18"/>
  <c r="G8" i="18"/>
  <c r="G7" i="18"/>
  <c r="M7" i="18"/>
  <c r="G6" i="18"/>
  <c r="G5" i="18"/>
  <c r="M6" i="18"/>
  <c r="M5" i="18"/>
  <c r="M4" i="18"/>
  <c r="G4" i="18"/>
  <c r="M3" i="18"/>
  <c r="D6" i="17"/>
  <c r="D5" i="17"/>
  <c r="D4" i="17"/>
  <c r="D121" i="17"/>
  <c r="C121" i="17"/>
  <c r="F120" i="17"/>
  <c r="F119" i="17"/>
  <c r="F118" i="17"/>
  <c r="F117" i="17"/>
  <c r="B112" i="17"/>
  <c r="B131" i="17" s="1"/>
  <c r="F110" i="17"/>
  <c r="F108" i="17"/>
  <c r="D108" i="17"/>
  <c r="F107" i="17"/>
  <c r="F104" i="17"/>
  <c r="D103" i="17"/>
  <c r="C103" i="17"/>
  <c r="F103" i="17" s="1"/>
  <c r="F102" i="17"/>
  <c r="D101" i="17"/>
  <c r="F101" i="17" s="1"/>
  <c r="F100" i="17"/>
  <c r="F99" i="17"/>
  <c r="D85" i="17"/>
  <c r="F85" i="17" s="1"/>
  <c r="F83" i="17"/>
  <c r="F82" i="17"/>
  <c r="D81" i="17"/>
  <c r="F81" i="17" s="1"/>
  <c r="F80" i="17"/>
  <c r="F78" i="17"/>
  <c r="F77" i="17"/>
  <c r="D76" i="17"/>
  <c r="C76" i="17"/>
  <c r="F75" i="17"/>
  <c r="F74" i="17"/>
  <c r="F73" i="17"/>
  <c r="D72" i="17"/>
  <c r="D16" i="16" s="1"/>
  <c r="C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D59" i="17"/>
  <c r="C59" i="17"/>
  <c r="C15" i="16" s="1"/>
  <c r="D58" i="17"/>
  <c r="F58" i="17" s="1"/>
  <c r="F57" i="17"/>
  <c r="C56" i="17"/>
  <c r="F56" i="17" s="1"/>
  <c r="F55" i="17"/>
  <c r="F54" i="17"/>
  <c r="F53" i="17"/>
  <c r="F52" i="17"/>
  <c r="C51" i="17"/>
  <c r="C14" i="16" s="1"/>
  <c r="F50" i="17"/>
  <c r="C47" i="17"/>
  <c r="F45" i="17"/>
  <c r="F44" i="17"/>
  <c r="F43" i="17"/>
  <c r="F42" i="17"/>
  <c r="F41" i="17"/>
  <c r="F40" i="17"/>
  <c r="F39" i="17"/>
  <c r="F38" i="17"/>
  <c r="F37" i="17"/>
  <c r="F36" i="17"/>
  <c r="F32" i="17"/>
  <c r="F31" i="17"/>
  <c r="F30" i="17"/>
  <c r="F29" i="17"/>
  <c r="F28" i="17"/>
  <c r="F26" i="17"/>
  <c r="D25" i="17"/>
  <c r="F25" i="17" s="1"/>
  <c r="C25" i="17"/>
  <c r="C12" i="16" s="1"/>
  <c r="F23" i="17"/>
  <c r="F22" i="17"/>
  <c r="F21" i="17"/>
  <c r="F20" i="17"/>
  <c r="F19" i="17"/>
  <c r="F18" i="17"/>
  <c r="F17" i="17"/>
  <c r="F16" i="17"/>
  <c r="F15" i="17"/>
  <c r="F14" i="17"/>
  <c r="F13" i="17"/>
  <c r="C11" i="17"/>
  <c r="C11" i="16" s="1"/>
  <c r="C8" i="17"/>
  <c r="C43" i="16"/>
  <c r="D39" i="16"/>
  <c r="C39" i="16"/>
  <c r="B39" i="16"/>
  <c r="F38" i="16"/>
  <c r="F37" i="16"/>
  <c r="F36" i="16"/>
  <c r="F35" i="16"/>
  <c r="B30" i="16"/>
  <c r="B49" i="16" s="1"/>
  <c r="B50" i="16" s="1"/>
  <c r="C29" i="16"/>
  <c r="D28" i="16"/>
  <c r="C28" i="16"/>
  <c r="D27" i="16"/>
  <c r="C27" i="16"/>
  <c r="D26" i="16"/>
  <c r="C26" i="16"/>
  <c r="D25" i="16"/>
  <c r="C25" i="16"/>
  <c r="D24" i="16"/>
  <c r="C24" i="16"/>
  <c r="F24" i="16" s="1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C16" i="16"/>
  <c r="C13" i="16"/>
  <c r="C8" i="16"/>
  <c r="C45" i="16" s="1"/>
  <c r="B8" i="16"/>
  <c r="B45" i="16" s="1"/>
  <c r="B114" i="17" l="1"/>
  <c r="F47" i="17"/>
  <c r="D51" i="17"/>
  <c r="F59" i="17"/>
  <c r="D15" i="16"/>
  <c r="F15" i="16" s="1"/>
  <c r="B32" i="16"/>
  <c r="B41" i="16" s="1"/>
  <c r="F18" i="16"/>
  <c r="F39" i="16"/>
  <c r="F20" i="16"/>
  <c r="F28" i="16"/>
  <c r="F12" i="16"/>
  <c r="F17" i="16"/>
  <c r="F21" i="16"/>
  <c r="F25" i="16"/>
  <c r="F76" i="17"/>
  <c r="F11" i="17"/>
  <c r="D12" i="16"/>
  <c r="B132" i="17"/>
  <c r="B128" i="17" s="1"/>
  <c r="F19" i="16"/>
  <c r="F27" i="16"/>
  <c r="C127" i="17"/>
  <c r="F22" i="16"/>
  <c r="F26" i="16"/>
  <c r="F23" i="16"/>
  <c r="F16" i="16"/>
  <c r="F48" i="17"/>
  <c r="D13" i="16"/>
  <c r="F13" i="16" s="1"/>
  <c r="D11" i="16"/>
  <c r="F11" i="16" s="1"/>
  <c r="M8" i="18"/>
  <c r="G12" i="18" s="1"/>
  <c r="G11" i="18"/>
  <c r="B46" i="16"/>
  <c r="B47" i="16" s="1"/>
  <c r="C30" i="16"/>
  <c r="C49" i="16" s="1"/>
  <c r="F72" i="17"/>
  <c r="C112" i="17"/>
  <c r="F121" i="17"/>
  <c r="F51" i="17" l="1"/>
  <c r="D14" i="16"/>
  <c r="F14" i="16" s="1"/>
  <c r="C32" i="16"/>
  <c r="G14" i="18"/>
  <c r="C41" i="16"/>
  <c r="C50" i="16"/>
  <c r="C131" i="17"/>
  <c r="C114" i="17"/>
  <c r="C132" i="17" l="1"/>
  <c r="C123" i="17"/>
  <c r="C46" i="16"/>
  <c r="C128" i="17" l="1"/>
  <c r="C47" i="16"/>
  <c r="C129" i="17" l="1"/>
  <c r="B5" i="10" l="1"/>
  <c r="B7" i="10"/>
  <c r="B153" i="4" l="1"/>
  <c r="B42" i="14"/>
  <c r="B33" i="14"/>
  <c r="B50" i="14" s="1"/>
  <c r="B51" i="14" s="1"/>
  <c r="C126" i="4"/>
  <c r="D35" i="11"/>
  <c r="C35" i="11"/>
  <c r="B17" i="11"/>
  <c r="B35" i="11" s="1"/>
  <c r="C26" i="11"/>
  <c r="C6" i="11"/>
  <c r="B26" i="11"/>
  <c r="B6" i="11"/>
  <c r="F28" i="13"/>
  <c r="C30" i="13"/>
  <c r="D30" i="13"/>
  <c r="F21" i="13"/>
  <c r="C14" i="13"/>
  <c r="D14" i="13"/>
  <c r="B14" i="13"/>
  <c r="B30" i="13" s="1"/>
  <c r="F10" i="13"/>
  <c r="D6" i="13"/>
  <c r="D16" i="13" s="1"/>
  <c r="C6" i="13"/>
  <c r="C16" i="13" s="1"/>
  <c r="F4" i="13"/>
  <c r="C23" i="13"/>
  <c r="B23" i="13"/>
  <c r="B6" i="13"/>
  <c r="B16" i="13" s="1"/>
  <c r="B25" i="13" s="1"/>
  <c r="D23" i="13"/>
  <c r="F20" i="13"/>
  <c r="F19" i="13"/>
  <c r="F13" i="13"/>
  <c r="F12" i="13"/>
  <c r="F11" i="13"/>
  <c r="F9" i="13"/>
  <c r="F14" i="13" s="1"/>
  <c r="F6" i="13"/>
  <c r="F16" i="13" s="1"/>
  <c r="F5" i="13"/>
  <c r="D26" i="11"/>
  <c r="D6" i="11"/>
  <c r="F35" i="11" l="1"/>
  <c r="D33" i="11"/>
  <c r="F33" i="11" s="1"/>
  <c r="B46" i="14"/>
  <c r="B47" i="14" s="1"/>
  <c r="B154" i="4"/>
  <c r="B150" i="4" s="1"/>
  <c r="F125" i="17"/>
  <c r="B19" i="11"/>
  <c r="B32" i="11"/>
  <c r="B35" i="14"/>
  <c r="B44" i="14" s="1"/>
  <c r="C32" i="11"/>
  <c r="C28" i="11"/>
  <c r="C25" i="13"/>
  <c r="D25" i="13"/>
  <c r="B27" i="13"/>
  <c r="B29" i="13" s="1"/>
  <c r="C27" i="13"/>
  <c r="C29" i="13" s="1"/>
  <c r="F30" i="13"/>
  <c r="D27" i="13"/>
  <c r="F23" i="13"/>
  <c r="F25" i="13" s="1"/>
  <c r="D32" i="11"/>
  <c r="C34" i="11" l="1"/>
  <c r="F43" i="16"/>
  <c r="B34" i="11"/>
  <c r="B48" i="14"/>
  <c r="D29" i="13"/>
  <c r="F29" i="13" s="1"/>
  <c r="F27" i="13"/>
  <c r="D34" i="11"/>
  <c r="F34" i="11" s="1"/>
  <c r="C145" i="4" l="1"/>
  <c r="C71" i="4"/>
  <c r="C66" i="4" l="1"/>
  <c r="C33" i="14" s="1"/>
  <c r="C50" i="14" l="1"/>
  <c r="C51" i="14" s="1"/>
  <c r="C35" i="14"/>
  <c r="C44" i="14" s="1"/>
  <c r="C136" i="4"/>
  <c r="C138" i="4" s="1"/>
  <c r="F111" i="17" l="1"/>
  <c r="D29" i="16"/>
  <c r="D112" i="17"/>
  <c r="D131" i="17" l="1"/>
  <c r="F112" i="17"/>
  <c r="F29" i="16"/>
  <c r="D30" i="16"/>
  <c r="D49" i="16" s="1"/>
  <c r="E33" i="14" l="1"/>
  <c r="F30" i="16"/>
  <c r="D132" i="17"/>
  <c r="F131" i="17"/>
  <c r="C15" i="8"/>
  <c r="E50" i="14" l="1"/>
  <c r="E51" i="14" s="1"/>
  <c r="F33" i="14"/>
  <c r="F50" i="14" s="1"/>
  <c r="F51" i="14" s="1"/>
  <c r="F132" i="17"/>
  <c r="D50" i="16"/>
  <c r="F49" i="16"/>
  <c r="C23" i="8"/>
  <c r="C22" i="8"/>
  <c r="D7" i="10"/>
  <c r="D6" i="10"/>
  <c r="D8" i="10"/>
  <c r="D5" i="10"/>
  <c r="C21" i="8" l="1"/>
  <c r="C14" i="9"/>
  <c r="D14" i="9"/>
  <c r="D13" i="9"/>
  <c r="C13" i="9"/>
  <c r="F50" i="16"/>
  <c r="C47" i="14"/>
  <c r="C48" i="14" s="1"/>
  <c r="E6" i="10"/>
  <c r="E7" i="10"/>
  <c r="E8" i="10"/>
  <c r="D2" i="10"/>
  <c r="E2" i="10" s="1"/>
  <c r="A14" i="10"/>
  <c r="B14" i="10" s="1"/>
  <c r="C14" i="10" s="1"/>
  <c r="E9" i="10" l="1"/>
  <c r="C7" i="9"/>
  <c r="D3" i="10"/>
  <c r="E3" i="10" s="1"/>
  <c r="D4" i="10"/>
  <c r="E4" i="10" s="1"/>
  <c r="E5" i="10"/>
  <c r="A20" i="10"/>
  <c r="E11" i="10" l="1"/>
  <c r="E10" i="10"/>
  <c r="C8" i="9" s="1"/>
  <c r="C20" i="8"/>
  <c r="D7" i="17" l="1"/>
  <c r="C17" i="8"/>
  <c r="F5" i="17"/>
  <c r="D5" i="16"/>
  <c r="F5" i="16" s="1"/>
  <c r="C12" i="9"/>
  <c r="F6" i="17" l="1"/>
  <c r="D6" i="16"/>
  <c r="F6" i="16" s="1"/>
  <c r="D7" i="16"/>
  <c r="F7" i="16" s="1"/>
  <c r="F7" i="17"/>
  <c r="F4" i="17"/>
  <c r="D4" i="16"/>
  <c r="D8" i="17"/>
  <c r="F8" i="17" l="1"/>
  <c r="D127" i="17"/>
  <c r="D128" i="17" s="1"/>
  <c r="D114" i="17"/>
  <c r="F4" i="16"/>
  <c r="F8" i="16" s="1"/>
  <c r="D8" i="16"/>
  <c r="D45" i="16" s="1"/>
  <c r="D46" i="16" s="1"/>
  <c r="F46" i="14" l="1"/>
  <c r="E46" i="14"/>
  <c r="E47" i="14" s="1"/>
  <c r="E48" i="14" s="1"/>
  <c r="E35" i="14"/>
  <c r="D32" i="16"/>
  <c r="D123" i="17"/>
  <c r="F123" i="17" s="1"/>
  <c r="F114" i="17"/>
  <c r="F128" i="17"/>
  <c r="F127" i="17"/>
  <c r="E44" i="14" l="1"/>
  <c r="F35" i="14"/>
  <c r="F44" i="14" s="1"/>
  <c r="F46" i="16"/>
  <c r="F45" i="16"/>
  <c r="D47" i="16"/>
  <c r="F47" i="16" s="1"/>
  <c r="D129" i="17"/>
  <c r="F129" i="17" s="1"/>
  <c r="D41" i="16"/>
  <c r="F41" i="16" s="1"/>
  <c r="F32" i="16"/>
  <c r="C149" i="4"/>
  <c r="F47" i="14" l="1"/>
  <c r="F48" i="14" s="1"/>
  <c r="C153" i="4" l="1"/>
  <c r="C154" i="4" s="1"/>
  <c r="C150" i="4" s="1"/>
  <c r="C151" i="4" l="1"/>
  <c r="C14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Jared Maughan</author>
  </authors>
  <commentList>
    <comment ref="G5" authorId="0" shapeId="0" xr:uid="{F5D0D454-B252-4C02-8F71-3787F541B134}">
      <text>
        <r>
          <rPr>
            <b/>
            <sz val="9"/>
            <color indexed="81"/>
            <rFont val="Tahoma"/>
            <family val="2"/>
          </rPr>
          <t>Email response from Preston Lee 08/11/2025 @3:35PM (sent a spreadsheet)</t>
        </r>
      </text>
    </comment>
    <comment ref="G11" authorId="0" shapeId="0" xr:uid="{9946BAB5-7B0D-4F1F-B6BA-EF3AE17A7333}">
      <text>
        <r>
          <rPr>
            <b/>
            <sz val="9"/>
            <color indexed="81"/>
            <rFont val="Tahoma"/>
            <family val="2"/>
          </rPr>
          <t>Email response from Jaren Scott 8/11/25 @2:13PM
Jordan projected 8,500 tons</t>
        </r>
      </text>
    </comment>
    <comment ref="G15" authorId="0" shapeId="0" xr:uid="{A1D5A7E1-07A7-4AA6-992B-6D1F423B8724}">
      <text>
        <r>
          <rPr>
            <b/>
            <sz val="9"/>
            <color indexed="81"/>
            <rFont val="Tahoma"/>
            <family val="2"/>
          </rPr>
          <t>Email response from Neil Schwendiman 08/12/25 @4:35PM</t>
        </r>
      </text>
    </comment>
    <comment ref="G20" authorId="0" shapeId="0" xr:uid="{71E5CD72-853C-4CD0-9996-D12BFFD953B8}">
      <text>
        <r>
          <rPr>
            <b/>
            <sz val="9"/>
            <color indexed="81"/>
            <rFont val="Tahoma"/>
            <family val="2"/>
          </rPr>
          <t>Email response from Terry Ficklin 08/12/25 @10:59AM</t>
        </r>
      </text>
    </comment>
  </commentList>
</comments>
</file>

<file path=xl/sharedStrings.xml><?xml version="1.0" encoding="utf-8"?>
<sst xmlns="http://schemas.openxmlformats.org/spreadsheetml/2006/main" count="1104" uniqueCount="330">
  <si>
    <t>Operating Revenue</t>
  </si>
  <si>
    <t>Total Operating Revenue</t>
  </si>
  <si>
    <t>Total Expenses</t>
  </si>
  <si>
    <t>Nonoperating Revenues (Expenses)</t>
  </si>
  <si>
    <t>Total Nonoperating Income (Loss)</t>
  </si>
  <si>
    <t>Change in Net Position</t>
  </si>
  <si>
    <t>Revenue</t>
  </si>
  <si>
    <t>Total Sources</t>
  </si>
  <si>
    <t>Operations Expense</t>
  </si>
  <si>
    <t>Total Operating Expenses</t>
  </si>
  <si>
    <t>Payroll</t>
  </si>
  <si>
    <t>Repairs &amp; Maintenance</t>
  </si>
  <si>
    <t>Fuel</t>
  </si>
  <si>
    <t>Depreciation Expense</t>
  </si>
  <si>
    <t>Interest Income - PTIF Account</t>
  </si>
  <si>
    <t>Sludge Fees</t>
  </si>
  <si>
    <t>Utilities</t>
  </si>
  <si>
    <t>Travel and Training</t>
  </si>
  <si>
    <t>Truck Reimbursement</t>
  </si>
  <si>
    <t>Licenses &amp; Fees</t>
  </si>
  <si>
    <t>Land Rental (Sitla Lease)</t>
  </si>
  <si>
    <t>Closure/Post Closure Expense</t>
  </si>
  <si>
    <t>Administrative Operating Expense</t>
  </si>
  <si>
    <t>Contingency</t>
  </si>
  <si>
    <t>Equipment Rental</t>
  </si>
  <si>
    <t>Interest Income - Wells Fargo Checking</t>
  </si>
  <si>
    <t>Capital Expense</t>
  </si>
  <si>
    <t>Total Operating Income (Loss)</t>
  </si>
  <si>
    <t>Other Income Payroll Tax Refund</t>
  </si>
  <si>
    <t>Wells Fargo Fraudulent Checks</t>
  </si>
  <si>
    <t>Gas System Maintenance</t>
  </si>
  <si>
    <t>Professional Services</t>
  </si>
  <si>
    <t>Year</t>
  </si>
  <si>
    <t>Landfill Truck</t>
  </si>
  <si>
    <t>Equipment / Description</t>
  </si>
  <si>
    <t>Amount</t>
  </si>
  <si>
    <t>LFG Loan Payment - Interest Portion</t>
  </si>
  <si>
    <t>Funds Transfers from Reserves</t>
  </si>
  <si>
    <t>Total Expenses Details</t>
  </si>
  <si>
    <t>2024 2nd Ammended Budget</t>
  </si>
  <si>
    <t>2025 Tentative Budget</t>
  </si>
  <si>
    <t>Other Fees</t>
  </si>
  <si>
    <t>NPSWD</t>
  </si>
  <si>
    <t>SUVSWD</t>
  </si>
  <si>
    <t>Sludge</t>
  </si>
  <si>
    <t>TJSWD</t>
  </si>
  <si>
    <t>MSW</t>
  </si>
  <si>
    <t>Direct</t>
  </si>
  <si>
    <t>Bayview Project (Solid Waste Tonnage Fees)</t>
  </si>
  <si>
    <t>Tipper</t>
  </si>
  <si>
    <t>Yarddog</t>
  </si>
  <si>
    <t>Special Handling</t>
  </si>
  <si>
    <t>Cert. of Destruct.</t>
  </si>
  <si>
    <t>Direct Haul Fees</t>
  </si>
  <si>
    <t>Other</t>
  </si>
  <si>
    <t>2025 CAPITAL PURCHASES &amp; PROJECTS</t>
  </si>
  <si>
    <t>Type</t>
  </si>
  <si>
    <t>Purchase</t>
  </si>
  <si>
    <t>Project</t>
  </si>
  <si>
    <t>CAT 623 Scraper Tires</t>
  </si>
  <si>
    <t>Other fees + Tonnage</t>
  </si>
  <si>
    <t>Pitbull HDPE Fusing Machine</t>
  </si>
  <si>
    <t>Tipper - Tonnage per Hour</t>
  </si>
  <si>
    <t>Tipper - Tips per hour</t>
  </si>
  <si>
    <t>Per Week</t>
  </si>
  <si>
    <t>Trips per day (2)</t>
  </si>
  <si>
    <t>Per Trip</t>
  </si>
  <si>
    <t>Annual Tonnage</t>
  </si>
  <si>
    <t xml:space="preserve"> </t>
  </si>
  <si>
    <t>Cost/ton</t>
  </si>
  <si>
    <t>Depreciation Cost (Annual)</t>
  </si>
  <si>
    <t>Depreciation Years</t>
  </si>
  <si>
    <t>Equipment</t>
  </si>
  <si>
    <t>Salaries &amp; Wages</t>
  </si>
  <si>
    <t>FICA/Medicare</t>
  </si>
  <si>
    <t>Retirement/401k</t>
  </si>
  <si>
    <t>Worker's Compensation</t>
  </si>
  <si>
    <t>Health Dental Eye &amp; Life Insurance</t>
  </si>
  <si>
    <t>Health Savings Account   (H.S.A.)</t>
  </si>
  <si>
    <t>Other Benefits</t>
  </si>
  <si>
    <t>Unemployment</t>
  </si>
  <si>
    <t>Employee Allowances</t>
  </si>
  <si>
    <t>Long Term Disability Insurance</t>
  </si>
  <si>
    <t>Contract Wages</t>
  </si>
  <si>
    <t>Overtime</t>
  </si>
  <si>
    <t>Oil &amp; Fluids</t>
  </si>
  <si>
    <t>Fuel (Landfill)</t>
  </si>
  <si>
    <t>Fuel (Support Services)</t>
  </si>
  <si>
    <t>Radio Phones</t>
  </si>
  <si>
    <t>Cell Phones</t>
  </si>
  <si>
    <t>Natural Gas/Propane</t>
  </si>
  <si>
    <t>Electricity</t>
  </si>
  <si>
    <t>Water &amp; Sewer</t>
  </si>
  <si>
    <t>Security</t>
  </si>
  <si>
    <t>Internet / VOIP Phones</t>
  </si>
  <si>
    <t>Grounds Maintenance</t>
  </si>
  <si>
    <t>Port-O-Let</t>
  </si>
  <si>
    <t>Building Maintenance</t>
  </si>
  <si>
    <t>Small Truck Parts</t>
  </si>
  <si>
    <t>Large Truck Parts</t>
  </si>
  <si>
    <t>Heavy Equipment Parts</t>
  </si>
  <si>
    <t>Tire Repairs</t>
  </si>
  <si>
    <t>Used Tires</t>
  </si>
  <si>
    <t>Small Equipment Repairs</t>
  </si>
  <si>
    <t>Small Truck Services</t>
  </si>
  <si>
    <t>Large Truck Services</t>
  </si>
  <si>
    <t>Heavy Equipment Services</t>
  </si>
  <si>
    <t>Associated Costs</t>
  </si>
  <si>
    <t>Extra Maintenance</t>
  </si>
  <si>
    <t>Extra Fuel (Yard Dogs)</t>
  </si>
  <si>
    <t>TOTALS</t>
  </si>
  <si>
    <t>Tipper Only</t>
  </si>
  <si>
    <t>Yard Dog Only</t>
  </si>
  <si>
    <t>Change From 2024</t>
  </si>
  <si>
    <t>Flare System</t>
  </si>
  <si>
    <t>Gas Lines &amp; Wellheads</t>
  </si>
  <si>
    <t>Parts &amp; Tools</t>
  </si>
  <si>
    <t>Travel</t>
  </si>
  <si>
    <t>Trainings &amp; Conferences</t>
  </si>
  <si>
    <t>Education &amp; Certifications</t>
  </si>
  <si>
    <t>Property and Equipment Insurance</t>
  </si>
  <si>
    <t>Liability Insurance</t>
  </si>
  <si>
    <t>Property Insurance</t>
  </si>
  <si>
    <t>Supplies</t>
  </si>
  <si>
    <t>Office Supplies</t>
  </si>
  <si>
    <t>Cleaning Supplies</t>
  </si>
  <si>
    <t>Office Equipment</t>
  </si>
  <si>
    <t>Bank Charges</t>
  </si>
  <si>
    <t>Oil</t>
  </si>
  <si>
    <t>New Tires</t>
  </si>
  <si>
    <t>Equipment Supplies</t>
  </si>
  <si>
    <t>Uniforms</t>
  </si>
  <si>
    <t>Safety Equipment</t>
  </si>
  <si>
    <t>Signs &amp; Paint</t>
  </si>
  <si>
    <t>Drinking Water &amp; Ice</t>
  </si>
  <si>
    <t>Bird Abatement</t>
  </si>
  <si>
    <t>Small Tools</t>
  </si>
  <si>
    <t>Board &amp; Commissions</t>
  </si>
  <si>
    <t>Public Notice</t>
  </si>
  <si>
    <t>Mileage Reimbursement</t>
  </si>
  <si>
    <t>Filters</t>
  </si>
  <si>
    <t>Public Relations</t>
  </si>
  <si>
    <t>Employee Incentives</t>
  </si>
  <si>
    <t>New</t>
  </si>
  <si>
    <t>Moved</t>
  </si>
  <si>
    <t>Flatbed Tongue-pull 2-axle Tilt Deck Trailer</t>
  </si>
  <si>
    <t>GCCS Horizonal Lines (Lift 13)</t>
  </si>
  <si>
    <t>Cleaning Services</t>
  </si>
  <si>
    <t>Legal Fees</t>
  </si>
  <si>
    <t>Accounting Fees</t>
  </si>
  <si>
    <t>Auditing Fees</t>
  </si>
  <si>
    <t>Safety Project</t>
  </si>
  <si>
    <t>IT &amp; Computer Services</t>
  </si>
  <si>
    <t>Subscriptions</t>
  </si>
  <si>
    <t>Engineering</t>
  </si>
  <si>
    <t>Employee Testing</t>
  </si>
  <si>
    <t>Public Outreach</t>
  </si>
  <si>
    <t xml:space="preserve">Groundwater Monitoring </t>
  </si>
  <si>
    <t>Memberships and Dues</t>
  </si>
  <si>
    <t>Drug Testing</t>
  </si>
  <si>
    <t>Remove</t>
  </si>
  <si>
    <t>Team Meetings</t>
  </si>
  <si>
    <t>Employee Appreciation &amp; Incentives</t>
  </si>
  <si>
    <t>Final Cover Hydro-Seeding</t>
  </si>
  <si>
    <t>Public Outreach/Postage</t>
  </si>
  <si>
    <t>Scraper Payment - Principal Portion</t>
  </si>
  <si>
    <t>Sub Total</t>
  </si>
  <si>
    <t>Auto Insurance</t>
  </si>
  <si>
    <t>Increasing headcount by 6 = 4 Operators, 1 Admin, 1 Lead Laborer Litter Control</t>
  </si>
  <si>
    <t>Updated spreadsheet with current premiums (2023 used 4 year old premiums)</t>
  </si>
  <si>
    <t xml:space="preserve">2025 Employee raises </t>
  </si>
  <si>
    <t xml:space="preserve">Fixed calculation errors in previous spreadsheet which increased retirement, insurance, etc. </t>
  </si>
  <si>
    <t>New category to acknowledge, recognize, and show appreciation to employees with monthly lunches, awards, and gift cards as done in the past.</t>
  </si>
  <si>
    <t>Admin laptop, scalehouse computer, 3 desks</t>
  </si>
  <si>
    <t>Moved Travel</t>
  </si>
  <si>
    <t>Moved Fuel</t>
  </si>
  <si>
    <t>Moved Payroll</t>
  </si>
  <si>
    <t>Adding more for Higher Internet &amp; VOIP</t>
  </si>
  <si>
    <t>Over budgeted for the Flare</t>
  </si>
  <si>
    <t>Demoed and added to the facility for security, accidents, and other operation benefits.</t>
  </si>
  <si>
    <t>Buying the onhand parts list, blankets, etc.</t>
  </si>
  <si>
    <t>Life</t>
  </si>
  <si>
    <t>Est Depreciation</t>
  </si>
  <si>
    <t>Assets not placed in service as of 8/31/24 Est 2025 Dep</t>
  </si>
  <si>
    <t>Fixed Asset CS Dep</t>
  </si>
  <si>
    <t>Total Estimated 2025 Depreciation</t>
  </si>
  <si>
    <t>2024 not placed in service assets as of 8/31</t>
  </si>
  <si>
    <t>Service Truck &amp; Lube Truck</t>
  </si>
  <si>
    <t>623 Scraper Tires</t>
  </si>
  <si>
    <t>D8R Engine Reconditioning, Radiator, and Undercarriage</t>
  </si>
  <si>
    <t>GCCS Horizonal Lines (Lift 12)</t>
  </si>
  <si>
    <t>Notes</t>
  </si>
  <si>
    <t>Recycling Revenue</t>
  </si>
  <si>
    <t>Staff Travel/Training</t>
  </si>
  <si>
    <t>Membership Dues /Fees/Prof Fees</t>
  </si>
  <si>
    <t>Administrative/Bank Charges</t>
  </si>
  <si>
    <t>Total Operating Income (loss)</t>
  </si>
  <si>
    <t>Contributions (Intergovermental)</t>
  </si>
  <si>
    <t>Interest Income Wells Fargo</t>
  </si>
  <si>
    <t>Miscellaneous Refunds</t>
  </si>
  <si>
    <t>Capital</t>
  </si>
  <si>
    <t xml:space="preserve">Fund Transfer </t>
  </si>
  <si>
    <t>Change From Prior Year</t>
  </si>
  <si>
    <t>Fees &amp; Fines</t>
  </si>
  <si>
    <t>Prof Expense - Legal</t>
  </si>
  <si>
    <t>Prof Expense - Engineering</t>
  </si>
  <si>
    <t>Prof Expense - Accounting</t>
  </si>
  <si>
    <t>Prof - Other Services</t>
  </si>
  <si>
    <t>Administrative</t>
  </si>
  <si>
    <t>Bayview Contribution</t>
  </si>
  <si>
    <t>Expense Refunds</t>
  </si>
  <si>
    <t>2024 Budget</t>
  </si>
  <si>
    <t>2024 Estimated Actual</t>
  </si>
  <si>
    <t>2024 Amended Budget</t>
  </si>
  <si>
    <t>2023 Actual</t>
  </si>
  <si>
    <t>Tentative Bayview Capital Purchases &amp; Improvements</t>
  </si>
  <si>
    <t>Equipment Insurance</t>
  </si>
  <si>
    <t>Total</t>
  </si>
  <si>
    <t>Employee(s)</t>
  </si>
  <si>
    <t>Yard Truck #1</t>
  </si>
  <si>
    <t>Yard Truck #2</t>
  </si>
  <si>
    <t>Rebuild 836K</t>
  </si>
  <si>
    <t>Scraper Payment - Interest Portion</t>
  </si>
  <si>
    <t>2025 Final Budget</t>
  </si>
  <si>
    <t>N/A</t>
  </si>
  <si>
    <t>2025 1st Amended Budget</t>
  </si>
  <si>
    <t>Increasing for depreciation of Safety Truck</t>
  </si>
  <si>
    <t>Financial Modeling Fees</t>
  </si>
  <si>
    <t>2025 1st Amended Tentative Budget</t>
  </si>
  <si>
    <t>RDO Equipment Refund</t>
  </si>
  <si>
    <t>2025 Original Final Budget</t>
  </si>
  <si>
    <t>2024 2nd Ammended Final Budget</t>
  </si>
  <si>
    <t>RNG Royalty Revenue</t>
  </si>
  <si>
    <t>WIWMD</t>
  </si>
  <si>
    <t>2026 Proposed Budget</t>
  </si>
  <si>
    <t>Key</t>
  </si>
  <si>
    <t>Add Data</t>
  </si>
  <si>
    <t>North Pointe SWSSD</t>
  </si>
  <si>
    <t>South Utah Valley SWD</t>
  </si>
  <si>
    <t>Trans-Jordan Cities</t>
  </si>
  <si>
    <t>Wasatch Integrated WMD</t>
  </si>
  <si>
    <t>MSW Fees</t>
  </si>
  <si>
    <t>Change from 2025-2026</t>
  </si>
  <si>
    <t>NEW</t>
  </si>
  <si>
    <t>RNG Royalties</t>
  </si>
  <si>
    <t>Change</t>
  </si>
  <si>
    <t>NUERA - WASTE DISTRICT TONNAGE PROJECTIONS</t>
  </si>
  <si>
    <t>Tipper/Yarddog</t>
  </si>
  <si>
    <t>Proposed Budget Nuera Bayview Capital Purchases &amp; Improvements</t>
  </si>
  <si>
    <t>2026 Total</t>
  </si>
  <si>
    <t>Pressure Washer/Steam Cleaner</t>
  </si>
  <si>
    <t>Cat 836K Rebuild</t>
  </si>
  <si>
    <t>Cat 623G Rebuild</t>
  </si>
  <si>
    <t>Semi Truck (Backup)</t>
  </si>
  <si>
    <t>Cat D6 Dozer</t>
  </si>
  <si>
    <t>Electricity to Southeast Pad</t>
  </si>
  <si>
    <t>Transferred Waste Fees</t>
  </si>
  <si>
    <t>Heavy Equipment Repairs</t>
  </si>
  <si>
    <t>Remote Restrooms</t>
  </si>
  <si>
    <t>Adding for Scalehouse, 5-Acre Pad, Asphalt Pad, and Flare Area</t>
  </si>
  <si>
    <t>Move</t>
  </si>
  <si>
    <t>Large Truck Repairs</t>
  </si>
  <si>
    <t>Small Truck Repairs</t>
  </si>
  <si>
    <t>Safety Program</t>
  </si>
  <si>
    <t>Vacation/Sick/Retirement Disbursement Accural</t>
  </si>
  <si>
    <t>Shop Supplies</t>
  </si>
  <si>
    <t>Safety Supplies</t>
  </si>
  <si>
    <t>Safety Equipment &amp; PP&amp;E</t>
  </si>
  <si>
    <t>Safety Certifications &amp; Trainings</t>
  </si>
  <si>
    <t>Staff &amp; Safety Meetings</t>
  </si>
  <si>
    <t>Safety Plan &amp; Materials</t>
  </si>
  <si>
    <t>Way over budget for 2025, look into why?</t>
  </si>
  <si>
    <t>Delete</t>
  </si>
  <si>
    <t>Employee Appreciation &amp; Awards</t>
  </si>
  <si>
    <t>Increased Enginnering with Flare, Air Quality, Leachate, etc.</t>
  </si>
  <si>
    <t>Landfill Truck - Flatbed Fuel Truck</t>
  </si>
  <si>
    <t>Pillar Lifts (4)</t>
  </si>
  <si>
    <t>Cleaning Machines &amp; Dozer Tracks</t>
  </si>
  <si>
    <t>Used for side slopes and building top</t>
  </si>
  <si>
    <t>Replace Dodge Fuel Truck</t>
  </si>
  <si>
    <t>Backup Semi Truck</t>
  </si>
  <si>
    <t>Able to lift any Large to Small truck at the landfill</t>
  </si>
  <si>
    <t>Add streelights with power &amp; lighting on the 5-Acre Pad</t>
  </si>
  <si>
    <t>836 Compactor - Interest Portion</t>
  </si>
  <si>
    <t>Land</t>
  </si>
  <si>
    <t>Pending Beetle (Hours?)</t>
  </si>
  <si>
    <t>Non-Cash - Ask Hal? - 10k for Vaca &amp; Sick, 11k for Retirement</t>
  </si>
  <si>
    <t>LIFE</t>
  </si>
  <si>
    <t>EST DEP FOR 2026 (6MO)</t>
  </si>
  <si>
    <t>ESTIMATED DEP FOR 2026 ASSETS</t>
  </si>
  <si>
    <t>ESTIMATED DEP FOR 2025 ASSETS NOT PLACED IN SERVICE AS OF 9/1</t>
  </si>
  <si>
    <t xml:space="preserve">FA CS 2026 DEP </t>
  </si>
  <si>
    <t>TOTAL ESTIMATED DEP FOR 2026</t>
  </si>
  <si>
    <t>INCOME CHECK FIGURE</t>
  </si>
  <si>
    <t>Pending Josh McKell</t>
  </si>
  <si>
    <t>Hiring &amp; Job Postings</t>
  </si>
  <si>
    <t>Pending Review w/Preston &amp; Brett</t>
  </si>
  <si>
    <t>Mechanic, Supervisor, and Operator</t>
  </si>
  <si>
    <t>Tipper, Watertruck/other, Scalehouse Trailer</t>
  </si>
  <si>
    <t>Review FluidSecure</t>
  </si>
  <si>
    <t>Increase for extra fluids on Services?</t>
  </si>
  <si>
    <t>Moved 100,000 to Heavy Equipment Repairs</t>
  </si>
  <si>
    <t>Review and see if this is enough for Small &amp; Large Trucks</t>
  </si>
  <si>
    <t>Tools for shop and mechanic</t>
  </si>
  <si>
    <t>Can we reduce OT?</t>
  </si>
  <si>
    <t xml:space="preserve">Handled inhouse with Mechanic </t>
  </si>
  <si>
    <t>What did we spend in contract wages?</t>
  </si>
  <si>
    <t>NPSWSSD</t>
  </si>
  <si>
    <t>TJ Cities</t>
  </si>
  <si>
    <t>Shipping &amp; Postage</t>
  </si>
  <si>
    <t>Tires</t>
  </si>
  <si>
    <t>Welding Supplies</t>
  </si>
  <si>
    <t>Vehicle Reimbursement</t>
  </si>
  <si>
    <t>Admin Contribution</t>
  </si>
  <si>
    <t xml:space="preserve">Handled by inhouse with Mechanic </t>
  </si>
  <si>
    <t>Consolidated New Tires and Tire Repair Accts</t>
  </si>
  <si>
    <t>Moved to Supplies "Tires"</t>
  </si>
  <si>
    <t>Adding a mechanic</t>
  </si>
  <si>
    <t>Moving all seasonal employees, cleaning, etc. to contract wages</t>
  </si>
  <si>
    <t>%</t>
  </si>
  <si>
    <t>Evaluation of Cash Position</t>
  </si>
  <si>
    <t>Net Position</t>
  </si>
  <si>
    <t>Non-Cash Expenses</t>
  </si>
  <si>
    <t>Depreciation</t>
  </si>
  <si>
    <t>2024 LFG Bond</t>
  </si>
  <si>
    <t>Closure</t>
  </si>
  <si>
    <t>2023 Scraper Lease to Own</t>
  </si>
  <si>
    <t>2025 836 Compactor Lease</t>
  </si>
  <si>
    <t>2025 Capital Purchases</t>
  </si>
  <si>
    <t>Change Cash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</si>
</sst>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0" fillId="0" borderId="3" xfId="0" applyBorder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164" fontId="0" fillId="0" borderId="4" xfId="0" applyNumberFormat="1" applyBorder="1"/>
    <xf numFmtId="165" fontId="0" fillId="0" borderId="0" xfId="0" applyNumberFormat="1"/>
    <xf numFmtId="165" fontId="0" fillId="0" borderId="0" xfId="2" applyNumberFormat="1" applyFont="1"/>
    <xf numFmtId="165" fontId="1" fillId="0" borderId="3" xfId="2" applyNumberFormat="1" applyFont="1" applyBorder="1"/>
    <xf numFmtId="165" fontId="0" fillId="0" borderId="0" xfId="2" applyNumberFormat="1" applyFont="1" applyFill="1"/>
    <xf numFmtId="43" fontId="0" fillId="0" borderId="0" xfId="0" applyNumberFormat="1"/>
    <xf numFmtId="164" fontId="3" fillId="0" borderId="0" xfId="1" applyNumberFormat="1" applyFont="1"/>
    <xf numFmtId="165" fontId="3" fillId="0" borderId="0" xfId="2" applyNumberFormat="1" applyFont="1"/>
    <xf numFmtId="164" fontId="3" fillId="0" borderId="0" xfId="0" applyNumberFormat="1" applyFont="1"/>
    <xf numFmtId="44" fontId="3" fillId="0" borderId="0" xfId="0" applyNumberFormat="1" applyFont="1"/>
    <xf numFmtId="164" fontId="3" fillId="0" borderId="0" xfId="1" applyNumberFormat="1" applyFont="1" applyBorder="1"/>
    <xf numFmtId="165" fontId="3" fillId="0" borderId="0" xfId="2" applyNumberFormat="1" applyFont="1" applyBorder="1"/>
    <xf numFmtId="164" fontId="4" fillId="0" borderId="4" xfId="0" applyNumberFormat="1" applyFont="1" applyBorder="1"/>
    <xf numFmtId="164" fontId="4" fillId="0" borderId="0" xfId="0" applyNumberFormat="1" applyFont="1"/>
    <xf numFmtId="43" fontId="0" fillId="0" borderId="0" xfId="2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165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164" fontId="1" fillId="0" borderId="0" xfId="1" applyNumberFormat="1" applyFont="1"/>
    <xf numFmtId="165" fontId="1" fillId="0" borderId="0" xfId="2" applyNumberFormat="1" applyFont="1"/>
    <xf numFmtId="164" fontId="0" fillId="0" borderId="0" xfId="1" applyNumberFormat="1" applyFont="1" applyBorder="1"/>
    <xf numFmtId="165" fontId="0" fillId="0" borderId="0" xfId="2" applyNumberFormat="1" applyFont="1" applyBorder="1"/>
    <xf numFmtId="164" fontId="2" fillId="0" borderId="4" xfId="0" applyNumberFormat="1" applyFont="1" applyBorder="1"/>
    <xf numFmtId="164" fontId="1" fillId="0" borderId="0" xfId="1" applyNumberFormat="1" applyFont="1" applyBorder="1"/>
    <xf numFmtId="165" fontId="1" fillId="0" borderId="0" xfId="2" applyNumberFormat="1" applyFont="1" applyBorder="1"/>
    <xf numFmtId="0" fontId="2" fillId="0" borderId="8" xfId="0" applyFont="1" applyBorder="1" applyAlignment="1">
      <alignment horizontal="center" vertical="center" wrapText="1"/>
    </xf>
    <xf numFmtId="3" fontId="0" fillId="0" borderId="0" xfId="0" applyNumberFormat="1"/>
    <xf numFmtId="44" fontId="0" fillId="0" borderId="0" xfId="1" applyFont="1"/>
    <xf numFmtId="164" fontId="3" fillId="0" borderId="0" xfId="1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165" fontId="3" fillId="0" borderId="0" xfId="2" applyNumberFormat="1" applyFont="1" applyBorder="1" applyAlignment="1">
      <alignment horizontal="right"/>
    </xf>
    <xf numFmtId="165" fontId="1" fillId="0" borderId="0" xfId="2" applyNumberFormat="1" applyFont="1" applyFill="1"/>
    <xf numFmtId="164" fontId="4" fillId="0" borderId="9" xfId="1" applyNumberFormat="1" applyFont="1" applyBorder="1"/>
    <xf numFmtId="164" fontId="4" fillId="0" borderId="9" xfId="1" applyNumberFormat="1" applyFont="1" applyFill="1" applyBorder="1"/>
    <xf numFmtId="43" fontId="0" fillId="0" borderId="3" xfId="2" applyFont="1" applyBorder="1"/>
    <xf numFmtId="43" fontId="2" fillId="0" borderId="0" xfId="2" applyFont="1"/>
    <xf numFmtId="165" fontId="3" fillId="0" borderId="3" xfId="2" applyNumberFormat="1" applyFont="1" applyBorder="1"/>
    <xf numFmtId="165" fontId="0" fillId="0" borderId="3" xfId="2" applyNumberFormat="1" applyFont="1" applyBorder="1"/>
    <xf numFmtId="44" fontId="4" fillId="0" borderId="4" xfId="0" applyNumberFormat="1" applyFont="1" applyBorder="1"/>
    <xf numFmtId="0" fontId="2" fillId="0" borderId="4" xfId="0" applyFont="1" applyBorder="1"/>
    <xf numFmtId="164" fontId="0" fillId="0" borderId="0" xfId="1" applyNumberFormat="1" applyFont="1"/>
    <xf numFmtId="165" fontId="3" fillId="0" borderId="0" xfId="2" applyNumberFormat="1" applyFont="1" applyFill="1"/>
    <xf numFmtId="0" fontId="9" fillId="0" borderId="0" xfId="0" applyFont="1" applyAlignment="1">
      <alignment horizontal="left" indent="1"/>
    </xf>
    <xf numFmtId="165" fontId="9" fillId="0" borderId="0" xfId="2" applyNumberFormat="1" applyFont="1"/>
    <xf numFmtId="165" fontId="9" fillId="0" borderId="0" xfId="2" applyNumberFormat="1" applyFont="1" applyBorder="1"/>
    <xf numFmtId="165" fontId="9" fillId="0" borderId="0" xfId="2" applyNumberFormat="1" applyFont="1" applyBorder="1" applyAlignment="1">
      <alignment horizontal="right"/>
    </xf>
    <xf numFmtId="165" fontId="9" fillId="0" borderId="0" xfId="2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65" fontId="10" fillId="0" borderId="0" xfId="2" applyNumberFormat="1" applyFont="1" applyAlignment="1">
      <alignment horizontal="right"/>
    </xf>
    <xf numFmtId="165" fontId="10" fillId="0" borderId="0" xfId="2" applyNumberFormat="1" applyFont="1" applyBorder="1" applyAlignment="1">
      <alignment horizontal="right"/>
    </xf>
    <xf numFmtId="0" fontId="2" fillId="0" borderId="9" xfId="0" applyFont="1" applyBorder="1"/>
    <xf numFmtId="164" fontId="2" fillId="0" borderId="9" xfId="0" applyNumberFormat="1" applyFont="1" applyBorder="1"/>
    <xf numFmtId="165" fontId="2" fillId="0" borderId="9" xfId="2" applyNumberFormat="1" applyFont="1" applyFill="1" applyBorder="1"/>
    <xf numFmtId="165" fontId="2" fillId="0" borderId="9" xfId="2" applyNumberFormat="1" applyFont="1" applyBorder="1"/>
    <xf numFmtId="165" fontId="4" fillId="0" borderId="9" xfId="2" applyNumberFormat="1" applyFont="1" applyBorder="1"/>
    <xf numFmtId="0" fontId="2" fillId="0" borderId="9" xfId="0" applyFont="1" applyBorder="1" applyAlignment="1">
      <alignment wrapText="1"/>
    </xf>
    <xf numFmtId="0" fontId="9" fillId="0" borderId="0" xfId="0" applyFont="1" applyAlignment="1">
      <alignment horizontal="left" wrapText="1" indent="1"/>
    </xf>
    <xf numFmtId="0" fontId="9" fillId="0" borderId="0" xfId="0" applyFont="1"/>
    <xf numFmtId="165" fontId="9" fillId="0" borderId="0" xfId="2" applyNumberFormat="1" applyFont="1" applyFill="1" applyBorder="1" applyAlignment="1">
      <alignment horizontal="right"/>
    </xf>
    <xf numFmtId="0" fontId="4" fillId="0" borderId="9" xfId="0" applyFont="1" applyBorder="1" applyAlignment="1">
      <alignment wrapText="1"/>
    </xf>
    <xf numFmtId="164" fontId="4" fillId="0" borderId="9" xfId="0" applyNumberFormat="1" applyFont="1" applyBorder="1"/>
    <xf numFmtId="0" fontId="4" fillId="0" borderId="3" xfId="0" applyFont="1" applyBorder="1"/>
    <xf numFmtId="0" fontId="4" fillId="0" borderId="0" xfId="0" applyFont="1"/>
    <xf numFmtId="43" fontId="2" fillId="0" borderId="0" xfId="0" applyNumberFormat="1" applyFont="1"/>
    <xf numFmtId="164" fontId="2" fillId="0" borderId="5" xfId="0" applyNumberFormat="1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left" indent="1"/>
    </xf>
    <xf numFmtId="164" fontId="2" fillId="0" borderId="5" xfId="1" applyNumberFormat="1" applyFont="1" applyBorder="1"/>
    <xf numFmtId="0" fontId="2" fillId="0" borderId="0" xfId="0" applyFont="1" applyAlignment="1">
      <alignment horizontal="center" vertical="center" wrapText="1"/>
    </xf>
    <xf numFmtId="44" fontId="2" fillId="0" borderId="0" xfId="1" applyFont="1"/>
    <xf numFmtId="0" fontId="2" fillId="0" borderId="3" xfId="0" applyFont="1" applyBorder="1"/>
    <xf numFmtId="164" fontId="2" fillId="0" borderId="0" xfId="1" applyNumberFormat="1" applyFont="1"/>
    <xf numFmtId="164" fontId="2" fillId="0" borderId="3" xfId="1" applyNumberFormat="1" applyFont="1" applyBorder="1"/>
    <xf numFmtId="164" fontId="2" fillId="0" borderId="0" xfId="1" applyNumberFormat="1" applyFont="1" applyBorder="1"/>
    <xf numFmtId="0" fontId="2" fillId="0" borderId="5" xfId="0" applyFont="1" applyBorder="1"/>
    <xf numFmtId="165" fontId="2" fillId="0" borderId="0" xfId="2" applyNumberFormat="1" applyFont="1" applyBorder="1"/>
    <xf numFmtId="165" fontId="2" fillId="0" borderId="0" xfId="2" applyNumberFormat="1" applyFont="1"/>
    <xf numFmtId="164" fontId="2" fillId="0" borderId="4" xfId="1" applyNumberFormat="1" applyFont="1" applyBorder="1"/>
    <xf numFmtId="165" fontId="1" fillId="0" borderId="0" xfId="2" applyNumberFormat="1" applyFont="1" applyFill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0" fillId="0" borderId="6" xfId="0" applyBorder="1"/>
    <xf numFmtId="43" fontId="0" fillId="0" borderId="6" xfId="2" applyFont="1" applyBorder="1"/>
    <xf numFmtId="43" fontId="0" fillId="0" borderId="0" xfId="2" applyFont="1" applyBorder="1"/>
    <xf numFmtId="0" fontId="0" fillId="0" borderId="6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/>
    <xf numFmtId="0" fontId="0" fillId="4" borderId="0" xfId="0" applyFill="1"/>
    <xf numFmtId="165" fontId="3" fillId="4" borderId="0" xfId="2" applyNumberFormat="1" applyFont="1" applyFill="1" applyBorder="1"/>
    <xf numFmtId="164" fontId="4" fillId="0" borderId="4" xfId="1" applyNumberFormat="1" applyFont="1" applyBorder="1"/>
    <xf numFmtId="164" fontId="0" fillId="0" borderId="4" xfId="1" applyNumberFormat="1" applyFont="1" applyBorder="1"/>
    <xf numFmtId="0" fontId="3" fillId="0" borderId="0" xfId="0" applyFont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0" xfId="0" applyAlignment="1">
      <alignment horizontal="left" indent="2"/>
    </xf>
    <xf numFmtId="0" fontId="11" fillId="0" borderId="0" xfId="0" applyFont="1"/>
    <xf numFmtId="0" fontId="11" fillId="0" borderId="3" xfId="0" applyFont="1" applyBorder="1"/>
    <xf numFmtId="165" fontId="4" fillId="0" borderId="0" xfId="2" applyNumberFormat="1" applyFont="1" applyBorder="1"/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left" indent="1"/>
    </xf>
    <xf numFmtId="166" fontId="2" fillId="4" borderId="0" xfId="0" applyNumberFormat="1" applyFont="1" applyFill="1"/>
    <xf numFmtId="166" fontId="0" fillId="0" borderId="3" xfId="0" applyNumberFormat="1" applyBorder="1"/>
    <xf numFmtId="166" fontId="0" fillId="0" borderId="6" xfId="0" applyNumberFormat="1" applyBorder="1"/>
    <xf numFmtId="3" fontId="0" fillId="0" borderId="0" xfId="0" applyNumberFormat="1" applyAlignment="1">
      <alignment horizontal="center"/>
    </xf>
    <xf numFmtId="164" fontId="4" fillId="4" borderId="9" xfId="1" applyNumberFormat="1" applyFont="1" applyFill="1" applyBorder="1"/>
    <xf numFmtId="165" fontId="0" fillId="4" borderId="0" xfId="2" applyNumberFormat="1" applyFont="1" applyFill="1"/>
    <xf numFmtId="165" fontId="9" fillId="4" borderId="0" xfId="2" applyNumberFormat="1" applyFont="1" applyFill="1" applyBorder="1"/>
    <xf numFmtId="44" fontId="2" fillId="0" borderId="1" xfId="0" applyNumberFormat="1" applyFont="1" applyBorder="1" applyAlignment="1">
      <alignment horizontal="center" vertical="center" wrapText="1"/>
    </xf>
    <xf numFmtId="165" fontId="0" fillId="0" borderId="0" xfId="2" applyNumberFormat="1" applyFont="1" applyFill="1" applyBorder="1"/>
    <xf numFmtId="0" fontId="3" fillId="0" borderId="0" xfId="0" applyFont="1" applyAlignment="1">
      <alignment horizontal="left" indent="1"/>
    </xf>
    <xf numFmtId="44" fontId="2" fillId="0" borderId="8" xfId="0" applyNumberFormat="1" applyFont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right"/>
    </xf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0" applyNumberFormat="1" applyBorder="1"/>
    <xf numFmtId="44" fontId="0" fillId="0" borderId="15" xfId="1" applyFont="1" applyFill="1" applyBorder="1"/>
    <xf numFmtId="0" fontId="0" fillId="0" borderId="15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20" xfId="0" applyBorder="1"/>
    <xf numFmtId="0" fontId="0" fillId="0" borderId="21" xfId="0" applyBorder="1"/>
    <xf numFmtId="0" fontId="8" fillId="5" borderId="10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left" inden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164" fontId="0" fillId="0" borderId="16" xfId="0" applyNumberFormat="1" applyBorder="1"/>
    <xf numFmtId="164" fontId="0" fillId="0" borderId="18" xfId="0" applyNumberFormat="1" applyBorder="1"/>
    <xf numFmtId="165" fontId="3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3" fontId="0" fillId="0" borderId="13" xfId="0" applyNumberFormat="1" applyBorder="1"/>
    <xf numFmtId="3" fontId="0" fillId="0" borderId="19" xfId="0" applyNumberFormat="1" applyBorder="1"/>
    <xf numFmtId="0" fontId="0" fillId="0" borderId="15" xfId="0" applyBorder="1" applyAlignment="1">
      <alignment horizontal="right"/>
    </xf>
    <xf numFmtId="3" fontId="0" fillId="0" borderId="15" xfId="0" applyNumberFormat="1" applyBorder="1"/>
    <xf numFmtId="3" fontId="0" fillId="0" borderId="20" xfId="0" applyNumberFormat="1" applyBorder="1"/>
    <xf numFmtId="0" fontId="0" fillId="0" borderId="17" xfId="0" applyBorder="1" applyAlignment="1">
      <alignment horizontal="right"/>
    </xf>
    <xf numFmtId="3" fontId="0" fillId="0" borderId="17" xfId="0" applyNumberFormat="1" applyBorder="1"/>
    <xf numFmtId="3" fontId="0" fillId="0" borderId="21" xfId="0" applyNumberFormat="1" applyBorder="1"/>
    <xf numFmtId="0" fontId="0" fillId="0" borderId="0" xfId="0" applyAlignment="1">
      <alignment horizontal="right" indent="1"/>
    </xf>
    <xf numFmtId="0" fontId="2" fillId="0" borderId="0" xfId="0" applyFont="1" applyAlignment="1">
      <alignment horizontal="right"/>
    </xf>
    <xf numFmtId="0" fontId="0" fillId="0" borderId="17" xfId="0" applyBorder="1"/>
    <xf numFmtId="0" fontId="8" fillId="9" borderId="11" xfId="0" applyFont="1" applyFill="1" applyBorder="1" applyAlignment="1">
      <alignment horizontal="right"/>
    </xf>
    <xf numFmtId="3" fontId="8" fillId="9" borderId="9" xfId="0" applyNumberFormat="1" applyFont="1" applyFill="1" applyBorder="1"/>
    <xf numFmtId="3" fontId="8" fillId="9" borderId="12" xfId="0" applyNumberFormat="1" applyFont="1" applyFill="1" applyBorder="1"/>
    <xf numFmtId="0" fontId="2" fillId="0" borderId="15" xfId="0" applyFont="1" applyBorder="1" applyAlignment="1">
      <alignment horizontal="right"/>
    </xf>
    <xf numFmtId="3" fontId="0" fillId="0" borderId="16" xfId="0" applyNumberFormat="1" applyBorder="1"/>
    <xf numFmtId="0" fontId="2" fillId="0" borderId="17" xfId="0" applyFont="1" applyBorder="1" applyAlignment="1">
      <alignment horizontal="right"/>
    </xf>
    <xf numFmtId="3" fontId="0" fillId="0" borderId="3" xfId="0" applyNumberFormat="1" applyBorder="1"/>
    <xf numFmtId="3" fontId="0" fillId="0" borderId="18" xfId="0" applyNumberFormat="1" applyBorder="1"/>
    <xf numFmtId="0" fontId="0" fillId="0" borderId="3" xfId="0" applyBorder="1" applyAlignment="1">
      <alignment horizontal="left"/>
    </xf>
    <xf numFmtId="164" fontId="0" fillId="0" borderId="0" xfId="1" applyNumberFormat="1" applyFont="1" applyFill="1"/>
    <xf numFmtId="164" fontId="3" fillId="0" borderId="0" xfId="1" applyNumberFormat="1" applyFont="1" applyFill="1" applyBorder="1"/>
    <xf numFmtId="164" fontId="0" fillId="0" borderId="3" xfId="1" applyNumberFormat="1" applyFont="1" applyBorder="1"/>
    <xf numFmtId="164" fontId="0" fillId="0" borderId="20" xfId="0" applyNumberFormat="1" applyBorder="1"/>
    <xf numFmtId="164" fontId="0" fillId="0" borderId="21" xfId="0" applyNumberFormat="1" applyBorder="1"/>
    <xf numFmtId="165" fontId="0" fillId="0" borderId="0" xfId="2" applyNumberFormat="1" applyFont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center"/>
    </xf>
    <xf numFmtId="0" fontId="2" fillId="6" borderId="9" xfId="0" applyFont="1" applyFill="1" applyBorder="1"/>
    <xf numFmtId="0" fontId="0" fillId="6" borderId="0" xfId="0" applyFill="1" applyAlignment="1">
      <alignment horizontal="left" indent="2"/>
    </xf>
    <xf numFmtId="0" fontId="0" fillId="6" borderId="3" xfId="0" applyFill="1" applyBorder="1" applyAlignment="1">
      <alignment horizontal="left" indent="2"/>
    </xf>
    <xf numFmtId="0" fontId="0" fillId="6" borderId="0" xfId="0" applyFill="1" applyAlignment="1">
      <alignment horizontal="left" indent="1"/>
    </xf>
    <xf numFmtId="0" fontId="0" fillId="8" borderId="0" xfId="0" applyFill="1" applyAlignment="1">
      <alignment horizontal="left" wrapText="1" indent="1"/>
    </xf>
    <xf numFmtId="0" fontId="0" fillId="6" borderId="0" xfId="0" applyFill="1" applyAlignment="1">
      <alignment horizontal="left" wrapText="1" indent="1"/>
    </xf>
    <xf numFmtId="164" fontId="4" fillId="0" borderId="9" xfId="1" applyNumberFormat="1" applyFont="1" applyBorder="1" applyAlignment="1">
      <alignment horizontal="right"/>
    </xf>
    <xf numFmtId="165" fontId="3" fillId="4" borderId="0" xfId="2" applyNumberFormat="1" applyFont="1" applyFill="1" applyBorder="1" applyAlignment="1">
      <alignment horizontal="right"/>
    </xf>
    <xf numFmtId="0" fontId="3" fillId="6" borderId="0" xfId="0" applyFont="1" applyFill="1" applyAlignment="1">
      <alignment horizontal="left" indent="1"/>
    </xf>
    <xf numFmtId="0" fontId="3" fillId="6" borderId="0" xfId="0" applyFont="1" applyFill="1" applyAlignment="1">
      <alignment horizontal="left" wrapText="1" indent="1"/>
    </xf>
    <xf numFmtId="0" fontId="3" fillId="8" borderId="0" xfId="0" applyFont="1" applyFill="1" applyAlignment="1">
      <alignment horizontal="left" indent="1"/>
    </xf>
    <xf numFmtId="0" fontId="2" fillId="6" borderId="9" xfId="0" applyFont="1" applyFill="1" applyBorder="1" applyAlignment="1">
      <alignment wrapText="1"/>
    </xf>
    <xf numFmtId="43" fontId="2" fillId="4" borderId="0" xfId="0" applyNumberFormat="1" applyFont="1" applyFill="1"/>
    <xf numFmtId="0" fontId="14" fillId="0" borderId="0" xfId="0" applyFont="1"/>
    <xf numFmtId="43" fontId="3" fillId="0" borderId="0" xfId="2" applyFont="1" applyAlignment="1">
      <alignment horizontal="center" vertical="center"/>
    </xf>
    <xf numFmtId="165" fontId="3" fillId="0" borderId="0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right"/>
    </xf>
    <xf numFmtId="10" fontId="0" fillId="0" borderId="0" xfId="6" applyNumberFormat="1" applyFont="1"/>
    <xf numFmtId="10" fontId="4" fillId="0" borderId="0" xfId="6" applyNumberFormat="1" applyFont="1" applyFill="1" applyBorder="1"/>
    <xf numFmtId="0" fontId="3" fillId="8" borderId="0" xfId="0" applyFont="1" applyFill="1" applyAlignment="1">
      <alignment horizontal="left" wrapText="1" indent="1"/>
    </xf>
    <xf numFmtId="0" fontId="0" fillId="7" borderId="0" xfId="0" applyFill="1" applyAlignment="1">
      <alignment horizontal="left" wrapText="1" indent="1"/>
    </xf>
    <xf numFmtId="165" fontId="3" fillId="7" borderId="0" xfId="2" applyNumberFormat="1" applyFont="1" applyFill="1" applyBorder="1"/>
    <xf numFmtId="0" fontId="2" fillId="8" borderId="9" xfId="0" applyFont="1" applyFill="1" applyBorder="1" applyAlignment="1">
      <alignment wrapText="1"/>
    </xf>
    <xf numFmtId="0" fontId="2" fillId="8" borderId="9" xfId="0" applyFont="1" applyFill="1" applyBorder="1" applyAlignment="1">
      <alignment horizontal="left"/>
    </xf>
    <xf numFmtId="164" fontId="3" fillId="0" borderId="9" xfId="1" applyNumberFormat="1" applyFont="1" applyBorder="1"/>
    <xf numFmtId="0" fontId="2" fillId="0" borderId="9" xfId="0" applyFont="1" applyBorder="1" applyAlignment="1">
      <alignment horizontal="left"/>
    </xf>
    <xf numFmtId="165" fontId="3" fillId="0" borderId="9" xfId="2" applyNumberFormat="1" applyFont="1" applyBorder="1"/>
    <xf numFmtId="0" fontId="2" fillId="6" borderId="9" xfId="0" applyFont="1" applyFill="1" applyBorder="1" applyAlignment="1">
      <alignment horizontal="left"/>
    </xf>
    <xf numFmtId="164" fontId="4" fillId="0" borderId="9" xfId="1" applyNumberFormat="1" applyFont="1" applyFill="1" applyBorder="1" applyAlignment="1">
      <alignment horizontal="center"/>
    </xf>
    <xf numFmtId="165" fontId="4" fillId="7" borderId="0" xfId="2" applyNumberFormat="1" applyFont="1" applyFill="1" applyBorder="1" applyAlignment="1">
      <alignment horizontal="right"/>
    </xf>
    <xf numFmtId="165" fontId="2" fillId="7" borderId="0" xfId="2" applyNumberFormat="1" applyFont="1" applyFill="1"/>
    <xf numFmtId="10" fontId="2" fillId="0" borderId="8" xfId="6" applyNumberFormat="1" applyFont="1" applyBorder="1" applyAlignment="1">
      <alignment horizontal="center" vertical="center" wrapText="1"/>
    </xf>
    <xf numFmtId="10" fontId="0" fillId="0" borderId="0" xfId="6" applyNumberFormat="1" applyFont="1" applyAlignment="1">
      <alignment horizontal="right"/>
    </xf>
    <xf numFmtId="10" fontId="2" fillId="0" borderId="0" xfId="6" applyNumberFormat="1" applyFont="1" applyBorder="1"/>
    <xf numFmtId="10" fontId="0" fillId="0" borderId="0" xfId="6" applyNumberFormat="1" applyFont="1" applyFill="1"/>
    <xf numFmtId="10" fontId="2" fillId="7" borderId="0" xfId="6" applyNumberFormat="1" applyFont="1" applyFill="1"/>
    <xf numFmtId="10" fontId="4" fillId="0" borderId="0" xfId="6" applyNumberFormat="1" applyFont="1" applyBorder="1"/>
    <xf numFmtId="10" fontId="2" fillId="0" borderId="0" xfId="6" applyNumberFormat="1" applyFont="1"/>
    <xf numFmtId="10" fontId="2" fillId="0" borderId="9" xfId="6" applyNumberFormat="1" applyFont="1" applyBorder="1"/>
    <xf numFmtId="165" fontId="3" fillId="0" borderId="0" xfId="2" applyNumberFormat="1" applyFont="1" applyAlignment="1">
      <alignment horizontal="center"/>
    </xf>
    <xf numFmtId="44" fontId="0" fillId="0" borderId="6" xfId="0" applyNumberFormat="1" applyBorder="1"/>
    <xf numFmtId="44" fontId="2" fillId="0" borderId="0" xfId="0" applyNumberFormat="1" applyFont="1"/>
    <xf numFmtId="44" fontId="0" fillId="0" borderId="6" xfId="1" applyFont="1" applyBorder="1"/>
    <xf numFmtId="164" fontId="0" fillId="0" borderId="0" xfId="1" applyNumberFormat="1" applyFont="1" applyFill="1" applyBorder="1"/>
    <xf numFmtId="0" fontId="0" fillId="0" borderId="0" xfId="0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8" fillId="10" borderId="15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wrapText="1"/>
    </xf>
    <xf numFmtId="44" fontId="2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7">
    <cellStyle name="Bad 2" xfId="5" xr:uid="{5D266AC8-2646-46A6-A24D-DE9E1DA6C388}"/>
    <cellStyle name="Comma" xfId="2" builtinId="3"/>
    <cellStyle name="Currency" xfId="1" builtinId="4"/>
    <cellStyle name="Good 2" xfId="3" xr:uid="{EE28143A-AFFD-4237-8EAA-A1DD32BAC6EC}"/>
    <cellStyle name="Normal" xfId="0" builtinId="0"/>
    <cellStyle name="Percent" xfId="6" builtinId="5"/>
    <cellStyle name="Percent 2" xfId="4" xr:uid="{01288687-A11F-4D06-84AF-375C20E80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854A-DBAC-46EA-B97D-91545D712ADC}">
  <sheetPr>
    <tabColor rgb="FF92D050"/>
    <pageSetUpPr fitToPage="1"/>
  </sheetPr>
  <dimension ref="A1:J32"/>
  <sheetViews>
    <sheetView workbookViewId="0">
      <selection sqref="A1:F1"/>
    </sheetView>
  </sheetViews>
  <sheetFormatPr defaultRowHeight="14.5" x14ac:dyDescent="0.35"/>
  <cols>
    <col min="1" max="1" width="44.453125" customWidth="1"/>
    <col min="2" max="2" width="20.54296875" hidden="1" customWidth="1"/>
    <col min="3" max="4" width="20.54296875" customWidth="1"/>
    <col min="5" max="5" width="2.7265625" customWidth="1"/>
    <col min="6" max="6" width="20.54296875" customWidth="1"/>
  </cols>
  <sheetData>
    <row r="1" spans="1:6" ht="54" customHeight="1" thickBot="1" x14ac:dyDescent="0.4">
      <c r="A1" s="225"/>
      <c r="B1" s="225"/>
      <c r="C1" s="225"/>
      <c r="D1" s="225"/>
      <c r="E1" s="225"/>
      <c r="F1" s="225"/>
    </row>
    <row r="2" spans="1:6" ht="29.25" customHeight="1" thickBot="1" x14ac:dyDescent="0.4">
      <c r="A2" s="1"/>
      <c r="B2" s="94" t="s">
        <v>214</v>
      </c>
      <c r="C2" s="99" t="s">
        <v>211</v>
      </c>
      <c r="D2" s="99" t="s">
        <v>223</v>
      </c>
      <c r="E2" s="226" t="s">
        <v>202</v>
      </c>
      <c r="F2" s="227"/>
    </row>
    <row r="3" spans="1:6" x14ac:dyDescent="0.35">
      <c r="A3" s="1" t="s">
        <v>0</v>
      </c>
      <c r="B3" s="27"/>
      <c r="C3" s="27"/>
      <c r="D3" s="7"/>
      <c r="E3" s="8"/>
      <c r="F3" s="8"/>
    </row>
    <row r="4" spans="1:6" x14ac:dyDescent="0.35">
      <c r="A4" s="24" t="s">
        <v>203</v>
      </c>
      <c r="B4" s="28">
        <v>0</v>
      </c>
      <c r="C4" s="28">
        <v>0</v>
      </c>
      <c r="D4" s="28">
        <v>0</v>
      </c>
      <c r="E4" s="28"/>
      <c r="F4" s="4">
        <f>D4-C4</f>
        <v>0</v>
      </c>
    </row>
    <row r="5" spans="1:6" x14ac:dyDescent="0.35">
      <c r="A5" s="115" t="s">
        <v>192</v>
      </c>
      <c r="B5" s="12">
        <v>0</v>
      </c>
      <c r="C5" s="12">
        <v>0</v>
      </c>
      <c r="D5" s="12">
        <v>0</v>
      </c>
      <c r="E5" s="12"/>
      <c r="F5" s="12">
        <f>D5-C5</f>
        <v>0</v>
      </c>
    </row>
    <row r="6" spans="1:6" x14ac:dyDescent="0.35">
      <c r="A6" s="1" t="s">
        <v>1</v>
      </c>
      <c r="B6" s="5">
        <f>B4+B5</f>
        <v>0</v>
      </c>
      <c r="C6" s="5">
        <f>C4+C5</f>
        <v>0</v>
      </c>
      <c r="D6" s="5">
        <f>D4+D5</f>
        <v>0</v>
      </c>
      <c r="E6" s="5"/>
      <c r="F6" s="5">
        <f>D6-C6</f>
        <v>0</v>
      </c>
    </row>
    <row r="7" spans="1:6" x14ac:dyDescent="0.35">
      <c r="B7" s="4"/>
      <c r="C7" s="4"/>
      <c r="D7" s="4"/>
      <c r="E7" s="4"/>
      <c r="F7" s="4"/>
    </row>
    <row r="8" spans="1:6" x14ac:dyDescent="0.35">
      <c r="A8" s="2" t="s">
        <v>8</v>
      </c>
      <c r="B8" s="4"/>
      <c r="C8" s="4"/>
      <c r="D8" s="4"/>
      <c r="E8" s="4"/>
      <c r="F8" s="4"/>
    </row>
    <row r="9" spans="1:6" x14ac:dyDescent="0.35">
      <c r="A9" s="24" t="s">
        <v>204</v>
      </c>
      <c r="B9" s="30">
        <v>675</v>
      </c>
      <c r="C9" s="30">
        <v>16000</v>
      </c>
      <c r="D9" s="30">
        <v>16000</v>
      </c>
      <c r="E9" s="30"/>
      <c r="F9" s="4">
        <f>D9-C9</f>
        <v>0</v>
      </c>
    </row>
    <row r="10" spans="1:6" x14ac:dyDescent="0.35">
      <c r="A10" s="24" t="s">
        <v>205</v>
      </c>
      <c r="B10" s="31">
        <v>0</v>
      </c>
      <c r="C10" s="31">
        <v>0</v>
      </c>
      <c r="D10" s="31">
        <v>0</v>
      </c>
      <c r="E10" s="31"/>
      <c r="F10" s="11">
        <f>D10-C10</f>
        <v>0</v>
      </c>
    </row>
    <row r="11" spans="1:6" x14ac:dyDescent="0.35">
      <c r="A11" s="25" t="s">
        <v>206</v>
      </c>
      <c r="B11" s="31">
        <v>3600</v>
      </c>
      <c r="C11" s="31">
        <v>3500</v>
      </c>
      <c r="D11" s="31">
        <v>3500</v>
      </c>
      <c r="E11" s="31"/>
      <c r="F11" s="11">
        <f>D11-C11</f>
        <v>0</v>
      </c>
    </row>
    <row r="12" spans="1:6" x14ac:dyDescent="0.35">
      <c r="A12" s="24" t="s">
        <v>207</v>
      </c>
      <c r="B12" s="31">
        <v>0</v>
      </c>
      <c r="C12" s="31">
        <v>1500</v>
      </c>
      <c r="D12" s="31">
        <v>1500</v>
      </c>
      <c r="E12" s="31"/>
      <c r="F12" s="11">
        <f>D12-C12</f>
        <v>0</v>
      </c>
    </row>
    <row r="13" spans="1:6" x14ac:dyDescent="0.35">
      <c r="A13" s="24" t="s">
        <v>208</v>
      </c>
      <c r="B13" s="31">
        <v>1483</v>
      </c>
      <c r="C13" s="31">
        <v>3000</v>
      </c>
      <c r="D13" s="31">
        <v>3000</v>
      </c>
      <c r="E13" s="31"/>
      <c r="F13" s="31">
        <f>D13-C13</f>
        <v>0</v>
      </c>
    </row>
    <row r="14" spans="1:6" x14ac:dyDescent="0.35">
      <c r="A14" s="112" t="s">
        <v>9</v>
      </c>
      <c r="B14" s="78">
        <f>SUM(B9:B13)</f>
        <v>5758</v>
      </c>
      <c r="C14" s="78">
        <f t="shared" ref="C14:F14" si="0">SUM(C9:C13)</f>
        <v>24000</v>
      </c>
      <c r="D14" s="78">
        <f t="shared" si="0"/>
        <v>24000</v>
      </c>
      <c r="E14" s="78"/>
      <c r="F14" s="78">
        <f t="shared" si="0"/>
        <v>0</v>
      </c>
    </row>
    <row r="15" spans="1:6" x14ac:dyDescent="0.35">
      <c r="A15" s="108"/>
      <c r="B15" s="4"/>
      <c r="C15" s="4"/>
      <c r="D15" s="4"/>
      <c r="E15" s="4"/>
      <c r="F15" s="4"/>
    </row>
    <row r="16" spans="1:6" ht="15" thickBot="1" x14ac:dyDescent="0.4">
      <c r="A16" s="113" t="s">
        <v>196</v>
      </c>
      <c r="B16" s="32">
        <f>B6-B14</f>
        <v>-5758</v>
      </c>
      <c r="C16" s="32">
        <f t="shared" ref="C16:F16" si="1">C6-C14</f>
        <v>-24000</v>
      </c>
      <c r="D16" s="32">
        <f t="shared" si="1"/>
        <v>-24000</v>
      </c>
      <c r="E16" s="32"/>
      <c r="F16" s="32">
        <f t="shared" si="1"/>
        <v>0</v>
      </c>
    </row>
    <row r="17" spans="1:10" x14ac:dyDescent="0.35">
      <c r="A17" s="24"/>
      <c r="B17" s="4"/>
      <c r="C17" s="4"/>
      <c r="D17" s="4"/>
      <c r="E17" s="4"/>
      <c r="F17" s="4"/>
    </row>
    <row r="18" spans="1:10" x14ac:dyDescent="0.35">
      <c r="A18" s="114" t="s">
        <v>3</v>
      </c>
      <c r="B18" s="4"/>
      <c r="C18" s="4"/>
      <c r="D18" s="4"/>
      <c r="E18" s="4"/>
      <c r="F18" s="4"/>
    </row>
    <row r="19" spans="1:10" x14ac:dyDescent="0.35">
      <c r="A19" s="24" t="s">
        <v>197</v>
      </c>
      <c r="B19" s="33">
        <v>20400</v>
      </c>
      <c r="C19" s="33">
        <v>18000</v>
      </c>
      <c r="D19" s="33">
        <v>18000</v>
      </c>
      <c r="E19" s="33"/>
      <c r="F19" s="4">
        <f>D19-C19</f>
        <v>0</v>
      </c>
    </row>
    <row r="20" spans="1:10" x14ac:dyDescent="0.35">
      <c r="A20" s="24" t="s">
        <v>209</v>
      </c>
      <c r="B20" s="34">
        <v>0</v>
      </c>
      <c r="C20" s="34">
        <v>6000</v>
      </c>
      <c r="D20" s="34">
        <v>6000</v>
      </c>
      <c r="E20" s="34"/>
      <c r="F20" s="11">
        <f>D20-C20</f>
        <v>0</v>
      </c>
    </row>
    <row r="21" spans="1:10" x14ac:dyDescent="0.35">
      <c r="A21" s="24" t="s">
        <v>198</v>
      </c>
      <c r="B21" s="34">
        <v>209</v>
      </c>
      <c r="C21" s="34">
        <v>0</v>
      </c>
      <c r="D21" s="34">
        <v>0</v>
      </c>
      <c r="E21" s="34"/>
      <c r="F21" s="11">
        <f>D21-C21</f>
        <v>0</v>
      </c>
    </row>
    <row r="22" spans="1:10" x14ac:dyDescent="0.35">
      <c r="A22" s="24" t="s">
        <v>210</v>
      </c>
      <c r="B22" s="34">
        <v>0</v>
      </c>
      <c r="C22" s="34">
        <v>0</v>
      </c>
      <c r="D22" s="34">
        <v>0</v>
      </c>
      <c r="E22" s="34"/>
      <c r="F22" s="34">
        <v>0</v>
      </c>
    </row>
    <row r="23" spans="1:10" ht="15" thickBot="1" x14ac:dyDescent="0.4">
      <c r="A23" s="113" t="s">
        <v>4</v>
      </c>
      <c r="B23" s="32">
        <f>B19+B20+B21+B22</f>
        <v>20609</v>
      </c>
      <c r="C23" s="32">
        <f>C19+C20+C21+C22</f>
        <v>24000</v>
      </c>
      <c r="D23" s="32">
        <f>D19+D20+D21+D22</f>
        <v>24000</v>
      </c>
      <c r="E23" s="32"/>
      <c r="F23" s="9">
        <f>D23-C23</f>
        <v>0</v>
      </c>
      <c r="J23" s="1"/>
    </row>
    <row r="24" spans="1:10" x14ac:dyDescent="0.35">
      <c r="A24" s="24"/>
      <c r="B24" s="4"/>
      <c r="C24" s="4"/>
      <c r="D24" s="4"/>
      <c r="E24" s="4"/>
      <c r="F24" s="4"/>
    </row>
    <row r="25" spans="1:10" x14ac:dyDescent="0.35">
      <c r="A25" s="114" t="s">
        <v>5</v>
      </c>
      <c r="B25" s="5">
        <f>B16--B23</f>
        <v>14851</v>
      </c>
      <c r="C25" s="5">
        <f>C16--C23</f>
        <v>0</v>
      </c>
      <c r="D25" s="5">
        <f>D16--D23</f>
        <v>0</v>
      </c>
      <c r="E25" s="5"/>
      <c r="F25" s="5">
        <f>F16--F23</f>
        <v>0</v>
      </c>
    </row>
    <row r="26" spans="1:10" x14ac:dyDescent="0.35">
      <c r="A26" s="24"/>
      <c r="B26" s="4"/>
      <c r="C26" s="4"/>
      <c r="D26" s="4"/>
      <c r="E26" s="4"/>
      <c r="F26" s="4"/>
    </row>
    <row r="27" spans="1:10" x14ac:dyDescent="0.35">
      <c r="A27" s="114" t="s">
        <v>6</v>
      </c>
      <c r="B27" s="5">
        <f>B23</f>
        <v>20609</v>
      </c>
      <c r="C27" s="5">
        <f>C23</f>
        <v>24000</v>
      </c>
      <c r="D27" s="5">
        <f>D23</f>
        <v>24000</v>
      </c>
      <c r="E27" s="5"/>
      <c r="F27" s="5">
        <f>D27-C27</f>
        <v>0</v>
      </c>
    </row>
    <row r="28" spans="1:10" x14ac:dyDescent="0.35">
      <c r="A28" s="114" t="s">
        <v>201</v>
      </c>
      <c r="B28" s="89">
        <v>0</v>
      </c>
      <c r="C28" s="89">
        <v>0</v>
      </c>
      <c r="D28" s="89">
        <v>0</v>
      </c>
      <c r="E28" s="89"/>
      <c r="F28" s="90">
        <f>D28-C28</f>
        <v>0</v>
      </c>
    </row>
    <row r="29" spans="1:10" x14ac:dyDescent="0.35">
      <c r="A29" s="112" t="s">
        <v>7</v>
      </c>
      <c r="B29" s="78">
        <f>B27</f>
        <v>20609</v>
      </c>
      <c r="C29" s="78">
        <f>C27</f>
        <v>24000</v>
      </c>
      <c r="D29" s="78">
        <f>D27</f>
        <v>24000</v>
      </c>
      <c r="E29" s="78"/>
      <c r="F29" s="78">
        <f>D29-C29</f>
        <v>0</v>
      </c>
    </row>
    <row r="30" spans="1:10" x14ac:dyDescent="0.35">
      <c r="A30" s="110" t="s">
        <v>2</v>
      </c>
      <c r="B30" s="86">
        <f>B14</f>
        <v>5758</v>
      </c>
      <c r="C30" s="86">
        <f t="shared" ref="C30:D30" si="2">C14</f>
        <v>24000</v>
      </c>
      <c r="D30" s="86">
        <f t="shared" si="2"/>
        <v>24000</v>
      </c>
      <c r="E30" s="86"/>
      <c r="F30" s="86">
        <f>D30-C30</f>
        <v>0</v>
      </c>
    </row>
    <row r="32" spans="1:10" x14ac:dyDescent="0.35">
      <c r="B32" s="3"/>
    </row>
  </sheetData>
  <mergeCells count="2">
    <mergeCell ref="A1:F1"/>
    <mergeCell ref="E2:F2"/>
  </mergeCells>
  <pageMargins left="0.7" right="0.7" top="1.19" bottom="0.75" header="0.57999999999999996" footer="0.3"/>
  <pageSetup scale="69" fitToHeight="0" orientation="portrait" r:id="rId1"/>
  <headerFooter>
    <oddHeader>&amp;C&amp;18Northern Utah Environmental Resource Agency 
 Administrative Final Sub-Budget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3FC9-A7DE-4052-817B-EB3EF0690018}">
  <dimension ref="B2:P48"/>
  <sheetViews>
    <sheetView zoomScale="130" zoomScaleNormal="130" workbookViewId="0">
      <selection activeCell="G14" sqref="G14"/>
    </sheetView>
  </sheetViews>
  <sheetFormatPr defaultRowHeight="14.5" x14ac:dyDescent="0.35"/>
  <cols>
    <col min="1" max="1" width="3.26953125" customWidth="1"/>
    <col min="2" max="2" width="16.26953125" hidden="1" customWidth="1"/>
    <col min="3" max="4" width="10.26953125" hidden="1" customWidth="1"/>
    <col min="5" max="5" width="16.26953125" customWidth="1"/>
    <col min="6" max="16" width="10.26953125" customWidth="1"/>
  </cols>
  <sheetData>
    <row r="2" spans="2:16" ht="26" x14ac:dyDescent="0.35">
      <c r="E2" s="237" t="s">
        <v>246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2:16" ht="21.65" customHeight="1" x14ac:dyDescent="0.35">
      <c r="C3" s="7">
        <v>2025</v>
      </c>
      <c r="D3" s="7"/>
      <c r="F3" s="150">
        <v>2025</v>
      </c>
      <c r="G3" s="150">
        <v>2026</v>
      </c>
      <c r="H3" s="150">
        <v>2027</v>
      </c>
      <c r="I3" s="150">
        <v>2028</v>
      </c>
      <c r="J3" s="150">
        <v>2029</v>
      </c>
      <c r="K3" s="150">
        <v>2030</v>
      </c>
      <c r="L3" s="150">
        <v>2031</v>
      </c>
      <c r="M3" s="150">
        <v>2032</v>
      </c>
      <c r="N3" s="150">
        <v>2033</v>
      </c>
      <c r="O3" s="150">
        <v>2034</v>
      </c>
      <c r="P3" s="150">
        <v>2035</v>
      </c>
    </row>
    <row r="4" spans="2:16" x14ac:dyDescent="0.35">
      <c r="B4" s="1" t="s">
        <v>233</v>
      </c>
      <c r="C4" s="36">
        <v>72000</v>
      </c>
      <c r="D4" s="36"/>
      <c r="E4" s="151" t="s">
        <v>233</v>
      </c>
      <c r="F4" s="152">
        <f t="shared" ref="F4:P4" si="0">SUM(F5:F7)</f>
        <v>72000</v>
      </c>
      <c r="G4" s="153">
        <f t="shared" si="0"/>
        <v>123787</v>
      </c>
      <c r="H4" s="153">
        <f t="shared" si="0"/>
        <v>139261</v>
      </c>
      <c r="I4" s="153">
        <f t="shared" si="0"/>
        <v>154734</v>
      </c>
      <c r="J4" s="153">
        <f t="shared" si="0"/>
        <v>170207</v>
      </c>
      <c r="K4" s="153">
        <f t="shared" si="0"/>
        <v>170207</v>
      </c>
      <c r="L4" s="153">
        <f t="shared" si="0"/>
        <v>170207</v>
      </c>
      <c r="M4" s="153">
        <f t="shared" si="0"/>
        <v>170207</v>
      </c>
      <c r="N4" s="153">
        <f t="shared" si="0"/>
        <v>170207</v>
      </c>
      <c r="O4" s="153">
        <f t="shared" si="0"/>
        <v>170207</v>
      </c>
      <c r="P4" s="153">
        <f t="shared" si="0"/>
        <v>170207</v>
      </c>
    </row>
    <row r="5" spans="2:16" x14ac:dyDescent="0.35">
      <c r="B5" s="24" t="s">
        <v>44</v>
      </c>
      <c r="C5" s="36">
        <v>0</v>
      </c>
      <c r="D5" s="36"/>
      <c r="E5" s="154" t="s">
        <v>46</v>
      </c>
      <c r="F5" s="155">
        <v>72000</v>
      </c>
      <c r="G5" s="156">
        <v>123787</v>
      </c>
      <c r="H5" s="156">
        <v>139261</v>
      </c>
      <c r="I5" s="156">
        <v>154734</v>
      </c>
      <c r="J5" s="156">
        <v>170207</v>
      </c>
      <c r="K5" s="156">
        <v>170207</v>
      </c>
      <c r="L5" s="156">
        <v>170207</v>
      </c>
      <c r="M5" s="156">
        <v>170207</v>
      </c>
      <c r="N5" s="156">
        <v>170207</v>
      </c>
      <c r="O5" s="156">
        <v>170207</v>
      </c>
      <c r="P5" s="156">
        <v>170207</v>
      </c>
    </row>
    <row r="6" spans="2:16" x14ac:dyDescent="0.35">
      <c r="B6" s="24" t="s">
        <v>47</v>
      </c>
      <c r="C6" s="36">
        <v>0</v>
      </c>
      <c r="D6" s="36"/>
      <c r="E6" s="154" t="s">
        <v>44</v>
      </c>
      <c r="F6" s="155">
        <v>0</v>
      </c>
      <c r="G6" s="156">
        <v>0</v>
      </c>
      <c r="H6" s="156"/>
      <c r="I6" s="156"/>
      <c r="J6" s="156"/>
      <c r="K6" s="156"/>
      <c r="L6" s="156"/>
      <c r="M6" s="156"/>
      <c r="N6" s="156"/>
      <c r="O6" s="156"/>
      <c r="P6" s="156"/>
    </row>
    <row r="7" spans="2:16" x14ac:dyDescent="0.35">
      <c r="B7" s="1" t="s">
        <v>45</v>
      </c>
      <c r="C7" s="36"/>
      <c r="D7" s="36"/>
      <c r="E7" s="157" t="s">
        <v>47</v>
      </c>
      <c r="F7" s="158">
        <v>0</v>
      </c>
      <c r="G7" s="159">
        <v>0</v>
      </c>
      <c r="H7" s="159"/>
      <c r="I7" s="159"/>
      <c r="J7" s="159"/>
      <c r="K7" s="159"/>
      <c r="L7" s="159"/>
      <c r="M7" s="159"/>
      <c r="N7" s="159"/>
      <c r="O7" s="159"/>
      <c r="P7" s="159"/>
    </row>
    <row r="8" spans="2:16" x14ac:dyDescent="0.35">
      <c r="B8" s="24" t="s">
        <v>44</v>
      </c>
      <c r="C8" s="36">
        <v>11000</v>
      </c>
      <c r="D8" s="36"/>
      <c r="E8" s="160"/>
      <c r="F8" s="155"/>
      <c r="G8" s="156"/>
      <c r="H8" s="156"/>
      <c r="I8" s="156"/>
      <c r="J8" s="156"/>
      <c r="K8" s="156"/>
      <c r="L8" s="156"/>
      <c r="M8" s="156"/>
      <c r="N8" s="156"/>
      <c r="O8" s="156"/>
      <c r="P8" s="156"/>
    </row>
    <row r="9" spans="2:16" x14ac:dyDescent="0.35">
      <c r="B9" s="24" t="s">
        <v>47</v>
      </c>
      <c r="C9" s="36">
        <v>0</v>
      </c>
      <c r="D9" s="36"/>
      <c r="E9" s="151" t="s">
        <v>45</v>
      </c>
      <c r="F9" s="152">
        <f>SUM(F10:F12)</f>
        <v>11000</v>
      </c>
      <c r="G9" s="152">
        <f t="shared" ref="G9:P9" si="1">SUM(G10:G12)</f>
        <v>8500</v>
      </c>
      <c r="H9" s="152">
        <f t="shared" si="1"/>
        <v>0</v>
      </c>
      <c r="I9" s="152">
        <f t="shared" si="1"/>
        <v>0</v>
      </c>
      <c r="J9" s="152">
        <f t="shared" si="1"/>
        <v>0</v>
      </c>
      <c r="K9" s="152">
        <f t="shared" si="1"/>
        <v>0</v>
      </c>
      <c r="L9" s="152">
        <f t="shared" si="1"/>
        <v>0</v>
      </c>
      <c r="M9" s="152">
        <f t="shared" si="1"/>
        <v>500000</v>
      </c>
      <c r="N9" s="152">
        <f t="shared" si="1"/>
        <v>0</v>
      </c>
      <c r="O9" s="152">
        <f t="shared" si="1"/>
        <v>0</v>
      </c>
      <c r="P9" s="153">
        <f t="shared" si="1"/>
        <v>0</v>
      </c>
    </row>
    <row r="10" spans="2:16" x14ac:dyDescent="0.35">
      <c r="B10" s="1" t="s">
        <v>42</v>
      </c>
      <c r="C10" s="36">
        <f>166000-C12</f>
        <v>166000</v>
      </c>
      <c r="D10" s="36"/>
      <c r="E10" s="154" t="s">
        <v>46</v>
      </c>
      <c r="F10" s="155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500000</v>
      </c>
      <c r="N10" s="156"/>
      <c r="O10" s="156"/>
      <c r="P10" s="156"/>
    </row>
    <row r="11" spans="2:16" x14ac:dyDescent="0.35">
      <c r="B11" s="24" t="s">
        <v>44</v>
      </c>
      <c r="C11" s="36">
        <v>3500</v>
      </c>
      <c r="D11" s="36"/>
      <c r="E11" s="154" t="s">
        <v>44</v>
      </c>
      <c r="F11" s="155">
        <v>11000</v>
      </c>
      <c r="G11" s="156">
        <v>8500</v>
      </c>
      <c r="H11" s="156"/>
      <c r="I11" s="156"/>
      <c r="J11" s="156"/>
      <c r="K11" s="156"/>
      <c r="L11" s="156"/>
      <c r="M11" s="156"/>
      <c r="N11" s="156"/>
      <c r="O11" s="156"/>
      <c r="P11" s="156"/>
    </row>
    <row r="12" spans="2:16" x14ac:dyDescent="0.35">
      <c r="B12" s="24" t="s">
        <v>47</v>
      </c>
      <c r="C12" s="36">
        <v>0</v>
      </c>
      <c r="D12" s="36"/>
      <c r="E12" s="157" t="s">
        <v>47</v>
      </c>
      <c r="F12" s="158">
        <v>0</v>
      </c>
      <c r="G12" s="159">
        <v>0</v>
      </c>
      <c r="H12" s="159"/>
      <c r="I12" s="159"/>
      <c r="J12" s="159"/>
      <c r="K12" s="159"/>
      <c r="L12" s="159"/>
      <c r="M12" s="159"/>
      <c r="N12" s="159"/>
      <c r="O12" s="159"/>
      <c r="P12" s="159"/>
    </row>
    <row r="13" spans="2:16" x14ac:dyDescent="0.35">
      <c r="B13" s="1" t="s">
        <v>43</v>
      </c>
      <c r="C13" s="36">
        <v>225000</v>
      </c>
      <c r="D13" s="36"/>
      <c r="E13" s="161"/>
      <c r="F13" s="155"/>
      <c r="G13" s="156"/>
      <c r="H13" s="156"/>
      <c r="I13" s="156"/>
      <c r="J13" s="156"/>
      <c r="K13" s="156"/>
      <c r="L13" s="156"/>
      <c r="M13" s="156"/>
      <c r="N13" s="156"/>
      <c r="O13" s="156"/>
      <c r="P13" s="156"/>
    </row>
    <row r="14" spans="2:16" x14ac:dyDescent="0.35">
      <c r="B14" s="24" t="s">
        <v>44</v>
      </c>
      <c r="C14" s="36">
        <v>8000</v>
      </c>
      <c r="D14" s="36"/>
      <c r="E14" s="151" t="s">
        <v>42</v>
      </c>
      <c r="F14" s="152">
        <f>SUM(F15:F17)</f>
        <v>169500</v>
      </c>
      <c r="G14" s="153">
        <f t="shared" ref="G14:P14" si="2">SUM(G15:G17)</f>
        <v>177000</v>
      </c>
      <c r="H14" s="153">
        <f t="shared" si="2"/>
        <v>0</v>
      </c>
      <c r="I14" s="153">
        <f t="shared" si="2"/>
        <v>0</v>
      </c>
      <c r="J14" s="153">
        <f t="shared" si="2"/>
        <v>0</v>
      </c>
      <c r="K14" s="153">
        <f t="shared" si="2"/>
        <v>0</v>
      </c>
      <c r="L14" s="153">
        <f t="shared" si="2"/>
        <v>0</v>
      </c>
      <c r="M14" s="153">
        <f t="shared" si="2"/>
        <v>0</v>
      </c>
      <c r="N14" s="153">
        <f t="shared" si="2"/>
        <v>0</v>
      </c>
      <c r="O14" s="153">
        <f t="shared" si="2"/>
        <v>0</v>
      </c>
      <c r="P14" s="153">
        <f t="shared" si="2"/>
        <v>0</v>
      </c>
    </row>
    <row r="15" spans="2:16" x14ac:dyDescent="0.35">
      <c r="B15" s="24" t="s">
        <v>47</v>
      </c>
      <c r="C15">
        <f>16000+6500</f>
        <v>22500</v>
      </c>
      <c r="E15" s="154" t="s">
        <v>46</v>
      </c>
      <c r="F15" s="155">
        <v>166000</v>
      </c>
      <c r="G15" s="156">
        <v>166000</v>
      </c>
      <c r="H15" s="156"/>
      <c r="I15" s="156"/>
      <c r="J15" s="156"/>
      <c r="K15" s="156"/>
      <c r="L15" s="156"/>
      <c r="M15" s="156"/>
      <c r="N15" s="156"/>
      <c r="O15" s="156"/>
      <c r="P15" s="156"/>
    </row>
    <row r="16" spans="2:16" x14ac:dyDescent="0.35">
      <c r="B16" s="24"/>
      <c r="E16" s="154" t="s">
        <v>44</v>
      </c>
      <c r="F16" s="155">
        <v>3500</v>
      </c>
      <c r="G16" s="156">
        <v>2000</v>
      </c>
      <c r="H16" s="156"/>
      <c r="I16" s="156"/>
      <c r="J16" s="156"/>
      <c r="K16" s="156"/>
      <c r="L16" s="156"/>
      <c r="M16" s="156"/>
      <c r="N16" s="156"/>
      <c r="O16" s="156"/>
      <c r="P16" s="156"/>
    </row>
    <row r="17" spans="2:16" x14ac:dyDescent="0.35">
      <c r="B17" s="43" t="s">
        <v>110</v>
      </c>
      <c r="C17" s="36">
        <f>SUM(C18:C20)+C24+C25</f>
        <v>509262</v>
      </c>
      <c r="D17" s="36"/>
      <c r="E17" s="157" t="s">
        <v>47</v>
      </c>
      <c r="F17" s="158">
        <v>0</v>
      </c>
      <c r="G17" s="159">
        <v>9000</v>
      </c>
      <c r="H17" s="159"/>
      <c r="I17" s="159"/>
      <c r="J17" s="159"/>
      <c r="K17" s="159"/>
      <c r="L17" s="159"/>
      <c r="M17" s="159"/>
      <c r="N17" s="159"/>
      <c r="O17" s="159"/>
      <c r="P17" s="159"/>
    </row>
    <row r="18" spans="2:16" x14ac:dyDescent="0.35">
      <c r="B18" t="s">
        <v>46</v>
      </c>
      <c r="C18" s="36">
        <f>C4+C7+C10+C13</f>
        <v>463000</v>
      </c>
      <c r="D18" s="36"/>
      <c r="E18" s="144"/>
      <c r="F18" s="155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  <row r="19" spans="2:16" x14ac:dyDescent="0.35">
      <c r="B19" t="s">
        <v>44</v>
      </c>
      <c r="C19" s="36">
        <f>C5+C8+C11+C14</f>
        <v>22500</v>
      </c>
      <c r="D19" s="36"/>
      <c r="E19" s="151" t="s">
        <v>43</v>
      </c>
      <c r="F19" s="152">
        <f>SUM(F20:F22)</f>
        <v>255500</v>
      </c>
      <c r="G19" s="153">
        <f t="shared" ref="G19:P19" si="3">SUM(G20:G22)</f>
        <v>257500</v>
      </c>
      <c r="H19" s="153">
        <f t="shared" si="3"/>
        <v>0</v>
      </c>
      <c r="I19" s="153">
        <f t="shared" si="3"/>
        <v>0</v>
      </c>
      <c r="J19" s="153">
        <f t="shared" si="3"/>
        <v>0</v>
      </c>
      <c r="K19" s="153">
        <f t="shared" si="3"/>
        <v>0</v>
      </c>
      <c r="L19" s="153">
        <f t="shared" si="3"/>
        <v>0</v>
      </c>
      <c r="M19" s="153">
        <f t="shared" si="3"/>
        <v>0</v>
      </c>
      <c r="N19" s="153">
        <f t="shared" si="3"/>
        <v>0</v>
      </c>
      <c r="O19" s="153">
        <f t="shared" si="3"/>
        <v>0</v>
      </c>
      <c r="P19" s="153">
        <f t="shared" si="3"/>
        <v>0</v>
      </c>
    </row>
    <row r="20" spans="2:16" x14ac:dyDescent="0.35">
      <c r="B20" t="s">
        <v>47</v>
      </c>
      <c r="C20" s="36">
        <f>C6+C9+C12+C15</f>
        <v>22500</v>
      </c>
      <c r="D20" s="36"/>
      <c r="E20" s="154" t="s">
        <v>46</v>
      </c>
      <c r="F20" s="155">
        <v>225000</v>
      </c>
      <c r="G20" s="136">
        <v>247500</v>
      </c>
      <c r="H20" s="156"/>
      <c r="I20" s="156"/>
      <c r="J20" s="156"/>
      <c r="K20" s="156"/>
      <c r="L20" s="156"/>
      <c r="M20" s="156"/>
      <c r="N20" s="156"/>
      <c r="O20" s="156"/>
      <c r="P20" s="156"/>
    </row>
    <row r="21" spans="2:16" x14ac:dyDescent="0.35">
      <c r="B21" t="s">
        <v>54</v>
      </c>
      <c r="C21" s="36">
        <f>SUM(C23:C25)</f>
        <v>73262</v>
      </c>
      <c r="D21" s="36"/>
      <c r="E21" s="154" t="s">
        <v>44</v>
      </c>
      <c r="F21" s="155">
        <v>8000</v>
      </c>
      <c r="G21" s="136">
        <v>6000</v>
      </c>
      <c r="H21" s="156"/>
      <c r="I21" s="156"/>
      <c r="J21" s="156"/>
      <c r="K21" s="156"/>
      <c r="L21" s="156"/>
      <c r="M21" s="156"/>
      <c r="N21" s="156"/>
      <c r="O21" s="156"/>
      <c r="P21" s="156"/>
    </row>
    <row r="22" spans="2:16" x14ac:dyDescent="0.35">
      <c r="B22" s="24" t="s">
        <v>49</v>
      </c>
      <c r="C22" s="36">
        <f>C4</f>
        <v>72000</v>
      </c>
      <c r="D22" s="36"/>
      <c r="E22" s="157" t="s">
        <v>47</v>
      </c>
      <c r="F22" s="162">
        <f>16000+6500</f>
        <v>22500</v>
      </c>
      <c r="G22" s="137">
        <v>4000</v>
      </c>
      <c r="H22" s="137"/>
      <c r="I22" s="137"/>
      <c r="J22" s="137"/>
      <c r="K22" s="137"/>
      <c r="L22" s="137"/>
      <c r="M22" s="137"/>
      <c r="N22" s="137"/>
      <c r="O22" s="137"/>
      <c r="P22" s="137"/>
    </row>
    <row r="23" spans="2:16" x14ac:dyDescent="0.35">
      <c r="B23" s="24" t="s">
        <v>50</v>
      </c>
      <c r="C23" s="36">
        <f>C4</f>
        <v>72000</v>
      </c>
      <c r="D23" s="36"/>
    </row>
    <row r="24" spans="2:16" ht="15.5" x14ac:dyDescent="0.35">
      <c r="B24" s="24" t="s">
        <v>51</v>
      </c>
      <c r="C24">
        <v>1250</v>
      </c>
      <c r="E24" s="163" t="s">
        <v>110</v>
      </c>
      <c r="F24" s="164">
        <f>SUM(F25:F27)+F30+F31</f>
        <v>509262</v>
      </c>
      <c r="G24" s="164">
        <f>SUM(G25:G27)+G30</f>
        <v>597537</v>
      </c>
      <c r="H24" s="164">
        <f t="shared" ref="H24:P24" si="4">SUM(H25:H27)+H30+H31</f>
        <v>139261</v>
      </c>
      <c r="I24" s="164">
        <f t="shared" si="4"/>
        <v>154734</v>
      </c>
      <c r="J24" s="164">
        <f t="shared" si="4"/>
        <v>170207</v>
      </c>
      <c r="K24" s="164">
        <f t="shared" si="4"/>
        <v>170207</v>
      </c>
      <c r="L24" s="164">
        <f t="shared" si="4"/>
        <v>170207</v>
      </c>
      <c r="M24" s="164">
        <f t="shared" si="4"/>
        <v>670207</v>
      </c>
      <c r="N24" s="164">
        <f t="shared" si="4"/>
        <v>170207</v>
      </c>
      <c r="O24" s="164">
        <f t="shared" si="4"/>
        <v>170207</v>
      </c>
      <c r="P24" s="165">
        <f t="shared" si="4"/>
        <v>170207</v>
      </c>
    </row>
    <row r="25" spans="2:16" x14ac:dyDescent="0.35">
      <c r="B25" s="24" t="s">
        <v>52</v>
      </c>
      <c r="C25">
        <v>12</v>
      </c>
      <c r="E25" s="166" t="s">
        <v>46</v>
      </c>
      <c r="F25" s="36">
        <f>F5+F10+F15+F20</f>
        <v>463000</v>
      </c>
      <c r="G25" s="36">
        <f>G4+G9+G14+G19</f>
        <v>566787</v>
      </c>
      <c r="H25" s="36">
        <f t="shared" ref="H25:O27" si="5">H5+H10+H15+H20</f>
        <v>139261</v>
      </c>
      <c r="I25" s="36">
        <f t="shared" ref="I25" si="6">I4+I9+I14+I19</f>
        <v>154734</v>
      </c>
      <c r="J25" s="36">
        <f t="shared" ref="J25" si="7">J5+J10+J15+J20</f>
        <v>170207</v>
      </c>
      <c r="K25" s="36">
        <f t="shared" ref="K25" si="8">K4+K9+K14+K19</f>
        <v>170207</v>
      </c>
      <c r="L25" s="36">
        <f t="shared" ref="L25" si="9">L5+L10+L15+L20</f>
        <v>170207</v>
      </c>
      <c r="M25" s="36">
        <f t="shared" ref="M25" si="10">M4+M9+M14+M19</f>
        <v>670207</v>
      </c>
      <c r="N25" s="36">
        <f t="shared" ref="N25" si="11">N5+N10+N15+N20</f>
        <v>170207</v>
      </c>
      <c r="O25" s="36">
        <f t="shared" ref="O25" si="12">O4+O9+O14+O19</f>
        <v>170207</v>
      </c>
      <c r="P25" s="167">
        <f t="shared" ref="P25:P27" si="13">P5+P10+P15+P20</f>
        <v>170207</v>
      </c>
    </row>
    <row r="26" spans="2:16" x14ac:dyDescent="0.35">
      <c r="B26" s="24"/>
      <c r="E26" s="166" t="s">
        <v>44</v>
      </c>
      <c r="F26" s="36">
        <f>F6+F11+F16+F21</f>
        <v>22500</v>
      </c>
      <c r="G26" s="36">
        <f>G6+G11+G16+G21</f>
        <v>16500</v>
      </c>
      <c r="H26" s="36">
        <f t="shared" si="5"/>
        <v>0</v>
      </c>
      <c r="I26" s="36">
        <f t="shared" si="5"/>
        <v>0</v>
      </c>
      <c r="J26" s="36">
        <f t="shared" si="5"/>
        <v>0</v>
      </c>
      <c r="K26" s="36">
        <f t="shared" si="5"/>
        <v>0</v>
      </c>
      <c r="L26" s="36">
        <f t="shared" si="5"/>
        <v>0</v>
      </c>
      <c r="M26" s="36">
        <f t="shared" si="5"/>
        <v>0</v>
      </c>
      <c r="N26" s="36">
        <f t="shared" si="5"/>
        <v>0</v>
      </c>
      <c r="O26" s="36">
        <f t="shared" si="5"/>
        <v>0</v>
      </c>
      <c r="P26" s="167">
        <f t="shared" si="13"/>
        <v>0</v>
      </c>
    </row>
    <row r="27" spans="2:16" x14ac:dyDescent="0.35">
      <c r="B27" s="24"/>
      <c r="E27" s="166" t="s">
        <v>47</v>
      </c>
      <c r="F27" s="36">
        <f>F7+F12+F17+F22</f>
        <v>22500</v>
      </c>
      <c r="G27" s="36">
        <f>G7+G12+G17+G22</f>
        <v>13000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167">
        <f t="shared" si="13"/>
        <v>0</v>
      </c>
    </row>
    <row r="28" spans="2:16" x14ac:dyDescent="0.35">
      <c r="B28" s="24"/>
      <c r="E28" s="168" t="s">
        <v>54</v>
      </c>
      <c r="F28" s="169">
        <f>SUM(F29:F31)</f>
        <v>73262</v>
      </c>
      <c r="G28" s="169">
        <v>1250</v>
      </c>
      <c r="H28" s="169">
        <f t="shared" ref="H28" si="14">SUM(H29:H31)</f>
        <v>0</v>
      </c>
      <c r="I28" s="169">
        <f t="shared" ref="I28" si="15">SUM(I30:I31)</f>
        <v>0</v>
      </c>
      <c r="J28" s="169">
        <f t="shared" ref="J28" si="16">SUM(J29:J31)</f>
        <v>0</v>
      </c>
      <c r="K28" s="169">
        <f t="shared" ref="K28" si="17">SUM(K30:K31)</f>
        <v>0</v>
      </c>
      <c r="L28" s="169">
        <f t="shared" ref="L28" si="18">SUM(L29:L31)</f>
        <v>0</v>
      </c>
      <c r="M28" s="169">
        <f t="shared" ref="M28" si="19">SUM(M30:M31)</f>
        <v>0</v>
      </c>
      <c r="N28" s="169">
        <f t="shared" ref="N28" si="20">SUM(N29:N31)</f>
        <v>0</v>
      </c>
      <c r="O28" s="169">
        <f t="shared" ref="O28" si="21">SUM(O30:O31)</f>
        <v>0</v>
      </c>
      <c r="P28" s="170">
        <f t="shared" ref="P28" si="22">SUM(P29:P31)</f>
        <v>0</v>
      </c>
    </row>
    <row r="29" spans="2:16" x14ac:dyDescent="0.35">
      <c r="B29" s="24"/>
      <c r="E29" s="24" t="s">
        <v>247</v>
      </c>
      <c r="F29" s="36">
        <f>F4</f>
        <v>72000</v>
      </c>
      <c r="G29" s="36">
        <f>G4</f>
        <v>123787</v>
      </c>
    </row>
    <row r="30" spans="2:16" x14ac:dyDescent="0.35">
      <c r="B30" s="24"/>
      <c r="E30" s="24" t="s">
        <v>51</v>
      </c>
      <c r="F30">
        <v>1250</v>
      </c>
      <c r="G30">
        <v>1250</v>
      </c>
    </row>
    <row r="31" spans="2:16" x14ac:dyDescent="0.35">
      <c r="B31" s="24"/>
      <c r="E31" s="24" t="s">
        <v>52</v>
      </c>
      <c r="F31">
        <v>12</v>
      </c>
      <c r="G31">
        <v>12</v>
      </c>
    </row>
    <row r="32" spans="2:16" x14ac:dyDescent="0.35">
      <c r="B32" s="24"/>
    </row>
    <row r="33" spans="2:16" x14ac:dyDescent="0.35">
      <c r="B33" s="24"/>
    </row>
    <row r="34" spans="2:16" x14ac:dyDescent="0.35">
      <c r="B34" s="24"/>
    </row>
    <row r="36" spans="2:16" x14ac:dyDescent="0.35">
      <c r="E36" s="36"/>
      <c r="F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 x14ac:dyDescent="0.35">
      <c r="E37" s="36"/>
      <c r="F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2:16" x14ac:dyDescent="0.35">
      <c r="E38" s="36"/>
      <c r="F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x14ac:dyDescent="0.35">
      <c r="E39" s="36"/>
      <c r="F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2:16" x14ac:dyDescent="0.35">
      <c r="E40" s="36"/>
      <c r="F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2:16" x14ac:dyDescent="0.35">
      <c r="E41" s="36"/>
      <c r="F41" s="36"/>
    </row>
    <row r="42" spans="2:16" ht="14.5" hidden="1" customHeight="1" x14ac:dyDescent="0.35">
      <c r="E42" s="36"/>
      <c r="F42" s="36"/>
    </row>
    <row r="48" spans="2:16" x14ac:dyDescent="0.35">
      <c r="H48">
        <f>39*2*7*5*50*0.9</f>
        <v>122850</v>
      </c>
      <c r="I48">
        <f>H48/12</f>
        <v>10237.5</v>
      </c>
      <c r="J48">
        <f>I48*7</f>
        <v>71662.5</v>
      </c>
    </row>
  </sheetData>
  <mergeCells count="1">
    <mergeCell ref="E2:P2"/>
  </mergeCells>
  <phoneticPr fontId="7" type="noConversion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96C1-4757-4287-89EF-0E01B9526BF3}">
  <dimension ref="B2:E23"/>
  <sheetViews>
    <sheetView topLeftCell="A3" zoomScale="205" zoomScaleNormal="205" workbookViewId="0">
      <selection activeCell="E3" sqref="E3"/>
    </sheetView>
  </sheetViews>
  <sheetFormatPr defaultRowHeight="14.5" x14ac:dyDescent="0.35"/>
  <cols>
    <col min="1" max="1" width="3" customWidth="1"/>
    <col min="2" max="2" width="20" bestFit="1" customWidth="1"/>
    <col min="3" max="11" width="14.54296875" customWidth="1"/>
  </cols>
  <sheetData>
    <row r="2" spans="2:5" ht="15.5" x14ac:dyDescent="0.35">
      <c r="C2" s="238">
        <v>2025</v>
      </c>
      <c r="D2" s="239"/>
      <c r="E2" s="138">
        <v>2026</v>
      </c>
    </row>
    <row r="3" spans="2:5" x14ac:dyDescent="0.35">
      <c r="B3" t="s">
        <v>46</v>
      </c>
      <c r="C3" s="128">
        <v>10.5</v>
      </c>
      <c r="D3" s="129">
        <v>11.5</v>
      </c>
      <c r="E3" s="129">
        <v>11.5</v>
      </c>
    </row>
    <row r="4" spans="2:5" x14ac:dyDescent="0.35">
      <c r="B4" t="s">
        <v>44</v>
      </c>
      <c r="C4" s="130">
        <v>38</v>
      </c>
      <c r="D4" s="131">
        <f>C4</f>
        <v>38</v>
      </c>
      <c r="E4" s="131">
        <f>D4</f>
        <v>38</v>
      </c>
    </row>
    <row r="5" spans="2:5" x14ac:dyDescent="0.35">
      <c r="B5" t="s">
        <v>47</v>
      </c>
      <c r="C5" s="130">
        <v>12.5</v>
      </c>
      <c r="D5" s="131">
        <f t="shared" ref="D5:E10" si="0">C5</f>
        <v>12.5</v>
      </c>
      <c r="E5" s="131">
        <f t="shared" si="0"/>
        <v>12.5</v>
      </c>
    </row>
    <row r="6" spans="2:5" x14ac:dyDescent="0.35">
      <c r="B6" t="s">
        <v>41</v>
      </c>
      <c r="C6" s="130"/>
      <c r="D6" s="131"/>
      <c r="E6" s="131"/>
    </row>
    <row r="7" spans="2:5" x14ac:dyDescent="0.35">
      <c r="B7" s="24" t="s">
        <v>49</v>
      </c>
      <c r="C7" s="132">
        <f>WIWMD!E9</f>
        <v>0.67333333333333334</v>
      </c>
      <c r="D7" s="131">
        <f t="shared" si="0"/>
        <v>0.67333333333333334</v>
      </c>
      <c r="E7" s="131">
        <f t="shared" si="0"/>
        <v>0.67333333333333334</v>
      </c>
    </row>
    <row r="8" spans="2:5" x14ac:dyDescent="0.35">
      <c r="B8" s="24" t="s">
        <v>50</v>
      </c>
      <c r="C8" s="132">
        <f>WIWMD!E10</f>
        <v>1.1084761904761904</v>
      </c>
      <c r="D8" s="131">
        <f t="shared" si="0"/>
        <v>1.1084761904761904</v>
      </c>
      <c r="E8" s="131">
        <f t="shared" si="0"/>
        <v>1.1084761904761904</v>
      </c>
    </row>
    <row r="9" spans="2:5" x14ac:dyDescent="0.35">
      <c r="B9" s="24" t="s">
        <v>51</v>
      </c>
      <c r="C9" s="130">
        <v>95</v>
      </c>
      <c r="D9" s="131">
        <f t="shared" si="0"/>
        <v>95</v>
      </c>
      <c r="E9" s="131">
        <f t="shared" si="0"/>
        <v>95</v>
      </c>
    </row>
    <row r="10" spans="2:5" x14ac:dyDescent="0.35">
      <c r="B10" s="24" t="s">
        <v>52</v>
      </c>
      <c r="C10" s="130">
        <v>200</v>
      </c>
      <c r="D10" s="131">
        <f t="shared" si="0"/>
        <v>200</v>
      </c>
      <c r="E10" s="131">
        <f t="shared" si="0"/>
        <v>200</v>
      </c>
    </row>
    <row r="11" spans="2:5" x14ac:dyDescent="0.35">
      <c r="C11" s="133"/>
      <c r="D11" s="131"/>
      <c r="E11" s="136"/>
    </row>
    <row r="12" spans="2:5" x14ac:dyDescent="0.35">
      <c r="B12" s="39" t="s">
        <v>60</v>
      </c>
      <c r="C12" s="134">
        <f>SUM(C13:C16)</f>
        <v>249440.28571428571</v>
      </c>
      <c r="D12" s="146">
        <f>SUM(D13:D16)</f>
        <v>249440.28571428571</v>
      </c>
      <c r="E12" s="146">
        <f>SUM(E13:E16)</f>
        <v>328288.02180952381</v>
      </c>
    </row>
    <row r="13" spans="2:5" x14ac:dyDescent="0.35">
      <c r="B13" s="24" t="s">
        <v>49</v>
      </c>
      <c r="C13" s="134">
        <f>Tonnage!$C$22*Fees!$C$7</f>
        <v>48480</v>
      </c>
      <c r="D13" s="146">
        <f>Tonnage!$C$22*Fees!$C$7</f>
        <v>48480</v>
      </c>
      <c r="E13" s="175">
        <f>Tonnage!G4*Fees!E7</f>
        <v>83349.91333333333</v>
      </c>
    </row>
    <row r="14" spans="2:5" x14ac:dyDescent="0.35">
      <c r="B14" s="24" t="s">
        <v>50</v>
      </c>
      <c r="C14" s="134">
        <f>Tonnage!$C$23*Fees!$C$8</f>
        <v>79810.28571428571</v>
      </c>
      <c r="D14" s="146">
        <f>Tonnage!$C$23*Fees!$C$8</f>
        <v>79810.28571428571</v>
      </c>
      <c r="E14" s="175">
        <f>Tonnage!G5+Fees!E8</f>
        <v>123788.10847619048</v>
      </c>
    </row>
    <row r="15" spans="2:5" x14ac:dyDescent="0.35">
      <c r="B15" s="24" t="s">
        <v>51</v>
      </c>
      <c r="C15" s="134">
        <f>Tonnage!$C$24*Fees!$C$9</f>
        <v>118750</v>
      </c>
      <c r="D15" s="146">
        <f>Tonnage!$C$24*Fees!$C$9</f>
        <v>118750</v>
      </c>
      <c r="E15" s="175">
        <f>E9*Tonnage!G28</f>
        <v>118750</v>
      </c>
    </row>
    <row r="16" spans="2:5" x14ac:dyDescent="0.35">
      <c r="B16" s="24" t="s">
        <v>52</v>
      </c>
      <c r="C16" s="135">
        <f>Tonnage!$C$25*Fees!$C$10</f>
        <v>2400</v>
      </c>
      <c r="D16" s="147">
        <f>Tonnage!$C$25*Fees!$C$10</f>
        <v>2400</v>
      </c>
      <c r="E16" s="176">
        <f>E10*Tonnage!G31</f>
        <v>2400</v>
      </c>
    </row>
    <row r="21" spans="4:4" x14ac:dyDescent="0.35">
      <c r="D21" s="3"/>
    </row>
    <row r="22" spans="4:4" x14ac:dyDescent="0.35">
      <c r="D22" s="3"/>
    </row>
    <row r="23" spans="4:4" x14ac:dyDescent="0.35">
      <c r="D23" s="3"/>
    </row>
  </sheetData>
  <mergeCells count="1">
    <mergeCell ref="C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4E63-D1CC-409C-8B9F-97BC4C8F3FA4}">
  <dimension ref="A1:E20"/>
  <sheetViews>
    <sheetView zoomScale="190" zoomScaleNormal="190" workbookViewId="0">
      <selection activeCell="E10" sqref="E10"/>
    </sheetView>
  </sheetViews>
  <sheetFormatPr defaultRowHeight="14.5" x14ac:dyDescent="0.35"/>
  <cols>
    <col min="1" max="1" width="19.26953125" customWidth="1"/>
    <col min="2" max="2" width="14.7265625" bestFit="1" customWidth="1"/>
    <col min="3" max="3" width="17.7265625" style="40" bestFit="1" customWidth="1"/>
    <col min="4" max="4" width="25.26953125" bestFit="1" customWidth="1"/>
    <col min="7" max="7" width="9.81640625" bestFit="1" customWidth="1"/>
  </cols>
  <sheetData>
    <row r="1" spans="1:5" x14ac:dyDescent="0.35">
      <c r="A1" s="42" t="s">
        <v>72</v>
      </c>
      <c r="B1" s="42" t="s">
        <v>107</v>
      </c>
      <c r="C1" s="42" t="s">
        <v>71</v>
      </c>
      <c r="D1" s="42" t="s">
        <v>70</v>
      </c>
      <c r="E1" s="42" t="s">
        <v>69</v>
      </c>
    </row>
    <row r="2" spans="1:5" x14ac:dyDescent="0.35">
      <c r="A2" t="s">
        <v>49</v>
      </c>
      <c r="B2" s="41">
        <v>700000</v>
      </c>
      <c r="C2" s="40">
        <v>10</v>
      </c>
      <c r="D2" s="41">
        <f>B2/C2</f>
        <v>70000</v>
      </c>
      <c r="E2" s="41">
        <f>D2/A12</f>
        <v>0.46666666666666667</v>
      </c>
    </row>
    <row r="3" spans="1:5" x14ac:dyDescent="0.35">
      <c r="A3" t="s">
        <v>219</v>
      </c>
      <c r="B3" s="41">
        <v>30000</v>
      </c>
      <c r="C3" s="40">
        <v>7</v>
      </c>
      <c r="D3" s="41">
        <f>B3/C3</f>
        <v>4285.7142857142853</v>
      </c>
      <c r="E3" s="41">
        <f>D3/$A$12</f>
        <v>2.8571428571428571E-2</v>
      </c>
    </row>
    <row r="4" spans="1:5" x14ac:dyDescent="0.35">
      <c r="A4" t="s">
        <v>220</v>
      </c>
      <c r="B4" s="41">
        <v>30000</v>
      </c>
      <c r="C4" s="40">
        <v>7</v>
      </c>
      <c r="D4" s="41">
        <f>B4/C4</f>
        <v>4285.7142857142853</v>
      </c>
      <c r="E4" s="41">
        <f>D4/$A$12</f>
        <v>2.8571428571428571E-2</v>
      </c>
    </row>
    <row r="5" spans="1:5" x14ac:dyDescent="0.35">
      <c r="A5" t="s">
        <v>218</v>
      </c>
      <c r="B5" s="41">
        <f>95700</f>
        <v>95700</v>
      </c>
      <c r="C5" s="40" t="s">
        <v>68</v>
      </c>
      <c r="D5" s="41">
        <f>B5</f>
        <v>95700</v>
      </c>
      <c r="E5" s="41">
        <f>D5/$A$12</f>
        <v>0.63800000000000001</v>
      </c>
    </row>
    <row r="6" spans="1:5" x14ac:dyDescent="0.35">
      <c r="A6" t="s">
        <v>216</v>
      </c>
      <c r="B6" s="41">
        <v>3000</v>
      </c>
      <c r="D6" s="41">
        <f t="shared" ref="D6:D8" si="0">B6</f>
        <v>3000</v>
      </c>
      <c r="E6" s="41">
        <f t="shared" ref="E6:E8" si="1">D6/$A$12</f>
        <v>0.02</v>
      </c>
    </row>
    <row r="7" spans="1:5" x14ac:dyDescent="0.35">
      <c r="A7" t="s">
        <v>109</v>
      </c>
      <c r="B7" s="41">
        <f>10000*4</f>
        <v>40000</v>
      </c>
      <c r="D7" s="41">
        <f t="shared" si="0"/>
        <v>40000</v>
      </c>
      <c r="E7" s="41">
        <f t="shared" si="1"/>
        <v>0.26666666666666666</v>
      </c>
    </row>
    <row r="8" spans="1:5" x14ac:dyDescent="0.35">
      <c r="A8" t="s">
        <v>108</v>
      </c>
      <c r="B8" s="41">
        <v>50000</v>
      </c>
      <c r="D8" s="117">
        <f t="shared" si="0"/>
        <v>50000</v>
      </c>
      <c r="E8" s="117">
        <f t="shared" si="1"/>
        <v>0.33333333333333331</v>
      </c>
    </row>
    <row r="9" spans="1:5" x14ac:dyDescent="0.35">
      <c r="B9" s="41"/>
      <c r="D9" t="s">
        <v>111</v>
      </c>
      <c r="E9" s="41">
        <f>E2+(SUM(E6:E8)/3)</f>
        <v>0.67333333333333334</v>
      </c>
    </row>
    <row r="10" spans="1:5" ht="15" thickBot="1" x14ac:dyDescent="0.4">
      <c r="D10" s="95" t="s">
        <v>112</v>
      </c>
      <c r="E10" s="118">
        <f>E11-E9</f>
        <v>1.1084761904761904</v>
      </c>
    </row>
    <row r="11" spans="1:5" ht="15" thickTop="1" x14ac:dyDescent="0.35">
      <c r="A11" s="39" t="s">
        <v>67</v>
      </c>
      <c r="D11" s="1" t="s">
        <v>217</v>
      </c>
      <c r="E11" s="116">
        <f>SUM(E2:E8)</f>
        <v>1.7818095238095237</v>
      </c>
    </row>
    <row r="12" spans="1:5" x14ac:dyDescent="0.35">
      <c r="A12" s="119">
        <v>150000</v>
      </c>
    </row>
    <row r="13" spans="1:5" x14ac:dyDescent="0.35">
      <c r="A13" s="39" t="s">
        <v>66</v>
      </c>
      <c r="B13" s="40" t="s">
        <v>65</v>
      </c>
      <c r="C13" s="40" t="s">
        <v>64</v>
      </c>
    </row>
    <row r="14" spans="1:5" x14ac:dyDescent="0.35">
      <c r="A14" s="40">
        <f>40*7</f>
        <v>280</v>
      </c>
      <c r="B14" s="40">
        <f>A14*2</f>
        <v>560</v>
      </c>
      <c r="C14" s="40">
        <f>B14*5</f>
        <v>2800</v>
      </c>
    </row>
    <row r="15" spans="1:5" x14ac:dyDescent="0.35">
      <c r="A15" s="40"/>
      <c r="B15" s="40"/>
    </row>
    <row r="16" spans="1:5" x14ac:dyDescent="0.35">
      <c r="A16" s="39" t="s">
        <v>63</v>
      </c>
      <c r="B16" s="40"/>
    </row>
    <row r="17" spans="1:2" x14ac:dyDescent="0.35">
      <c r="A17" s="40">
        <v>10</v>
      </c>
      <c r="B17" s="40"/>
    </row>
    <row r="18" spans="1:2" x14ac:dyDescent="0.35">
      <c r="A18" s="40"/>
      <c r="B18" s="40"/>
    </row>
    <row r="19" spans="1:2" x14ac:dyDescent="0.35">
      <c r="A19" s="39" t="s">
        <v>62</v>
      </c>
      <c r="B19" s="40"/>
    </row>
    <row r="20" spans="1:2" x14ac:dyDescent="0.35">
      <c r="A20" s="40">
        <f>A17*20</f>
        <v>200</v>
      </c>
      <c r="B20" s="40"/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5F3C-72F5-4E22-9B34-6DEC1A985EE1}">
  <sheetPr>
    <tabColor rgb="FFFFFF00"/>
    <pageSetUpPr fitToPage="1"/>
  </sheetPr>
  <dimension ref="A1:G37"/>
  <sheetViews>
    <sheetView workbookViewId="0">
      <selection sqref="A1:F1"/>
    </sheetView>
  </sheetViews>
  <sheetFormatPr defaultRowHeight="14.5" x14ac:dyDescent="0.35"/>
  <cols>
    <col min="1" max="1" width="44.453125" customWidth="1"/>
    <col min="2" max="4" width="20.54296875" customWidth="1"/>
    <col min="5" max="5" width="18.453125" customWidth="1"/>
    <col min="6" max="6" width="18.1796875" customWidth="1"/>
    <col min="7" max="7" width="11.54296875" bestFit="1" customWidth="1"/>
  </cols>
  <sheetData>
    <row r="1" spans="1:7" ht="68.25" customHeight="1" thickBot="1" x14ac:dyDescent="0.4">
      <c r="A1" s="228"/>
      <c r="B1" s="228"/>
      <c r="C1" s="228"/>
      <c r="D1" s="228"/>
      <c r="E1" s="228"/>
      <c r="F1" s="228"/>
    </row>
    <row r="2" spans="1:7" ht="29.25" customHeight="1" thickBot="1" x14ac:dyDescent="0.4">
      <c r="A2" s="1"/>
      <c r="B2" s="94" t="s">
        <v>214</v>
      </c>
      <c r="C2" s="99" t="s">
        <v>213</v>
      </c>
      <c r="D2" s="99" t="s">
        <v>230</v>
      </c>
      <c r="E2" s="99" t="s">
        <v>225</v>
      </c>
      <c r="F2" s="123" t="s">
        <v>202</v>
      </c>
    </row>
    <row r="3" spans="1:7" x14ac:dyDescent="0.35">
      <c r="A3" s="1" t="s">
        <v>0</v>
      </c>
      <c r="B3" s="27"/>
      <c r="C3" s="27"/>
      <c r="D3" s="7"/>
      <c r="E3" s="8"/>
      <c r="F3" s="8"/>
    </row>
    <row r="4" spans="1:7" x14ac:dyDescent="0.35">
      <c r="A4" s="24" t="s">
        <v>151</v>
      </c>
      <c r="B4" s="28">
        <v>131250</v>
      </c>
      <c r="C4" s="28">
        <v>137000</v>
      </c>
      <c r="D4" s="28">
        <v>137000</v>
      </c>
      <c r="E4" s="28">
        <f>D4</f>
        <v>137000</v>
      </c>
      <c r="F4" s="28">
        <f>E4-D4</f>
        <v>0</v>
      </c>
      <c r="G4" s="83"/>
    </row>
    <row r="5" spans="1:7" x14ac:dyDescent="0.35">
      <c r="A5" s="115" t="s">
        <v>192</v>
      </c>
      <c r="B5" s="12">
        <v>0</v>
      </c>
      <c r="C5" s="12">
        <v>0</v>
      </c>
      <c r="D5" s="12">
        <v>0</v>
      </c>
      <c r="E5" s="12"/>
      <c r="F5" s="12">
        <f>E5-D5</f>
        <v>0</v>
      </c>
    </row>
    <row r="6" spans="1:7" x14ac:dyDescent="0.35">
      <c r="A6" s="1" t="s">
        <v>1</v>
      </c>
      <c r="B6" s="85">
        <f>B4+B5</f>
        <v>131250</v>
      </c>
      <c r="C6" s="85">
        <f>C4+C5</f>
        <v>137000</v>
      </c>
      <c r="D6" s="85">
        <f>D4+D5</f>
        <v>137000</v>
      </c>
      <c r="E6" s="85">
        <f>E4+E5</f>
        <v>137000</v>
      </c>
      <c r="F6" s="4">
        <f>E6-D6</f>
        <v>0</v>
      </c>
    </row>
    <row r="7" spans="1:7" x14ac:dyDescent="0.35">
      <c r="B7" s="54"/>
      <c r="C7" s="54"/>
      <c r="D7" s="54"/>
      <c r="E7" s="54"/>
      <c r="F7" s="54"/>
    </row>
    <row r="8" spans="1:7" x14ac:dyDescent="0.35">
      <c r="A8" s="2" t="s">
        <v>8</v>
      </c>
      <c r="B8" s="54"/>
      <c r="C8" s="54"/>
      <c r="D8" s="54"/>
      <c r="E8" s="54"/>
      <c r="F8" s="54"/>
    </row>
    <row r="9" spans="1:7" x14ac:dyDescent="0.35">
      <c r="A9" s="24" t="s">
        <v>10</v>
      </c>
      <c r="B9" s="30">
        <v>104696</v>
      </c>
      <c r="C9" s="30">
        <v>124800</v>
      </c>
      <c r="D9" s="30">
        <v>124800</v>
      </c>
      <c r="E9" s="30">
        <f>D9</f>
        <v>124800</v>
      </c>
      <c r="F9" s="54">
        <f>E9-D9</f>
        <v>0</v>
      </c>
    </row>
    <row r="10" spans="1:7" x14ac:dyDescent="0.35">
      <c r="A10" s="24" t="s">
        <v>123</v>
      </c>
      <c r="B10" s="31">
        <v>0</v>
      </c>
      <c r="C10" s="31">
        <v>1400</v>
      </c>
      <c r="D10" s="31">
        <v>1400</v>
      </c>
      <c r="E10" s="31">
        <f t="shared" ref="E10:E16" si="0">D10</f>
        <v>1400</v>
      </c>
      <c r="F10" s="11">
        <f>E10-D10</f>
        <v>0</v>
      </c>
    </row>
    <row r="11" spans="1:7" x14ac:dyDescent="0.35">
      <c r="A11" s="25" t="s">
        <v>11</v>
      </c>
      <c r="B11" s="31">
        <v>0</v>
      </c>
      <c r="C11" s="31">
        <v>2200</v>
      </c>
      <c r="D11" s="31">
        <v>2200</v>
      </c>
      <c r="E11" s="31">
        <f t="shared" si="0"/>
        <v>2200</v>
      </c>
      <c r="F11" s="11">
        <f t="shared" ref="F11:F16" si="1">E11-D11</f>
        <v>0</v>
      </c>
    </row>
    <row r="12" spans="1:7" x14ac:dyDescent="0.35">
      <c r="A12" s="25" t="s">
        <v>193</v>
      </c>
      <c r="B12" s="31">
        <v>0</v>
      </c>
      <c r="C12" s="31">
        <v>2500</v>
      </c>
      <c r="D12" s="31">
        <v>2500</v>
      </c>
      <c r="E12" s="31">
        <f t="shared" si="0"/>
        <v>2500</v>
      </c>
      <c r="F12" s="11">
        <f t="shared" si="1"/>
        <v>0</v>
      </c>
    </row>
    <row r="13" spans="1:7" x14ac:dyDescent="0.35">
      <c r="A13" s="25" t="s">
        <v>12</v>
      </c>
      <c r="B13" s="31">
        <v>0</v>
      </c>
      <c r="C13" s="31">
        <v>3500</v>
      </c>
      <c r="D13" s="31">
        <v>3500</v>
      </c>
      <c r="E13" s="31">
        <f t="shared" si="0"/>
        <v>3500</v>
      </c>
      <c r="F13" s="11">
        <f t="shared" si="1"/>
        <v>0</v>
      </c>
    </row>
    <row r="14" spans="1:7" x14ac:dyDescent="0.35">
      <c r="A14" s="25" t="s">
        <v>13</v>
      </c>
      <c r="B14" s="124">
        <v>0</v>
      </c>
      <c r="C14" s="124">
        <v>600</v>
      </c>
      <c r="D14" s="124">
        <v>600</v>
      </c>
      <c r="E14" s="124">
        <f>778*12</f>
        <v>9336</v>
      </c>
      <c r="F14" s="11">
        <f t="shared" si="1"/>
        <v>8736</v>
      </c>
      <c r="G14" t="s">
        <v>226</v>
      </c>
    </row>
    <row r="15" spans="1:7" x14ac:dyDescent="0.35">
      <c r="A15" s="25" t="s">
        <v>194</v>
      </c>
      <c r="B15" s="31">
        <v>337</v>
      </c>
      <c r="C15" s="31">
        <v>1020</v>
      </c>
      <c r="D15" s="31">
        <v>1020</v>
      </c>
      <c r="E15" s="31">
        <f t="shared" si="0"/>
        <v>1020</v>
      </c>
      <c r="F15" s="11">
        <f t="shared" si="1"/>
        <v>0</v>
      </c>
    </row>
    <row r="16" spans="1:7" x14ac:dyDescent="0.35">
      <c r="A16" s="24" t="s">
        <v>195</v>
      </c>
      <c r="B16" s="31">
        <v>394</v>
      </c>
      <c r="C16" s="31">
        <v>1020</v>
      </c>
      <c r="D16" s="31">
        <v>1020</v>
      </c>
      <c r="E16" s="31">
        <f t="shared" si="0"/>
        <v>1020</v>
      </c>
      <c r="F16" s="11">
        <f t="shared" si="1"/>
        <v>0</v>
      </c>
    </row>
    <row r="17" spans="1:6" x14ac:dyDescent="0.35">
      <c r="A17" s="112" t="s">
        <v>9</v>
      </c>
      <c r="B17" s="81">
        <f>SUM(B9:B16)</f>
        <v>105427</v>
      </c>
      <c r="C17" s="81">
        <f>SUM(C9:C16)</f>
        <v>137040</v>
      </c>
      <c r="D17" s="81">
        <f>SUM(D9:D16)</f>
        <v>137040</v>
      </c>
      <c r="E17" s="81">
        <f>SUM(E9:E16)</f>
        <v>145776</v>
      </c>
      <c r="F17" s="78">
        <f>E17-D17</f>
        <v>8736</v>
      </c>
    </row>
    <row r="18" spans="1:6" x14ac:dyDescent="0.35">
      <c r="A18" s="24"/>
      <c r="B18" s="87"/>
      <c r="C18" s="87"/>
      <c r="D18" s="87"/>
      <c r="E18" s="87"/>
      <c r="F18" s="87"/>
    </row>
    <row r="19" spans="1:6" ht="15" thickBot="1" x14ac:dyDescent="0.4">
      <c r="A19" s="113" t="s">
        <v>196</v>
      </c>
      <c r="B19" s="91">
        <f>B6-B17</f>
        <v>25823</v>
      </c>
      <c r="C19" s="91">
        <f>C6-C17</f>
        <v>-40</v>
      </c>
      <c r="D19" s="91">
        <f>D6-D17</f>
        <v>-40</v>
      </c>
      <c r="E19" s="91">
        <f>E6-E17</f>
        <v>-8776</v>
      </c>
      <c r="F19" s="91">
        <f>E19-D19</f>
        <v>-8736</v>
      </c>
    </row>
    <row r="20" spans="1:6" x14ac:dyDescent="0.35">
      <c r="A20" s="24"/>
      <c r="B20" s="54"/>
      <c r="C20" s="54"/>
      <c r="D20" s="54"/>
      <c r="E20" s="54"/>
      <c r="F20" s="54"/>
    </row>
    <row r="21" spans="1:6" x14ac:dyDescent="0.35">
      <c r="A21" s="114" t="s">
        <v>3</v>
      </c>
      <c r="B21" s="54"/>
      <c r="C21" s="54"/>
      <c r="D21" s="54"/>
      <c r="E21" s="54"/>
      <c r="F21" s="54"/>
    </row>
    <row r="22" spans="1:6" x14ac:dyDescent="0.35">
      <c r="A22" s="24" t="s">
        <v>197</v>
      </c>
      <c r="B22" s="87">
        <v>0</v>
      </c>
      <c r="C22" s="87">
        <v>0</v>
      </c>
      <c r="D22" s="87">
        <v>0</v>
      </c>
      <c r="E22" s="87">
        <f>D22</f>
        <v>0</v>
      </c>
      <c r="F22" s="54">
        <f>D22-E22</f>
        <v>0</v>
      </c>
    </row>
    <row r="23" spans="1:6" x14ac:dyDescent="0.35">
      <c r="A23" s="24" t="s">
        <v>14</v>
      </c>
      <c r="B23" s="34">
        <v>0</v>
      </c>
      <c r="C23" s="34">
        <v>0</v>
      </c>
      <c r="D23" s="34">
        <v>0</v>
      </c>
      <c r="E23" s="31">
        <f t="shared" ref="E23:E25" si="2">D23</f>
        <v>0</v>
      </c>
      <c r="F23" s="29">
        <f>D23-E23</f>
        <v>0</v>
      </c>
    </row>
    <row r="24" spans="1:6" x14ac:dyDescent="0.35">
      <c r="A24" s="24" t="s">
        <v>198</v>
      </c>
      <c r="B24" s="34">
        <v>902</v>
      </c>
      <c r="C24" s="34">
        <v>0</v>
      </c>
      <c r="D24" s="34">
        <v>0</v>
      </c>
      <c r="E24" s="31">
        <f t="shared" si="2"/>
        <v>0</v>
      </c>
      <c r="F24" s="29">
        <f t="shared" ref="F24:F25" si="3">D24-E24</f>
        <v>0</v>
      </c>
    </row>
    <row r="25" spans="1:6" x14ac:dyDescent="0.35">
      <c r="A25" s="24" t="s">
        <v>199</v>
      </c>
      <c r="B25" s="34">
        <v>0</v>
      </c>
      <c r="C25" s="34">
        <v>0</v>
      </c>
      <c r="D25" s="34">
        <v>0</v>
      </c>
      <c r="E25" s="31">
        <f t="shared" si="2"/>
        <v>0</v>
      </c>
      <c r="F25" s="29">
        <f t="shared" si="3"/>
        <v>0</v>
      </c>
    </row>
    <row r="26" spans="1:6" ht="15" thickBot="1" x14ac:dyDescent="0.4">
      <c r="A26" s="113" t="s">
        <v>4</v>
      </c>
      <c r="B26" s="91">
        <f>B22+B23+B24+B25</f>
        <v>902</v>
      </c>
      <c r="C26" s="91">
        <f>C22+C23+C24+C25</f>
        <v>0</v>
      </c>
      <c r="D26" s="91">
        <f>D22+D23+D24+D25</f>
        <v>0</v>
      </c>
      <c r="E26" s="91">
        <f>E22+E23+E24+E25</f>
        <v>0</v>
      </c>
      <c r="F26" s="91">
        <f>E26-D26</f>
        <v>0</v>
      </c>
    </row>
    <row r="27" spans="1:6" x14ac:dyDescent="0.35">
      <c r="A27" s="24"/>
      <c r="B27" s="54"/>
      <c r="C27" s="54"/>
      <c r="D27" s="54"/>
      <c r="E27" s="54"/>
      <c r="F27" s="54"/>
    </row>
    <row r="28" spans="1:6" x14ac:dyDescent="0.35">
      <c r="A28" s="114" t="s">
        <v>5</v>
      </c>
      <c r="B28" s="85">
        <f>B19--B26</f>
        <v>26725</v>
      </c>
      <c r="C28" s="85">
        <f>C19--C26</f>
        <v>-40</v>
      </c>
      <c r="D28" s="85">
        <f>D19--D26</f>
        <v>-40</v>
      </c>
      <c r="E28" s="85">
        <f t="shared" ref="E28:F28" si="4">E19--E26</f>
        <v>-8776</v>
      </c>
      <c r="F28" s="85">
        <f t="shared" si="4"/>
        <v>-8736</v>
      </c>
    </row>
    <row r="29" spans="1:6" x14ac:dyDescent="0.35">
      <c r="A29" s="24"/>
      <c r="B29" s="28"/>
      <c r="C29" s="28"/>
      <c r="D29" s="28"/>
      <c r="E29" s="28"/>
      <c r="F29" s="28"/>
    </row>
    <row r="30" spans="1:6" x14ac:dyDescent="0.35">
      <c r="A30" s="109" t="s">
        <v>200</v>
      </c>
      <c r="B30" s="28">
        <v>0</v>
      </c>
      <c r="C30" s="28">
        <v>50000</v>
      </c>
      <c r="D30" s="28">
        <v>0</v>
      </c>
      <c r="E30" s="31">
        <f t="shared" ref="E30" si="5">D30</f>
        <v>0</v>
      </c>
      <c r="F30" s="28">
        <f>E30-D30</f>
        <v>0</v>
      </c>
    </row>
    <row r="31" spans="1:6" x14ac:dyDescent="0.35">
      <c r="B31" s="28"/>
      <c r="C31" s="28"/>
      <c r="D31" s="28"/>
      <c r="E31" s="28"/>
      <c r="F31" s="28"/>
    </row>
    <row r="32" spans="1:6" x14ac:dyDescent="0.35">
      <c r="A32" s="1" t="s">
        <v>6</v>
      </c>
      <c r="B32" s="85">
        <f>B6</f>
        <v>131250</v>
      </c>
      <c r="C32" s="85">
        <f>C6</f>
        <v>137000</v>
      </c>
      <c r="D32" s="85">
        <f>D6</f>
        <v>137000</v>
      </c>
      <c r="E32" s="85">
        <f>E6</f>
        <v>137000</v>
      </c>
      <c r="F32" s="85">
        <f>E32-D32</f>
        <v>0</v>
      </c>
    </row>
    <row r="33" spans="1:6" x14ac:dyDescent="0.35">
      <c r="A33" s="1" t="s">
        <v>201</v>
      </c>
      <c r="B33" s="89">
        <v>0</v>
      </c>
      <c r="C33" s="89">
        <f>C35-C32</f>
        <v>50040</v>
      </c>
      <c r="D33" s="89">
        <f>D35-D32</f>
        <v>40</v>
      </c>
      <c r="E33" s="89">
        <v>0</v>
      </c>
      <c r="F33" s="89">
        <f>E33-D33</f>
        <v>-40</v>
      </c>
    </row>
    <row r="34" spans="1:6" x14ac:dyDescent="0.35">
      <c r="A34" s="88" t="s">
        <v>7</v>
      </c>
      <c r="B34" s="81">
        <f>B32+B33</f>
        <v>131250</v>
      </c>
      <c r="C34" s="81">
        <f>C32+C33</f>
        <v>187040</v>
      </c>
      <c r="D34" s="81">
        <f>D32+D33</f>
        <v>137040</v>
      </c>
      <c r="E34" s="81">
        <f>E32+E33</f>
        <v>137000</v>
      </c>
      <c r="F34" s="81">
        <f>E34-D34</f>
        <v>-40</v>
      </c>
    </row>
    <row r="35" spans="1:6" x14ac:dyDescent="0.35">
      <c r="A35" s="84" t="s">
        <v>2</v>
      </c>
      <c r="B35" s="86">
        <f>B17+B30</f>
        <v>105427</v>
      </c>
      <c r="C35" s="86">
        <f>C17+C30</f>
        <v>187040</v>
      </c>
      <c r="D35" s="86">
        <f>D17+D30</f>
        <v>137040</v>
      </c>
      <c r="E35" s="86">
        <f>E17+E30</f>
        <v>145776</v>
      </c>
      <c r="F35" s="86">
        <f>E35-D35</f>
        <v>8736</v>
      </c>
    </row>
    <row r="36" spans="1:6" x14ac:dyDescent="0.35">
      <c r="B36" s="54"/>
      <c r="C36" s="54"/>
      <c r="D36" s="54"/>
      <c r="E36" s="54"/>
      <c r="F36" s="54"/>
    </row>
    <row r="37" spans="1:6" x14ac:dyDescent="0.35">
      <c r="B37" s="54"/>
      <c r="C37" s="54"/>
      <c r="D37" s="54"/>
      <c r="E37" s="54"/>
      <c r="F37" s="54"/>
    </row>
  </sheetData>
  <mergeCells count="1">
    <mergeCell ref="A1:F1"/>
  </mergeCells>
  <pageMargins left="0.7" right="0.7" top="1.19" bottom="0.75" header="0.57999999999999996" footer="0.3"/>
  <pageSetup scale="69" fitToHeight="0" orientation="portrait" r:id="rId1"/>
  <headerFooter>
    <oddHeader>&amp;C&amp;18Northern Utah Environmental Resource Agency 
 Safety Final Sub-Budget 2025</oddHeader>
  </headerFooter>
  <ignoredErrors>
    <ignoredError sqref="E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CDE2-E584-4884-9B75-4994917C9D55}">
  <sheetPr>
    <tabColor rgb="FFFFFF00"/>
    <outlinePr summaryBelow="0"/>
    <pageSetUpPr fitToPage="1"/>
  </sheetPr>
  <dimension ref="A1:L64"/>
  <sheetViews>
    <sheetView zoomScale="95" zoomScaleNormal="140" workbookViewId="0">
      <selection activeCell="A60" sqref="A60"/>
    </sheetView>
  </sheetViews>
  <sheetFormatPr defaultRowHeight="14.5" x14ac:dyDescent="0.35"/>
  <cols>
    <col min="1" max="1" width="44.54296875" customWidth="1"/>
    <col min="2" max="2" width="21.81640625" hidden="1" customWidth="1"/>
    <col min="3" max="5" width="21.81640625" customWidth="1"/>
    <col min="6" max="6" width="21.81640625" style="3" customWidth="1"/>
    <col min="7" max="7" width="20" customWidth="1"/>
    <col min="8" max="8" width="13.26953125" bestFit="1" customWidth="1"/>
    <col min="9" max="9" width="12.26953125" bestFit="1" customWidth="1"/>
    <col min="12" max="12" width="12.26953125" bestFit="1" customWidth="1"/>
    <col min="14" max="14" width="12.26953125" bestFit="1" customWidth="1"/>
  </cols>
  <sheetData>
    <row r="1" spans="1:8" ht="29.25" customHeight="1" thickBot="1" x14ac:dyDescent="0.4">
      <c r="A1" s="228"/>
      <c r="B1" s="228"/>
      <c r="C1" s="228"/>
      <c r="D1" s="228"/>
      <c r="E1" s="228"/>
      <c r="F1" s="228"/>
    </row>
    <row r="2" spans="1:8" ht="29.25" customHeight="1" thickBot="1" x14ac:dyDescent="0.4">
      <c r="A2" s="1"/>
      <c r="B2" s="35" t="s">
        <v>212</v>
      </c>
      <c r="C2" s="35" t="s">
        <v>230</v>
      </c>
      <c r="D2" s="35" t="s">
        <v>228</v>
      </c>
      <c r="E2" s="35" t="s">
        <v>234</v>
      </c>
      <c r="F2" s="126" t="s">
        <v>242</v>
      </c>
      <c r="G2" s="82"/>
    </row>
    <row r="3" spans="1:8" x14ac:dyDescent="0.35">
      <c r="A3" s="1" t="s">
        <v>0</v>
      </c>
      <c r="B3" s="7"/>
      <c r="D3" s="7"/>
      <c r="E3" s="8"/>
      <c r="F3" s="8"/>
    </row>
    <row r="4" spans="1:8" x14ac:dyDescent="0.35">
      <c r="A4" s="24" t="s">
        <v>256</v>
      </c>
      <c r="B4" s="15">
        <f>'2026 Bayview Operations'!B20</f>
        <v>4640160</v>
      </c>
      <c r="C4" s="15">
        <f>'2026 Bayview Operations'!D20</f>
        <v>5201700</v>
      </c>
      <c r="D4" s="15">
        <f>'Bayview - Detailed'!E4</f>
        <v>5137000</v>
      </c>
      <c r="E4" s="15">
        <f>'Bayview - Detailed'!F4</f>
        <v>6178800.5</v>
      </c>
      <c r="F4" s="15">
        <f>'Bayview - Detailed'!G4</f>
        <v>1041800.5</v>
      </c>
    </row>
    <row r="5" spans="1:8" x14ac:dyDescent="0.35">
      <c r="A5" s="24" t="s">
        <v>15</v>
      </c>
      <c r="B5" s="16">
        <f>'2026 Bayview Operations'!B21</f>
        <v>570000</v>
      </c>
      <c r="C5" s="16">
        <f>'2026 Bayview Operations'!D21</f>
        <v>855000</v>
      </c>
      <c r="D5" s="16">
        <f>'Bayview - Detailed'!E9</f>
        <v>722000</v>
      </c>
      <c r="E5" s="16">
        <f>'Bayview - Detailed'!F9</f>
        <v>627000</v>
      </c>
      <c r="F5" s="16">
        <f>'Bayview - Detailed'!G9</f>
        <v>-95000</v>
      </c>
    </row>
    <row r="6" spans="1:8" x14ac:dyDescent="0.35">
      <c r="A6" s="24" t="s">
        <v>53</v>
      </c>
      <c r="B6" s="16">
        <f>'2026 Bayview Operations'!B22</f>
        <v>0</v>
      </c>
      <c r="C6" s="16">
        <f>'2026 Bayview Operations'!D22</f>
        <v>281250</v>
      </c>
      <c r="D6" s="16">
        <f>'Bayview - Detailed'!E14</f>
        <v>41250</v>
      </c>
      <c r="E6" s="16">
        <f>'Bayview - Detailed'!F14</f>
        <v>162500</v>
      </c>
      <c r="F6" s="16">
        <f>'Bayview - Detailed'!G14</f>
        <v>121250</v>
      </c>
    </row>
    <row r="7" spans="1:8" x14ac:dyDescent="0.35">
      <c r="A7" s="24" t="s">
        <v>41</v>
      </c>
      <c r="B7" s="16">
        <f>'2026 Bayview Operations'!B23</f>
        <v>0</v>
      </c>
      <c r="C7" s="16">
        <f>'2026 Bayview Operations'!D23</f>
        <v>307170.91428571427</v>
      </c>
      <c r="D7" s="16">
        <f>'Bayview - Detailed'!E19</f>
        <v>249440.28571428571</v>
      </c>
      <c r="E7" s="16">
        <f>'Bayview - Detailed'!F19</f>
        <v>328288.02180952381</v>
      </c>
      <c r="F7" s="16">
        <f>'Bayview - Detailed'!G19</f>
        <v>78847.736095238099</v>
      </c>
    </row>
    <row r="8" spans="1:8" x14ac:dyDescent="0.35">
      <c r="A8" s="24" t="s">
        <v>244</v>
      </c>
      <c r="B8" s="16"/>
      <c r="C8" s="195" t="str">
        <f>'2026 Bayview Operations'!D24</f>
        <v>NEW</v>
      </c>
      <c r="D8" s="220" t="str">
        <f>'Bayview - Detailed'!E20</f>
        <v>NEW</v>
      </c>
      <c r="E8" s="16">
        <f>'Bayview - Detailed'!F20</f>
        <v>180000</v>
      </c>
      <c r="F8" s="16">
        <f>'Bayview - Detailed'!G20</f>
        <v>180000</v>
      </c>
    </row>
    <row r="9" spans="1:8" x14ac:dyDescent="0.35">
      <c r="A9" s="112" t="s">
        <v>1</v>
      </c>
      <c r="B9" s="78">
        <f>SUM(B4:B7)</f>
        <v>5210160</v>
      </c>
      <c r="C9" s="78">
        <f>SUM(C4:C8)</f>
        <v>6645120.9142857138</v>
      </c>
      <c r="D9" s="78">
        <f>SUM(D4:D8)</f>
        <v>6149690.2857142854</v>
      </c>
      <c r="E9" s="78">
        <f>SUM(E4:E8)</f>
        <v>7476588.5218095239</v>
      </c>
      <c r="F9" s="78">
        <f>E9-D9</f>
        <v>1326898.2360952385</v>
      </c>
      <c r="G9" s="4"/>
    </row>
    <row r="10" spans="1:8" x14ac:dyDescent="0.35">
      <c r="B10" s="18"/>
      <c r="C10" s="18"/>
      <c r="D10" s="18"/>
      <c r="F10" s="4"/>
    </row>
    <row r="11" spans="1:8" x14ac:dyDescent="0.35">
      <c r="A11" s="2" t="s">
        <v>8</v>
      </c>
      <c r="B11" s="18"/>
      <c r="C11" s="18"/>
      <c r="D11" s="18"/>
      <c r="F11" s="4"/>
    </row>
    <row r="12" spans="1:8" s="1" customFormat="1" x14ac:dyDescent="0.35">
      <c r="A12" s="24" t="s">
        <v>10</v>
      </c>
      <c r="B12" s="19">
        <f>'2026 Bayview Operations'!B28</f>
        <v>1497177.9102723326</v>
      </c>
      <c r="C12" s="19">
        <f>'2026 Bayview Operations'!D28</f>
        <v>2268096.6999999997</v>
      </c>
      <c r="D12" s="19">
        <f>'Bayview - Detailed'!E24</f>
        <v>2268096.6999999997</v>
      </c>
      <c r="E12" s="19">
        <f>'Bayview - Detailed'!F24</f>
        <v>2460517.1799999997</v>
      </c>
      <c r="F12" s="19">
        <f>'2026 Bayview Operations'!G28</f>
        <v>306867.28964800062</v>
      </c>
      <c r="G12"/>
      <c r="H12"/>
    </row>
    <row r="13" spans="1:8" s="1" customFormat="1" x14ac:dyDescent="0.35">
      <c r="A13" s="24" t="s">
        <v>123</v>
      </c>
      <c r="B13" s="20">
        <f>'2026 Bayview Operations'!B43</f>
        <v>111025</v>
      </c>
      <c r="C13" s="20">
        <f>'2026 Bayview Operations'!D43</f>
        <v>206750</v>
      </c>
      <c r="D13" s="20">
        <f>'Bayview - Detailed'!E39</f>
        <v>226750</v>
      </c>
      <c r="E13" s="20">
        <f>'Bayview - Detailed'!F39</f>
        <v>275250</v>
      </c>
      <c r="F13" s="20">
        <f>'2026 Bayview Operations'!G43</f>
        <v>-16500</v>
      </c>
      <c r="G13"/>
      <c r="H13"/>
    </row>
    <row r="14" spans="1:8" s="1" customFormat="1" x14ac:dyDescent="0.35">
      <c r="A14" s="24" t="s">
        <v>12</v>
      </c>
      <c r="B14" s="20">
        <f>'2026 Bayview Operations'!B62</f>
        <v>520000</v>
      </c>
      <c r="C14" s="20">
        <f>'2026 Bayview Operations'!D62</f>
        <v>835000</v>
      </c>
      <c r="D14" s="20">
        <f>'Bayview - Detailed'!E59</f>
        <v>835000</v>
      </c>
      <c r="E14" s="20">
        <f>'Bayview - Detailed'!F59</f>
        <v>705000</v>
      </c>
      <c r="F14" s="20">
        <f>'2026 Bayview Operations'!G62</f>
        <v>-130000</v>
      </c>
      <c r="G14"/>
      <c r="H14"/>
    </row>
    <row r="15" spans="1:8" s="1" customFormat="1" x14ac:dyDescent="0.35">
      <c r="A15" s="24" t="s">
        <v>16</v>
      </c>
      <c r="B15" s="20">
        <f>'2026 Bayview Operations'!B66</f>
        <v>64500</v>
      </c>
      <c r="C15" s="20">
        <f>'2026 Bayview Operations'!D66</f>
        <v>105200</v>
      </c>
      <c r="D15" s="20">
        <f>'Bayview - Detailed'!E63</f>
        <v>105200</v>
      </c>
      <c r="E15" s="20">
        <f>'Bayview - Detailed'!F63</f>
        <v>107000</v>
      </c>
      <c r="F15" s="20">
        <f>'2026 Bayview Operations'!G66</f>
        <v>-11200</v>
      </c>
      <c r="G15"/>
      <c r="H15"/>
    </row>
    <row r="16" spans="1:8" s="1" customFormat="1" x14ac:dyDescent="0.35">
      <c r="A16" s="25" t="s">
        <v>11</v>
      </c>
      <c r="B16" s="26">
        <f>'2026 Bayview Operations'!B74</f>
        <v>532900</v>
      </c>
      <c r="C16" s="26">
        <f>'2026 Bayview Operations'!D74</f>
        <v>648500</v>
      </c>
      <c r="D16" s="26">
        <f>'Bayview - Detailed'!E71</f>
        <v>633500</v>
      </c>
      <c r="E16" s="26">
        <f>'Bayview - Detailed'!F71</f>
        <v>565000</v>
      </c>
      <c r="F16" s="26">
        <f>'2026 Bayview Operations'!G74</f>
        <v>-118500</v>
      </c>
      <c r="G16"/>
      <c r="H16"/>
    </row>
    <row r="17" spans="1:9" s="1" customFormat="1" x14ac:dyDescent="0.35">
      <c r="A17" s="25" t="s">
        <v>30</v>
      </c>
      <c r="B17" s="20">
        <f>'2026 Bayview Operations'!B90</f>
        <v>30000</v>
      </c>
      <c r="C17" s="20">
        <f>'2026 Bayview Operations'!D90</f>
        <v>45000</v>
      </c>
      <c r="D17" s="20">
        <f>'Bayview - Detailed'!E87</f>
        <v>45000</v>
      </c>
      <c r="E17" s="20">
        <f>'Bayview - Detailed'!F87</f>
        <v>35000</v>
      </c>
      <c r="F17" s="20">
        <f>'2026 Bayview Operations'!G90</f>
        <v>-10000</v>
      </c>
      <c r="G17"/>
      <c r="H17"/>
    </row>
    <row r="18" spans="1:9" s="1" customFormat="1" x14ac:dyDescent="0.35">
      <c r="A18" s="25" t="s">
        <v>263</v>
      </c>
      <c r="B18" s="20"/>
      <c r="C18" s="196" t="s">
        <v>243</v>
      </c>
      <c r="D18" s="196" t="s">
        <v>243</v>
      </c>
      <c r="E18" s="20">
        <f>'Bayview - Detailed'!F91</f>
        <v>25000</v>
      </c>
      <c r="F18" s="20">
        <f>'2026 Bayview Operations'!G94</f>
        <v>-21000</v>
      </c>
      <c r="G18"/>
      <c r="H18"/>
      <c r="I18" s="5"/>
    </row>
    <row r="19" spans="1:9" s="1" customFormat="1" x14ac:dyDescent="0.35">
      <c r="A19" s="25" t="s">
        <v>17</v>
      </c>
      <c r="B19" s="20">
        <f>'2026 Bayview Operations'!B101</f>
        <v>9200</v>
      </c>
      <c r="C19" s="20">
        <f>'2026 Bayview Operations'!D101</f>
        <v>40000</v>
      </c>
      <c r="D19" s="20">
        <f>'Bayview - Detailed'!E98</f>
        <v>40000</v>
      </c>
      <c r="E19" s="20">
        <f>'Bayview - Detailed'!F98</f>
        <v>34500</v>
      </c>
      <c r="F19" s="20">
        <f>'2026 Bayview Operations'!G101</f>
        <v>-13500</v>
      </c>
      <c r="G19"/>
      <c r="H19"/>
    </row>
    <row r="20" spans="1:9" s="1" customFormat="1" x14ac:dyDescent="0.35">
      <c r="A20" s="25" t="s">
        <v>120</v>
      </c>
      <c r="B20" s="20">
        <f>'2026 Bayview Operations'!B106</f>
        <v>85000</v>
      </c>
      <c r="C20" s="20">
        <f>'2026 Bayview Operations'!D106</f>
        <v>40000</v>
      </c>
      <c r="D20" s="20">
        <f>'Bayview - Detailed'!E103</f>
        <v>40000</v>
      </c>
      <c r="E20" s="20">
        <f>'Bayview - Detailed'!F103</f>
        <v>46000</v>
      </c>
      <c r="F20" s="20">
        <f>'2026 Bayview Operations'!G106</f>
        <v>6000</v>
      </c>
      <c r="G20"/>
      <c r="H20"/>
    </row>
    <row r="21" spans="1:9" s="1" customFormat="1" x14ac:dyDescent="0.35">
      <c r="A21" s="25" t="s">
        <v>31</v>
      </c>
      <c r="B21" s="20">
        <f>'2026 Bayview Operations'!B110</f>
        <v>321500</v>
      </c>
      <c r="C21" s="20">
        <f>'2026 Bayview Operations'!D110</f>
        <v>353750</v>
      </c>
      <c r="D21" s="20">
        <f>'Bayview - Detailed'!E107</f>
        <v>435750</v>
      </c>
      <c r="E21" s="20">
        <f>'Bayview - Detailed'!F107</f>
        <v>332000</v>
      </c>
      <c r="F21" s="20">
        <f>'2026 Bayview Operations'!G110</f>
        <v>-61750</v>
      </c>
      <c r="G21" s="19"/>
      <c r="H21"/>
    </row>
    <row r="22" spans="1:9" s="1" customFormat="1" x14ac:dyDescent="0.35">
      <c r="A22" s="25" t="s">
        <v>18</v>
      </c>
      <c r="B22" s="20">
        <f>'2026 Bayview Operations'!B122</f>
        <v>12000</v>
      </c>
      <c r="C22" s="20">
        <f>'2026 Bayview Operations'!D122</f>
        <v>12000</v>
      </c>
      <c r="D22" s="20">
        <f>'Bayview - Detailed'!E119</f>
        <v>12000</v>
      </c>
      <c r="E22" s="20">
        <f>'Bayview - Detailed'!F119</f>
        <v>12000</v>
      </c>
      <c r="F22" s="20">
        <f>'2026 Bayview Operations'!G122</f>
        <v>0</v>
      </c>
      <c r="G22"/>
      <c r="H22"/>
    </row>
    <row r="23" spans="1:9" s="1" customFormat="1" x14ac:dyDescent="0.35">
      <c r="A23" s="25" t="s">
        <v>19</v>
      </c>
      <c r="B23" s="20">
        <f>'2026 Bayview Operations'!B123</f>
        <v>102000</v>
      </c>
      <c r="C23" s="20">
        <f>'2026 Bayview Operations'!D123</f>
        <v>150000</v>
      </c>
      <c r="D23" s="20">
        <f>'Bayview - Detailed'!E120</f>
        <v>150000</v>
      </c>
      <c r="E23" s="20">
        <f>'Bayview - Detailed'!F120</f>
        <v>150000</v>
      </c>
      <c r="F23" s="20">
        <f>'2026 Bayview Operations'!G123</f>
        <v>0</v>
      </c>
      <c r="G23"/>
      <c r="H23"/>
    </row>
    <row r="24" spans="1:9" s="1" customFormat="1" x14ac:dyDescent="0.35">
      <c r="A24" s="25" t="s">
        <v>20</v>
      </c>
      <c r="B24" s="20">
        <f>'2026 Bayview Operations'!B124</f>
        <v>418762</v>
      </c>
      <c r="C24" s="20">
        <f>'2026 Bayview Operations'!D124</f>
        <v>506000</v>
      </c>
      <c r="D24" s="20">
        <f>'Bayview - Detailed'!E121</f>
        <v>506000</v>
      </c>
      <c r="E24" s="20">
        <f>'Bayview - Detailed'!F121</f>
        <v>588744.13913571427</v>
      </c>
      <c r="F24" s="20">
        <f>'2026 Bayview Operations'!G124</f>
        <v>82744.139135714271</v>
      </c>
      <c r="G24"/>
      <c r="H24"/>
    </row>
    <row r="25" spans="1:9" s="76" customFormat="1" x14ac:dyDescent="0.35">
      <c r="A25" s="106" t="s">
        <v>21</v>
      </c>
      <c r="B25" s="20">
        <f>'2026 Bayview Operations'!B125</f>
        <v>300000</v>
      </c>
      <c r="C25" s="20">
        <f>'2026 Bayview Operations'!D125</f>
        <v>300000</v>
      </c>
      <c r="D25" s="20">
        <f>'Bayview - Detailed'!E122</f>
        <v>300000</v>
      </c>
      <c r="E25" s="20">
        <f>'Bayview - Detailed'!F122</f>
        <v>300000</v>
      </c>
      <c r="F25" s="20">
        <f>'2026 Bayview Operations'!G125</f>
        <v>0</v>
      </c>
      <c r="G25" s="93"/>
      <c r="H25" s="93"/>
    </row>
    <row r="26" spans="1:9" s="1" customFormat="1" x14ac:dyDescent="0.35">
      <c r="A26" s="25" t="s">
        <v>22</v>
      </c>
      <c r="B26" s="20">
        <f>'2026 Bayview Operations'!B126</f>
        <v>2500</v>
      </c>
      <c r="C26" s="20">
        <f>'2026 Bayview Operations'!D126</f>
        <v>6200</v>
      </c>
      <c r="D26" s="20">
        <f>'Bayview - Detailed'!E123</f>
        <v>6200</v>
      </c>
      <c r="E26" s="20">
        <f>'Bayview - Detailed'!F123</f>
        <v>4000</v>
      </c>
      <c r="F26" s="20">
        <f>'2026 Bayview Operations'!G126</f>
        <v>-4700</v>
      </c>
      <c r="G26"/>
      <c r="H26"/>
    </row>
    <row r="27" spans="1:9" s="1" customFormat="1" x14ac:dyDescent="0.35">
      <c r="A27" s="106" t="s">
        <v>23</v>
      </c>
      <c r="B27" s="20">
        <f>'2026 Bayview Operations'!B130</f>
        <v>25000</v>
      </c>
      <c r="C27" s="20">
        <f>'2026 Bayview Operations'!D130</f>
        <v>25000</v>
      </c>
      <c r="D27" s="20">
        <f>'Bayview - Detailed'!E128</f>
        <v>0</v>
      </c>
      <c r="E27" s="20">
        <f>'Bayview - Detailed'!F128</f>
        <v>0</v>
      </c>
      <c r="F27" s="20">
        <f>'2026 Bayview Operations'!G130</f>
        <v>-5000</v>
      </c>
      <c r="G27"/>
      <c r="H27"/>
    </row>
    <row r="28" spans="1:9" s="1" customFormat="1" x14ac:dyDescent="0.35">
      <c r="A28" s="25" t="s">
        <v>36</v>
      </c>
      <c r="B28" s="20">
        <f>'2026 Bayview Operations'!B131</f>
        <v>27683</v>
      </c>
      <c r="C28" s="20">
        <f>'2026 Bayview Operations'!D131</f>
        <v>24955.15</v>
      </c>
      <c r="D28" s="20">
        <f>'Bayview - Detailed'!E129</f>
        <v>24955.15</v>
      </c>
      <c r="E28" s="20">
        <f>'Bayview - Detailed'!F129</f>
        <v>22138</v>
      </c>
      <c r="F28" s="20">
        <f>'2026 Bayview Operations'!G131</f>
        <v>-2817.1500000000015</v>
      </c>
      <c r="G28"/>
      <c r="H28"/>
    </row>
    <row r="29" spans="1:9" s="1" customFormat="1" x14ac:dyDescent="0.35">
      <c r="A29" s="25" t="s">
        <v>222</v>
      </c>
      <c r="B29" s="20">
        <f>'2026 Bayview Operations'!B132</f>
        <v>0</v>
      </c>
      <c r="C29" s="20">
        <f>'2026 Bayview Operations'!D132</f>
        <v>36592.94</v>
      </c>
      <c r="D29" s="20">
        <f>'Bayview - Detailed'!E130</f>
        <v>36592.94</v>
      </c>
      <c r="E29" s="20">
        <f>'Bayview - Detailed'!F130</f>
        <v>28044</v>
      </c>
      <c r="F29" s="20">
        <f>'2026 Bayview Operations'!G132</f>
        <v>-8548.9400000000023</v>
      </c>
      <c r="G29"/>
      <c r="H29"/>
    </row>
    <row r="30" spans="1:9" s="1" customFormat="1" x14ac:dyDescent="0.35">
      <c r="A30" s="25" t="s">
        <v>283</v>
      </c>
      <c r="B30" s="20"/>
      <c r="C30" s="196" t="str">
        <f>'2026 Bayview Operations'!D133</f>
        <v>NEW</v>
      </c>
      <c r="D30" s="196" t="str">
        <f>'2026 Bayview Operations'!E133</f>
        <v>NEW</v>
      </c>
      <c r="E30" s="20">
        <f>'Bayview - Detailed'!F131</f>
        <v>54893</v>
      </c>
      <c r="F30" s="20">
        <f>'2026 Bayview Operations'!G133</f>
        <v>54893</v>
      </c>
      <c r="G30"/>
      <c r="H30"/>
    </row>
    <row r="31" spans="1:9" s="1" customFormat="1" x14ac:dyDescent="0.35">
      <c r="A31" s="25" t="s">
        <v>24</v>
      </c>
      <c r="B31" s="26">
        <f>'2026 Bayview Operations'!B134</f>
        <v>150000</v>
      </c>
      <c r="C31" s="26">
        <f>'2026 Bayview Operations'!D134</f>
        <v>150000</v>
      </c>
      <c r="D31" s="26">
        <f>'Bayview - Detailed'!E132</f>
        <v>307000</v>
      </c>
      <c r="E31" s="26">
        <f>'Bayview - Detailed'!F132</f>
        <v>166000</v>
      </c>
      <c r="F31" s="26">
        <f>'2026 Bayview Operations'!G134</f>
        <v>-216000</v>
      </c>
      <c r="G31"/>
      <c r="H31"/>
      <c r="I31" s="77"/>
    </row>
    <row r="32" spans="1:9" s="1" customFormat="1" x14ac:dyDescent="0.35">
      <c r="A32" s="107" t="s">
        <v>13</v>
      </c>
      <c r="B32" s="50">
        <f>'2026 Bayview Operations'!B135</f>
        <v>1124898</v>
      </c>
      <c r="C32" s="50">
        <f>'2026 Bayview Operations'!D135</f>
        <v>1442360</v>
      </c>
      <c r="D32" s="50">
        <f>'Bayview - Detailed'!E133</f>
        <v>1454409.9042857143</v>
      </c>
      <c r="E32" s="50">
        <f>'Bayview - Detailed'!F133</f>
        <v>1528487.104920635</v>
      </c>
      <c r="F32" s="50">
        <f>'2026 Bayview Operations'!G135</f>
        <v>74077.200634920737</v>
      </c>
      <c r="G32"/>
      <c r="H32"/>
      <c r="I32" s="77"/>
    </row>
    <row r="33" spans="1:12" s="1" customFormat="1" x14ac:dyDescent="0.35">
      <c r="A33" s="2" t="s">
        <v>9</v>
      </c>
      <c r="B33" s="111">
        <f>SUM(B12:B32)</f>
        <v>5334145.9102723328</v>
      </c>
      <c r="C33" s="111">
        <f t="shared" ref="C33:E33" si="0">SUM(C12:C32)</f>
        <v>7195404.79</v>
      </c>
      <c r="D33" s="111">
        <f>SUM(D12:D32)</f>
        <v>7426454.6942857141</v>
      </c>
      <c r="E33" s="111">
        <f t="shared" si="0"/>
        <v>7439573.4240563493</v>
      </c>
      <c r="F33" s="111">
        <f>E33-D33</f>
        <v>13118.729770635255</v>
      </c>
      <c r="G33"/>
      <c r="H33"/>
      <c r="I33" s="5"/>
    </row>
    <row r="34" spans="1:12" x14ac:dyDescent="0.35">
      <c r="A34" s="25"/>
      <c r="B34" s="17"/>
      <c r="C34" s="17"/>
      <c r="D34" s="17"/>
      <c r="E34" s="4"/>
      <c r="F34" s="4"/>
    </row>
    <row r="35" spans="1:12" s="1" customFormat="1" ht="15" thickBot="1" x14ac:dyDescent="0.4">
      <c r="A35" s="79" t="s">
        <v>27</v>
      </c>
      <c r="B35" s="104">
        <f>B9-B33</f>
        <v>-123985.91027233284</v>
      </c>
      <c r="C35" s="104">
        <f t="shared" ref="C35:E35" si="1">C9-C33</f>
        <v>-550283.87571428623</v>
      </c>
      <c r="D35" s="104">
        <f>D9-D33</f>
        <v>-1276764.4085714286</v>
      </c>
      <c r="E35" s="104">
        <f t="shared" si="1"/>
        <v>37015.097753174603</v>
      </c>
      <c r="F35" s="104">
        <f>E35-D35</f>
        <v>1313779.5063246032</v>
      </c>
      <c r="L35" s="49"/>
    </row>
    <row r="36" spans="1:12" x14ac:dyDescent="0.35">
      <c r="A36" s="1"/>
      <c r="B36" s="22"/>
      <c r="C36" s="22"/>
      <c r="D36" s="22"/>
      <c r="E36" s="4"/>
      <c r="F36" s="5"/>
      <c r="L36" s="23"/>
    </row>
    <row r="37" spans="1:12" x14ac:dyDescent="0.35">
      <c r="A37" s="1" t="s">
        <v>3</v>
      </c>
      <c r="B37" s="18"/>
      <c r="C37" s="18"/>
      <c r="D37" s="18"/>
      <c r="F37" s="4"/>
      <c r="L37" s="23"/>
    </row>
    <row r="38" spans="1:12" x14ac:dyDescent="0.35">
      <c r="A38" s="24" t="str">
        <f>'2026 Bayview Operations'!A141</f>
        <v>Interest Income - PTIF Account</v>
      </c>
      <c r="B38" s="19">
        <f>'2026 Bayview Operations'!B141</f>
        <v>150000</v>
      </c>
      <c r="C38" s="19">
        <f>'2026 Bayview Operations'!D141</f>
        <v>244500</v>
      </c>
      <c r="D38" s="19">
        <f>'2026 Bayview Operations'!E141</f>
        <v>244500</v>
      </c>
      <c r="E38" s="19">
        <f>'2026 Bayview Operations'!F141</f>
        <v>244500</v>
      </c>
      <c r="F38" s="19">
        <f>'2026 Bayview Operations'!G141</f>
        <v>0</v>
      </c>
      <c r="L38" s="23"/>
    </row>
    <row r="39" spans="1:12" x14ac:dyDescent="0.35">
      <c r="A39" s="24" t="str">
        <f>'2026 Bayview Operations'!A142</f>
        <v>Interest Income - Wells Fargo Checking</v>
      </c>
      <c r="B39" s="20">
        <f>'2026 Bayview Operations'!B142</f>
        <v>300</v>
      </c>
      <c r="C39" s="20">
        <f>'2026 Bayview Operations'!D142</f>
        <v>6054</v>
      </c>
      <c r="D39" s="20">
        <f>'2026 Bayview Operations'!E142</f>
        <v>6054</v>
      </c>
      <c r="E39" s="20">
        <f>'2026 Bayview Operations'!F142</f>
        <v>6054</v>
      </c>
      <c r="F39" s="20">
        <f>'2026 Bayview Operations'!G142</f>
        <v>0</v>
      </c>
      <c r="L39" s="23"/>
    </row>
    <row r="40" spans="1:12" hidden="1" x14ac:dyDescent="0.35">
      <c r="A40" s="24" t="str">
        <f>'2026 Bayview Operations'!A143</f>
        <v>RNG Royalty Revenue</v>
      </c>
      <c r="B40" s="20">
        <f>'2026 Bayview Operations'!B143</f>
        <v>0</v>
      </c>
      <c r="C40" s="20">
        <f>'2026 Bayview Operations'!D143</f>
        <v>130000</v>
      </c>
      <c r="D40" s="20">
        <f>'2026 Bayview Operations'!E143</f>
        <v>130000</v>
      </c>
      <c r="E40" s="20" t="str">
        <f>'2026 Bayview Operations'!F143</f>
        <v>Move</v>
      </c>
      <c r="F40" s="20">
        <f>'2026 Bayview Operations'!G143</f>
        <v>-130000</v>
      </c>
    </row>
    <row r="41" spans="1:12" x14ac:dyDescent="0.35">
      <c r="A41" s="24" t="str">
        <f>'2026 Bayview Operations'!A144</f>
        <v>RDO Equipment Refund</v>
      </c>
      <c r="B41" s="20">
        <f>'2026 Bayview Operations'!B144</f>
        <v>0</v>
      </c>
      <c r="C41" s="20">
        <f>'2026 Bayview Operations'!D144</f>
        <v>3266</v>
      </c>
      <c r="D41" s="20">
        <f>'2026 Bayview Operations'!E144</f>
        <v>3266</v>
      </c>
      <c r="E41" s="20">
        <f>'2026 Bayview Operations'!F144</f>
        <v>3266</v>
      </c>
      <c r="F41" s="20">
        <f>'2026 Bayview Operations'!G144</f>
        <v>0</v>
      </c>
    </row>
    <row r="42" spans="1:12" ht="15" thickBot="1" x14ac:dyDescent="0.4">
      <c r="A42" s="53" t="s">
        <v>4</v>
      </c>
      <c r="B42" s="104">
        <f>SUM(B38:B41)</f>
        <v>150300</v>
      </c>
      <c r="C42" s="104">
        <f t="shared" ref="C42:E42" si="2">SUM(C38:C41)</f>
        <v>383820</v>
      </c>
      <c r="D42" s="104">
        <f t="shared" ref="D42" si="3">SUM(D38:D41)</f>
        <v>383820</v>
      </c>
      <c r="E42" s="104">
        <f t="shared" si="2"/>
        <v>253820</v>
      </c>
      <c r="F42" s="104">
        <f>E42-D42</f>
        <v>-130000</v>
      </c>
    </row>
    <row r="43" spans="1:12" x14ac:dyDescent="0.35">
      <c r="A43" s="1"/>
      <c r="B43" s="22"/>
      <c r="C43" s="22"/>
      <c r="D43" s="5"/>
      <c r="E43" s="5"/>
      <c r="F43" s="5"/>
    </row>
    <row r="44" spans="1:12" x14ac:dyDescent="0.35">
      <c r="A44" s="1" t="s">
        <v>5</v>
      </c>
      <c r="B44" s="22">
        <f>+B35+B42</f>
        <v>26314.08972766716</v>
      </c>
      <c r="C44" s="22">
        <f t="shared" ref="C44:F44" si="4">+C35+C42</f>
        <v>-166463.87571428623</v>
      </c>
      <c r="D44" s="22">
        <f t="shared" ref="D44" si="5">+D35+D42</f>
        <v>-892944.40857142862</v>
      </c>
      <c r="E44" s="22">
        <f t="shared" si="4"/>
        <v>290835.0977531746</v>
      </c>
      <c r="F44" s="22">
        <f t="shared" si="4"/>
        <v>1183779.5063246032</v>
      </c>
    </row>
    <row r="45" spans="1:12" x14ac:dyDescent="0.35">
      <c r="B45" s="17"/>
      <c r="C45" s="17"/>
      <c r="D45" s="4"/>
      <c r="E45" s="4"/>
      <c r="F45" s="4"/>
    </row>
    <row r="46" spans="1:12" x14ac:dyDescent="0.35">
      <c r="A46" t="s">
        <v>6</v>
      </c>
      <c r="B46" s="4">
        <f>B9+B42</f>
        <v>5360460</v>
      </c>
      <c r="C46" s="4">
        <f t="shared" ref="C46:F46" si="6">C9+C42</f>
        <v>7028940.9142857138</v>
      </c>
      <c r="D46" s="4">
        <f t="shared" ref="D46" si="7">D9+D42</f>
        <v>6533510.2857142854</v>
      </c>
      <c r="E46" s="4">
        <f t="shared" si="6"/>
        <v>7730408.5218095239</v>
      </c>
      <c r="F46" s="4">
        <f t="shared" si="6"/>
        <v>1196898.2360952385</v>
      </c>
    </row>
    <row r="47" spans="1:12" x14ac:dyDescent="0.35">
      <c r="A47" t="s">
        <v>37</v>
      </c>
      <c r="B47" s="34">
        <f>B51-B46</f>
        <v>-26314.08972766716</v>
      </c>
      <c r="C47" s="34">
        <f t="shared" ref="C47:F47" si="8">C51-C46</f>
        <v>166463.87571428623</v>
      </c>
      <c r="D47" s="34">
        <f t="shared" ref="D47" si="9">D51-D46</f>
        <v>892944.40857142862</v>
      </c>
      <c r="E47" s="34">
        <f t="shared" si="8"/>
        <v>-290835.0977531746</v>
      </c>
      <c r="F47" s="34">
        <f t="shared" si="8"/>
        <v>-1183779.5063246032</v>
      </c>
    </row>
    <row r="48" spans="1:12" ht="15" thickBot="1" x14ac:dyDescent="0.4">
      <c r="A48" s="53" t="s">
        <v>7</v>
      </c>
      <c r="B48" s="32">
        <f>B46+B47</f>
        <v>5334145.9102723328</v>
      </c>
      <c r="C48" s="32">
        <f t="shared" ref="C48:F48" si="10">C46+C47</f>
        <v>7195404.79</v>
      </c>
      <c r="D48" s="32">
        <f t="shared" ref="D48" si="11">D46+D47</f>
        <v>7426454.6942857141</v>
      </c>
      <c r="E48" s="32">
        <f t="shared" si="10"/>
        <v>7439573.4240563493</v>
      </c>
      <c r="F48" s="32">
        <f t="shared" si="10"/>
        <v>13118.729770635255</v>
      </c>
    </row>
    <row r="49" spans="1:6" x14ac:dyDescent="0.35">
      <c r="A49" s="39" t="s">
        <v>38</v>
      </c>
      <c r="B49" s="4"/>
      <c r="C49" s="4"/>
      <c r="D49" s="4"/>
      <c r="E49" s="4"/>
      <c r="F49" s="4"/>
    </row>
    <row r="50" spans="1:6" x14ac:dyDescent="0.35">
      <c r="A50" s="24" t="s">
        <v>9</v>
      </c>
      <c r="B50" s="54">
        <f>B33</f>
        <v>5334145.9102723328</v>
      </c>
      <c r="C50" s="54">
        <f t="shared" ref="C50:F50" si="12">C33</f>
        <v>7195404.79</v>
      </c>
      <c r="D50" s="54">
        <f t="shared" ref="D50" si="13">D33</f>
        <v>7426454.6942857141</v>
      </c>
      <c r="E50" s="54">
        <f t="shared" si="12"/>
        <v>7439573.4240563493</v>
      </c>
      <c r="F50" s="54">
        <f t="shared" si="12"/>
        <v>13118.729770635255</v>
      </c>
    </row>
    <row r="51" spans="1:6" ht="15" thickBot="1" x14ac:dyDescent="0.4">
      <c r="A51" s="53" t="s">
        <v>2</v>
      </c>
      <c r="B51" s="32">
        <f>SUM(B50:B50)</f>
        <v>5334145.9102723328</v>
      </c>
      <c r="C51" s="32">
        <f t="shared" ref="C51:F51" si="14">SUM(C50:C50)</f>
        <v>7195404.79</v>
      </c>
      <c r="D51" s="32">
        <f t="shared" ref="D51" si="15">SUM(D50:D50)</f>
        <v>7426454.6942857141</v>
      </c>
      <c r="E51" s="32">
        <f t="shared" si="14"/>
        <v>7439573.4240563493</v>
      </c>
      <c r="F51" s="32">
        <f t="shared" si="14"/>
        <v>13118.729770635255</v>
      </c>
    </row>
    <row r="53" spans="1:6" x14ac:dyDescent="0.35">
      <c r="B53" s="3"/>
      <c r="C53" s="3"/>
      <c r="D53" s="3"/>
    </row>
    <row r="57" spans="1:6" ht="15.5" x14ac:dyDescent="0.35">
      <c r="A57" s="229" t="s">
        <v>320</v>
      </c>
      <c r="B57" s="230"/>
      <c r="C57" s="230"/>
    </row>
    <row r="58" spans="1:6" x14ac:dyDescent="0.35">
      <c r="A58" t="s">
        <v>321</v>
      </c>
      <c r="C58" s="37">
        <f>'Bayview - Detailed'!D158</f>
        <v>290835.0977531746</v>
      </c>
    </row>
    <row r="59" spans="1:6" x14ac:dyDescent="0.35">
      <c r="A59" t="s">
        <v>322</v>
      </c>
      <c r="C59" s="37">
        <f>'Bayview - Detailed'!D159</f>
        <v>1828487.104920635</v>
      </c>
      <c r="E59" t="str">
        <f>'Bayview - Detailed'!F159</f>
        <v>Depreciation</v>
      </c>
      <c r="F59" s="23">
        <f>'Bayview - Detailed'!G159</f>
        <v>1528487.104920635</v>
      </c>
    </row>
    <row r="60" spans="1:6" x14ac:dyDescent="0.35">
      <c r="A60" t="s">
        <v>324</v>
      </c>
      <c r="C60" s="37">
        <f>'Bayview - Detailed'!D160</f>
        <v>-200000</v>
      </c>
      <c r="E60" t="str">
        <f>'Bayview - Detailed'!F160</f>
        <v>Closure</v>
      </c>
      <c r="F60" s="23">
        <f>'Bayview - Detailed'!G160</f>
        <v>300000</v>
      </c>
    </row>
    <row r="61" spans="1:6" x14ac:dyDescent="0.35">
      <c r="A61" t="s">
        <v>326</v>
      </c>
      <c r="C61" s="37">
        <f>'Bayview - Detailed'!D161</f>
        <v>-197281.36</v>
      </c>
      <c r="E61" t="str">
        <f>'Bayview - Detailed'!F161</f>
        <v>Contingency</v>
      </c>
      <c r="F61" s="23">
        <f>'Bayview - Detailed'!G161</f>
        <v>0</v>
      </c>
    </row>
    <row r="62" spans="1:6" x14ac:dyDescent="0.35">
      <c r="A62" t="s">
        <v>327</v>
      </c>
      <c r="C62" s="37">
        <f>'Bayview - Detailed'!D162</f>
        <v>-270335.53999999998</v>
      </c>
      <c r="F62" s="37">
        <f>'Bayview - Detailed'!G162</f>
        <v>1828487.104920635</v>
      </c>
    </row>
    <row r="63" spans="1:6" ht="15" thickBot="1" x14ac:dyDescent="0.4">
      <c r="A63" s="95" t="s">
        <v>328</v>
      </c>
      <c r="C63" s="223">
        <f>'Bayview - Detailed'!D163</f>
        <v>-1895000</v>
      </c>
    </row>
    <row r="64" spans="1:6" ht="15" thickTop="1" x14ac:dyDescent="0.35">
      <c r="A64" t="s">
        <v>329</v>
      </c>
      <c r="C64" s="37">
        <f>'Bayview - Detailed'!D164</f>
        <v>-443294.6973261903</v>
      </c>
    </row>
  </sheetData>
  <mergeCells count="2">
    <mergeCell ref="A1:F1"/>
    <mergeCell ref="A57:C57"/>
  </mergeCells>
  <pageMargins left="0.7" right="0.7" top="1.19" bottom="0.75" header="0.57999999999999996" footer="0.3"/>
  <pageSetup scale="69" fitToHeight="0" orientation="portrait" r:id="rId1"/>
  <headerFooter>
    <oddHeader>&amp;C&amp;18Northern Utah Environmental Resource Agency 
 Bayview Final Sub-Budget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2B01-7C87-4A15-AB33-D5717E4B2E27}">
  <sheetPr>
    <tabColor rgb="FFFFFF00"/>
    <outlinePr summaryBelow="0"/>
    <pageSetUpPr fitToPage="1"/>
  </sheetPr>
  <dimension ref="A1:M157"/>
  <sheetViews>
    <sheetView topLeftCell="A2" zoomScale="145" zoomScaleNormal="145" workbookViewId="0">
      <selection activeCell="A3" sqref="A3:G24"/>
    </sheetView>
  </sheetViews>
  <sheetFormatPr defaultRowHeight="14.5" x14ac:dyDescent="0.35"/>
  <cols>
    <col min="1" max="1" width="50.453125" customWidth="1"/>
    <col min="2" max="2" width="21.26953125" style="4" hidden="1" customWidth="1"/>
    <col min="3" max="3" width="21.26953125" hidden="1" customWidth="1"/>
    <col min="4" max="4" width="18.26953125" hidden="1" customWidth="1"/>
    <col min="5" max="7" width="18.26953125" customWidth="1"/>
    <col min="8" max="8" width="54.26953125" style="3" bestFit="1" customWidth="1"/>
    <col min="9" max="9" width="3.7265625" customWidth="1"/>
    <col min="10" max="10" width="13.26953125" bestFit="1" customWidth="1"/>
    <col min="11" max="11" width="12.26953125" bestFit="1" customWidth="1"/>
    <col min="14" max="14" width="12.26953125" bestFit="1" customWidth="1"/>
    <col min="16" max="16" width="12.26953125" bestFit="1" customWidth="1"/>
  </cols>
  <sheetData>
    <row r="1" spans="1:10" ht="29.25" customHeight="1" thickBot="1" x14ac:dyDescent="0.4">
      <c r="A1" s="228"/>
      <c r="B1" s="228"/>
      <c r="C1" s="228"/>
      <c r="D1" s="228"/>
      <c r="E1" s="228"/>
      <c r="F1" s="228"/>
      <c r="G1" s="228"/>
      <c r="H1" s="228"/>
    </row>
    <row r="2" spans="1:10" ht="29.25" customHeight="1" thickBot="1" x14ac:dyDescent="0.4">
      <c r="A2" s="1"/>
      <c r="B2" s="35" t="s">
        <v>212</v>
      </c>
      <c r="C2" s="35" t="s">
        <v>231</v>
      </c>
      <c r="D2" s="35" t="s">
        <v>230</v>
      </c>
      <c r="E2" s="35" t="s">
        <v>228</v>
      </c>
      <c r="F2" s="35" t="s">
        <v>234</v>
      </c>
      <c r="G2" s="126" t="s">
        <v>242</v>
      </c>
      <c r="H2" s="35" t="s">
        <v>191</v>
      </c>
      <c r="J2" s="149" t="s">
        <v>235</v>
      </c>
    </row>
    <row r="3" spans="1:10" x14ac:dyDescent="0.35">
      <c r="A3" s="1" t="s">
        <v>0</v>
      </c>
      <c r="B3" s="40" t="s">
        <v>243</v>
      </c>
      <c r="C3" s="40" t="s">
        <v>243</v>
      </c>
      <c r="D3" s="40"/>
      <c r="E3" s="40"/>
      <c r="G3" s="144"/>
      <c r="H3"/>
      <c r="J3" s="139" t="s">
        <v>143</v>
      </c>
    </row>
    <row r="4" spans="1:10" x14ac:dyDescent="0.35">
      <c r="A4" s="181" t="s">
        <v>237</v>
      </c>
      <c r="B4" s="46" t="s">
        <v>243</v>
      </c>
      <c r="C4" s="46" t="s">
        <v>243</v>
      </c>
      <c r="D4" s="180" t="s">
        <v>243</v>
      </c>
      <c r="E4" s="180" t="s">
        <v>243</v>
      </c>
      <c r="F4" s="46">
        <f>SUM(F5:F7)</f>
        <v>2097500</v>
      </c>
      <c r="G4" s="179" t="s">
        <v>224</v>
      </c>
      <c r="H4"/>
      <c r="J4" s="140" t="s">
        <v>160</v>
      </c>
    </row>
    <row r="5" spans="1:10" x14ac:dyDescent="0.35">
      <c r="A5" s="182" t="s">
        <v>241</v>
      </c>
      <c r="B5" s="40" t="s">
        <v>243</v>
      </c>
      <c r="C5" s="40" t="s">
        <v>243</v>
      </c>
      <c r="D5" s="40" t="s">
        <v>243</v>
      </c>
      <c r="E5" s="40" t="s">
        <v>243</v>
      </c>
      <c r="F5" s="177">
        <f>Tonnage!G15*Fees!E3</f>
        <v>1909000</v>
      </c>
      <c r="G5" s="144" t="s">
        <v>224</v>
      </c>
      <c r="H5"/>
      <c r="J5" s="141" t="s">
        <v>245</v>
      </c>
    </row>
    <row r="6" spans="1:10" x14ac:dyDescent="0.35">
      <c r="A6" s="182" t="s">
        <v>15</v>
      </c>
      <c r="B6" s="40" t="s">
        <v>243</v>
      </c>
      <c r="C6" s="40" t="s">
        <v>243</v>
      </c>
      <c r="D6" s="40" t="s">
        <v>243</v>
      </c>
      <c r="E6" s="40" t="s">
        <v>243</v>
      </c>
      <c r="F6" s="177">
        <f>Tonnage!G16*Fees!E4</f>
        <v>76000</v>
      </c>
      <c r="G6" s="144" t="s">
        <v>224</v>
      </c>
      <c r="H6"/>
      <c r="J6" s="102" t="s">
        <v>236</v>
      </c>
    </row>
    <row r="7" spans="1:10" x14ac:dyDescent="0.35">
      <c r="A7" s="182" t="s">
        <v>53</v>
      </c>
      <c r="B7" s="40" t="s">
        <v>243</v>
      </c>
      <c r="C7" s="40" t="s">
        <v>243</v>
      </c>
      <c r="D7" s="40" t="s">
        <v>243</v>
      </c>
      <c r="E7" s="40" t="s">
        <v>243</v>
      </c>
      <c r="F7" s="177">
        <f>Tonnage!G17*Fees!E5</f>
        <v>112500</v>
      </c>
      <c r="G7" s="144" t="s">
        <v>224</v>
      </c>
      <c r="H7"/>
    </row>
    <row r="8" spans="1:10" x14ac:dyDescent="0.35">
      <c r="A8" s="181" t="s">
        <v>238</v>
      </c>
      <c r="B8" s="46" t="s">
        <v>243</v>
      </c>
      <c r="C8" s="46" t="s">
        <v>243</v>
      </c>
      <c r="D8" s="180" t="s">
        <v>243</v>
      </c>
      <c r="E8" s="180" t="s">
        <v>243</v>
      </c>
      <c r="F8" s="46">
        <f>SUM(F9:F11)</f>
        <v>3124250</v>
      </c>
      <c r="G8" s="179" t="s">
        <v>224</v>
      </c>
      <c r="H8"/>
    </row>
    <row r="9" spans="1:10" x14ac:dyDescent="0.35">
      <c r="A9" s="182" t="s">
        <v>241</v>
      </c>
      <c r="B9" s="40" t="s">
        <v>243</v>
      </c>
      <c r="C9" s="40" t="s">
        <v>243</v>
      </c>
      <c r="D9" s="40" t="s">
        <v>243</v>
      </c>
      <c r="E9" s="40" t="s">
        <v>243</v>
      </c>
      <c r="F9" s="177">
        <f>Tonnage!G20*Fees!E3</f>
        <v>2846250</v>
      </c>
      <c r="G9" s="144" t="s">
        <v>224</v>
      </c>
      <c r="H9"/>
    </row>
    <row r="10" spans="1:10" x14ac:dyDescent="0.35">
      <c r="A10" s="182" t="s">
        <v>15</v>
      </c>
      <c r="B10" s="40" t="s">
        <v>243</v>
      </c>
      <c r="C10" s="40" t="s">
        <v>243</v>
      </c>
      <c r="D10" s="40" t="s">
        <v>243</v>
      </c>
      <c r="E10" s="40" t="s">
        <v>243</v>
      </c>
      <c r="F10" s="177">
        <f>Tonnage!G21*Fees!E4</f>
        <v>228000</v>
      </c>
      <c r="G10" s="144" t="s">
        <v>224</v>
      </c>
      <c r="H10"/>
      <c r="J10" t="s">
        <v>293</v>
      </c>
    </row>
    <row r="11" spans="1:10" x14ac:dyDescent="0.35">
      <c r="A11" s="182" t="s">
        <v>53</v>
      </c>
      <c r="B11" s="40" t="s">
        <v>243</v>
      </c>
      <c r="C11" s="40" t="s">
        <v>243</v>
      </c>
      <c r="D11" s="40" t="s">
        <v>243</v>
      </c>
      <c r="E11" s="40" t="s">
        <v>243</v>
      </c>
      <c r="F11" s="177">
        <f>Tonnage!G22*Fees!E5</f>
        <v>50000</v>
      </c>
      <c r="G11" s="144" t="s">
        <v>224</v>
      </c>
      <c r="H11"/>
      <c r="J11" s="11">
        <f>F4+F8+F12+F16</f>
        <v>6968300.5</v>
      </c>
    </row>
    <row r="12" spans="1:10" x14ac:dyDescent="0.35">
      <c r="A12" s="181" t="s">
        <v>239</v>
      </c>
      <c r="B12" s="46" t="s">
        <v>243</v>
      </c>
      <c r="C12" s="46" t="s">
        <v>243</v>
      </c>
      <c r="D12" s="180" t="s">
        <v>243</v>
      </c>
      <c r="E12" s="180" t="s">
        <v>243</v>
      </c>
      <c r="F12" s="46">
        <f>SUM(F13:F15)</f>
        <v>323000</v>
      </c>
      <c r="G12" s="179" t="s">
        <v>224</v>
      </c>
      <c r="H12"/>
      <c r="J12" s="11">
        <f>F20+F21+F22</f>
        <v>6968300.5</v>
      </c>
    </row>
    <row r="13" spans="1:10" x14ac:dyDescent="0.35">
      <c r="A13" s="182" t="s">
        <v>241</v>
      </c>
      <c r="B13" s="40" t="s">
        <v>243</v>
      </c>
      <c r="C13" s="40" t="s">
        <v>243</v>
      </c>
      <c r="D13" s="40" t="s">
        <v>243</v>
      </c>
      <c r="E13" s="40" t="s">
        <v>243</v>
      </c>
      <c r="F13" s="177">
        <v>0</v>
      </c>
      <c r="G13" s="144" t="s">
        <v>224</v>
      </c>
      <c r="H13"/>
      <c r="J13" s="11">
        <f>J11-J12</f>
        <v>0</v>
      </c>
    </row>
    <row r="14" spans="1:10" x14ac:dyDescent="0.35">
      <c r="A14" s="182" t="s">
        <v>15</v>
      </c>
      <c r="B14" s="40" t="s">
        <v>243</v>
      </c>
      <c r="C14" s="40" t="s">
        <v>243</v>
      </c>
      <c r="D14" s="40" t="s">
        <v>243</v>
      </c>
      <c r="E14" s="40" t="s">
        <v>243</v>
      </c>
      <c r="F14" s="177">
        <f>Tonnage!G11*Fees!E4</f>
        <v>323000</v>
      </c>
      <c r="G14" s="144" t="s">
        <v>224</v>
      </c>
      <c r="H14"/>
    </row>
    <row r="15" spans="1:10" x14ac:dyDescent="0.35">
      <c r="A15" s="182" t="s">
        <v>53</v>
      </c>
      <c r="B15" s="40" t="s">
        <v>243</v>
      </c>
      <c r="C15" s="40" t="s">
        <v>243</v>
      </c>
      <c r="D15" s="40" t="s">
        <v>243</v>
      </c>
      <c r="E15" s="40" t="s">
        <v>243</v>
      </c>
      <c r="F15" s="177">
        <v>0</v>
      </c>
      <c r="G15" s="144" t="s">
        <v>224</v>
      </c>
      <c r="H15"/>
    </row>
    <row r="16" spans="1:10" x14ac:dyDescent="0.35">
      <c r="A16" s="181" t="s">
        <v>240</v>
      </c>
      <c r="B16" s="46" t="s">
        <v>243</v>
      </c>
      <c r="C16" s="46" t="s">
        <v>243</v>
      </c>
      <c r="D16" s="180" t="s">
        <v>243</v>
      </c>
      <c r="E16" s="180" t="s">
        <v>243</v>
      </c>
      <c r="F16" s="46">
        <f>SUM(F17:F19)</f>
        <v>1423550.5</v>
      </c>
      <c r="G16" s="179" t="s">
        <v>224</v>
      </c>
      <c r="H16"/>
    </row>
    <row r="17" spans="1:8" x14ac:dyDescent="0.35">
      <c r="A17" s="182" t="s">
        <v>241</v>
      </c>
      <c r="B17" s="40" t="s">
        <v>243</v>
      </c>
      <c r="C17" s="40" t="s">
        <v>243</v>
      </c>
      <c r="D17" s="40" t="s">
        <v>243</v>
      </c>
      <c r="E17" s="40" t="s">
        <v>243</v>
      </c>
      <c r="F17" s="177">
        <f>Fees!E3*Tonnage!G5</f>
        <v>1423550.5</v>
      </c>
      <c r="G17" s="144" t="s">
        <v>224</v>
      </c>
    </row>
    <row r="18" spans="1:8" x14ac:dyDescent="0.35">
      <c r="A18" s="182" t="s">
        <v>15</v>
      </c>
      <c r="B18" s="40" t="s">
        <v>243</v>
      </c>
      <c r="C18" s="40" t="s">
        <v>243</v>
      </c>
      <c r="D18" s="40" t="s">
        <v>243</v>
      </c>
      <c r="E18" s="40" t="s">
        <v>243</v>
      </c>
      <c r="F18" s="177">
        <v>0</v>
      </c>
      <c r="G18" s="144" t="s">
        <v>224</v>
      </c>
      <c r="H18"/>
    </row>
    <row r="19" spans="1:8" x14ac:dyDescent="0.35">
      <c r="A19" s="183" t="s">
        <v>53</v>
      </c>
      <c r="B19" s="143" t="s">
        <v>243</v>
      </c>
      <c r="C19" s="143" t="s">
        <v>243</v>
      </c>
      <c r="D19" s="143" t="s">
        <v>243</v>
      </c>
      <c r="E19" s="143" t="s">
        <v>243</v>
      </c>
      <c r="F19" s="178">
        <v>0</v>
      </c>
      <c r="G19" s="145" t="s">
        <v>224</v>
      </c>
      <c r="H19"/>
    </row>
    <row r="20" spans="1:8" x14ac:dyDescent="0.35">
      <c r="A20" s="142" t="s">
        <v>256</v>
      </c>
      <c r="B20" s="15">
        <v>4640160</v>
      </c>
      <c r="C20" s="15">
        <v>4640160</v>
      </c>
      <c r="D20" s="38">
        <v>5201700</v>
      </c>
      <c r="E20" s="38">
        <v>5137000</v>
      </c>
      <c r="F20" s="38">
        <f>F17+F13+F9+F5</f>
        <v>6178800.5</v>
      </c>
      <c r="G20" s="4">
        <f>F20-E20</f>
        <v>1041800.5</v>
      </c>
      <c r="H20"/>
    </row>
    <row r="21" spans="1:8" x14ac:dyDescent="0.35">
      <c r="A21" s="24" t="s">
        <v>15</v>
      </c>
      <c r="B21" s="16">
        <v>570000</v>
      </c>
      <c r="C21" s="16">
        <v>570000</v>
      </c>
      <c r="D21" s="55">
        <v>855000</v>
      </c>
      <c r="E21" s="55">
        <v>722000</v>
      </c>
      <c r="F21" s="55">
        <f>F18+F14+F10+F6</f>
        <v>627000</v>
      </c>
      <c r="G21" s="11">
        <f>F21-E21</f>
        <v>-95000</v>
      </c>
      <c r="H21"/>
    </row>
    <row r="22" spans="1:8" x14ac:dyDescent="0.35">
      <c r="A22" s="24" t="s">
        <v>53</v>
      </c>
      <c r="B22" s="16">
        <v>0</v>
      </c>
      <c r="C22" s="16">
        <v>0</v>
      </c>
      <c r="D22" s="55">
        <v>281250</v>
      </c>
      <c r="E22" s="55">
        <v>41250</v>
      </c>
      <c r="F22" s="55">
        <f>F19+F15+F11+F7</f>
        <v>162500</v>
      </c>
      <c r="G22" s="11">
        <f t="shared" ref="G22:G23" si="0">F22-E22</f>
        <v>121250</v>
      </c>
      <c r="H22"/>
    </row>
    <row r="23" spans="1:8" x14ac:dyDescent="0.35">
      <c r="A23" s="24" t="s">
        <v>41</v>
      </c>
      <c r="B23" s="16">
        <v>0</v>
      </c>
      <c r="C23" s="16">
        <v>0</v>
      </c>
      <c r="D23" s="55">
        <v>307170.91428571427</v>
      </c>
      <c r="E23" s="55">
        <v>249440.28571428571</v>
      </c>
      <c r="F23" s="55">
        <f>Fees!E12</f>
        <v>328288.02180952381</v>
      </c>
      <c r="G23" s="11">
        <f t="shared" si="0"/>
        <v>78847.736095238099</v>
      </c>
      <c r="H23"/>
    </row>
    <row r="24" spans="1:8" x14ac:dyDescent="0.35">
      <c r="A24" s="184" t="s">
        <v>244</v>
      </c>
      <c r="B24" s="16"/>
      <c r="C24" s="16"/>
      <c r="D24" s="148" t="s">
        <v>243</v>
      </c>
      <c r="E24" s="148" t="s">
        <v>243</v>
      </c>
      <c r="F24" s="55">
        <v>180000</v>
      </c>
      <c r="G24" s="11">
        <f>F24-0</f>
        <v>180000</v>
      </c>
      <c r="H24"/>
    </row>
    <row r="25" spans="1:8" x14ac:dyDescent="0.35">
      <c r="A25" s="80" t="s">
        <v>1</v>
      </c>
      <c r="B25" s="78">
        <f>SUM(B20:B23)</f>
        <v>5210160</v>
      </c>
      <c r="C25" s="78">
        <f>SUM(C20:C23)</f>
        <v>5210160</v>
      </c>
      <c r="D25" s="78">
        <f>SUM(D20:D24)</f>
        <v>6645120.9142857138</v>
      </c>
      <c r="E25" s="78">
        <f>SUM(E20:E24)</f>
        <v>6149690.2857142854</v>
      </c>
      <c r="F25" s="78">
        <f>SUM(F20:F24)</f>
        <v>7476588.5218095239</v>
      </c>
      <c r="G25" s="78">
        <f>F25-E25</f>
        <v>1326898.2360952385</v>
      </c>
      <c r="H25" s="4"/>
    </row>
    <row r="26" spans="1:8" x14ac:dyDescent="0.35">
      <c r="B26" s="18"/>
      <c r="C26" s="18"/>
      <c r="D26" s="18"/>
      <c r="E26" s="18"/>
      <c r="F26" s="18"/>
      <c r="H26"/>
    </row>
    <row r="27" spans="1:8" x14ac:dyDescent="0.35">
      <c r="A27" s="2" t="s">
        <v>8</v>
      </c>
      <c r="B27" s="18"/>
      <c r="C27" s="18"/>
      <c r="D27" s="18"/>
      <c r="E27" s="18"/>
      <c r="F27" s="18"/>
      <c r="H27"/>
    </row>
    <row r="28" spans="1:8" s="1" customFormat="1" x14ac:dyDescent="0.35">
      <c r="A28" s="64" t="s">
        <v>10</v>
      </c>
      <c r="B28" s="46">
        <f t="shared" ref="B28:C28" si="1">SUM(B29:B42)</f>
        <v>1497177.9102723326</v>
      </c>
      <c r="C28" s="46">
        <f t="shared" si="1"/>
        <v>1497177.9102723326</v>
      </c>
      <c r="D28" s="46">
        <f>SUM(D29:D42)</f>
        <v>2268096.6999999997</v>
      </c>
      <c r="E28" s="46">
        <f>SUM(E29:E42)</f>
        <v>2268096.6999999997</v>
      </c>
      <c r="F28" s="46">
        <f>SUM(F29:F42)-200000</f>
        <v>2574963.9896480003</v>
      </c>
      <c r="G28" s="65">
        <f>F28-E28</f>
        <v>306867.28964800062</v>
      </c>
      <c r="H28" s="199">
        <f>F28/F25</f>
        <v>0.3444035982636629</v>
      </c>
    </row>
    <row r="29" spans="1:8" x14ac:dyDescent="0.35">
      <c r="A29" s="24" t="s">
        <v>73</v>
      </c>
      <c r="B29" s="20">
        <v>870036.4261880524</v>
      </c>
      <c r="C29" s="20">
        <v>870036.4261880524</v>
      </c>
      <c r="D29" s="13">
        <v>1243401.3999999999</v>
      </c>
      <c r="E29" s="13">
        <v>1243401.3999999999</v>
      </c>
      <c r="F29" s="13">
        <v>1385280.4636800005</v>
      </c>
      <c r="G29" s="11">
        <f>F29-E29</f>
        <v>141879.0636800006</v>
      </c>
      <c r="H29" t="s">
        <v>297</v>
      </c>
    </row>
    <row r="30" spans="1:8" x14ac:dyDescent="0.35">
      <c r="A30" s="24" t="s">
        <v>74</v>
      </c>
      <c r="B30" s="20">
        <v>68122.077423963696</v>
      </c>
      <c r="C30" s="20">
        <v>68122.077423963696</v>
      </c>
      <c r="D30" s="13">
        <v>97503.38</v>
      </c>
      <c r="E30" s="13">
        <v>97503.38</v>
      </c>
      <c r="F30" s="13">
        <v>111393.32991552004</v>
      </c>
      <c r="G30" s="11">
        <f t="shared" ref="G30:G103" si="2">F30-E30</f>
        <v>13889.949915520032</v>
      </c>
      <c r="H30"/>
    </row>
    <row r="31" spans="1:8" x14ac:dyDescent="0.35">
      <c r="A31" s="24" t="s">
        <v>75</v>
      </c>
      <c r="B31" s="20">
        <v>187102.11139672401</v>
      </c>
      <c r="C31" s="20">
        <v>187102.11139672401</v>
      </c>
      <c r="D31" s="26">
        <v>265944.64</v>
      </c>
      <c r="E31" s="26">
        <v>265944.64</v>
      </c>
      <c r="F31" s="26">
        <v>325151.72747020796</v>
      </c>
      <c r="G31" s="11">
        <f t="shared" si="2"/>
        <v>59207.087470207945</v>
      </c>
      <c r="H31"/>
    </row>
    <row r="32" spans="1:8" x14ac:dyDescent="0.35">
      <c r="A32" s="24" t="s">
        <v>76</v>
      </c>
      <c r="B32" s="20">
        <v>60463.909242969079</v>
      </c>
      <c r="C32" s="20">
        <v>60463.909242969079</v>
      </c>
      <c r="D32" s="26">
        <v>86542.21</v>
      </c>
      <c r="E32" s="26">
        <v>86542.21</v>
      </c>
      <c r="F32" s="26">
        <v>98870.681062272022</v>
      </c>
      <c r="G32" s="11">
        <f t="shared" si="2"/>
        <v>12328.471062272016</v>
      </c>
      <c r="H32"/>
    </row>
    <row r="33" spans="1:8" x14ac:dyDescent="0.35">
      <c r="A33" s="24" t="s">
        <v>77</v>
      </c>
      <c r="B33" s="20">
        <v>228087.24000000011</v>
      </c>
      <c r="C33" s="20">
        <v>228087.24000000011</v>
      </c>
      <c r="D33" s="26">
        <v>408949.56</v>
      </c>
      <c r="E33" s="26">
        <v>408949.56</v>
      </c>
      <c r="F33" s="103">
        <v>569501.77152000007</v>
      </c>
      <c r="G33" s="11">
        <f t="shared" si="2"/>
        <v>160552.21152000007</v>
      </c>
      <c r="H33" t="s">
        <v>294</v>
      </c>
    </row>
    <row r="34" spans="1:8" x14ac:dyDescent="0.35">
      <c r="A34" s="24" t="s">
        <v>78</v>
      </c>
      <c r="B34" s="20">
        <v>16500</v>
      </c>
      <c r="C34" s="20">
        <v>16500</v>
      </c>
      <c r="D34" s="26">
        <v>24750</v>
      </c>
      <c r="E34" s="26">
        <v>24750</v>
      </c>
      <c r="F34" s="26">
        <v>38500</v>
      </c>
      <c r="G34" s="11">
        <f t="shared" si="2"/>
        <v>13750</v>
      </c>
      <c r="H34"/>
    </row>
    <row r="35" spans="1:8" x14ac:dyDescent="0.35">
      <c r="A35" s="184" t="s">
        <v>264</v>
      </c>
      <c r="B35" s="20"/>
      <c r="C35" s="20"/>
      <c r="D35" s="127" t="s">
        <v>243</v>
      </c>
      <c r="E35" s="127" t="s">
        <v>243</v>
      </c>
      <c r="F35" s="26">
        <v>21000</v>
      </c>
      <c r="G35" s="197">
        <f>F35-0</f>
        <v>21000</v>
      </c>
      <c r="H35" t="s">
        <v>286</v>
      </c>
    </row>
    <row r="36" spans="1:8" x14ac:dyDescent="0.35">
      <c r="A36" s="24" t="s">
        <v>79</v>
      </c>
      <c r="B36" s="20">
        <v>3542.5</v>
      </c>
      <c r="C36" s="20">
        <v>3542.5</v>
      </c>
      <c r="D36" s="26">
        <v>5995</v>
      </c>
      <c r="E36" s="26">
        <v>5995</v>
      </c>
      <c r="F36" s="26">
        <v>14040</v>
      </c>
      <c r="G36" s="11">
        <f t="shared" si="2"/>
        <v>8045</v>
      </c>
      <c r="H36"/>
    </row>
    <row r="37" spans="1:8" x14ac:dyDescent="0.35">
      <c r="A37" s="24" t="s">
        <v>80</v>
      </c>
      <c r="B37" s="20">
        <v>2400</v>
      </c>
      <c r="C37" s="20">
        <v>2400</v>
      </c>
      <c r="D37" s="26">
        <v>4400</v>
      </c>
      <c r="E37" s="26">
        <v>4400</v>
      </c>
      <c r="F37" s="103">
        <v>20000</v>
      </c>
      <c r="G37" s="11">
        <f t="shared" si="2"/>
        <v>15600</v>
      </c>
      <c r="H37"/>
    </row>
    <row r="38" spans="1:8" x14ac:dyDescent="0.35">
      <c r="A38" s="24" t="s">
        <v>81</v>
      </c>
      <c r="B38" s="20">
        <v>7359</v>
      </c>
      <c r="C38" s="20">
        <v>7359</v>
      </c>
      <c r="D38" s="26">
        <v>12812</v>
      </c>
      <c r="E38" s="26">
        <v>12812</v>
      </c>
      <c r="F38" s="26">
        <v>14250</v>
      </c>
      <c r="G38" s="11">
        <f t="shared" si="2"/>
        <v>1438</v>
      </c>
      <c r="H38"/>
    </row>
    <row r="39" spans="1:8" x14ac:dyDescent="0.35">
      <c r="A39" s="24" t="s">
        <v>82</v>
      </c>
      <c r="B39" s="20">
        <v>3116.4</v>
      </c>
      <c r="C39" s="20">
        <v>3116.4</v>
      </c>
      <c r="D39" s="26">
        <v>5145.96</v>
      </c>
      <c r="E39" s="26">
        <v>5145.96</v>
      </c>
      <c r="F39" s="26">
        <v>5958.4800000000023</v>
      </c>
      <c r="G39" s="11">
        <f t="shared" si="2"/>
        <v>812.52000000000226</v>
      </c>
      <c r="H39"/>
    </row>
    <row r="40" spans="1:8" x14ac:dyDescent="0.35">
      <c r="A40" s="24" t="s">
        <v>83</v>
      </c>
      <c r="B40" s="20">
        <v>30000</v>
      </c>
      <c r="C40" s="20">
        <v>30000</v>
      </c>
      <c r="D40" s="26">
        <v>71500</v>
      </c>
      <c r="E40" s="26">
        <v>71500</v>
      </c>
      <c r="F40" s="26">
        <v>81250</v>
      </c>
      <c r="G40" s="11">
        <f t="shared" si="2"/>
        <v>9750</v>
      </c>
      <c r="H40" s="102" t="s">
        <v>306</v>
      </c>
    </row>
    <row r="41" spans="1:8" ht="15" customHeight="1" x14ac:dyDescent="0.35">
      <c r="A41" s="24" t="s">
        <v>84</v>
      </c>
      <c r="B41" s="20">
        <v>20448.246020623203</v>
      </c>
      <c r="C41" s="20">
        <v>20448.246020623203</v>
      </c>
      <c r="D41" s="26">
        <v>31152.55</v>
      </c>
      <c r="E41" s="26">
        <v>31152.55</v>
      </c>
      <c r="F41" s="103">
        <v>77767.535999999949</v>
      </c>
      <c r="G41" s="11">
        <f t="shared" si="2"/>
        <v>46614.985999999946</v>
      </c>
      <c r="H41" s="102" t="s">
        <v>304</v>
      </c>
    </row>
    <row r="42" spans="1:8" ht="15" customHeight="1" x14ac:dyDescent="0.35">
      <c r="A42" s="191" t="s">
        <v>273</v>
      </c>
      <c r="B42" s="44" t="s">
        <v>143</v>
      </c>
      <c r="C42" s="44" t="s">
        <v>143</v>
      </c>
      <c r="D42" s="26">
        <v>10000</v>
      </c>
      <c r="E42" s="26">
        <v>10000</v>
      </c>
      <c r="F42" s="26">
        <v>12000</v>
      </c>
      <c r="G42" s="11">
        <f t="shared" si="2"/>
        <v>2000</v>
      </c>
      <c r="H42"/>
    </row>
    <row r="43" spans="1:8" s="1" customFormat="1" x14ac:dyDescent="0.35">
      <c r="A43" s="64" t="s">
        <v>123</v>
      </c>
      <c r="B43" s="46">
        <f>SUM(B44:B61)</f>
        <v>111025</v>
      </c>
      <c r="C43" s="46">
        <f>SUM(C44:C61)</f>
        <v>111025</v>
      </c>
      <c r="D43" s="46">
        <f>SUM(D44:D61)</f>
        <v>206750</v>
      </c>
      <c r="E43" s="46">
        <f>SUM(E44:E61)</f>
        <v>226750</v>
      </c>
      <c r="F43" s="46">
        <f>SUM(F44:F61)</f>
        <v>210250</v>
      </c>
      <c r="G43" s="65">
        <f>F43-E43</f>
        <v>-16500</v>
      </c>
      <c r="H43" s="198">
        <f>F43/$F$25</f>
        <v>2.8121114247051566E-2</v>
      </c>
    </row>
    <row r="44" spans="1:8" x14ac:dyDescent="0.35">
      <c r="A44" s="125" t="s">
        <v>124</v>
      </c>
      <c r="B44" s="26">
        <v>3600</v>
      </c>
      <c r="C44" s="26">
        <v>3600</v>
      </c>
      <c r="D44" s="26">
        <v>9000</v>
      </c>
      <c r="E44" s="26">
        <v>9000</v>
      </c>
      <c r="F44" s="26">
        <v>15000</v>
      </c>
      <c r="G44" s="11">
        <f>F44-E44</f>
        <v>6000</v>
      </c>
      <c r="H44"/>
    </row>
    <row r="45" spans="1:8" x14ac:dyDescent="0.35">
      <c r="A45" s="189" t="s">
        <v>265</v>
      </c>
      <c r="B45" s="26"/>
      <c r="C45" s="26"/>
      <c r="D45" s="127" t="s">
        <v>243</v>
      </c>
      <c r="E45" s="127" t="s">
        <v>243</v>
      </c>
      <c r="F45" s="26">
        <v>10000</v>
      </c>
      <c r="G45" s="11">
        <f>F45-0</f>
        <v>10000</v>
      </c>
      <c r="H45"/>
    </row>
    <row r="46" spans="1:8" s="71" customFormat="1" x14ac:dyDescent="0.35">
      <c r="A46" s="106" t="s">
        <v>153</v>
      </c>
      <c r="B46" s="44" t="s">
        <v>143</v>
      </c>
      <c r="C46" s="44" t="s">
        <v>143</v>
      </c>
      <c r="D46" s="26">
        <v>10000</v>
      </c>
      <c r="E46" s="26">
        <v>10000</v>
      </c>
      <c r="F46" s="26">
        <v>15000</v>
      </c>
      <c r="G46" s="11">
        <f t="shared" ref="G46:G61" si="3">F46-E46</f>
        <v>5000</v>
      </c>
      <c r="H46"/>
    </row>
    <row r="47" spans="1:8" x14ac:dyDescent="0.35">
      <c r="A47" s="125" t="s">
        <v>125</v>
      </c>
      <c r="B47" s="26">
        <v>675</v>
      </c>
      <c r="C47" s="26">
        <v>675</v>
      </c>
      <c r="D47" s="26">
        <v>2000</v>
      </c>
      <c r="E47" s="26">
        <v>2000</v>
      </c>
      <c r="F47" s="26">
        <v>5000</v>
      </c>
      <c r="G47" s="11">
        <f t="shared" si="3"/>
        <v>3000</v>
      </c>
      <c r="H47"/>
    </row>
    <row r="48" spans="1:8" x14ac:dyDescent="0.35">
      <c r="A48" s="125" t="s">
        <v>126</v>
      </c>
      <c r="B48" s="26">
        <v>2100</v>
      </c>
      <c r="C48" s="26">
        <v>2100</v>
      </c>
      <c r="D48" s="26">
        <v>17000</v>
      </c>
      <c r="E48" s="26">
        <v>17000</v>
      </c>
      <c r="F48" s="26">
        <v>10000</v>
      </c>
      <c r="G48" s="11">
        <f t="shared" si="3"/>
        <v>-7000</v>
      </c>
      <c r="H48"/>
    </row>
    <row r="49" spans="1:8" x14ac:dyDescent="0.35">
      <c r="A49" s="125" t="s">
        <v>127</v>
      </c>
      <c r="B49" s="26">
        <v>1000</v>
      </c>
      <c r="C49" s="26">
        <v>1000</v>
      </c>
      <c r="D49" s="26">
        <v>1000</v>
      </c>
      <c r="E49" s="26">
        <v>1000</v>
      </c>
      <c r="F49" s="26">
        <v>4000</v>
      </c>
      <c r="G49" s="11">
        <f t="shared" si="3"/>
        <v>3000</v>
      </c>
      <c r="H49"/>
    </row>
    <row r="50" spans="1:8" x14ac:dyDescent="0.35">
      <c r="A50" s="125" t="s">
        <v>137</v>
      </c>
      <c r="B50" s="26">
        <v>750</v>
      </c>
      <c r="C50" s="26">
        <v>750</v>
      </c>
      <c r="D50" s="26">
        <v>750</v>
      </c>
      <c r="E50" s="26">
        <v>750</v>
      </c>
      <c r="F50" s="26">
        <v>750</v>
      </c>
      <c r="G50" s="11">
        <f t="shared" si="3"/>
        <v>0</v>
      </c>
      <c r="H50"/>
    </row>
    <row r="51" spans="1:8" x14ac:dyDescent="0.35">
      <c r="A51" s="125" t="s">
        <v>138</v>
      </c>
      <c r="B51" s="26">
        <v>10000</v>
      </c>
      <c r="C51" s="26">
        <v>10000</v>
      </c>
      <c r="D51" s="26">
        <v>10000</v>
      </c>
      <c r="E51" s="26">
        <v>10000</v>
      </c>
      <c r="F51" s="26">
        <v>5000</v>
      </c>
      <c r="G51" s="11">
        <f t="shared" si="3"/>
        <v>-5000</v>
      </c>
      <c r="H51"/>
    </row>
    <row r="52" spans="1:8" x14ac:dyDescent="0.35">
      <c r="A52" s="125" t="s">
        <v>140</v>
      </c>
      <c r="B52" s="26">
        <v>15000</v>
      </c>
      <c r="C52" s="26">
        <v>15000</v>
      </c>
      <c r="D52" s="26">
        <v>15000</v>
      </c>
      <c r="E52" s="26">
        <v>15000</v>
      </c>
      <c r="F52" s="127" t="s">
        <v>260</v>
      </c>
      <c r="G52" s="11">
        <f>0-E52</f>
        <v>-15000</v>
      </c>
      <c r="H52"/>
    </row>
    <row r="53" spans="1:8" x14ac:dyDescent="0.35">
      <c r="A53" s="125" t="s">
        <v>129</v>
      </c>
      <c r="B53" s="26">
        <v>26000</v>
      </c>
      <c r="C53" s="26">
        <v>26000</v>
      </c>
      <c r="D53" s="26">
        <v>26000</v>
      </c>
      <c r="E53" s="26">
        <v>26000</v>
      </c>
      <c r="F53" s="26">
        <v>20000</v>
      </c>
      <c r="G53" s="11">
        <f t="shared" si="3"/>
        <v>-6000</v>
      </c>
      <c r="H53"/>
    </row>
    <row r="54" spans="1:8" x14ac:dyDescent="0.35">
      <c r="A54" s="125" t="s">
        <v>130</v>
      </c>
      <c r="B54" s="26">
        <v>7500</v>
      </c>
      <c r="C54" s="26">
        <v>7500</v>
      </c>
      <c r="D54" s="26">
        <v>10000</v>
      </c>
      <c r="E54" s="26">
        <v>10000</v>
      </c>
      <c r="F54" s="26">
        <v>7000</v>
      </c>
      <c r="G54" s="11">
        <f t="shared" si="3"/>
        <v>-3000</v>
      </c>
      <c r="H54"/>
    </row>
    <row r="55" spans="1:8" x14ac:dyDescent="0.35">
      <c r="A55" s="125" t="s">
        <v>131</v>
      </c>
      <c r="B55" s="26">
        <v>5200</v>
      </c>
      <c r="C55" s="26">
        <v>5200</v>
      </c>
      <c r="D55" s="26">
        <v>20000</v>
      </c>
      <c r="E55" s="26">
        <v>20000</v>
      </c>
      <c r="F55" s="26">
        <v>25000</v>
      </c>
      <c r="G55" s="11">
        <f t="shared" si="3"/>
        <v>5000</v>
      </c>
      <c r="H55"/>
    </row>
    <row r="56" spans="1:8" x14ac:dyDescent="0.35">
      <c r="A56" s="125" t="s">
        <v>132</v>
      </c>
      <c r="B56" s="26">
        <v>3200</v>
      </c>
      <c r="C56" s="26">
        <v>3200</v>
      </c>
      <c r="D56" s="26">
        <v>5000</v>
      </c>
      <c r="E56" s="26">
        <v>5000</v>
      </c>
      <c r="F56" s="127" t="s">
        <v>260</v>
      </c>
      <c r="G56" s="11">
        <f>0-E56</f>
        <v>-5000</v>
      </c>
      <c r="H56"/>
    </row>
    <row r="57" spans="1:8" x14ac:dyDescent="0.35">
      <c r="A57" s="125" t="s">
        <v>133</v>
      </c>
      <c r="B57" s="26">
        <v>2000</v>
      </c>
      <c r="C57" s="26">
        <v>2000</v>
      </c>
      <c r="D57" s="26">
        <v>2500</v>
      </c>
      <c r="E57" s="26">
        <v>2500</v>
      </c>
      <c r="F57" s="26">
        <v>5000</v>
      </c>
      <c r="G57" s="11">
        <f t="shared" si="3"/>
        <v>2500</v>
      </c>
      <c r="H57"/>
    </row>
    <row r="58" spans="1:8" x14ac:dyDescent="0.35">
      <c r="A58" s="125" t="s">
        <v>134</v>
      </c>
      <c r="B58" s="26">
        <v>500</v>
      </c>
      <c r="C58" s="26">
        <v>500</v>
      </c>
      <c r="D58" s="26">
        <v>7000</v>
      </c>
      <c r="E58" s="26">
        <v>7000</v>
      </c>
      <c r="F58" s="26">
        <v>7000</v>
      </c>
      <c r="G58" s="11">
        <f t="shared" si="3"/>
        <v>0</v>
      </c>
      <c r="H58"/>
    </row>
    <row r="59" spans="1:8" x14ac:dyDescent="0.35">
      <c r="A59" s="125" t="s">
        <v>135</v>
      </c>
      <c r="B59" s="55">
        <v>30000</v>
      </c>
      <c r="C59" s="55">
        <v>30000</v>
      </c>
      <c r="D59" s="26">
        <v>60000</v>
      </c>
      <c r="E59" s="26">
        <v>80000</v>
      </c>
      <c r="F59" s="26">
        <v>60000</v>
      </c>
      <c r="G59" s="11">
        <f t="shared" si="3"/>
        <v>-20000</v>
      </c>
      <c r="H59" s="198"/>
    </row>
    <row r="60" spans="1:8" x14ac:dyDescent="0.35">
      <c r="A60" s="125" t="s">
        <v>136</v>
      </c>
      <c r="B60" s="26">
        <v>2000</v>
      </c>
      <c r="C60" s="26">
        <v>2000</v>
      </c>
      <c r="D60" s="26">
        <v>10000</v>
      </c>
      <c r="E60" s="26">
        <v>10000</v>
      </c>
      <c r="F60" s="26">
        <v>20000</v>
      </c>
      <c r="G60" s="11">
        <f t="shared" si="3"/>
        <v>10000</v>
      </c>
      <c r="H60" t="s">
        <v>303</v>
      </c>
    </row>
    <row r="61" spans="1:8" x14ac:dyDescent="0.35">
      <c r="A61" s="125" t="s">
        <v>141</v>
      </c>
      <c r="B61" s="26">
        <v>1500</v>
      </c>
      <c r="C61" s="26">
        <v>1500</v>
      </c>
      <c r="D61" s="26">
        <v>1500</v>
      </c>
      <c r="E61" s="26">
        <v>1500</v>
      </c>
      <c r="F61" s="26">
        <v>1500</v>
      </c>
      <c r="G61" s="11">
        <f t="shared" si="3"/>
        <v>0</v>
      </c>
      <c r="H61"/>
    </row>
    <row r="62" spans="1:8" s="1" customFormat="1" x14ac:dyDescent="0.35">
      <c r="A62" s="64" t="s">
        <v>12</v>
      </c>
      <c r="B62" s="46">
        <f t="shared" ref="B62:C62" si="4">SUM(B63:B65)</f>
        <v>520000</v>
      </c>
      <c r="C62" s="46">
        <f t="shared" si="4"/>
        <v>520000</v>
      </c>
      <c r="D62" s="46">
        <f>SUM(D63:D65)</f>
        <v>835000</v>
      </c>
      <c r="E62" s="46">
        <f>SUM(E63:E65)</f>
        <v>835000</v>
      </c>
      <c r="F62" s="46">
        <f>SUM(F63:F65)</f>
        <v>705000</v>
      </c>
      <c r="G62" s="65">
        <f>F62-E62</f>
        <v>-130000</v>
      </c>
      <c r="H62" s="198">
        <f>F62/$F$25</f>
        <v>9.4294342659554595E-2</v>
      </c>
    </row>
    <row r="63" spans="1:8" x14ac:dyDescent="0.35">
      <c r="A63" s="125" t="s">
        <v>86</v>
      </c>
      <c r="B63" s="20">
        <v>520000</v>
      </c>
      <c r="C63" s="20">
        <v>520000</v>
      </c>
      <c r="D63" s="26">
        <v>750000</v>
      </c>
      <c r="E63" s="26">
        <v>750000</v>
      </c>
      <c r="F63" s="26">
        <v>600000</v>
      </c>
      <c r="G63" s="11">
        <f t="shared" si="2"/>
        <v>-150000</v>
      </c>
      <c r="H63"/>
    </row>
    <row r="64" spans="1:8" x14ac:dyDescent="0.35">
      <c r="A64" s="125" t="s">
        <v>87</v>
      </c>
      <c r="B64" s="44" t="s">
        <v>143</v>
      </c>
      <c r="C64" s="44" t="s">
        <v>143</v>
      </c>
      <c r="D64" s="26">
        <v>40000</v>
      </c>
      <c r="E64" s="26">
        <v>40000</v>
      </c>
      <c r="F64" s="103">
        <v>45000</v>
      </c>
      <c r="G64" s="11">
        <f t="shared" si="2"/>
        <v>5000</v>
      </c>
      <c r="H64" s="102" t="s">
        <v>299</v>
      </c>
    </row>
    <row r="65" spans="1:11" x14ac:dyDescent="0.35">
      <c r="A65" s="125" t="s">
        <v>85</v>
      </c>
      <c r="B65" s="44">
        <v>0</v>
      </c>
      <c r="C65" s="44">
        <v>0</v>
      </c>
      <c r="D65" s="26">
        <v>45000</v>
      </c>
      <c r="E65" s="26">
        <v>45000</v>
      </c>
      <c r="F65" s="103">
        <v>60000</v>
      </c>
      <c r="G65" s="11">
        <f t="shared" si="2"/>
        <v>15000</v>
      </c>
      <c r="H65" s="102" t="s">
        <v>300</v>
      </c>
    </row>
    <row r="66" spans="1:11" s="1" customFormat="1" x14ac:dyDescent="0.35">
      <c r="A66" s="64" t="s">
        <v>16</v>
      </c>
      <c r="B66" s="46">
        <f>SUM(B67:B73)</f>
        <v>64500</v>
      </c>
      <c r="C66" s="46">
        <f t="shared" ref="C66" si="5">SUM(C67:C73)</f>
        <v>64500</v>
      </c>
      <c r="D66" s="46">
        <f>SUM(D67:D73)</f>
        <v>105200</v>
      </c>
      <c r="E66" s="46">
        <f>SUM(E67:E73)</f>
        <v>105200</v>
      </c>
      <c r="F66" s="46">
        <f>SUM(F67:F73)</f>
        <v>94000</v>
      </c>
      <c r="G66" s="65">
        <f>F66-E66</f>
        <v>-11200</v>
      </c>
      <c r="H66" s="198">
        <f>F66/$F$25</f>
        <v>1.2572579021273945E-2</v>
      </c>
    </row>
    <row r="67" spans="1:11" x14ac:dyDescent="0.35">
      <c r="A67" s="24" t="s">
        <v>88</v>
      </c>
      <c r="B67" s="20">
        <v>4200</v>
      </c>
      <c r="C67" s="20">
        <v>4200</v>
      </c>
      <c r="D67" s="26">
        <v>4500</v>
      </c>
      <c r="E67" s="26">
        <v>4500</v>
      </c>
      <c r="F67" s="26">
        <v>5500</v>
      </c>
      <c r="G67" s="11">
        <f t="shared" si="2"/>
        <v>1000</v>
      </c>
      <c r="H67"/>
    </row>
    <row r="68" spans="1:11" hidden="1" x14ac:dyDescent="0.35">
      <c r="A68" s="24" t="s">
        <v>89</v>
      </c>
      <c r="B68" s="20">
        <v>0</v>
      </c>
      <c r="C68" s="20">
        <v>0</v>
      </c>
      <c r="D68" s="26">
        <v>0</v>
      </c>
      <c r="E68" s="26">
        <v>0</v>
      </c>
      <c r="F68" s="26">
        <v>0</v>
      </c>
      <c r="G68" s="11">
        <f t="shared" si="2"/>
        <v>0</v>
      </c>
      <c r="H68"/>
    </row>
    <row r="69" spans="1:11" x14ac:dyDescent="0.35">
      <c r="A69" s="24" t="s">
        <v>94</v>
      </c>
      <c r="B69" s="20">
        <v>5200</v>
      </c>
      <c r="C69" s="20">
        <v>5200</v>
      </c>
      <c r="D69" s="26">
        <v>12500</v>
      </c>
      <c r="E69" s="26">
        <v>12500</v>
      </c>
      <c r="F69" s="26">
        <v>8000</v>
      </c>
      <c r="G69" s="11">
        <f t="shared" si="2"/>
        <v>-4500</v>
      </c>
    </row>
    <row r="70" spans="1:11" x14ac:dyDescent="0.35">
      <c r="A70" s="24" t="s">
        <v>90</v>
      </c>
      <c r="B70" s="20">
        <v>1300</v>
      </c>
      <c r="C70" s="20">
        <v>1300</v>
      </c>
      <c r="D70" s="26">
        <v>1500</v>
      </c>
      <c r="E70" s="26">
        <v>1500</v>
      </c>
      <c r="F70" s="26">
        <v>5000</v>
      </c>
      <c r="G70" s="11">
        <f t="shared" si="2"/>
        <v>3500</v>
      </c>
      <c r="H70"/>
    </row>
    <row r="71" spans="1:11" x14ac:dyDescent="0.35">
      <c r="A71" s="24" t="s">
        <v>91</v>
      </c>
      <c r="B71" s="26">
        <v>33300</v>
      </c>
      <c r="C71" s="26">
        <f>47500-14200</f>
        <v>33300</v>
      </c>
      <c r="D71" s="26">
        <v>25000</v>
      </c>
      <c r="E71" s="26">
        <v>25000</v>
      </c>
      <c r="F71" s="26">
        <v>30000</v>
      </c>
      <c r="G71" s="11">
        <f>F71-E71</f>
        <v>5000</v>
      </c>
      <c r="H71"/>
    </row>
    <row r="72" spans="1:11" x14ac:dyDescent="0.35">
      <c r="A72" s="24" t="s">
        <v>92</v>
      </c>
      <c r="B72" s="20">
        <v>500</v>
      </c>
      <c r="C72" s="20">
        <v>500</v>
      </c>
      <c r="D72" s="26">
        <v>500</v>
      </c>
      <c r="E72" s="26">
        <v>500</v>
      </c>
      <c r="F72" s="26">
        <v>500</v>
      </c>
      <c r="G72" s="11">
        <f t="shared" si="2"/>
        <v>0</v>
      </c>
      <c r="H72"/>
    </row>
    <row r="73" spans="1:11" x14ac:dyDescent="0.35">
      <c r="A73" s="24" t="s">
        <v>93</v>
      </c>
      <c r="B73" s="20">
        <v>20000</v>
      </c>
      <c r="C73" s="20">
        <v>20000</v>
      </c>
      <c r="D73" s="26">
        <v>61200</v>
      </c>
      <c r="E73" s="26">
        <v>61200</v>
      </c>
      <c r="F73" s="26">
        <v>45000</v>
      </c>
      <c r="G73" s="11">
        <f>F73-E73</f>
        <v>-16200</v>
      </c>
      <c r="H73"/>
    </row>
    <row r="74" spans="1:11" s="1" customFormat="1" x14ac:dyDescent="0.35">
      <c r="A74" s="69" t="s">
        <v>11</v>
      </c>
      <c r="B74" s="46">
        <f>SUM(B75:B89)</f>
        <v>532900</v>
      </c>
      <c r="C74" s="46">
        <f>SUM(C75:C89)</f>
        <v>532900</v>
      </c>
      <c r="D74" s="46">
        <f>SUM(D75:D89)</f>
        <v>648500</v>
      </c>
      <c r="E74" s="46">
        <f>SUM(E75:E89)</f>
        <v>648500</v>
      </c>
      <c r="F74" s="46">
        <f>SUM(F75:F89)</f>
        <v>530000</v>
      </c>
      <c r="G74" s="65">
        <f>F74-E74</f>
        <v>-118500</v>
      </c>
      <c r="H74" s="198">
        <f>F74/$F$25</f>
        <v>7.0887945545480752E-2</v>
      </c>
      <c r="J74"/>
      <c r="K74"/>
    </row>
    <row r="75" spans="1:11" x14ac:dyDescent="0.35">
      <c r="A75" s="25" t="s">
        <v>95</v>
      </c>
      <c r="B75" s="20">
        <v>92000</v>
      </c>
      <c r="C75" s="20">
        <v>92000</v>
      </c>
      <c r="D75" s="26">
        <v>50000</v>
      </c>
      <c r="E75" s="26">
        <v>50000</v>
      </c>
      <c r="F75" s="26">
        <v>50000</v>
      </c>
      <c r="G75" s="11">
        <f t="shared" si="2"/>
        <v>0</v>
      </c>
      <c r="H75"/>
    </row>
    <row r="76" spans="1:11" x14ac:dyDescent="0.35">
      <c r="A76" s="185" t="s">
        <v>258</v>
      </c>
      <c r="B76" s="20">
        <v>0</v>
      </c>
      <c r="C76" s="20">
        <v>0</v>
      </c>
      <c r="D76" s="26">
        <v>0</v>
      </c>
      <c r="E76" s="26">
        <v>0</v>
      </c>
      <c r="F76" s="26">
        <v>10000</v>
      </c>
      <c r="G76" s="11">
        <f t="shared" si="2"/>
        <v>10000</v>
      </c>
      <c r="H76" t="s">
        <v>259</v>
      </c>
    </row>
    <row r="77" spans="1:11" x14ac:dyDescent="0.35">
      <c r="A77" s="25" t="s">
        <v>97</v>
      </c>
      <c r="B77" s="20">
        <v>43000</v>
      </c>
      <c r="C77" s="20">
        <v>43000</v>
      </c>
      <c r="D77" s="26">
        <v>40000</v>
      </c>
      <c r="E77" s="26">
        <v>40000</v>
      </c>
      <c r="F77" s="26">
        <v>20000</v>
      </c>
      <c r="G77" s="11">
        <f t="shared" si="2"/>
        <v>-20000</v>
      </c>
      <c r="H77"/>
    </row>
    <row r="78" spans="1:11" x14ac:dyDescent="0.35">
      <c r="A78" s="25" t="s">
        <v>98</v>
      </c>
      <c r="B78" s="20">
        <v>6500</v>
      </c>
      <c r="C78" s="20">
        <v>6500</v>
      </c>
      <c r="D78" s="26">
        <v>30000</v>
      </c>
      <c r="E78" s="26">
        <v>30000</v>
      </c>
      <c r="F78" s="26">
        <v>30000</v>
      </c>
      <c r="G78" s="11">
        <f t="shared" si="2"/>
        <v>0</v>
      </c>
      <c r="H78"/>
    </row>
    <row r="79" spans="1:11" x14ac:dyDescent="0.35">
      <c r="A79" s="25" t="s">
        <v>99</v>
      </c>
      <c r="B79" s="20">
        <v>8900</v>
      </c>
      <c r="C79" s="20">
        <v>8900</v>
      </c>
      <c r="D79" s="26">
        <v>30000</v>
      </c>
      <c r="E79" s="26">
        <v>30000</v>
      </c>
      <c r="F79" s="26">
        <v>30000</v>
      </c>
      <c r="G79" s="11">
        <f t="shared" si="2"/>
        <v>0</v>
      </c>
      <c r="H79"/>
    </row>
    <row r="80" spans="1:11" x14ac:dyDescent="0.35">
      <c r="A80" s="25" t="s">
        <v>100</v>
      </c>
      <c r="B80" s="20">
        <v>110000</v>
      </c>
      <c r="C80" s="20">
        <v>110000</v>
      </c>
      <c r="D80" s="26">
        <v>200000</v>
      </c>
      <c r="E80" s="26">
        <v>200000</v>
      </c>
      <c r="F80" s="26">
        <v>100000</v>
      </c>
      <c r="G80" s="11">
        <f t="shared" si="2"/>
        <v>-100000</v>
      </c>
      <c r="H80" t="s">
        <v>301</v>
      </c>
    </row>
    <row r="81" spans="1:8" x14ac:dyDescent="0.35">
      <c r="A81" s="125" t="s">
        <v>140</v>
      </c>
      <c r="B81" s="26">
        <v>15000</v>
      </c>
      <c r="C81" s="26">
        <v>15000</v>
      </c>
      <c r="D81" s="26">
        <v>15000</v>
      </c>
      <c r="E81" s="26">
        <v>15000</v>
      </c>
      <c r="F81" s="188">
        <v>20000</v>
      </c>
      <c r="G81" s="11">
        <f>F81-E81</f>
        <v>5000</v>
      </c>
      <c r="H81" t="s">
        <v>302</v>
      </c>
    </row>
    <row r="82" spans="1:8" x14ac:dyDescent="0.35">
      <c r="A82" s="25" t="s">
        <v>101</v>
      </c>
      <c r="B82" s="20">
        <v>26000</v>
      </c>
      <c r="C82" s="20">
        <v>26000</v>
      </c>
      <c r="D82" s="26">
        <v>20000</v>
      </c>
      <c r="E82" s="26">
        <v>20000</v>
      </c>
      <c r="F82" s="26">
        <v>20000</v>
      </c>
      <c r="G82" s="11">
        <f t="shared" si="2"/>
        <v>0</v>
      </c>
      <c r="H82"/>
    </row>
    <row r="83" spans="1:8" x14ac:dyDescent="0.35">
      <c r="A83" s="25" t="s">
        <v>103</v>
      </c>
      <c r="B83" s="20">
        <v>2000</v>
      </c>
      <c r="C83" s="20">
        <v>2000</v>
      </c>
      <c r="D83" s="26">
        <v>5000</v>
      </c>
      <c r="E83" s="26">
        <v>5000</v>
      </c>
      <c r="F83" s="26">
        <v>0</v>
      </c>
      <c r="G83" s="11">
        <f t="shared" si="2"/>
        <v>-5000</v>
      </c>
      <c r="H83"/>
    </row>
    <row r="84" spans="1:8" x14ac:dyDescent="0.35">
      <c r="A84" s="186" t="s">
        <v>262</v>
      </c>
      <c r="B84" s="20"/>
      <c r="C84" s="20"/>
      <c r="D84" s="127" t="s">
        <v>143</v>
      </c>
      <c r="E84" s="127" t="s">
        <v>143</v>
      </c>
      <c r="F84" s="103">
        <v>0</v>
      </c>
      <c r="G84" s="11">
        <f>F84-0</f>
        <v>0</v>
      </c>
      <c r="H84" t="s">
        <v>305</v>
      </c>
    </row>
    <row r="85" spans="1:8" x14ac:dyDescent="0.35">
      <c r="A85" s="186" t="s">
        <v>261</v>
      </c>
      <c r="B85" s="20"/>
      <c r="C85" s="20"/>
      <c r="D85" s="127" t="s">
        <v>143</v>
      </c>
      <c r="E85" s="127" t="s">
        <v>143</v>
      </c>
      <c r="F85" s="103">
        <v>0</v>
      </c>
      <c r="G85" s="11">
        <f>F85-0</f>
        <v>0</v>
      </c>
      <c r="H85" t="s">
        <v>305</v>
      </c>
    </row>
    <row r="86" spans="1:8" x14ac:dyDescent="0.35">
      <c r="A86" s="184" t="s">
        <v>257</v>
      </c>
      <c r="B86" s="20"/>
      <c r="C86" s="20"/>
      <c r="D86" s="127" t="s">
        <v>143</v>
      </c>
      <c r="E86" s="127" t="s">
        <v>143</v>
      </c>
      <c r="F86" s="103">
        <v>150000</v>
      </c>
      <c r="G86" s="11">
        <f>F86-0</f>
        <v>150000</v>
      </c>
      <c r="H86"/>
    </row>
    <row r="87" spans="1:8" x14ac:dyDescent="0.35">
      <c r="A87" s="25" t="s">
        <v>104</v>
      </c>
      <c r="B87" s="20">
        <v>8500</v>
      </c>
      <c r="C87" s="20">
        <v>8500</v>
      </c>
      <c r="D87" s="26">
        <v>8500</v>
      </c>
      <c r="E87" s="26">
        <v>8500</v>
      </c>
      <c r="F87" s="26">
        <v>0</v>
      </c>
      <c r="G87" s="11">
        <f t="shared" si="2"/>
        <v>-8500</v>
      </c>
      <c r="H87" t="s">
        <v>305</v>
      </c>
    </row>
    <row r="88" spans="1:8" x14ac:dyDescent="0.35">
      <c r="A88" s="25" t="s">
        <v>105</v>
      </c>
      <c r="B88" s="20">
        <v>19000</v>
      </c>
      <c r="C88" s="20">
        <v>19000</v>
      </c>
      <c r="D88" s="26">
        <v>30000</v>
      </c>
      <c r="E88" s="26">
        <v>30000</v>
      </c>
      <c r="F88" s="26">
        <v>0</v>
      </c>
      <c r="G88" s="11">
        <f t="shared" si="2"/>
        <v>-30000</v>
      </c>
      <c r="H88" t="s">
        <v>305</v>
      </c>
    </row>
    <row r="89" spans="1:8" x14ac:dyDescent="0.35">
      <c r="A89" s="25" t="s">
        <v>106</v>
      </c>
      <c r="B89" s="20">
        <v>202000</v>
      </c>
      <c r="C89" s="20">
        <v>202000</v>
      </c>
      <c r="D89" s="26">
        <v>220000</v>
      </c>
      <c r="E89" s="26">
        <v>220000</v>
      </c>
      <c r="F89" s="103">
        <v>100000</v>
      </c>
      <c r="G89" s="11">
        <f t="shared" si="2"/>
        <v>-120000</v>
      </c>
      <c r="H89"/>
    </row>
    <row r="90" spans="1:8" s="1" customFormat="1" x14ac:dyDescent="0.35">
      <c r="A90" s="69" t="s">
        <v>30</v>
      </c>
      <c r="B90" s="46">
        <f>SUM(B91:B93)</f>
        <v>30000</v>
      </c>
      <c r="C90" s="46">
        <f>SUM(C91:C93)</f>
        <v>30000</v>
      </c>
      <c r="D90" s="46">
        <f>SUM(D91:D93)</f>
        <v>45000</v>
      </c>
      <c r="E90" s="46">
        <f>SUM(E91:E93)</f>
        <v>45000</v>
      </c>
      <c r="F90" s="46">
        <f>SUM(F91:F93)</f>
        <v>35000</v>
      </c>
      <c r="G90" s="65">
        <f>F90-E90</f>
        <v>-10000</v>
      </c>
      <c r="H90" s="198">
        <f>F90/$F$25</f>
        <v>4.6812794228147667E-3</v>
      </c>
    </row>
    <row r="91" spans="1:8" x14ac:dyDescent="0.35">
      <c r="A91" s="25" t="s">
        <v>114</v>
      </c>
      <c r="B91" s="20">
        <v>20000</v>
      </c>
      <c r="C91" s="20">
        <v>20000</v>
      </c>
      <c r="D91" s="26">
        <v>30000</v>
      </c>
      <c r="E91" s="26">
        <v>30000</v>
      </c>
      <c r="F91" s="26">
        <v>20000</v>
      </c>
      <c r="G91" s="11">
        <f t="shared" si="2"/>
        <v>-10000</v>
      </c>
      <c r="H91"/>
    </row>
    <row r="92" spans="1:8" x14ac:dyDescent="0.35">
      <c r="A92" s="25" t="s">
        <v>115</v>
      </c>
      <c r="B92" s="20">
        <v>5000</v>
      </c>
      <c r="C92" s="20">
        <v>5000</v>
      </c>
      <c r="D92" s="26">
        <v>10000</v>
      </c>
      <c r="E92" s="26">
        <v>10000</v>
      </c>
      <c r="F92" s="26">
        <v>5000</v>
      </c>
      <c r="G92" s="11">
        <f t="shared" si="2"/>
        <v>-5000</v>
      </c>
      <c r="H92"/>
    </row>
    <row r="93" spans="1:8" x14ac:dyDescent="0.35">
      <c r="A93" s="25" t="s">
        <v>116</v>
      </c>
      <c r="B93" s="20">
        <v>5000</v>
      </c>
      <c r="C93" s="20">
        <v>5000</v>
      </c>
      <c r="D93" s="26">
        <v>5000</v>
      </c>
      <c r="E93" s="26">
        <v>5000</v>
      </c>
      <c r="F93" s="26">
        <v>10000</v>
      </c>
      <c r="G93" s="11">
        <f t="shared" si="2"/>
        <v>5000</v>
      </c>
      <c r="H93"/>
    </row>
    <row r="94" spans="1:8" x14ac:dyDescent="0.35">
      <c r="A94" s="69" t="s">
        <v>263</v>
      </c>
      <c r="B94" s="46"/>
      <c r="C94" s="46"/>
      <c r="D94" s="187">
        <v>45000</v>
      </c>
      <c r="E94" s="187">
        <v>45000</v>
      </c>
      <c r="F94" s="46">
        <f>SUM(F95:F100)</f>
        <v>24000</v>
      </c>
      <c r="G94" s="65">
        <f>F94-E94</f>
        <v>-21000</v>
      </c>
      <c r="H94" s="198">
        <f>F94/$F$25</f>
        <v>3.2100201756444118E-3</v>
      </c>
    </row>
    <row r="95" spans="1:8" x14ac:dyDescent="0.35">
      <c r="A95" s="186" t="s">
        <v>266</v>
      </c>
      <c r="B95" s="103"/>
      <c r="C95" s="103"/>
      <c r="D95" s="127" t="s">
        <v>143</v>
      </c>
      <c r="E95" s="127" t="s">
        <v>143</v>
      </c>
      <c r="F95" s="26">
        <v>4000</v>
      </c>
      <c r="G95" s="197">
        <f>F95-0</f>
        <v>4000</v>
      </c>
      <c r="H95"/>
    </row>
    <row r="96" spans="1:8" x14ac:dyDescent="0.35">
      <c r="A96" s="186" t="s">
        <v>267</v>
      </c>
      <c r="B96" s="103"/>
      <c r="C96" s="103"/>
      <c r="D96" s="127" t="s">
        <v>143</v>
      </c>
      <c r="E96" s="127" t="s">
        <v>143</v>
      </c>
      <c r="F96" s="26">
        <v>10000</v>
      </c>
      <c r="G96" s="197">
        <f t="shared" ref="G96:G100" si="6">F96-0</f>
        <v>10000</v>
      </c>
      <c r="H96"/>
    </row>
    <row r="97" spans="1:8" x14ac:dyDescent="0.35">
      <c r="A97" s="190" t="s">
        <v>269</v>
      </c>
      <c r="B97" s="188"/>
      <c r="C97" s="188"/>
      <c r="D97" s="127" t="s">
        <v>143</v>
      </c>
      <c r="E97" s="127" t="s">
        <v>143</v>
      </c>
      <c r="F97" s="26">
        <v>3500</v>
      </c>
      <c r="G97" s="197">
        <f t="shared" si="6"/>
        <v>3500</v>
      </c>
      <c r="H97"/>
    </row>
    <row r="98" spans="1:8" x14ac:dyDescent="0.35">
      <c r="A98" s="190" t="s">
        <v>268</v>
      </c>
      <c r="B98" s="188"/>
      <c r="C98" s="188"/>
      <c r="D98" s="127" t="s">
        <v>143</v>
      </c>
      <c r="E98" s="127" t="s">
        <v>143</v>
      </c>
      <c r="F98" s="26">
        <v>2000</v>
      </c>
      <c r="G98" s="197">
        <f t="shared" si="6"/>
        <v>2000</v>
      </c>
      <c r="H98"/>
    </row>
    <row r="99" spans="1:8" x14ac:dyDescent="0.35">
      <c r="A99" s="190" t="s">
        <v>159</v>
      </c>
      <c r="B99" s="188"/>
      <c r="C99" s="188"/>
      <c r="D99" s="127" t="s">
        <v>143</v>
      </c>
      <c r="E99" s="127" t="s">
        <v>143</v>
      </c>
      <c r="F99" s="26">
        <v>2500</v>
      </c>
      <c r="G99" s="197">
        <f t="shared" si="6"/>
        <v>2500</v>
      </c>
      <c r="H99"/>
    </row>
    <row r="100" spans="1:8" x14ac:dyDescent="0.35">
      <c r="A100" s="186" t="s">
        <v>270</v>
      </c>
      <c r="B100" s="103"/>
      <c r="C100" s="103"/>
      <c r="D100" s="127" t="s">
        <v>143</v>
      </c>
      <c r="E100" s="127" t="s">
        <v>143</v>
      </c>
      <c r="F100" s="26">
        <v>2000</v>
      </c>
      <c r="G100" s="197">
        <f t="shared" si="6"/>
        <v>2000</v>
      </c>
      <c r="H100"/>
    </row>
    <row r="101" spans="1:8" s="1" customFormat="1" x14ac:dyDescent="0.35">
      <c r="A101" s="69" t="s">
        <v>17</v>
      </c>
      <c r="B101" s="46">
        <f>SUM(B102:B105)</f>
        <v>9200</v>
      </c>
      <c r="C101" s="46">
        <f>SUM(C102:C105)</f>
        <v>9200</v>
      </c>
      <c r="D101" s="46">
        <f>SUM(D102:D105)</f>
        <v>40000</v>
      </c>
      <c r="E101" s="46">
        <f>SUM(E102:E105)</f>
        <v>40000</v>
      </c>
      <c r="F101" s="46">
        <f>SUM(F102:F105)</f>
        <v>26500</v>
      </c>
      <c r="G101" s="65">
        <f>F101-E101</f>
        <v>-13500</v>
      </c>
      <c r="H101" s="198">
        <f>F101/$F$25</f>
        <v>3.5443972772740378E-3</v>
      </c>
    </row>
    <row r="102" spans="1:8" x14ac:dyDescent="0.35">
      <c r="A102" s="25" t="s">
        <v>117</v>
      </c>
      <c r="B102" s="20">
        <v>9200</v>
      </c>
      <c r="C102" s="20">
        <v>9200</v>
      </c>
      <c r="D102" s="26">
        <v>20000</v>
      </c>
      <c r="E102" s="26">
        <v>20000</v>
      </c>
      <c r="F102" s="26">
        <v>10000</v>
      </c>
      <c r="G102" s="11">
        <f t="shared" si="2"/>
        <v>-10000</v>
      </c>
      <c r="H102"/>
    </row>
    <row r="103" spans="1:8" x14ac:dyDescent="0.35">
      <c r="A103" s="25" t="s">
        <v>118</v>
      </c>
      <c r="B103" s="20">
        <v>0</v>
      </c>
      <c r="C103" s="20">
        <v>0</v>
      </c>
      <c r="D103" s="26">
        <v>12000</v>
      </c>
      <c r="E103" s="26">
        <v>12000</v>
      </c>
      <c r="F103" s="26">
        <v>10000</v>
      </c>
      <c r="G103" s="11">
        <f t="shared" si="2"/>
        <v>-2000</v>
      </c>
      <c r="H103"/>
    </row>
    <row r="104" spans="1:8" x14ac:dyDescent="0.35">
      <c r="A104" s="106" t="s">
        <v>119</v>
      </c>
      <c r="B104" s="44" t="s">
        <v>143</v>
      </c>
      <c r="C104" s="44" t="s">
        <v>143</v>
      </c>
      <c r="D104" s="26">
        <v>5000</v>
      </c>
      <c r="E104" s="26">
        <v>5000</v>
      </c>
      <c r="F104" s="26">
        <v>5000</v>
      </c>
      <c r="G104" s="11">
        <f t="shared" ref="G104:G121" si="7">F104-E104</f>
        <v>0</v>
      </c>
      <c r="H104"/>
    </row>
    <row r="105" spans="1:8" x14ac:dyDescent="0.35">
      <c r="A105" s="106" t="s">
        <v>139</v>
      </c>
      <c r="B105" s="44" t="s">
        <v>144</v>
      </c>
      <c r="C105" s="44" t="s">
        <v>144</v>
      </c>
      <c r="D105" s="26">
        <v>3000</v>
      </c>
      <c r="E105" s="26">
        <v>3000</v>
      </c>
      <c r="F105" s="26">
        <v>1500</v>
      </c>
      <c r="G105" s="11">
        <f t="shared" si="7"/>
        <v>-1500</v>
      </c>
      <c r="H105"/>
    </row>
    <row r="106" spans="1:8" s="1" customFormat="1" x14ac:dyDescent="0.35">
      <c r="A106" s="69" t="s">
        <v>120</v>
      </c>
      <c r="B106" s="46">
        <v>85000</v>
      </c>
      <c r="C106" s="46">
        <v>85000</v>
      </c>
      <c r="D106" s="46">
        <f>SUM(D107:D109)</f>
        <v>40000</v>
      </c>
      <c r="E106" s="46">
        <f>SUM(E107:E109)</f>
        <v>40000</v>
      </c>
      <c r="F106" s="46">
        <f>SUM(F107:F109)</f>
        <v>46000</v>
      </c>
      <c r="G106" s="65">
        <f>F106-E106</f>
        <v>6000</v>
      </c>
      <c r="H106" s="198">
        <f>F106/$F$25</f>
        <v>6.152538669985122E-3</v>
      </c>
    </row>
    <row r="107" spans="1:8" x14ac:dyDescent="0.35">
      <c r="A107" s="25" t="s">
        <v>121</v>
      </c>
      <c r="B107" s="26">
        <v>0</v>
      </c>
      <c r="C107" s="26">
        <v>0</v>
      </c>
      <c r="D107" s="26">
        <v>22000</v>
      </c>
      <c r="E107" s="26">
        <v>22000</v>
      </c>
      <c r="F107" s="26">
        <v>25000</v>
      </c>
      <c r="G107" s="11">
        <f t="shared" si="7"/>
        <v>3000</v>
      </c>
      <c r="H107"/>
    </row>
    <row r="108" spans="1:8" x14ac:dyDescent="0.35">
      <c r="A108" s="25" t="s">
        <v>122</v>
      </c>
      <c r="B108" s="26">
        <v>0</v>
      </c>
      <c r="C108" s="26">
        <v>0</v>
      </c>
      <c r="D108" s="26">
        <v>15000</v>
      </c>
      <c r="E108" s="26">
        <v>15000</v>
      </c>
      <c r="F108" s="26">
        <v>17000</v>
      </c>
      <c r="G108" s="11">
        <f t="shared" si="7"/>
        <v>2000</v>
      </c>
      <c r="H108"/>
    </row>
    <row r="109" spans="1:8" s="71" customFormat="1" x14ac:dyDescent="0.35">
      <c r="A109" s="106" t="s">
        <v>167</v>
      </c>
      <c r="B109" s="44" t="s">
        <v>143</v>
      </c>
      <c r="C109" s="44" t="s">
        <v>143</v>
      </c>
      <c r="D109" s="26">
        <v>3000</v>
      </c>
      <c r="E109" s="26">
        <v>3000</v>
      </c>
      <c r="F109" s="26">
        <v>4000</v>
      </c>
      <c r="G109" s="11">
        <f t="shared" si="7"/>
        <v>1000</v>
      </c>
      <c r="H109"/>
    </row>
    <row r="110" spans="1:8" s="1" customFormat="1" x14ac:dyDescent="0.35">
      <c r="A110" s="69" t="s">
        <v>31</v>
      </c>
      <c r="B110" s="46">
        <v>321500</v>
      </c>
      <c r="C110" s="46">
        <v>321500</v>
      </c>
      <c r="D110" s="46">
        <f>SUM(D111:D121)</f>
        <v>353750</v>
      </c>
      <c r="E110" s="46">
        <f>SUM(E111:E121)</f>
        <v>388750</v>
      </c>
      <c r="F110" s="46">
        <f>SUM(F111:F121)</f>
        <v>327000</v>
      </c>
      <c r="G110" s="65">
        <f>F110-E110</f>
        <v>-61750</v>
      </c>
      <c r="H110" s="198">
        <f>F110/$F$25</f>
        <v>4.3736524893155111E-2</v>
      </c>
    </row>
    <row r="111" spans="1:8" x14ac:dyDescent="0.35">
      <c r="A111" s="106" t="s">
        <v>149</v>
      </c>
      <c r="B111" s="20">
        <v>0</v>
      </c>
      <c r="C111" s="20">
        <v>0</v>
      </c>
      <c r="D111" s="26">
        <v>120000</v>
      </c>
      <c r="E111" s="26">
        <v>120000</v>
      </c>
      <c r="F111" s="26">
        <v>100000</v>
      </c>
      <c r="G111" s="11">
        <f t="shared" si="7"/>
        <v>-20000</v>
      </c>
      <c r="H111"/>
    </row>
    <row r="112" spans="1:8" s="71" customFormat="1" x14ac:dyDescent="0.35">
      <c r="A112" s="106" t="s">
        <v>150</v>
      </c>
      <c r="B112" s="44" t="s">
        <v>143</v>
      </c>
      <c r="C112" s="44" t="s">
        <v>143</v>
      </c>
      <c r="D112" s="26">
        <v>15000</v>
      </c>
      <c r="E112" s="26">
        <v>15000</v>
      </c>
      <c r="F112" s="26">
        <v>15000</v>
      </c>
      <c r="G112" s="11">
        <f t="shared" si="7"/>
        <v>0</v>
      </c>
      <c r="H112"/>
    </row>
    <row r="113" spans="1:8" s="71" customFormat="1" x14ac:dyDescent="0.35">
      <c r="A113" s="106" t="s">
        <v>227</v>
      </c>
      <c r="B113" s="44" t="s">
        <v>143</v>
      </c>
      <c r="C113" s="44" t="s">
        <v>143</v>
      </c>
      <c r="D113" s="127">
        <v>0</v>
      </c>
      <c r="E113" s="26">
        <v>25000</v>
      </c>
      <c r="F113" s="26">
        <v>2500</v>
      </c>
      <c r="G113" s="11">
        <f t="shared" si="7"/>
        <v>-22500</v>
      </c>
      <c r="H113"/>
    </row>
    <row r="114" spans="1:8" s="71" customFormat="1" x14ac:dyDescent="0.35">
      <c r="A114" s="190" t="s">
        <v>295</v>
      </c>
      <c r="B114" s="44"/>
      <c r="C114" s="44"/>
      <c r="D114" s="127" t="s">
        <v>143</v>
      </c>
      <c r="E114" s="127" t="s">
        <v>143</v>
      </c>
      <c r="F114" s="26">
        <v>3000</v>
      </c>
      <c r="G114" s="11">
        <f>F114-0</f>
        <v>3000</v>
      </c>
      <c r="H114"/>
    </row>
    <row r="115" spans="1:8" x14ac:dyDescent="0.35">
      <c r="A115" s="106" t="s">
        <v>148</v>
      </c>
      <c r="B115" s="44">
        <v>0</v>
      </c>
      <c r="C115" s="44">
        <v>0</v>
      </c>
      <c r="D115" s="26">
        <v>30000</v>
      </c>
      <c r="E115" s="26">
        <v>30000</v>
      </c>
      <c r="F115" s="26">
        <v>30000</v>
      </c>
      <c r="G115" s="11">
        <f t="shared" si="7"/>
        <v>0</v>
      </c>
      <c r="H115"/>
    </row>
    <row r="116" spans="1:8" x14ac:dyDescent="0.35">
      <c r="A116" s="106" t="s">
        <v>151</v>
      </c>
      <c r="B116" s="44">
        <v>0</v>
      </c>
      <c r="C116" s="44">
        <v>0</v>
      </c>
      <c r="D116" s="26">
        <v>45000</v>
      </c>
      <c r="E116" s="26">
        <v>45000</v>
      </c>
      <c r="F116" s="127" t="s">
        <v>260</v>
      </c>
      <c r="G116" s="11">
        <f>0-E116</f>
        <v>-45000</v>
      </c>
      <c r="H116"/>
    </row>
    <row r="117" spans="1:8" x14ac:dyDescent="0.35">
      <c r="A117" s="106" t="s">
        <v>152</v>
      </c>
      <c r="B117" s="44">
        <v>0</v>
      </c>
      <c r="C117" s="44">
        <v>0</v>
      </c>
      <c r="D117" s="26">
        <v>20000</v>
      </c>
      <c r="E117" s="26">
        <v>30000</v>
      </c>
      <c r="F117" s="26">
        <v>30000</v>
      </c>
      <c r="G117" s="11">
        <f t="shared" si="7"/>
        <v>0</v>
      </c>
      <c r="H117"/>
    </row>
    <row r="118" spans="1:8" x14ac:dyDescent="0.35">
      <c r="A118" s="106" t="s">
        <v>154</v>
      </c>
      <c r="B118" s="44">
        <v>0</v>
      </c>
      <c r="C118" s="44">
        <v>0</v>
      </c>
      <c r="D118" s="26">
        <v>100000</v>
      </c>
      <c r="E118" s="26">
        <v>100000</v>
      </c>
      <c r="F118" s="26">
        <v>130000</v>
      </c>
      <c r="G118" s="11">
        <f t="shared" si="7"/>
        <v>30000</v>
      </c>
      <c r="H118" t="s">
        <v>274</v>
      </c>
    </row>
    <row r="119" spans="1:8" x14ac:dyDescent="0.35">
      <c r="A119" s="106" t="s">
        <v>157</v>
      </c>
      <c r="B119" s="44">
        <v>0</v>
      </c>
      <c r="C119" s="44">
        <v>0</v>
      </c>
      <c r="D119" s="26">
        <v>12250</v>
      </c>
      <c r="E119" s="26">
        <v>12250</v>
      </c>
      <c r="F119" s="26">
        <v>15000</v>
      </c>
      <c r="G119" s="11">
        <f t="shared" si="7"/>
        <v>2750</v>
      </c>
      <c r="H119"/>
    </row>
    <row r="120" spans="1:8" x14ac:dyDescent="0.35">
      <c r="A120" s="106" t="s">
        <v>158</v>
      </c>
      <c r="B120" s="44">
        <v>0</v>
      </c>
      <c r="C120" s="44">
        <v>0</v>
      </c>
      <c r="D120" s="26">
        <v>1500</v>
      </c>
      <c r="E120" s="26">
        <v>1500</v>
      </c>
      <c r="F120" s="26">
        <v>1500</v>
      </c>
      <c r="G120" s="11">
        <f t="shared" si="7"/>
        <v>0</v>
      </c>
      <c r="H120" t="s">
        <v>271</v>
      </c>
    </row>
    <row r="121" spans="1:8" s="71" customFormat="1" x14ac:dyDescent="0.35">
      <c r="A121" s="106" t="s">
        <v>147</v>
      </c>
      <c r="B121" s="44" t="s">
        <v>143</v>
      </c>
      <c r="C121" s="44" t="s">
        <v>143</v>
      </c>
      <c r="D121" s="26">
        <v>10000</v>
      </c>
      <c r="E121" s="26">
        <v>10000</v>
      </c>
      <c r="F121" s="26">
        <v>0</v>
      </c>
      <c r="G121" s="11">
        <f t="shared" si="7"/>
        <v>-10000</v>
      </c>
      <c r="H121"/>
    </row>
    <row r="122" spans="1:8" s="1" customFormat="1" x14ac:dyDescent="0.35">
      <c r="A122" s="69" t="s">
        <v>18</v>
      </c>
      <c r="B122" s="46">
        <v>12000</v>
      </c>
      <c r="C122" s="46">
        <v>12000</v>
      </c>
      <c r="D122" s="46">
        <v>12000</v>
      </c>
      <c r="E122" s="46">
        <v>12000</v>
      </c>
      <c r="F122" s="46">
        <v>12000</v>
      </c>
      <c r="G122" s="65">
        <f>F122-E122</f>
        <v>0</v>
      </c>
      <c r="H122" s="198">
        <f>F122/$F$25</f>
        <v>1.6050100878222059E-3</v>
      </c>
    </row>
    <row r="123" spans="1:8" s="1" customFormat="1" x14ac:dyDescent="0.35">
      <c r="A123" s="69" t="s">
        <v>19</v>
      </c>
      <c r="B123" s="46">
        <v>102000</v>
      </c>
      <c r="C123" s="46">
        <v>102000</v>
      </c>
      <c r="D123" s="46">
        <v>150000</v>
      </c>
      <c r="E123" s="46">
        <v>150000</v>
      </c>
      <c r="F123" s="46">
        <v>150000</v>
      </c>
      <c r="G123" s="65">
        <f>F123-E123</f>
        <v>0</v>
      </c>
      <c r="H123" s="198">
        <f>F123/$F$25</f>
        <v>2.0062626097777574E-2</v>
      </c>
    </row>
    <row r="124" spans="1:8" s="1" customFormat="1" x14ac:dyDescent="0.35">
      <c r="A124" s="69" t="s">
        <v>20</v>
      </c>
      <c r="B124" s="46">
        <v>418762</v>
      </c>
      <c r="C124" s="46">
        <v>418762</v>
      </c>
      <c r="D124" s="46">
        <v>506000</v>
      </c>
      <c r="E124" s="46">
        <v>506000</v>
      </c>
      <c r="F124" s="46">
        <f>F25*0.075+28000</f>
        <v>588744.13913571427</v>
      </c>
      <c r="G124" s="65">
        <f>F124-E124</f>
        <v>82744.139135714271</v>
      </c>
      <c r="H124" s="198">
        <f>F124/$F$25</f>
        <v>7.8745023538251815E-2</v>
      </c>
    </row>
    <row r="125" spans="1:8" s="76" customFormat="1" x14ac:dyDescent="0.35">
      <c r="A125" s="73" t="s">
        <v>21</v>
      </c>
      <c r="B125" s="46">
        <v>300000</v>
      </c>
      <c r="C125" s="46">
        <v>300000</v>
      </c>
      <c r="D125" s="47">
        <v>300000</v>
      </c>
      <c r="E125" s="47">
        <v>300000</v>
      </c>
      <c r="F125" s="47">
        <v>300000</v>
      </c>
      <c r="G125" s="65">
        <f>F125-E125</f>
        <v>0</v>
      </c>
      <c r="H125" t="s">
        <v>296</v>
      </c>
    </row>
    <row r="126" spans="1:8" s="1" customFormat="1" x14ac:dyDescent="0.35">
      <c r="A126" s="69" t="s">
        <v>22</v>
      </c>
      <c r="B126" s="46">
        <v>2500</v>
      </c>
      <c r="C126" s="46">
        <f>SUM(C127:C129)</f>
        <v>2500</v>
      </c>
      <c r="D126" s="46">
        <f>SUM(D127:D129)</f>
        <v>6200</v>
      </c>
      <c r="E126" s="46">
        <f>SUM(E127:E129)</f>
        <v>6200</v>
      </c>
      <c r="F126" s="46">
        <v>1500</v>
      </c>
      <c r="G126" s="65">
        <f>F126-E126</f>
        <v>-4700</v>
      </c>
      <c r="H126" s="198">
        <f>F126/$F$25</f>
        <v>2.0062626097777574E-4</v>
      </c>
    </row>
    <row r="127" spans="1:8" x14ac:dyDescent="0.35">
      <c r="A127" s="106" t="s">
        <v>164</v>
      </c>
      <c r="B127" s="26">
        <v>2500</v>
      </c>
      <c r="C127" s="26">
        <v>2500</v>
      </c>
      <c r="D127" s="26">
        <v>2500</v>
      </c>
      <c r="E127" s="26">
        <v>2500</v>
      </c>
      <c r="F127" s="127" t="s">
        <v>272</v>
      </c>
      <c r="G127" s="197">
        <f>0-E127</f>
        <v>-2500</v>
      </c>
      <c r="H127"/>
    </row>
    <row r="128" spans="1:8" s="71" customFormat="1" x14ac:dyDescent="0.35">
      <c r="A128" s="106" t="s">
        <v>159</v>
      </c>
      <c r="B128" s="44" t="s">
        <v>143</v>
      </c>
      <c r="C128" s="44" t="s">
        <v>143</v>
      </c>
      <c r="D128" s="26">
        <v>2500</v>
      </c>
      <c r="E128" s="26">
        <v>2500</v>
      </c>
      <c r="F128" s="127" t="s">
        <v>260</v>
      </c>
      <c r="G128" s="197">
        <f t="shared" ref="G128:G129" si="8">0-E128</f>
        <v>-2500</v>
      </c>
      <c r="H128"/>
    </row>
    <row r="129" spans="1:13" s="71" customFormat="1" x14ac:dyDescent="0.35">
      <c r="A129" s="106" t="s">
        <v>161</v>
      </c>
      <c r="B129" s="44" t="s">
        <v>143</v>
      </c>
      <c r="C129" s="44" t="s">
        <v>143</v>
      </c>
      <c r="D129" s="26">
        <v>1200</v>
      </c>
      <c r="E129" s="26">
        <v>1200</v>
      </c>
      <c r="F129" s="127" t="s">
        <v>260</v>
      </c>
      <c r="G129" s="197">
        <f t="shared" si="8"/>
        <v>-1200</v>
      </c>
      <c r="H129"/>
    </row>
    <row r="130" spans="1:13" s="1" customFormat="1" x14ac:dyDescent="0.35">
      <c r="A130" s="73" t="s">
        <v>23</v>
      </c>
      <c r="B130" s="46">
        <v>25000</v>
      </c>
      <c r="C130" s="46">
        <v>25000</v>
      </c>
      <c r="D130" s="46">
        <v>25000</v>
      </c>
      <c r="E130" s="46">
        <v>5000</v>
      </c>
      <c r="F130" s="46">
        <v>0</v>
      </c>
      <c r="G130" s="65">
        <f t="shared" ref="G130:G136" si="9">F130-E130</f>
        <v>-5000</v>
      </c>
      <c r="H130" s="198">
        <f>F130/$F$25</f>
        <v>0</v>
      </c>
    </row>
    <row r="131" spans="1:13" s="1" customFormat="1" x14ac:dyDescent="0.35">
      <c r="A131" s="69" t="s">
        <v>36</v>
      </c>
      <c r="B131" s="46">
        <v>27683</v>
      </c>
      <c r="C131" s="46">
        <v>27683</v>
      </c>
      <c r="D131" s="46">
        <v>24955.15</v>
      </c>
      <c r="E131" s="46">
        <v>24955.15</v>
      </c>
      <c r="F131" s="47">
        <v>22138</v>
      </c>
      <c r="G131" s="65">
        <f>F131-E131</f>
        <v>-2817.1500000000015</v>
      </c>
      <c r="H131" s="198">
        <f>F131/$F$25</f>
        <v>2.9609761103506663E-3</v>
      </c>
    </row>
    <row r="132" spans="1:13" s="1" customFormat="1" x14ac:dyDescent="0.35">
      <c r="A132" s="69" t="s">
        <v>222</v>
      </c>
      <c r="B132" s="46">
        <v>0</v>
      </c>
      <c r="C132" s="46">
        <v>0</v>
      </c>
      <c r="D132" s="46">
        <v>36592.94</v>
      </c>
      <c r="E132" s="46">
        <v>36592.94</v>
      </c>
      <c r="F132" s="47">
        <v>28044</v>
      </c>
      <c r="G132" s="65">
        <f>F132-E132</f>
        <v>-8548.9400000000023</v>
      </c>
      <c r="H132" s="198">
        <f>F132/$F$25</f>
        <v>3.7509085752404948E-3</v>
      </c>
    </row>
    <row r="133" spans="1:13" s="1" customFormat="1" x14ac:dyDescent="0.35">
      <c r="A133" s="192" t="s">
        <v>283</v>
      </c>
      <c r="B133" s="46"/>
      <c r="C133" s="46"/>
      <c r="D133" s="187" t="s">
        <v>243</v>
      </c>
      <c r="E133" s="187" t="s">
        <v>243</v>
      </c>
      <c r="F133" s="47">
        <v>54893</v>
      </c>
      <c r="G133" s="179">
        <f>F133-0</f>
        <v>54893</v>
      </c>
      <c r="H133" s="198">
        <f>F133/$F$25</f>
        <v>7.341984895902029E-3</v>
      </c>
    </row>
    <row r="134" spans="1:13" s="1" customFormat="1" x14ac:dyDescent="0.35">
      <c r="A134" s="69" t="s">
        <v>24</v>
      </c>
      <c r="B134" s="47">
        <v>150000</v>
      </c>
      <c r="C134" s="47">
        <v>150000</v>
      </c>
      <c r="D134" s="47">
        <v>150000</v>
      </c>
      <c r="E134" s="47">
        <v>366000</v>
      </c>
      <c r="F134" s="47">
        <v>150000</v>
      </c>
      <c r="G134" s="65">
        <f t="shared" si="9"/>
        <v>-216000</v>
      </c>
      <c r="H134" t="s">
        <v>298</v>
      </c>
      <c r="I134" s="198"/>
      <c r="J134" s="77"/>
    </row>
    <row r="135" spans="1:13" s="1" customFormat="1" x14ac:dyDescent="0.35">
      <c r="A135" s="69" t="s">
        <v>13</v>
      </c>
      <c r="B135" s="46">
        <v>1124898</v>
      </c>
      <c r="C135" s="46">
        <v>1124898</v>
      </c>
      <c r="D135" s="47">
        <v>1442360</v>
      </c>
      <c r="E135" s="47">
        <v>1454409.9042857143</v>
      </c>
      <c r="F135" s="47">
        <f>'Bayview - Capital'!I16</f>
        <v>1528487.104920635</v>
      </c>
      <c r="G135" s="65">
        <f t="shared" si="9"/>
        <v>74077.200634920737</v>
      </c>
      <c r="H135" s="198">
        <f>F135/$F$25</f>
        <v>0.20443643520864813</v>
      </c>
      <c r="J135" s="77"/>
    </row>
    <row r="136" spans="1:13" s="1" customFormat="1" x14ac:dyDescent="0.35">
      <c r="A136" s="69" t="s">
        <v>9</v>
      </c>
      <c r="B136" s="74">
        <f>B135+B132+B131+B130+B126+B125+B124+B123+B122+B110+B106+B101+B90+B74+B66+B62+B43+B28+B134</f>
        <v>5334145.9102723328</v>
      </c>
      <c r="C136" s="74">
        <f>C135+C132+C131+C130+C126+C125+C124+C123+C122+C110+C106+C101+C90+C74+C66+C62+C43+C28+C134</f>
        <v>5334145.9102723328</v>
      </c>
      <c r="D136" s="74">
        <f>D28+D43+D62+D66+D74+D90+D101+D106+D110+D122+D123+D124+D125+D126+D130+D131+D132+D134+D135</f>
        <v>7195404.79</v>
      </c>
      <c r="E136" s="74">
        <f>E28+E43+E62+E66+E74+E90+E101+E106+E110+E122+E123+E124+E125+E126+E130+E131+E132+E134+E135</f>
        <v>7458454.6942857141</v>
      </c>
      <c r="F136" s="74">
        <f>F28+F43+F62+F66+F74+F90+F94+F101+F106+F110+F122+F123+F124+F126+F125+F130+F131+F132+F133+F134+F135</f>
        <v>7408520.23370435</v>
      </c>
      <c r="G136" s="65">
        <f t="shared" si="9"/>
        <v>-49934.46058136411</v>
      </c>
      <c r="H136" s="198"/>
      <c r="J136" s="5"/>
    </row>
    <row r="137" spans="1:13" x14ac:dyDescent="0.35">
      <c r="A137" s="25"/>
      <c r="B137" s="17"/>
      <c r="C137" s="17"/>
      <c r="D137" s="17"/>
      <c r="E137" s="17"/>
      <c r="F137" s="17"/>
      <c r="G137" s="4"/>
      <c r="H137"/>
    </row>
    <row r="138" spans="1:13" s="1" customFormat="1" ht="15" thickBot="1" x14ac:dyDescent="0.4">
      <c r="A138" s="79" t="s">
        <v>27</v>
      </c>
      <c r="B138" s="21">
        <f>B25-B136</f>
        <v>-123985.91027233284</v>
      </c>
      <c r="C138" s="21">
        <f>C25-C136</f>
        <v>-123985.91027233284</v>
      </c>
      <c r="D138" s="21">
        <f>D25-D136</f>
        <v>-550283.87571428623</v>
      </c>
      <c r="E138" s="21">
        <f>E25-E136</f>
        <v>-1308764.4085714286</v>
      </c>
      <c r="F138" s="21">
        <f>F25-F136</f>
        <v>68068.288105173968</v>
      </c>
      <c r="G138" s="21">
        <f>F138-E138</f>
        <v>1376832.6966766026</v>
      </c>
      <c r="M138" s="49"/>
    </row>
    <row r="139" spans="1:13" x14ac:dyDescent="0.35">
      <c r="A139" s="1"/>
      <c r="B139" s="22"/>
      <c r="C139" s="22"/>
      <c r="D139" s="22"/>
      <c r="E139" s="22"/>
      <c r="F139" s="22"/>
      <c r="G139" s="4"/>
      <c r="H139"/>
      <c r="M139" s="23"/>
    </row>
    <row r="140" spans="1:13" x14ac:dyDescent="0.35">
      <c r="A140" s="76" t="s">
        <v>3</v>
      </c>
      <c r="B140" s="18"/>
      <c r="C140" s="18"/>
      <c r="D140" s="18"/>
      <c r="E140" s="18"/>
      <c r="F140" s="18"/>
      <c r="H140" s="76"/>
      <c r="M140" s="23"/>
    </row>
    <row r="141" spans="1:13" x14ac:dyDescent="0.35">
      <c r="A141" s="24" t="s">
        <v>14</v>
      </c>
      <c r="B141" s="17">
        <v>150000</v>
      </c>
      <c r="C141" s="17">
        <v>150000</v>
      </c>
      <c r="D141" s="17">
        <v>244500</v>
      </c>
      <c r="E141" s="17">
        <v>244500</v>
      </c>
      <c r="F141" s="17">
        <v>244500</v>
      </c>
      <c r="G141" s="54">
        <f t="shared" ref="G141:G153" si="10">F141-E141</f>
        <v>0</v>
      </c>
      <c r="M141" s="23"/>
    </row>
    <row r="142" spans="1:13" x14ac:dyDescent="0.35">
      <c r="A142" s="24" t="s">
        <v>25</v>
      </c>
      <c r="B142" s="20">
        <v>300</v>
      </c>
      <c r="C142" s="20">
        <v>300</v>
      </c>
      <c r="D142" s="26">
        <v>6054</v>
      </c>
      <c r="E142" s="26">
        <v>6054</v>
      </c>
      <c r="F142" s="26">
        <v>6054</v>
      </c>
      <c r="G142" s="11">
        <f t="shared" si="10"/>
        <v>0</v>
      </c>
      <c r="H142"/>
      <c r="M142" s="23"/>
    </row>
    <row r="143" spans="1:13" x14ac:dyDescent="0.35">
      <c r="A143" s="142" t="s">
        <v>232</v>
      </c>
      <c r="B143" s="26">
        <v>0</v>
      </c>
      <c r="C143" s="26">
        <v>0</v>
      </c>
      <c r="D143" s="26">
        <v>130000</v>
      </c>
      <c r="E143" s="26">
        <v>130000</v>
      </c>
      <c r="F143" s="127" t="s">
        <v>260</v>
      </c>
      <c r="G143" s="197">
        <f>0-E143</f>
        <v>-130000</v>
      </c>
      <c r="H143"/>
    </row>
    <row r="144" spans="1:13" x14ac:dyDescent="0.35">
      <c r="A144" s="24" t="s">
        <v>229</v>
      </c>
      <c r="B144" s="20">
        <v>0</v>
      </c>
      <c r="C144" s="20">
        <v>0</v>
      </c>
      <c r="D144" s="50">
        <v>3266</v>
      </c>
      <c r="E144" s="50">
        <v>3266</v>
      </c>
      <c r="F144" s="50">
        <v>3266</v>
      </c>
      <c r="G144" s="11">
        <f t="shared" si="10"/>
        <v>0</v>
      </c>
      <c r="H144"/>
    </row>
    <row r="145" spans="1:8" ht="15" thickBot="1" x14ac:dyDescent="0.4">
      <c r="A145" s="53" t="s">
        <v>4</v>
      </c>
      <c r="B145" s="52">
        <v>150300</v>
      </c>
      <c r="C145" s="52">
        <f>SUM(C141:C144)</f>
        <v>150300</v>
      </c>
      <c r="D145" s="52">
        <f>SUM(D141:D144)</f>
        <v>383820</v>
      </c>
      <c r="E145" s="52">
        <f>SUM(E141:E144)</f>
        <v>383820</v>
      </c>
      <c r="F145" s="52">
        <f>SUM(F141:F144)</f>
        <v>253820</v>
      </c>
      <c r="G145" s="21">
        <f>F145-E145</f>
        <v>-130000</v>
      </c>
      <c r="H145"/>
    </row>
    <row r="146" spans="1:8" x14ac:dyDescent="0.35">
      <c r="A146" s="1"/>
      <c r="B146" s="22"/>
      <c r="C146" s="22"/>
      <c r="D146" s="22"/>
      <c r="E146" s="22"/>
      <c r="F146" s="22"/>
      <c r="G146" s="4"/>
      <c r="H146"/>
    </row>
    <row r="147" spans="1:8" x14ac:dyDescent="0.35">
      <c r="A147" s="1" t="s">
        <v>5</v>
      </c>
      <c r="B147" s="22">
        <v>-20785.91027233284</v>
      </c>
      <c r="C147" s="22">
        <f>+C138+C145</f>
        <v>26314.08972766716</v>
      </c>
      <c r="D147" s="22">
        <f>+D138+D145</f>
        <v>-166463.87571428623</v>
      </c>
      <c r="E147" s="22">
        <f>+E138+E145</f>
        <v>-924944.40857142862</v>
      </c>
      <c r="F147" s="22">
        <f>+F138+F145</f>
        <v>321888.28810517397</v>
      </c>
      <c r="G147" s="5">
        <f t="shared" si="10"/>
        <v>1246832.6966766026</v>
      </c>
      <c r="H147"/>
    </row>
    <row r="148" spans="1:8" x14ac:dyDescent="0.35">
      <c r="B148" s="17"/>
      <c r="C148" s="17"/>
      <c r="D148" s="17"/>
      <c r="E148" s="17"/>
      <c r="F148" s="17"/>
      <c r="G148" s="4"/>
      <c r="H148"/>
    </row>
    <row r="149" spans="1:8" x14ac:dyDescent="0.35">
      <c r="A149" t="s">
        <v>6</v>
      </c>
      <c r="B149" s="4">
        <v>5360460</v>
      </c>
      <c r="C149" s="4">
        <f>C25+C145</f>
        <v>5360460</v>
      </c>
      <c r="D149" s="4">
        <f>D25+D145</f>
        <v>7028940.9142857138</v>
      </c>
      <c r="E149" s="4">
        <f>E25+E145</f>
        <v>6533510.2857142854</v>
      </c>
      <c r="F149" s="4">
        <f>F25+F145</f>
        <v>7730408.5218095239</v>
      </c>
      <c r="G149" s="4">
        <f t="shared" si="10"/>
        <v>1196898.2360952385</v>
      </c>
      <c r="H149"/>
    </row>
    <row r="150" spans="1:8" x14ac:dyDescent="0.35">
      <c r="A150" t="s">
        <v>37</v>
      </c>
      <c r="B150" s="34">
        <f>B154-B149</f>
        <v>-26314.08972766716</v>
      </c>
      <c r="C150" s="34">
        <f>C154-C149</f>
        <v>-26314.08972766716</v>
      </c>
      <c r="D150" s="26">
        <f>D154-D149</f>
        <v>166463.87571428623</v>
      </c>
      <c r="E150" s="26">
        <f>E154-E149</f>
        <v>924944.40857142862</v>
      </c>
      <c r="F150" s="26">
        <f>F154-F149</f>
        <v>-321888.28810517397</v>
      </c>
      <c r="G150" s="4">
        <f t="shared" si="10"/>
        <v>-1246832.6966766026</v>
      </c>
      <c r="H150"/>
    </row>
    <row r="151" spans="1:8" ht="15" thickBot="1" x14ac:dyDescent="0.4">
      <c r="A151" s="53" t="s">
        <v>7</v>
      </c>
      <c r="B151" s="32">
        <v>6546359.9102723338</v>
      </c>
      <c r="C151" s="32">
        <f>C149+C150</f>
        <v>5334145.9102723328</v>
      </c>
      <c r="D151" s="32">
        <f>D149+D150</f>
        <v>7195404.79</v>
      </c>
      <c r="E151" s="32">
        <f>E149+E150</f>
        <v>7458454.6942857141</v>
      </c>
      <c r="F151" s="32">
        <f>F149+F150</f>
        <v>7408520.23370435</v>
      </c>
      <c r="G151" s="21">
        <f>F151-E151</f>
        <v>-49934.46058136411</v>
      </c>
      <c r="H151"/>
    </row>
    <row r="152" spans="1:8" x14ac:dyDescent="0.35">
      <c r="A152" s="39" t="s">
        <v>38</v>
      </c>
      <c r="C152" s="4"/>
      <c r="D152" s="4"/>
      <c r="E152" s="4"/>
      <c r="F152" s="4"/>
      <c r="G152" s="4"/>
      <c r="H152"/>
    </row>
    <row r="153" spans="1:8" x14ac:dyDescent="0.35">
      <c r="A153" s="24" t="s">
        <v>9</v>
      </c>
      <c r="B153" s="54">
        <f>B136</f>
        <v>5334145.9102723328</v>
      </c>
      <c r="C153" s="54">
        <f>C136</f>
        <v>5334145.9102723328</v>
      </c>
      <c r="D153" s="15">
        <f>D136</f>
        <v>7195404.79</v>
      </c>
      <c r="E153" s="15">
        <f>E136</f>
        <v>7458454.6942857141</v>
      </c>
      <c r="F153" s="15">
        <f>F136</f>
        <v>7408520.23370435</v>
      </c>
      <c r="G153" s="4">
        <f t="shared" si="10"/>
        <v>-49934.46058136411</v>
      </c>
      <c r="H153"/>
    </row>
    <row r="154" spans="1:8" ht="15" thickBot="1" x14ac:dyDescent="0.4">
      <c r="A154" s="53" t="s">
        <v>2</v>
      </c>
      <c r="B154" s="32">
        <f>SUM(B153:B153)</f>
        <v>5334145.9102723328</v>
      </c>
      <c r="C154" s="32">
        <f>SUM(C153:C153)</f>
        <v>5334145.9102723328</v>
      </c>
      <c r="D154" s="32">
        <f>SUM(D153:D153)</f>
        <v>7195404.79</v>
      </c>
      <c r="E154" s="32">
        <f>SUM(E153:E153)</f>
        <v>7458454.6942857141</v>
      </c>
      <c r="F154" s="32">
        <f>SUM(F153:F153)</f>
        <v>7408520.23370435</v>
      </c>
      <c r="G154" s="21">
        <f>F154-E154</f>
        <v>-49934.46058136411</v>
      </c>
      <c r="H154"/>
    </row>
    <row r="155" spans="1:8" x14ac:dyDescent="0.35">
      <c r="B155"/>
      <c r="H155"/>
    </row>
    <row r="156" spans="1:8" x14ac:dyDescent="0.35">
      <c r="B156"/>
    </row>
    <row r="157" spans="1:8" x14ac:dyDescent="0.35">
      <c r="B157"/>
    </row>
  </sheetData>
  <mergeCells count="1">
    <mergeCell ref="A1:H1"/>
  </mergeCells>
  <printOptions horizontalCentered="1"/>
  <pageMargins left="1" right="1" top="1" bottom="1" header="0.5" footer="0.5"/>
  <pageSetup scale="60" fitToHeight="0" orientation="portrait" r:id="rId1"/>
  <headerFooter>
    <oddHeader>&amp;C&amp;20Northern Utah Environmental Resource Agency
Bayview Budget 2025</oddHeader>
  </headerFooter>
  <rowBreaks count="1" manualBreakCount="1">
    <brk id="89" max="7" man="1"/>
  </rowBreaks>
  <ignoredErrors>
    <ignoredError sqref="G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359F-C78F-4149-8B16-F6D5261E006F}">
  <sheetPr>
    <tabColor rgb="FFFFFF00"/>
    <outlinePr summaryBelow="0"/>
    <pageSetUpPr fitToPage="1"/>
  </sheetPr>
  <dimension ref="A1:N164"/>
  <sheetViews>
    <sheetView tabSelected="1" zoomScale="94" zoomScaleNormal="11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26" sqref="I26"/>
    </sheetView>
  </sheetViews>
  <sheetFormatPr defaultRowHeight="14.5" x14ac:dyDescent="0.35"/>
  <cols>
    <col min="1" max="1" width="50.453125" customWidth="1"/>
    <col min="2" max="2" width="21.26953125" style="4" hidden="1" customWidth="1"/>
    <col min="3" max="3" width="21.26953125" hidden="1" customWidth="1"/>
    <col min="4" max="7" width="18.26953125" customWidth="1"/>
    <col min="8" max="8" width="7.26953125" style="198" bestFit="1" customWidth="1"/>
    <col min="9" max="9" width="62.36328125" style="3" bestFit="1" customWidth="1"/>
    <col min="10" max="10" width="3.7265625" customWidth="1"/>
    <col min="11" max="11" width="13.26953125" bestFit="1" customWidth="1"/>
    <col min="12" max="12" width="12.26953125" bestFit="1" customWidth="1"/>
    <col min="15" max="15" width="12.26953125" bestFit="1" customWidth="1"/>
    <col min="17" max="17" width="12.26953125" bestFit="1" customWidth="1"/>
  </cols>
  <sheetData>
    <row r="1" spans="1:11" ht="29.25" customHeight="1" thickBot="1" x14ac:dyDescent="0.4">
      <c r="A1" s="228"/>
      <c r="B1" s="228"/>
      <c r="C1" s="228"/>
      <c r="D1" s="228"/>
      <c r="E1" s="228"/>
      <c r="F1" s="228"/>
      <c r="G1" s="228"/>
      <c r="H1" s="228"/>
      <c r="I1" s="228"/>
    </row>
    <row r="2" spans="1:11" ht="29.25" customHeight="1" thickBot="1" x14ac:dyDescent="0.4">
      <c r="A2" s="1"/>
      <c r="B2" s="35" t="s">
        <v>212</v>
      </c>
      <c r="C2" s="35" t="s">
        <v>231</v>
      </c>
      <c r="D2" s="35" t="s">
        <v>230</v>
      </c>
      <c r="E2" s="35" t="s">
        <v>228</v>
      </c>
      <c r="F2" s="35" t="s">
        <v>234</v>
      </c>
      <c r="G2" s="126" t="s">
        <v>242</v>
      </c>
      <c r="H2" s="212" t="s">
        <v>319</v>
      </c>
      <c r="I2" s="35" t="s">
        <v>191</v>
      </c>
    </row>
    <row r="3" spans="1:11" ht="15.5" x14ac:dyDescent="0.35">
      <c r="A3" s="1" t="s">
        <v>0</v>
      </c>
      <c r="B3" s="40" t="s">
        <v>243</v>
      </c>
      <c r="C3" s="40" t="s">
        <v>243</v>
      </c>
      <c r="D3" s="40"/>
      <c r="E3" s="40"/>
      <c r="G3" s="144"/>
      <c r="H3" s="213"/>
      <c r="I3"/>
      <c r="K3" s="149" t="s">
        <v>235</v>
      </c>
    </row>
    <row r="4" spans="1:11" x14ac:dyDescent="0.35">
      <c r="A4" s="204" t="s">
        <v>256</v>
      </c>
      <c r="B4" s="205">
        <v>4640160</v>
      </c>
      <c r="C4" s="205">
        <v>4640160</v>
      </c>
      <c r="D4" s="47">
        <v>5201700</v>
      </c>
      <c r="E4" s="47">
        <v>5137000</v>
      </c>
      <c r="F4" s="47">
        <f>SUM(F5:F8)</f>
        <v>6178800.5</v>
      </c>
      <c r="G4" s="65">
        <f>F4-E4</f>
        <v>1041800.5</v>
      </c>
      <c r="H4" s="213"/>
      <c r="I4"/>
      <c r="K4" s="139" t="s">
        <v>143</v>
      </c>
    </row>
    <row r="5" spans="1:11" x14ac:dyDescent="0.35">
      <c r="A5" s="184" t="s">
        <v>307</v>
      </c>
      <c r="B5" s="15"/>
      <c r="C5" s="15"/>
      <c r="D5" s="40" t="s">
        <v>243</v>
      </c>
      <c r="E5" s="40" t="s">
        <v>243</v>
      </c>
      <c r="F5" s="55">
        <f>Tonnage!G15*Fees!E3</f>
        <v>1909000</v>
      </c>
      <c r="G5" s="144" t="s">
        <v>224</v>
      </c>
      <c r="H5" s="213"/>
      <c r="I5"/>
      <c r="K5" s="140" t="s">
        <v>160</v>
      </c>
    </row>
    <row r="6" spans="1:11" x14ac:dyDescent="0.35">
      <c r="A6" s="184" t="s">
        <v>43</v>
      </c>
      <c r="B6" s="15"/>
      <c r="C6" s="15"/>
      <c r="D6" s="40" t="s">
        <v>243</v>
      </c>
      <c r="E6" s="40" t="s">
        <v>243</v>
      </c>
      <c r="F6" s="55">
        <f>Tonnage!G20*Fees!E3</f>
        <v>2846250</v>
      </c>
      <c r="G6" s="144" t="s">
        <v>224</v>
      </c>
      <c r="H6" s="213"/>
      <c r="I6"/>
      <c r="K6" s="141" t="s">
        <v>245</v>
      </c>
    </row>
    <row r="7" spans="1:11" x14ac:dyDescent="0.35">
      <c r="A7" s="184" t="s">
        <v>308</v>
      </c>
      <c r="B7" s="15"/>
      <c r="C7" s="15"/>
      <c r="D7" s="40" t="s">
        <v>243</v>
      </c>
      <c r="E7" s="40" t="s">
        <v>243</v>
      </c>
      <c r="F7" s="55">
        <f>Tonnage!G10*Fees!E3</f>
        <v>0</v>
      </c>
      <c r="G7" s="144" t="s">
        <v>224</v>
      </c>
      <c r="H7" s="213"/>
      <c r="I7"/>
      <c r="K7" s="102" t="s">
        <v>236</v>
      </c>
    </row>
    <row r="8" spans="1:11" x14ac:dyDescent="0.35">
      <c r="A8" s="184" t="s">
        <v>233</v>
      </c>
      <c r="B8" s="15"/>
      <c r="C8" s="15"/>
      <c r="D8" s="40" t="s">
        <v>243</v>
      </c>
      <c r="E8" s="40" t="s">
        <v>243</v>
      </c>
      <c r="F8" s="55">
        <f>Fees!E3*Tonnage!G5</f>
        <v>1423550.5</v>
      </c>
      <c r="G8" s="144" t="s">
        <v>224</v>
      </c>
      <c r="H8" s="213"/>
      <c r="I8"/>
    </row>
    <row r="9" spans="1:11" x14ac:dyDescent="0.35">
      <c r="A9" s="206" t="s">
        <v>15</v>
      </c>
      <c r="B9" s="207">
        <v>570000</v>
      </c>
      <c r="C9" s="207">
        <v>570000</v>
      </c>
      <c r="D9" s="47">
        <v>855000</v>
      </c>
      <c r="E9" s="47">
        <v>722000</v>
      </c>
      <c r="F9" s="47">
        <f>SUM(F10:F13)</f>
        <v>627000</v>
      </c>
      <c r="G9" s="65">
        <f>F9-E9</f>
        <v>-95000</v>
      </c>
      <c r="H9" s="214"/>
      <c r="I9"/>
    </row>
    <row r="10" spans="1:11" x14ac:dyDescent="0.35">
      <c r="A10" s="184" t="s">
        <v>307</v>
      </c>
      <c r="B10" s="16"/>
      <c r="C10" s="16"/>
      <c r="D10" s="40" t="s">
        <v>243</v>
      </c>
      <c r="E10" s="40" t="s">
        <v>243</v>
      </c>
      <c r="F10" s="55">
        <f>Tonnage!G16*Fees!E4</f>
        <v>76000</v>
      </c>
      <c r="G10" s="144" t="s">
        <v>224</v>
      </c>
      <c r="H10" s="213"/>
      <c r="I10"/>
    </row>
    <row r="11" spans="1:11" x14ac:dyDescent="0.35">
      <c r="A11" s="184" t="s">
        <v>43</v>
      </c>
      <c r="B11" s="16"/>
      <c r="C11" s="16"/>
      <c r="D11" s="40" t="s">
        <v>243</v>
      </c>
      <c r="E11" s="40" t="s">
        <v>243</v>
      </c>
      <c r="F11" s="55">
        <f>Tonnage!G21*Fees!E4</f>
        <v>228000</v>
      </c>
      <c r="G11" s="144" t="s">
        <v>224</v>
      </c>
      <c r="H11" s="213"/>
      <c r="I11"/>
    </row>
    <row r="12" spans="1:11" x14ac:dyDescent="0.35">
      <c r="A12" s="184" t="s">
        <v>308</v>
      </c>
      <c r="B12" s="16"/>
      <c r="C12" s="16"/>
      <c r="D12" s="40" t="s">
        <v>243</v>
      </c>
      <c r="E12" s="40" t="s">
        <v>243</v>
      </c>
      <c r="F12" s="55">
        <f>Tonnage!G11*Fees!E4</f>
        <v>323000</v>
      </c>
      <c r="G12" s="144" t="s">
        <v>224</v>
      </c>
      <c r="H12" s="213"/>
      <c r="I12"/>
    </row>
    <row r="13" spans="1:11" x14ac:dyDescent="0.35">
      <c r="A13" s="184" t="s">
        <v>233</v>
      </c>
      <c r="B13" s="16"/>
      <c r="C13" s="16"/>
      <c r="D13" s="40" t="s">
        <v>243</v>
      </c>
      <c r="E13" s="40" t="s">
        <v>243</v>
      </c>
      <c r="F13" s="55">
        <v>0</v>
      </c>
      <c r="G13" s="144" t="s">
        <v>224</v>
      </c>
      <c r="H13" s="213"/>
      <c r="I13"/>
    </row>
    <row r="14" spans="1:11" x14ac:dyDescent="0.35">
      <c r="A14" s="206" t="s">
        <v>53</v>
      </c>
      <c r="B14" s="207">
        <v>0</v>
      </c>
      <c r="C14" s="207">
        <v>0</v>
      </c>
      <c r="D14" s="47">
        <v>281250</v>
      </c>
      <c r="E14" s="47">
        <v>41250</v>
      </c>
      <c r="F14" s="47">
        <f>SUM(F15:F18)</f>
        <v>162500</v>
      </c>
      <c r="G14" s="65">
        <f t="shared" ref="G14:G19" si="0">F14-E14</f>
        <v>121250</v>
      </c>
      <c r="H14" s="214"/>
      <c r="I14"/>
    </row>
    <row r="15" spans="1:11" x14ac:dyDescent="0.35">
      <c r="A15" s="184" t="s">
        <v>307</v>
      </c>
      <c r="B15" s="16"/>
      <c r="C15" s="16"/>
      <c r="D15" s="40" t="s">
        <v>243</v>
      </c>
      <c r="E15" s="40" t="s">
        <v>243</v>
      </c>
      <c r="F15" s="55">
        <f>Tonnage!G17*Fees!E5</f>
        <v>112500</v>
      </c>
      <c r="G15" s="144" t="s">
        <v>224</v>
      </c>
      <c r="H15" s="213"/>
      <c r="I15"/>
    </row>
    <row r="16" spans="1:11" x14ac:dyDescent="0.35">
      <c r="A16" s="184" t="s">
        <v>43</v>
      </c>
      <c r="B16" s="16"/>
      <c r="C16" s="16"/>
      <c r="D16" s="40" t="s">
        <v>243</v>
      </c>
      <c r="E16" s="40" t="s">
        <v>243</v>
      </c>
      <c r="F16" s="55">
        <f>Tonnage!G22*Fees!E5</f>
        <v>50000</v>
      </c>
      <c r="G16" s="144" t="s">
        <v>224</v>
      </c>
      <c r="H16" s="213"/>
      <c r="I16"/>
    </row>
    <row r="17" spans="1:9" x14ac:dyDescent="0.35">
      <c r="A17" s="184" t="s">
        <v>308</v>
      </c>
      <c r="B17" s="16"/>
      <c r="C17" s="16"/>
      <c r="D17" s="40" t="s">
        <v>243</v>
      </c>
      <c r="E17" s="40" t="s">
        <v>243</v>
      </c>
      <c r="F17" s="55">
        <v>0</v>
      </c>
      <c r="G17" s="144" t="s">
        <v>224</v>
      </c>
      <c r="H17" s="213"/>
      <c r="I17"/>
    </row>
    <row r="18" spans="1:9" x14ac:dyDescent="0.35">
      <c r="A18" s="184" t="s">
        <v>233</v>
      </c>
      <c r="B18" s="16"/>
      <c r="C18" s="16"/>
      <c r="D18" s="40" t="s">
        <v>243</v>
      </c>
      <c r="E18" s="40" t="s">
        <v>243</v>
      </c>
      <c r="F18" s="55">
        <v>0</v>
      </c>
      <c r="G18" s="144" t="s">
        <v>224</v>
      </c>
      <c r="H18" s="213"/>
      <c r="I18"/>
    </row>
    <row r="19" spans="1:9" x14ac:dyDescent="0.35">
      <c r="A19" s="206" t="s">
        <v>41</v>
      </c>
      <c r="B19" s="207">
        <v>0</v>
      </c>
      <c r="C19" s="207">
        <v>0</v>
      </c>
      <c r="D19" s="47">
        <v>307170.91428571427</v>
      </c>
      <c r="E19" s="47">
        <v>249440.28571428571</v>
      </c>
      <c r="F19" s="47">
        <f>Fees!E12</f>
        <v>328288.02180952381</v>
      </c>
      <c r="G19" s="65">
        <f t="shared" si="0"/>
        <v>78847.736095238099</v>
      </c>
      <c r="H19" s="214"/>
      <c r="I19"/>
    </row>
    <row r="20" spans="1:9" x14ac:dyDescent="0.35">
      <c r="A20" s="208" t="s">
        <v>244</v>
      </c>
      <c r="B20" s="207"/>
      <c r="C20" s="207"/>
      <c r="D20" s="209" t="s">
        <v>243</v>
      </c>
      <c r="E20" s="209" t="s">
        <v>243</v>
      </c>
      <c r="F20" s="47">
        <v>180000</v>
      </c>
      <c r="G20" s="65">
        <f>F20-0</f>
        <v>180000</v>
      </c>
      <c r="H20" s="214"/>
      <c r="I20"/>
    </row>
    <row r="21" spans="1:9" x14ac:dyDescent="0.35">
      <c r="A21" s="80" t="s">
        <v>1</v>
      </c>
      <c r="B21" s="78">
        <f>SUM(B4:B19)</f>
        <v>5210160</v>
      </c>
      <c r="C21" s="78">
        <f>SUM(C4:C19)</f>
        <v>5210160</v>
      </c>
      <c r="D21" s="78">
        <f>SUM(D4:D20)</f>
        <v>6645120.9142857138</v>
      </c>
      <c r="E21" s="78">
        <f>SUM(E4:E20)</f>
        <v>6149690.2857142854</v>
      </c>
      <c r="F21" s="78">
        <f>F4+F9+F14+F19+F20</f>
        <v>7476588.5218095239</v>
      </c>
      <c r="G21" s="78">
        <f>F21-E21</f>
        <v>1326898.2360952385</v>
      </c>
      <c r="H21" s="214"/>
      <c r="I21"/>
    </row>
    <row r="22" spans="1:9" x14ac:dyDescent="0.35">
      <c r="B22" s="18"/>
      <c r="C22" s="18"/>
      <c r="D22" s="18"/>
      <c r="E22" s="18"/>
      <c r="F22" s="18"/>
      <c r="I22"/>
    </row>
    <row r="23" spans="1:9" x14ac:dyDescent="0.35">
      <c r="A23" s="2" t="s">
        <v>8</v>
      </c>
      <c r="B23" s="18"/>
      <c r="C23" s="18"/>
      <c r="D23" s="18"/>
      <c r="E23" s="18"/>
      <c r="F23" s="18"/>
      <c r="I23"/>
    </row>
    <row r="24" spans="1:9" s="1" customFormat="1" x14ac:dyDescent="0.35">
      <c r="A24" s="64" t="s">
        <v>10</v>
      </c>
      <c r="B24" s="46">
        <f t="shared" ref="B24:C24" si="1">SUM(B25:B38)</f>
        <v>1497177.9102723326</v>
      </c>
      <c r="C24" s="46">
        <f t="shared" si="1"/>
        <v>1497177.9102723326</v>
      </c>
      <c r="D24" s="46">
        <f>SUM(D25:D38)</f>
        <v>2268096.6999999997</v>
      </c>
      <c r="E24" s="46">
        <f>SUM(E25:E38)</f>
        <v>2268096.6999999997</v>
      </c>
      <c r="F24" s="46">
        <f>SUM(F25:F38)-200000</f>
        <v>2460517.1799999997</v>
      </c>
      <c r="G24" s="65">
        <f>F24-E24</f>
        <v>192420.47999999998</v>
      </c>
      <c r="H24" s="219">
        <f>F24/$F$21</f>
        <v>0.32909624126332049</v>
      </c>
      <c r="I24" s="199"/>
    </row>
    <row r="25" spans="1:9" x14ac:dyDescent="0.35">
      <c r="A25" s="24" t="s">
        <v>73</v>
      </c>
      <c r="B25" s="20">
        <v>870036.4261880524</v>
      </c>
      <c r="C25" s="20">
        <v>870036.4261880524</v>
      </c>
      <c r="D25" s="13">
        <v>1243401.3999999999</v>
      </c>
      <c r="E25" s="13">
        <v>1243401.3999999999</v>
      </c>
      <c r="F25" s="13">
        <v>1352082.02</v>
      </c>
      <c r="G25" s="13">
        <f>F25-E25</f>
        <v>108680.62000000011</v>
      </c>
      <c r="H25" s="215"/>
      <c r="I25" t="s">
        <v>317</v>
      </c>
    </row>
    <row r="26" spans="1:9" x14ac:dyDescent="0.35">
      <c r="A26" s="24" t="s">
        <v>74</v>
      </c>
      <c r="B26" s="20">
        <v>68122.077423963696</v>
      </c>
      <c r="C26" s="20">
        <v>68122.077423963696</v>
      </c>
      <c r="D26" s="13">
        <v>97503.38</v>
      </c>
      <c r="E26" s="13">
        <v>97503.38</v>
      </c>
      <c r="F26" s="13">
        <v>106072.94</v>
      </c>
      <c r="G26" s="11">
        <f t="shared" ref="G26:G100" si="2">F26-E26</f>
        <v>8569.5599999999977</v>
      </c>
      <c r="I26"/>
    </row>
    <row r="27" spans="1:9" x14ac:dyDescent="0.35">
      <c r="A27" s="24" t="s">
        <v>75</v>
      </c>
      <c r="B27" s="20">
        <v>187102.11139672401</v>
      </c>
      <c r="C27" s="20">
        <v>187102.11139672401</v>
      </c>
      <c r="D27" s="26">
        <v>265944.64</v>
      </c>
      <c r="E27" s="26">
        <v>265944.64</v>
      </c>
      <c r="F27" s="26">
        <v>257055.51</v>
      </c>
      <c r="G27" s="11">
        <f t="shared" si="2"/>
        <v>-8889.1300000000047</v>
      </c>
      <c r="I27"/>
    </row>
    <row r="28" spans="1:9" x14ac:dyDescent="0.35">
      <c r="A28" s="24" t="s">
        <v>76</v>
      </c>
      <c r="B28" s="20">
        <v>60463.909242969079</v>
      </c>
      <c r="C28" s="20">
        <v>60463.909242969079</v>
      </c>
      <c r="D28" s="26">
        <v>86542.21</v>
      </c>
      <c r="E28" s="26">
        <v>86542.21</v>
      </c>
      <c r="F28" s="26">
        <v>94148.4</v>
      </c>
      <c r="G28" s="11">
        <f t="shared" si="2"/>
        <v>7606.1899999999878</v>
      </c>
      <c r="I28"/>
    </row>
    <row r="29" spans="1:9" x14ac:dyDescent="0.35">
      <c r="A29" s="24" t="s">
        <v>77</v>
      </c>
      <c r="B29" s="20">
        <v>228087.24000000011</v>
      </c>
      <c r="C29" s="20">
        <v>228087.24000000011</v>
      </c>
      <c r="D29" s="26">
        <v>408949.56</v>
      </c>
      <c r="E29" s="26">
        <v>408949.56</v>
      </c>
      <c r="F29" s="26">
        <v>564789.96</v>
      </c>
      <c r="G29" s="11">
        <f t="shared" si="2"/>
        <v>155840.39999999997</v>
      </c>
      <c r="I29"/>
    </row>
    <row r="30" spans="1:9" x14ac:dyDescent="0.35">
      <c r="A30" s="24" t="s">
        <v>78</v>
      </c>
      <c r="B30" s="20">
        <v>16500</v>
      </c>
      <c r="C30" s="20">
        <v>16500</v>
      </c>
      <c r="D30" s="26">
        <v>24750</v>
      </c>
      <c r="E30" s="26">
        <v>24750</v>
      </c>
      <c r="F30" s="26">
        <v>36750</v>
      </c>
      <c r="G30" s="11">
        <f t="shared" si="2"/>
        <v>12000</v>
      </c>
      <c r="I30"/>
    </row>
    <row r="31" spans="1:9" x14ac:dyDescent="0.35">
      <c r="A31" s="184" t="s">
        <v>264</v>
      </c>
      <c r="B31" s="20"/>
      <c r="C31" s="20"/>
      <c r="D31" s="127" t="s">
        <v>243</v>
      </c>
      <c r="E31" s="127" t="s">
        <v>243</v>
      </c>
      <c r="F31" s="26">
        <v>21000</v>
      </c>
      <c r="G31" s="197" t="s">
        <v>224</v>
      </c>
      <c r="H31" s="213"/>
      <c r="I31"/>
    </row>
    <row r="32" spans="1:9" x14ac:dyDescent="0.35">
      <c r="A32" s="24" t="s">
        <v>79</v>
      </c>
      <c r="B32" s="20">
        <v>3542.5</v>
      </c>
      <c r="C32" s="20">
        <v>3542.5</v>
      </c>
      <c r="D32" s="26">
        <v>5995</v>
      </c>
      <c r="E32" s="26">
        <v>5995</v>
      </c>
      <c r="F32" s="26">
        <v>12285</v>
      </c>
      <c r="G32" s="11">
        <f t="shared" si="2"/>
        <v>6290</v>
      </c>
      <c r="I32"/>
    </row>
    <row r="33" spans="1:11" x14ac:dyDescent="0.35">
      <c r="A33" s="24" t="s">
        <v>80</v>
      </c>
      <c r="B33" s="20">
        <v>2400</v>
      </c>
      <c r="C33" s="20">
        <v>2400</v>
      </c>
      <c r="D33" s="26">
        <v>4400</v>
      </c>
      <c r="E33" s="26">
        <v>4400</v>
      </c>
      <c r="F33" s="26">
        <v>1547.34</v>
      </c>
      <c r="G33" s="11">
        <f t="shared" si="2"/>
        <v>-2852.66</v>
      </c>
      <c r="I33"/>
    </row>
    <row r="34" spans="1:11" x14ac:dyDescent="0.35">
      <c r="A34" s="24" t="s">
        <v>81</v>
      </c>
      <c r="B34" s="20">
        <v>7359</v>
      </c>
      <c r="C34" s="20">
        <v>7359</v>
      </c>
      <c r="D34" s="26">
        <v>12812</v>
      </c>
      <c r="E34" s="26">
        <v>12812</v>
      </c>
      <c r="F34" s="26">
        <v>14250</v>
      </c>
      <c r="G34" s="11">
        <f t="shared" si="2"/>
        <v>1438</v>
      </c>
      <c r="I34"/>
    </row>
    <row r="35" spans="1:11" x14ac:dyDescent="0.35">
      <c r="A35" s="24" t="s">
        <v>82</v>
      </c>
      <c r="B35" s="20">
        <v>3116.4</v>
      </c>
      <c r="C35" s="20">
        <v>3116.4</v>
      </c>
      <c r="D35" s="26">
        <v>5145.96</v>
      </c>
      <c r="E35" s="26">
        <v>5145.96</v>
      </c>
      <c r="F35" s="26">
        <v>6543.63</v>
      </c>
      <c r="G35" s="11">
        <f t="shared" si="2"/>
        <v>1397.67</v>
      </c>
      <c r="I35"/>
    </row>
    <row r="36" spans="1:11" x14ac:dyDescent="0.35">
      <c r="A36" s="24" t="s">
        <v>83</v>
      </c>
      <c r="B36" s="20">
        <v>30000</v>
      </c>
      <c r="C36" s="20">
        <v>30000</v>
      </c>
      <c r="D36" s="26">
        <v>71500</v>
      </c>
      <c r="E36" s="26">
        <v>71500</v>
      </c>
      <c r="F36" s="26">
        <v>147500</v>
      </c>
      <c r="G36" s="11">
        <f t="shared" si="2"/>
        <v>76000</v>
      </c>
      <c r="I36" t="s">
        <v>318</v>
      </c>
    </row>
    <row r="37" spans="1:11" ht="15" customHeight="1" x14ac:dyDescent="0.35">
      <c r="A37" s="24" t="s">
        <v>84</v>
      </c>
      <c r="B37" s="20">
        <v>20448.246020623203</v>
      </c>
      <c r="C37" s="20">
        <v>20448.246020623203</v>
      </c>
      <c r="D37" s="26">
        <v>31152.55</v>
      </c>
      <c r="E37" s="26">
        <v>31152.55</v>
      </c>
      <c r="F37" s="26">
        <v>34492.379999999997</v>
      </c>
      <c r="G37" s="11">
        <f t="shared" si="2"/>
        <v>3339.8299999999981</v>
      </c>
      <c r="I37"/>
    </row>
    <row r="38" spans="1:11" ht="15" customHeight="1" x14ac:dyDescent="0.35">
      <c r="A38" s="191" t="s">
        <v>273</v>
      </c>
      <c r="B38" s="44" t="s">
        <v>143</v>
      </c>
      <c r="C38" s="44" t="s">
        <v>143</v>
      </c>
      <c r="D38" s="26">
        <v>10000</v>
      </c>
      <c r="E38" s="26">
        <v>10000</v>
      </c>
      <c r="F38" s="26">
        <v>12000</v>
      </c>
      <c r="G38" s="11">
        <f t="shared" si="2"/>
        <v>2000</v>
      </c>
      <c r="I38"/>
    </row>
    <row r="39" spans="1:11" s="1" customFormat="1" x14ac:dyDescent="0.35">
      <c r="A39" s="64" t="s">
        <v>123</v>
      </c>
      <c r="B39" s="46">
        <f>SUM(B40:B58)</f>
        <v>111025</v>
      </c>
      <c r="C39" s="46">
        <f>SUM(C40:C58)</f>
        <v>111025</v>
      </c>
      <c r="D39" s="46">
        <f>SUM(D40:D58)</f>
        <v>206750</v>
      </c>
      <c r="E39" s="46">
        <f>SUM(E40:E58)</f>
        <v>226750</v>
      </c>
      <c r="F39" s="46">
        <f>SUM(F40:F58)</f>
        <v>275250</v>
      </c>
      <c r="G39" s="65">
        <f>F39-E39</f>
        <v>48500</v>
      </c>
      <c r="H39" s="219">
        <f>F39/$F$21</f>
        <v>3.6814918889421844E-2</v>
      </c>
      <c r="I39" s="198"/>
      <c r="K39"/>
    </row>
    <row r="40" spans="1:11" x14ac:dyDescent="0.35">
      <c r="A40" s="125" t="s">
        <v>124</v>
      </c>
      <c r="B40" s="26">
        <v>3600</v>
      </c>
      <c r="C40" s="26">
        <v>3600</v>
      </c>
      <c r="D40" s="26">
        <v>9000</v>
      </c>
      <c r="E40" s="26">
        <v>9000</v>
      </c>
      <c r="F40" s="26">
        <v>15000</v>
      </c>
      <c r="G40" s="11">
        <f>F40-E40</f>
        <v>6000</v>
      </c>
      <c r="I40"/>
      <c r="K40" s="3"/>
    </row>
    <row r="41" spans="1:11" x14ac:dyDescent="0.35">
      <c r="A41" s="189" t="s">
        <v>265</v>
      </c>
      <c r="B41" s="26"/>
      <c r="C41" s="26"/>
      <c r="D41" s="127" t="s">
        <v>243</v>
      </c>
      <c r="E41" s="127" t="s">
        <v>243</v>
      </c>
      <c r="F41" s="26">
        <v>20000</v>
      </c>
      <c r="G41" s="11">
        <f>F41-0</f>
        <v>20000</v>
      </c>
      <c r="I41"/>
    </row>
    <row r="42" spans="1:11" x14ac:dyDescent="0.35">
      <c r="A42" s="189" t="s">
        <v>311</v>
      </c>
      <c r="B42" s="26"/>
      <c r="C42" s="26"/>
      <c r="D42" s="127" t="s">
        <v>243</v>
      </c>
      <c r="E42" s="127" t="s">
        <v>243</v>
      </c>
      <c r="F42" s="26">
        <v>10000</v>
      </c>
      <c r="G42" s="11">
        <f>F42-0</f>
        <v>10000</v>
      </c>
      <c r="I42"/>
    </row>
    <row r="43" spans="1:11" s="71" customFormat="1" x14ac:dyDescent="0.35">
      <c r="A43" s="106" t="s">
        <v>153</v>
      </c>
      <c r="B43" s="44" t="s">
        <v>143</v>
      </c>
      <c r="C43" s="44" t="s">
        <v>143</v>
      </c>
      <c r="D43" s="26">
        <v>10000</v>
      </c>
      <c r="E43" s="26">
        <v>10000</v>
      </c>
      <c r="F43" s="26">
        <v>15000</v>
      </c>
      <c r="G43" s="11">
        <f t="shared" ref="G43:G58" si="3">F43-E43</f>
        <v>5000</v>
      </c>
      <c r="H43" s="198"/>
      <c r="I43"/>
    </row>
    <row r="44" spans="1:11" x14ac:dyDescent="0.35">
      <c r="A44" s="125" t="s">
        <v>125</v>
      </c>
      <c r="B44" s="26">
        <v>675</v>
      </c>
      <c r="C44" s="26">
        <v>675</v>
      </c>
      <c r="D44" s="26">
        <v>2000</v>
      </c>
      <c r="E44" s="26">
        <v>2000</v>
      </c>
      <c r="F44" s="26">
        <v>5000</v>
      </c>
      <c r="G44" s="11">
        <f t="shared" si="3"/>
        <v>3000</v>
      </c>
      <c r="I44"/>
    </row>
    <row r="45" spans="1:11" x14ac:dyDescent="0.35">
      <c r="A45" s="125" t="s">
        <v>126</v>
      </c>
      <c r="B45" s="26">
        <v>2100</v>
      </c>
      <c r="C45" s="26">
        <v>2100</v>
      </c>
      <c r="D45" s="26">
        <v>17000</v>
      </c>
      <c r="E45" s="26">
        <v>17000</v>
      </c>
      <c r="F45" s="26">
        <v>10000</v>
      </c>
      <c r="G45" s="11">
        <f t="shared" si="3"/>
        <v>-7000</v>
      </c>
      <c r="I45"/>
    </row>
    <row r="46" spans="1:11" x14ac:dyDescent="0.35">
      <c r="A46" s="125" t="s">
        <v>127</v>
      </c>
      <c r="B46" s="26">
        <v>1000</v>
      </c>
      <c r="C46" s="26">
        <v>1000</v>
      </c>
      <c r="D46" s="26">
        <v>1000</v>
      </c>
      <c r="E46" s="26">
        <v>1000</v>
      </c>
      <c r="F46" s="26">
        <v>1000</v>
      </c>
      <c r="G46" s="11">
        <f t="shared" si="3"/>
        <v>0</v>
      </c>
      <c r="I46"/>
    </row>
    <row r="47" spans="1:11" x14ac:dyDescent="0.35">
      <c r="A47" s="125" t="s">
        <v>137</v>
      </c>
      <c r="B47" s="26">
        <v>750</v>
      </c>
      <c r="C47" s="26">
        <v>750</v>
      </c>
      <c r="D47" s="26">
        <v>750</v>
      </c>
      <c r="E47" s="26">
        <v>750</v>
      </c>
      <c r="F47" s="26">
        <v>750</v>
      </c>
      <c r="G47" s="11">
        <f t="shared" si="3"/>
        <v>0</v>
      </c>
      <c r="I47"/>
    </row>
    <row r="48" spans="1:11" x14ac:dyDescent="0.35">
      <c r="A48" s="191" t="s">
        <v>309</v>
      </c>
      <c r="B48" s="26">
        <v>10000</v>
      </c>
      <c r="C48" s="26">
        <v>10000</v>
      </c>
      <c r="D48" s="26">
        <v>10000</v>
      </c>
      <c r="E48" s="26">
        <v>10000</v>
      </c>
      <c r="F48" s="26">
        <v>5000</v>
      </c>
      <c r="G48" s="11">
        <f t="shared" si="3"/>
        <v>-5000</v>
      </c>
      <c r="I48"/>
    </row>
    <row r="49" spans="1:9" x14ac:dyDescent="0.35">
      <c r="A49" s="125" t="s">
        <v>140</v>
      </c>
      <c r="B49" s="26">
        <v>15000</v>
      </c>
      <c r="C49" s="26">
        <v>15000</v>
      </c>
      <c r="D49" s="26">
        <v>15000</v>
      </c>
      <c r="E49" s="26">
        <v>15000</v>
      </c>
      <c r="F49" s="127" t="s">
        <v>260</v>
      </c>
      <c r="G49" s="11">
        <f>0-E49</f>
        <v>-15000</v>
      </c>
      <c r="I49"/>
    </row>
    <row r="50" spans="1:9" x14ac:dyDescent="0.35">
      <c r="A50" s="125" t="s">
        <v>310</v>
      </c>
      <c r="B50" s="26">
        <v>26000</v>
      </c>
      <c r="C50" s="26">
        <v>26000</v>
      </c>
      <c r="D50" s="26">
        <v>26000</v>
      </c>
      <c r="E50" s="26">
        <v>26000</v>
      </c>
      <c r="F50" s="26">
        <v>40000</v>
      </c>
      <c r="G50" s="11">
        <f t="shared" si="3"/>
        <v>14000</v>
      </c>
      <c r="I50" t="s">
        <v>315</v>
      </c>
    </row>
    <row r="51" spans="1:9" x14ac:dyDescent="0.35">
      <c r="A51" s="125" t="s">
        <v>130</v>
      </c>
      <c r="B51" s="26">
        <v>7500</v>
      </c>
      <c r="C51" s="26">
        <v>7500</v>
      </c>
      <c r="D51" s="26">
        <v>10000</v>
      </c>
      <c r="E51" s="26">
        <v>10000</v>
      </c>
      <c r="F51" s="26">
        <v>10000</v>
      </c>
      <c r="G51" s="11">
        <f t="shared" si="3"/>
        <v>0</v>
      </c>
      <c r="I51"/>
    </row>
    <row r="52" spans="1:9" x14ac:dyDescent="0.35">
      <c r="A52" s="125" t="s">
        <v>131</v>
      </c>
      <c r="B52" s="26">
        <v>5200</v>
      </c>
      <c r="C52" s="26">
        <v>5200</v>
      </c>
      <c r="D52" s="26">
        <v>20000</v>
      </c>
      <c r="E52" s="26">
        <v>20000</v>
      </c>
      <c r="F52" s="26">
        <v>25000</v>
      </c>
      <c r="G52" s="11">
        <f t="shared" si="3"/>
        <v>5000</v>
      </c>
      <c r="I52"/>
    </row>
    <row r="53" spans="1:9" x14ac:dyDescent="0.35">
      <c r="A53" s="125" t="s">
        <v>132</v>
      </c>
      <c r="B53" s="26">
        <v>3200</v>
      </c>
      <c r="C53" s="26">
        <v>3200</v>
      </c>
      <c r="D53" s="26">
        <v>5000</v>
      </c>
      <c r="E53" s="26">
        <v>5000</v>
      </c>
      <c r="F53" s="127" t="s">
        <v>260</v>
      </c>
      <c r="G53" s="11">
        <f>0-E53</f>
        <v>-5000</v>
      </c>
      <c r="I53"/>
    </row>
    <row r="54" spans="1:9" x14ac:dyDescent="0.35">
      <c r="A54" s="125" t="s">
        <v>133</v>
      </c>
      <c r="B54" s="26">
        <v>2000</v>
      </c>
      <c r="C54" s="26">
        <v>2000</v>
      </c>
      <c r="D54" s="26">
        <v>2500</v>
      </c>
      <c r="E54" s="26">
        <v>2500</v>
      </c>
      <c r="F54" s="26">
        <v>5000</v>
      </c>
      <c r="G54" s="11">
        <f t="shared" si="3"/>
        <v>2500</v>
      </c>
      <c r="I54"/>
    </row>
    <row r="55" spans="1:9" x14ac:dyDescent="0.35">
      <c r="A55" s="125" t="s">
        <v>134</v>
      </c>
      <c r="B55" s="26">
        <v>500</v>
      </c>
      <c r="C55" s="26">
        <v>500</v>
      </c>
      <c r="D55" s="26">
        <v>7000</v>
      </c>
      <c r="E55" s="26">
        <v>7000</v>
      </c>
      <c r="F55" s="26">
        <v>7000</v>
      </c>
      <c r="G55" s="11">
        <f t="shared" si="3"/>
        <v>0</v>
      </c>
      <c r="I55"/>
    </row>
    <row r="56" spans="1:9" x14ac:dyDescent="0.35">
      <c r="A56" s="125" t="s">
        <v>135</v>
      </c>
      <c r="B56" s="55">
        <v>30000</v>
      </c>
      <c r="C56" s="55">
        <v>30000</v>
      </c>
      <c r="D56" s="26">
        <v>60000</v>
      </c>
      <c r="E56" s="26">
        <v>80000</v>
      </c>
      <c r="F56" s="26">
        <v>80000</v>
      </c>
      <c r="G56" s="11">
        <f t="shared" si="3"/>
        <v>0</v>
      </c>
      <c r="I56" s="198"/>
    </row>
    <row r="57" spans="1:9" x14ac:dyDescent="0.35">
      <c r="A57" s="125" t="s">
        <v>136</v>
      </c>
      <c r="B57" s="26">
        <v>2000</v>
      </c>
      <c r="C57" s="26">
        <v>2000</v>
      </c>
      <c r="D57" s="26">
        <v>10000</v>
      </c>
      <c r="E57" s="26">
        <v>10000</v>
      </c>
      <c r="F57" s="26">
        <v>25000</v>
      </c>
      <c r="G57" s="11">
        <f t="shared" si="3"/>
        <v>15000</v>
      </c>
      <c r="I57" t="s">
        <v>303</v>
      </c>
    </row>
    <row r="58" spans="1:9" x14ac:dyDescent="0.35">
      <c r="A58" s="125" t="s">
        <v>141</v>
      </c>
      <c r="B58" s="26">
        <v>1500</v>
      </c>
      <c r="C58" s="26">
        <v>1500</v>
      </c>
      <c r="D58" s="26">
        <v>1500</v>
      </c>
      <c r="E58" s="26">
        <v>1500</v>
      </c>
      <c r="F58" s="26">
        <v>1500</v>
      </c>
      <c r="G58" s="11">
        <f t="shared" si="3"/>
        <v>0</v>
      </c>
      <c r="I58"/>
    </row>
    <row r="59" spans="1:9" s="1" customFormat="1" x14ac:dyDescent="0.35">
      <c r="A59" s="64" t="s">
        <v>12</v>
      </c>
      <c r="B59" s="46">
        <f t="shared" ref="B59:C59" si="4">SUM(B60:B62)</f>
        <v>520000</v>
      </c>
      <c r="C59" s="46">
        <f t="shared" si="4"/>
        <v>520000</v>
      </c>
      <c r="D59" s="46">
        <f>SUM(D60:D62)</f>
        <v>835000</v>
      </c>
      <c r="E59" s="46">
        <f>SUM(E60:E62)</f>
        <v>835000</v>
      </c>
      <c r="F59" s="46">
        <f>SUM(F60:F62)</f>
        <v>705000</v>
      </c>
      <c r="G59" s="65">
        <f>F59-E59</f>
        <v>-130000</v>
      </c>
      <c r="H59" s="219">
        <f>F59/$F$21</f>
        <v>9.4294342659554595E-2</v>
      </c>
      <c r="I59" s="198"/>
    </row>
    <row r="60" spans="1:9" x14ac:dyDescent="0.35">
      <c r="A60" s="125" t="s">
        <v>86</v>
      </c>
      <c r="B60" s="20">
        <v>520000</v>
      </c>
      <c r="C60" s="20">
        <v>520000</v>
      </c>
      <c r="D60" s="26">
        <v>750000</v>
      </c>
      <c r="E60" s="26">
        <v>750000</v>
      </c>
      <c r="F60" s="26">
        <v>600000</v>
      </c>
      <c r="G60" s="11">
        <f t="shared" si="2"/>
        <v>-150000</v>
      </c>
      <c r="I60"/>
    </row>
    <row r="61" spans="1:9" x14ac:dyDescent="0.35">
      <c r="A61" s="125" t="s">
        <v>87</v>
      </c>
      <c r="B61" s="44" t="s">
        <v>143</v>
      </c>
      <c r="C61" s="44" t="s">
        <v>143</v>
      </c>
      <c r="D61" s="26">
        <v>40000</v>
      </c>
      <c r="E61" s="26">
        <v>40000</v>
      </c>
      <c r="F61" s="26">
        <v>45000</v>
      </c>
      <c r="G61" s="11">
        <f t="shared" si="2"/>
        <v>5000</v>
      </c>
      <c r="I61"/>
    </row>
    <row r="62" spans="1:9" x14ac:dyDescent="0.35">
      <c r="A62" s="125" t="s">
        <v>85</v>
      </c>
      <c r="B62" s="44">
        <v>0</v>
      </c>
      <c r="C62" s="44">
        <v>0</v>
      </c>
      <c r="D62" s="26">
        <v>45000</v>
      </c>
      <c r="E62" s="26">
        <v>45000</v>
      </c>
      <c r="F62" s="26">
        <v>60000</v>
      </c>
      <c r="G62" s="11">
        <f t="shared" si="2"/>
        <v>15000</v>
      </c>
      <c r="I62"/>
    </row>
    <row r="63" spans="1:9" s="1" customFormat="1" x14ac:dyDescent="0.35">
      <c r="A63" s="64" t="s">
        <v>16</v>
      </c>
      <c r="B63" s="46">
        <f>SUM(B64:B70)</f>
        <v>64500</v>
      </c>
      <c r="C63" s="46">
        <f t="shared" ref="C63" si="5">SUM(C64:C70)</f>
        <v>64500</v>
      </c>
      <c r="D63" s="46">
        <f>SUM(D64:D70)</f>
        <v>105200</v>
      </c>
      <c r="E63" s="46">
        <f>SUM(E64:E70)</f>
        <v>105200</v>
      </c>
      <c r="F63" s="46">
        <f>SUM(F64:F70)</f>
        <v>107000</v>
      </c>
      <c r="G63" s="65">
        <f>F63-E63</f>
        <v>1800</v>
      </c>
      <c r="H63" s="219">
        <f>F63/$F$21</f>
        <v>1.4311339949748002E-2</v>
      </c>
      <c r="I63" s="198">
        <f>F63/$F$21</f>
        <v>1.4311339949748002E-2</v>
      </c>
    </row>
    <row r="64" spans="1:9" x14ac:dyDescent="0.35">
      <c r="A64" s="24" t="s">
        <v>88</v>
      </c>
      <c r="B64" s="20">
        <v>4200</v>
      </c>
      <c r="C64" s="20">
        <v>4200</v>
      </c>
      <c r="D64" s="26">
        <v>4500</v>
      </c>
      <c r="E64" s="26">
        <v>4500</v>
      </c>
      <c r="F64" s="26">
        <v>7500</v>
      </c>
      <c r="G64" s="11">
        <f t="shared" si="2"/>
        <v>3000</v>
      </c>
      <c r="I64"/>
    </row>
    <row r="65" spans="1:12" hidden="1" x14ac:dyDescent="0.35">
      <c r="A65" s="24" t="s">
        <v>89</v>
      </c>
      <c r="B65" s="20">
        <v>0</v>
      </c>
      <c r="C65" s="20">
        <v>0</v>
      </c>
      <c r="D65" s="26">
        <v>0</v>
      </c>
      <c r="E65" s="26">
        <v>0</v>
      </c>
      <c r="F65" s="26">
        <v>0</v>
      </c>
      <c r="G65" s="11">
        <f t="shared" si="2"/>
        <v>0</v>
      </c>
      <c r="I65"/>
    </row>
    <row r="66" spans="1:12" x14ac:dyDescent="0.35">
      <c r="A66" s="24" t="s">
        <v>94</v>
      </c>
      <c r="B66" s="20">
        <v>5200</v>
      </c>
      <c r="C66" s="20">
        <v>5200</v>
      </c>
      <c r="D66" s="26">
        <v>12500</v>
      </c>
      <c r="E66" s="26">
        <v>12500</v>
      </c>
      <c r="F66" s="26">
        <v>6500</v>
      </c>
      <c r="G66" s="11">
        <f t="shared" si="2"/>
        <v>-6000</v>
      </c>
    </row>
    <row r="67" spans="1:12" x14ac:dyDescent="0.35">
      <c r="A67" s="24" t="s">
        <v>90</v>
      </c>
      <c r="B67" s="20">
        <v>1300</v>
      </c>
      <c r="C67" s="20">
        <v>1300</v>
      </c>
      <c r="D67" s="26">
        <v>1500</v>
      </c>
      <c r="E67" s="26">
        <v>1500</v>
      </c>
      <c r="F67" s="26">
        <v>5000</v>
      </c>
      <c r="G67" s="11">
        <f t="shared" si="2"/>
        <v>3500</v>
      </c>
      <c r="I67"/>
    </row>
    <row r="68" spans="1:12" x14ac:dyDescent="0.35">
      <c r="A68" s="24" t="s">
        <v>91</v>
      </c>
      <c r="B68" s="26">
        <v>33300</v>
      </c>
      <c r="C68" s="26">
        <f>47500-14200</f>
        <v>33300</v>
      </c>
      <c r="D68" s="26">
        <v>25000</v>
      </c>
      <c r="E68" s="26">
        <v>25000</v>
      </c>
      <c r="F68" s="26">
        <v>25000</v>
      </c>
      <c r="G68" s="11">
        <f>F68-E68</f>
        <v>0</v>
      </c>
      <c r="I68"/>
    </row>
    <row r="69" spans="1:12" x14ac:dyDescent="0.35">
      <c r="A69" s="24" t="s">
        <v>92</v>
      </c>
      <c r="B69" s="20">
        <v>500</v>
      </c>
      <c r="C69" s="20">
        <v>500</v>
      </c>
      <c r="D69" s="26">
        <v>500</v>
      </c>
      <c r="E69" s="26">
        <v>500</v>
      </c>
      <c r="F69" s="26">
        <v>500</v>
      </c>
      <c r="G69" s="11">
        <f t="shared" si="2"/>
        <v>0</v>
      </c>
      <c r="I69"/>
    </row>
    <row r="70" spans="1:12" x14ac:dyDescent="0.35">
      <c r="A70" s="24" t="s">
        <v>93</v>
      </c>
      <c r="B70" s="20">
        <v>20000</v>
      </c>
      <c r="C70" s="20">
        <v>20000</v>
      </c>
      <c r="D70" s="26">
        <v>61200</v>
      </c>
      <c r="E70" s="26">
        <v>61200</v>
      </c>
      <c r="F70" s="26">
        <v>62500</v>
      </c>
      <c r="G70" s="11">
        <f>F70-E70</f>
        <v>1300</v>
      </c>
      <c r="I70"/>
    </row>
    <row r="71" spans="1:12" s="1" customFormat="1" x14ac:dyDescent="0.35">
      <c r="A71" s="69" t="s">
        <v>11</v>
      </c>
      <c r="B71" s="46">
        <f>SUM(B72:B86)</f>
        <v>532900</v>
      </c>
      <c r="C71" s="46">
        <f>SUM(C72:C86)</f>
        <v>532900</v>
      </c>
      <c r="D71" s="46">
        <f>SUM(D72:D86)</f>
        <v>633500</v>
      </c>
      <c r="E71" s="46">
        <f>SUM(E72:E86)</f>
        <v>633500</v>
      </c>
      <c r="F71" s="46">
        <f>SUM(F72:F86)</f>
        <v>565000</v>
      </c>
      <c r="G71" s="65">
        <f>F71-E71</f>
        <v>-68500</v>
      </c>
      <c r="H71" s="219">
        <f>F71/$F$21</f>
        <v>7.5569224968295517E-2</v>
      </c>
      <c r="I71" s="198">
        <f>F71/$F$21</f>
        <v>7.5569224968295517E-2</v>
      </c>
      <c r="K71"/>
      <c r="L71"/>
    </row>
    <row r="72" spans="1:12" x14ac:dyDescent="0.35">
      <c r="A72" s="25" t="s">
        <v>95</v>
      </c>
      <c r="B72" s="20">
        <v>92000</v>
      </c>
      <c r="C72" s="20">
        <v>92000</v>
      </c>
      <c r="D72" s="26">
        <v>50000</v>
      </c>
      <c r="E72" s="26">
        <v>50000</v>
      </c>
      <c r="F72" s="26">
        <v>50000</v>
      </c>
      <c r="G72" s="11">
        <f t="shared" si="2"/>
        <v>0</v>
      </c>
      <c r="I72"/>
    </row>
    <row r="73" spans="1:12" x14ac:dyDescent="0.35">
      <c r="A73" s="185" t="s">
        <v>258</v>
      </c>
      <c r="B73" s="20">
        <v>0</v>
      </c>
      <c r="C73" s="20">
        <v>0</v>
      </c>
      <c r="D73" s="26">
        <v>0</v>
      </c>
      <c r="E73" s="26">
        <v>0</v>
      </c>
      <c r="F73" s="26">
        <v>10000</v>
      </c>
      <c r="G73" s="11">
        <f t="shared" si="2"/>
        <v>10000</v>
      </c>
      <c r="I73" t="s">
        <v>259</v>
      </c>
    </row>
    <row r="74" spans="1:12" x14ac:dyDescent="0.35">
      <c r="A74" s="25" t="s">
        <v>97</v>
      </c>
      <c r="B74" s="20">
        <v>43000</v>
      </c>
      <c r="C74" s="20">
        <v>43000</v>
      </c>
      <c r="D74" s="26">
        <v>40000</v>
      </c>
      <c r="E74" s="26">
        <v>40000</v>
      </c>
      <c r="F74" s="26">
        <v>25000</v>
      </c>
      <c r="G74" s="11">
        <f t="shared" si="2"/>
        <v>-15000</v>
      </c>
      <c r="I74"/>
    </row>
    <row r="75" spans="1:12" x14ac:dyDescent="0.35">
      <c r="A75" s="25" t="s">
        <v>98</v>
      </c>
      <c r="B75" s="20">
        <v>6500</v>
      </c>
      <c r="C75" s="20">
        <v>6500</v>
      </c>
      <c r="D75" s="26">
        <v>30000</v>
      </c>
      <c r="E75" s="26">
        <v>30000</v>
      </c>
      <c r="F75" s="26">
        <v>30000</v>
      </c>
      <c r="G75" s="11">
        <f t="shared" si="2"/>
        <v>0</v>
      </c>
      <c r="I75"/>
    </row>
    <row r="76" spans="1:12" x14ac:dyDescent="0.35">
      <c r="A76" s="25" t="s">
        <v>99</v>
      </c>
      <c r="B76" s="20">
        <v>8900</v>
      </c>
      <c r="C76" s="20">
        <v>8900</v>
      </c>
      <c r="D76" s="26">
        <v>30000</v>
      </c>
      <c r="E76" s="26">
        <v>30000</v>
      </c>
      <c r="F76" s="26">
        <v>30000</v>
      </c>
      <c r="G76" s="11">
        <f t="shared" si="2"/>
        <v>0</v>
      </c>
      <c r="I76"/>
    </row>
    <row r="77" spans="1:12" x14ac:dyDescent="0.35">
      <c r="A77" s="25" t="s">
        <v>100</v>
      </c>
      <c r="B77" s="20">
        <v>110000</v>
      </c>
      <c r="C77" s="20">
        <v>110000</v>
      </c>
      <c r="D77" s="26">
        <v>200000</v>
      </c>
      <c r="E77" s="26">
        <v>200000</v>
      </c>
      <c r="F77" s="26">
        <v>100000</v>
      </c>
      <c r="G77" s="11">
        <f t="shared" si="2"/>
        <v>-100000</v>
      </c>
      <c r="I77" t="s">
        <v>301</v>
      </c>
    </row>
    <row r="78" spans="1:12" x14ac:dyDescent="0.35">
      <c r="A78" s="125" t="s">
        <v>140</v>
      </c>
      <c r="B78" s="26">
        <v>15000</v>
      </c>
      <c r="C78" s="26">
        <v>15000</v>
      </c>
      <c r="D78" s="26">
        <v>0</v>
      </c>
      <c r="E78" s="26">
        <v>0</v>
      </c>
      <c r="F78" s="127">
        <v>20000</v>
      </c>
      <c r="G78" s="11">
        <f>F78-E78</f>
        <v>20000</v>
      </c>
      <c r="I78" t="s">
        <v>302</v>
      </c>
    </row>
    <row r="79" spans="1:12" x14ac:dyDescent="0.35">
      <c r="A79" s="201" t="s">
        <v>101</v>
      </c>
      <c r="B79" s="202">
        <v>26000</v>
      </c>
      <c r="C79" s="202">
        <v>26000</v>
      </c>
      <c r="D79" s="202">
        <v>20000</v>
      </c>
      <c r="E79" s="202">
        <v>20000</v>
      </c>
      <c r="F79" s="210" t="s">
        <v>272</v>
      </c>
      <c r="G79" s="211"/>
      <c r="H79" s="216"/>
      <c r="I79" t="s">
        <v>316</v>
      </c>
    </row>
    <row r="80" spans="1:12" x14ac:dyDescent="0.35">
      <c r="A80" s="25" t="s">
        <v>103</v>
      </c>
      <c r="B80" s="20">
        <v>2000</v>
      </c>
      <c r="C80" s="20">
        <v>2000</v>
      </c>
      <c r="D80" s="26">
        <v>5000</v>
      </c>
      <c r="E80" s="26">
        <v>5000</v>
      </c>
      <c r="F80" s="26">
        <v>0</v>
      </c>
      <c r="G80" s="11">
        <f t="shared" si="2"/>
        <v>-5000</v>
      </c>
      <c r="I80"/>
    </row>
    <row r="81" spans="1:9" x14ac:dyDescent="0.35">
      <c r="A81" s="186" t="s">
        <v>262</v>
      </c>
      <c r="B81" s="20"/>
      <c r="C81" s="20"/>
      <c r="D81" s="127" t="s">
        <v>143</v>
      </c>
      <c r="E81" s="127" t="s">
        <v>143</v>
      </c>
      <c r="F81" s="26">
        <v>0</v>
      </c>
      <c r="G81" s="11">
        <f>F81-0</f>
        <v>0</v>
      </c>
      <c r="I81" t="s">
        <v>314</v>
      </c>
    </row>
    <row r="82" spans="1:9" x14ac:dyDescent="0.35">
      <c r="A82" s="186" t="s">
        <v>261</v>
      </c>
      <c r="B82" s="20"/>
      <c r="C82" s="20"/>
      <c r="D82" s="127" t="s">
        <v>143</v>
      </c>
      <c r="E82" s="127" t="s">
        <v>143</v>
      </c>
      <c r="F82" s="26">
        <v>0</v>
      </c>
      <c r="G82" s="11">
        <f>F82-0</f>
        <v>0</v>
      </c>
      <c r="I82" t="s">
        <v>314</v>
      </c>
    </row>
    <row r="83" spans="1:9" x14ac:dyDescent="0.35">
      <c r="A83" s="184" t="s">
        <v>257</v>
      </c>
      <c r="B83" s="20"/>
      <c r="C83" s="20"/>
      <c r="D83" s="127" t="s">
        <v>143</v>
      </c>
      <c r="E83" s="127" t="s">
        <v>143</v>
      </c>
      <c r="F83" s="26">
        <v>200000</v>
      </c>
      <c r="G83" s="11">
        <f>F83-0</f>
        <v>200000</v>
      </c>
      <c r="I83"/>
    </row>
    <row r="84" spans="1:9" x14ac:dyDescent="0.35">
      <c r="A84" s="25" t="s">
        <v>104</v>
      </c>
      <c r="B84" s="20">
        <v>8500</v>
      </c>
      <c r="C84" s="20">
        <v>8500</v>
      </c>
      <c r="D84" s="26">
        <v>8500</v>
      </c>
      <c r="E84" s="26">
        <v>8500</v>
      </c>
      <c r="F84" s="26">
        <v>0</v>
      </c>
      <c r="G84" s="11">
        <f t="shared" si="2"/>
        <v>-8500</v>
      </c>
      <c r="I84" t="s">
        <v>314</v>
      </c>
    </row>
    <row r="85" spans="1:9" x14ac:dyDescent="0.35">
      <c r="A85" s="25" t="s">
        <v>105</v>
      </c>
      <c r="B85" s="20">
        <v>19000</v>
      </c>
      <c r="C85" s="20">
        <v>19000</v>
      </c>
      <c r="D85" s="26">
        <v>30000</v>
      </c>
      <c r="E85" s="26">
        <v>30000</v>
      </c>
      <c r="F85" s="26">
        <v>0</v>
      </c>
      <c r="G85" s="11">
        <f t="shared" si="2"/>
        <v>-30000</v>
      </c>
      <c r="I85" t="s">
        <v>314</v>
      </c>
    </row>
    <row r="86" spans="1:9" x14ac:dyDescent="0.35">
      <c r="A86" s="25" t="s">
        <v>106</v>
      </c>
      <c r="B86" s="20">
        <v>202000</v>
      </c>
      <c r="C86" s="20">
        <v>202000</v>
      </c>
      <c r="D86" s="26">
        <v>220000</v>
      </c>
      <c r="E86" s="26">
        <v>220000</v>
      </c>
      <c r="F86" s="26">
        <v>100000</v>
      </c>
      <c r="G86" s="11">
        <f t="shared" si="2"/>
        <v>-120000</v>
      </c>
      <c r="I86"/>
    </row>
    <row r="87" spans="1:9" s="1" customFormat="1" x14ac:dyDescent="0.35">
      <c r="A87" s="69" t="s">
        <v>30</v>
      </c>
      <c r="B87" s="46">
        <f>SUM(B88:B90)</f>
        <v>30000</v>
      </c>
      <c r="C87" s="46">
        <f>SUM(C88:C90)</f>
        <v>30000</v>
      </c>
      <c r="D87" s="46">
        <f>SUM(D88:D90)</f>
        <v>45000</v>
      </c>
      <c r="E87" s="46">
        <f>SUM(E88:E90)</f>
        <v>45000</v>
      </c>
      <c r="F87" s="46">
        <f>SUM(F88:F90)</f>
        <v>35000</v>
      </c>
      <c r="G87" s="65">
        <f>F87-E87</f>
        <v>-10000</v>
      </c>
      <c r="H87" s="219">
        <f>F87/$F$21</f>
        <v>4.6812794228147667E-3</v>
      </c>
      <c r="I87" s="198">
        <f>F87/$F$21</f>
        <v>4.6812794228147667E-3</v>
      </c>
    </row>
    <row r="88" spans="1:9" x14ac:dyDescent="0.35">
      <c r="A88" s="25" t="s">
        <v>114</v>
      </c>
      <c r="B88" s="20">
        <v>20000</v>
      </c>
      <c r="C88" s="20">
        <v>20000</v>
      </c>
      <c r="D88" s="26">
        <v>30000</v>
      </c>
      <c r="E88" s="26">
        <v>30000</v>
      </c>
      <c r="F88" s="26">
        <v>20000</v>
      </c>
      <c r="G88" s="11">
        <f t="shared" si="2"/>
        <v>-10000</v>
      </c>
      <c r="I88"/>
    </row>
    <row r="89" spans="1:9" x14ac:dyDescent="0.35">
      <c r="A89" s="25" t="s">
        <v>115</v>
      </c>
      <c r="B89" s="20">
        <v>5000</v>
      </c>
      <c r="C89" s="20">
        <v>5000</v>
      </c>
      <c r="D89" s="26">
        <v>10000</v>
      </c>
      <c r="E89" s="26">
        <v>10000</v>
      </c>
      <c r="F89" s="26">
        <v>5000</v>
      </c>
      <c r="G89" s="11">
        <f t="shared" si="2"/>
        <v>-5000</v>
      </c>
      <c r="I89"/>
    </row>
    <row r="90" spans="1:9" x14ac:dyDescent="0.35">
      <c r="A90" s="25" t="s">
        <v>116</v>
      </c>
      <c r="B90" s="20">
        <v>5000</v>
      </c>
      <c r="C90" s="20">
        <v>5000</v>
      </c>
      <c r="D90" s="26">
        <v>5000</v>
      </c>
      <c r="E90" s="26">
        <v>5000</v>
      </c>
      <c r="F90" s="26">
        <v>10000</v>
      </c>
      <c r="G90" s="11">
        <f t="shared" si="2"/>
        <v>5000</v>
      </c>
      <c r="I90"/>
    </row>
    <row r="91" spans="1:9" x14ac:dyDescent="0.35">
      <c r="A91" s="69" t="s">
        <v>263</v>
      </c>
      <c r="B91" s="46"/>
      <c r="C91" s="46"/>
      <c r="D91" s="187">
        <v>0</v>
      </c>
      <c r="E91" s="187">
        <v>0</v>
      </c>
      <c r="F91" s="46">
        <f>SUM(F92:F97)</f>
        <v>25000</v>
      </c>
      <c r="G91" s="65">
        <f>F91-E91</f>
        <v>25000</v>
      </c>
      <c r="H91" s="219">
        <f>F91/$F$21</f>
        <v>3.3437710162962622E-3</v>
      </c>
      <c r="I91" s="198">
        <f>F91/$F$21</f>
        <v>3.3437710162962622E-3</v>
      </c>
    </row>
    <row r="92" spans="1:9" x14ac:dyDescent="0.35">
      <c r="A92" s="186" t="s">
        <v>266</v>
      </c>
      <c r="B92" s="103"/>
      <c r="C92" s="103"/>
      <c r="D92" s="127" t="s">
        <v>143</v>
      </c>
      <c r="E92" s="127" t="s">
        <v>143</v>
      </c>
      <c r="F92" s="26">
        <v>4500</v>
      </c>
      <c r="G92" s="197">
        <f>F92-0</f>
        <v>4500</v>
      </c>
      <c r="H92" s="213"/>
      <c r="I92"/>
    </row>
    <row r="93" spans="1:9" x14ac:dyDescent="0.35">
      <c r="A93" s="186" t="s">
        <v>267</v>
      </c>
      <c r="B93" s="103"/>
      <c r="C93" s="103"/>
      <c r="D93" s="127" t="s">
        <v>143</v>
      </c>
      <c r="E93" s="127" t="s">
        <v>143</v>
      </c>
      <c r="F93" s="26">
        <v>10000</v>
      </c>
      <c r="G93" s="197">
        <f t="shared" ref="G93:G97" si="6">F93-0</f>
        <v>10000</v>
      </c>
      <c r="H93" s="213"/>
      <c r="I93"/>
    </row>
    <row r="94" spans="1:9" x14ac:dyDescent="0.35">
      <c r="A94" s="190" t="s">
        <v>269</v>
      </c>
      <c r="B94" s="188"/>
      <c r="C94" s="188"/>
      <c r="D94" s="127" t="s">
        <v>143</v>
      </c>
      <c r="E94" s="127" t="s">
        <v>143</v>
      </c>
      <c r="F94" s="26">
        <v>3500</v>
      </c>
      <c r="G94" s="197">
        <f t="shared" si="6"/>
        <v>3500</v>
      </c>
      <c r="H94" s="213"/>
      <c r="I94"/>
    </row>
    <row r="95" spans="1:9" x14ac:dyDescent="0.35">
      <c r="A95" s="190" t="s">
        <v>268</v>
      </c>
      <c r="B95" s="188"/>
      <c r="C95" s="188"/>
      <c r="D95" s="127" t="s">
        <v>143</v>
      </c>
      <c r="E95" s="127" t="s">
        <v>143</v>
      </c>
      <c r="F95" s="26">
        <v>2000</v>
      </c>
      <c r="G95" s="197">
        <f t="shared" si="6"/>
        <v>2000</v>
      </c>
      <c r="H95" s="213"/>
      <c r="I95"/>
    </row>
    <row r="96" spans="1:9" x14ac:dyDescent="0.35">
      <c r="A96" s="190" t="s">
        <v>159</v>
      </c>
      <c r="B96" s="188"/>
      <c r="C96" s="188"/>
      <c r="D96" s="127" t="s">
        <v>143</v>
      </c>
      <c r="E96" s="127" t="s">
        <v>143</v>
      </c>
      <c r="F96" s="26">
        <v>3000</v>
      </c>
      <c r="G96" s="197">
        <f t="shared" si="6"/>
        <v>3000</v>
      </c>
      <c r="H96" s="213"/>
      <c r="I96"/>
    </row>
    <row r="97" spans="1:9" x14ac:dyDescent="0.35">
      <c r="A97" s="186" t="s">
        <v>270</v>
      </c>
      <c r="B97" s="103"/>
      <c r="C97" s="103"/>
      <c r="D97" s="127" t="s">
        <v>143</v>
      </c>
      <c r="E97" s="127" t="s">
        <v>143</v>
      </c>
      <c r="F97" s="26">
        <v>2000</v>
      </c>
      <c r="G97" s="197">
        <f t="shared" si="6"/>
        <v>2000</v>
      </c>
      <c r="H97" s="213"/>
      <c r="I97"/>
    </row>
    <row r="98" spans="1:9" s="1" customFormat="1" x14ac:dyDescent="0.35">
      <c r="A98" s="69" t="s">
        <v>17</v>
      </c>
      <c r="B98" s="46">
        <f>SUM(B99:B102)</f>
        <v>9200</v>
      </c>
      <c r="C98" s="46">
        <f>SUM(C99:C102)</f>
        <v>9200</v>
      </c>
      <c r="D98" s="46">
        <f>SUM(D99:D102)</f>
        <v>40000</v>
      </c>
      <c r="E98" s="46">
        <f>SUM(E99:E102)</f>
        <v>40000</v>
      </c>
      <c r="F98" s="46">
        <f>SUM(F99:F102)</f>
        <v>34500</v>
      </c>
      <c r="G98" s="65">
        <f>F98-E98</f>
        <v>-5500</v>
      </c>
      <c r="H98" s="219">
        <f>F98/$F$21</f>
        <v>4.6144040024888415E-3</v>
      </c>
      <c r="I98" s="198">
        <f>F98/$F$21</f>
        <v>4.6144040024888415E-3</v>
      </c>
    </row>
    <row r="99" spans="1:9" x14ac:dyDescent="0.35">
      <c r="A99" s="25" t="s">
        <v>117</v>
      </c>
      <c r="B99" s="20">
        <v>9200</v>
      </c>
      <c r="C99" s="20">
        <v>9200</v>
      </c>
      <c r="D99" s="26">
        <v>20000</v>
      </c>
      <c r="E99" s="26">
        <v>20000</v>
      </c>
      <c r="F99" s="26">
        <v>18000</v>
      </c>
      <c r="G99" s="11">
        <f t="shared" si="2"/>
        <v>-2000</v>
      </c>
      <c r="I99"/>
    </row>
    <row r="100" spans="1:9" x14ac:dyDescent="0.35">
      <c r="A100" s="25" t="s">
        <v>118</v>
      </c>
      <c r="B100" s="20">
        <v>0</v>
      </c>
      <c r="C100" s="20">
        <v>0</v>
      </c>
      <c r="D100" s="26">
        <v>12000</v>
      </c>
      <c r="E100" s="26">
        <v>12000</v>
      </c>
      <c r="F100" s="26">
        <v>10000</v>
      </c>
      <c r="G100" s="11">
        <f t="shared" si="2"/>
        <v>-2000</v>
      </c>
      <c r="I100"/>
    </row>
    <row r="101" spans="1:9" x14ac:dyDescent="0.35">
      <c r="A101" s="106" t="s">
        <v>119</v>
      </c>
      <c r="B101" s="44" t="s">
        <v>143</v>
      </c>
      <c r="C101" s="44" t="s">
        <v>143</v>
      </c>
      <c r="D101" s="26">
        <v>5000</v>
      </c>
      <c r="E101" s="26">
        <v>5000</v>
      </c>
      <c r="F101" s="26">
        <v>5000</v>
      </c>
      <c r="G101" s="11">
        <f t="shared" ref="G101:G118" si="7">F101-E101</f>
        <v>0</v>
      </c>
      <c r="I101"/>
    </row>
    <row r="102" spans="1:9" x14ac:dyDescent="0.35">
      <c r="A102" s="106" t="s">
        <v>139</v>
      </c>
      <c r="B102" s="44" t="s">
        <v>144</v>
      </c>
      <c r="C102" s="44" t="s">
        <v>144</v>
      </c>
      <c r="D102" s="26">
        <v>3000</v>
      </c>
      <c r="E102" s="26">
        <v>3000</v>
      </c>
      <c r="F102" s="26">
        <v>1500</v>
      </c>
      <c r="G102" s="11">
        <f t="shared" si="7"/>
        <v>-1500</v>
      </c>
      <c r="I102"/>
    </row>
    <row r="103" spans="1:9" s="1" customFormat="1" x14ac:dyDescent="0.35">
      <c r="A103" s="69" t="s">
        <v>120</v>
      </c>
      <c r="B103" s="46">
        <v>85000</v>
      </c>
      <c r="C103" s="46">
        <v>85000</v>
      </c>
      <c r="D103" s="46">
        <f>SUM(D104:D106)</f>
        <v>40000</v>
      </c>
      <c r="E103" s="46">
        <f>SUM(E104:E106)</f>
        <v>40000</v>
      </c>
      <c r="F103" s="46">
        <f>SUM(F104:F106)</f>
        <v>46000</v>
      </c>
      <c r="G103" s="65">
        <f>F103-E103</f>
        <v>6000</v>
      </c>
      <c r="H103" s="219">
        <f>F103/$F$21</f>
        <v>6.152538669985122E-3</v>
      </c>
      <c r="I103" s="198">
        <f>F103/$F$21</f>
        <v>6.152538669985122E-3</v>
      </c>
    </row>
    <row r="104" spans="1:9" x14ac:dyDescent="0.35">
      <c r="A104" s="25" t="s">
        <v>121</v>
      </c>
      <c r="B104" s="26">
        <v>0</v>
      </c>
      <c r="C104" s="26">
        <v>0</v>
      </c>
      <c r="D104" s="26">
        <v>22000</v>
      </c>
      <c r="E104" s="26">
        <v>22000</v>
      </c>
      <c r="F104" s="26">
        <v>25000</v>
      </c>
      <c r="G104" s="11">
        <f t="shared" si="7"/>
        <v>3000</v>
      </c>
      <c r="I104"/>
    </row>
    <row r="105" spans="1:9" x14ac:dyDescent="0.35">
      <c r="A105" s="25" t="s">
        <v>122</v>
      </c>
      <c r="B105" s="26">
        <v>0</v>
      </c>
      <c r="C105" s="26">
        <v>0</v>
      </c>
      <c r="D105" s="26">
        <v>15000</v>
      </c>
      <c r="E105" s="26">
        <v>15000</v>
      </c>
      <c r="F105" s="26">
        <v>17000</v>
      </c>
      <c r="G105" s="11">
        <f t="shared" si="7"/>
        <v>2000</v>
      </c>
      <c r="I105"/>
    </row>
    <row r="106" spans="1:9" s="71" customFormat="1" x14ac:dyDescent="0.35">
      <c r="A106" s="106" t="s">
        <v>167</v>
      </c>
      <c r="B106" s="44" t="s">
        <v>143</v>
      </c>
      <c r="C106" s="44" t="s">
        <v>143</v>
      </c>
      <c r="D106" s="26">
        <v>3000</v>
      </c>
      <c r="E106" s="26">
        <v>3000</v>
      </c>
      <c r="F106" s="26">
        <v>4000</v>
      </c>
      <c r="G106" s="11">
        <f t="shared" si="7"/>
        <v>1000</v>
      </c>
      <c r="H106" s="198"/>
      <c r="I106"/>
    </row>
    <row r="107" spans="1:9" s="1" customFormat="1" x14ac:dyDescent="0.35">
      <c r="A107" s="69" t="s">
        <v>31</v>
      </c>
      <c r="B107" s="46">
        <v>321500</v>
      </c>
      <c r="C107" s="46">
        <v>321500</v>
      </c>
      <c r="D107" s="46">
        <f>SUM(D108:D118)</f>
        <v>353750</v>
      </c>
      <c r="E107" s="46">
        <f>SUM(E108:E118)</f>
        <v>435750</v>
      </c>
      <c r="F107" s="46">
        <f>SUM(F108:F118)</f>
        <v>332000</v>
      </c>
      <c r="G107" s="65">
        <f>F107-E107</f>
        <v>-103750</v>
      </c>
      <c r="H107" s="219">
        <f>F107/$F$21</f>
        <v>4.4405279096414361E-2</v>
      </c>
      <c r="I107" s="198">
        <f>F107/$F$21</f>
        <v>4.4405279096414361E-2</v>
      </c>
    </row>
    <row r="108" spans="1:9" x14ac:dyDescent="0.35">
      <c r="A108" s="106" t="s">
        <v>149</v>
      </c>
      <c r="B108" s="20">
        <v>0</v>
      </c>
      <c r="C108" s="20">
        <v>0</v>
      </c>
      <c r="D108" s="26">
        <v>120000</v>
      </c>
      <c r="E108" s="26">
        <v>120000</v>
      </c>
      <c r="F108" s="26">
        <v>100000</v>
      </c>
      <c r="G108" s="11">
        <f t="shared" si="7"/>
        <v>-20000</v>
      </c>
      <c r="I108"/>
    </row>
    <row r="109" spans="1:9" s="71" customFormat="1" x14ac:dyDescent="0.35">
      <c r="A109" s="106" t="s">
        <v>150</v>
      </c>
      <c r="B109" s="44" t="s">
        <v>143</v>
      </c>
      <c r="C109" s="44" t="s">
        <v>143</v>
      </c>
      <c r="D109" s="26">
        <v>15000</v>
      </c>
      <c r="E109" s="26">
        <v>15000</v>
      </c>
      <c r="F109" s="26">
        <v>15000</v>
      </c>
      <c r="G109" s="11">
        <f t="shared" si="7"/>
        <v>0</v>
      </c>
      <c r="H109" s="198"/>
      <c r="I109"/>
    </row>
    <row r="110" spans="1:9" s="71" customFormat="1" x14ac:dyDescent="0.35">
      <c r="A110" s="106" t="s">
        <v>227</v>
      </c>
      <c r="B110" s="44" t="s">
        <v>143</v>
      </c>
      <c r="C110" s="44" t="s">
        <v>143</v>
      </c>
      <c r="D110" s="127">
        <v>0</v>
      </c>
      <c r="E110" s="26">
        <v>27000</v>
      </c>
      <c r="F110" s="26">
        <v>2500</v>
      </c>
      <c r="G110" s="11">
        <f t="shared" si="7"/>
        <v>-24500</v>
      </c>
      <c r="H110" s="198"/>
      <c r="I110"/>
    </row>
    <row r="111" spans="1:9" s="71" customFormat="1" x14ac:dyDescent="0.35">
      <c r="A111" s="190" t="s">
        <v>295</v>
      </c>
      <c r="B111" s="44"/>
      <c r="C111" s="44"/>
      <c r="D111" s="127" t="s">
        <v>143</v>
      </c>
      <c r="E111" s="127" t="s">
        <v>143</v>
      </c>
      <c r="F111" s="26">
        <v>3000</v>
      </c>
      <c r="G111" s="11">
        <f>F111-0</f>
        <v>3000</v>
      </c>
      <c r="H111" s="198"/>
      <c r="I111"/>
    </row>
    <row r="112" spans="1:9" x14ac:dyDescent="0.35">
      <c r="A112" s="106" t="s">
        <v>148</v>
      </c>
      <c r="B112" s="44">
        <v>0</v>
      </c>
      <c r="C112" s="44">
        <v>0</v>
      </c>
      <c r="D112" s="26">
        <v>30000</v>
      </c>
      <c r="E112" s="26">
        <v>30000</v>
      </c>
      <c r="F112" s="26">
        <v>30000</v>
      </c>
      <c r="G112" s="11">
        <f t="shared" si="7"/>
        <v>0</v>
      </c>
      <c r="I112"/>
    </row>
    <row r="113" spans="1:11" x14ac:dyDescent="0.35">
      <c r="A113" s="106" t="s">
        <v>151</v>
      </c>
      <c r="B113" s="44">
        <v>0</v>
      </c>
      <c r="C113" s="44">
        <v>0</v>
      </c>
      <c r="D113" s="26">
        <v>45000</v>
      </c>
      <c r="E113" s="26">
        <v>45000</v>
      </c>
      <c r="F113" s="127" t="s">
        <v>260</v>
      </c>
      <c r="G113" s="11">
        <f>0-E113</f>
        <v>-45000</v>
      </c>
      <c r="I113"/>
    </row>
    <row r="114" spans="1:11" x14ac:dyDescent="0.35">
      <c r="A114" s="106" t="s">
        <v>152</v>
      </c>
      <c r="B114" s="44">
        <v>0</v>
      </c>
      <c r="C114" s="44">
        <v>0</v>
      </c>
      <c r="D114" s="26">
        <v>20000</v>
      </c>
      <c r="E114" s="26">
        <v>30000</v>
      </c>
      <c r="F114" s="26">
        <v>30000</v>
      </c>
      <c r="G114" s="11">
        <f t="shared" si="7"/>
        <v>0</v>
      </c>
      <c r="I114"/>
    </row>
    <row r="115" spans="1:11" x14ac:dyDescent="0.35">
      <c r="A115" s="106" t="s">
        <v>154</v>
      </c>
      <c r="B115" s="44">
        <v>0</v>
      </c>
      <c r="C115" s="44">
        <v>0</v>
      </c>
      <c r="D115" s="26">
        <v>100000</v>
      </c>
      <c r="E115" s="26">
        <v>145000</v>
      </c>
      <c r="F115" s="26">
        <f>135000</f>
        <v>135000</v>
      </c>
      <c r="G115" s="11">
        <f t="shared" si="7"/>
        <v>-10000</v>
      </c>
      <c r="I115" t="s">
        <v>274</v>
      </c>
    </row>
    <row r="116" spans="1:11" x14ac:dyDescent="0.35">
      <c r="A116" s="106" t="s">
        <v>157</v>
      </c>
      <c r="B116" s="44">
        <v>0</v>
      </c>
      <c r="C116" s="44">
        <v>0</v>
      </c>
      <c r="D116" s="26">
        <v>12250</v>
      </c>
      <c r="E116" s="26">
        <v>12250</v>
      </c>
      <c r="F116" s="26">
        <v>15000</v>
      </c>
      <c r="G116" s="11">
        <f t="shared" si="7"/>
        <v>2750</v>
      </c>
      <c r="I116"/>
    </row>
    <row r="117" spans="1:11" x14ac:dyDescent="0.35">
      <c r="A117" s="106" t="s">
        <v>158</v>
      </c>
      <c r="B117" s="44">
        <v>0</v>
      </c>
      <c r="C117" s="44">
        <v>0</v>
      </c>
      <c r="D117" s="26">
        <v>1500</v>
      </c>
      <c r="E117" s="26">
        <v>1500</v>
      </c>
      <c r="F117" s="26">
        <v>1500</v>
      </c>
      <c r="G117" s="11">
        <f t="shared" si="7"/>
        <v>0</v>
      </c>
      <c r="I117" t="s">
        <v>271</v>
      </c>
      <c r="K117" s="3">
        <f>(F121-28000)/4</f>
        <v>140186.03478392857</v>
      </c>
    </row>
    <row r="118" spans="1:11" s="71" customFormat="1" x14ac:dyDescent="0.35">
      <c r="A118" s="106" t="s">
        <v>147</v>
      </c>
      <c r="B118" s="44" t="s">
        <v>143</v>
      </c>
      <c r="C118" s="44" t="s">
        <v>143</v>
      </c>
      <c r="D118" s="26">
        <v>10000</v>
      </c>
      <c r="E118" s="26">
        <v>10000</v>
      </c>
      <c r="F118" s="26">
        <v>0</v>
      </c>
      <c r="G118" s="11">
        <f t="shared" si="7"/>
        <v>-10000</v>
      </c>
      <c r="H118" s="198"/>
      <c r="I118"/>
    </row>
    <row r="119" spans="1:11" s="1" customFormat="1" x14ac:dyDescent="0.35">
      <c r="A119" s="203" t="s">
        <v>312</v>
      </c>
      <c r="B119" s="46">
        <v>12000</v>
      </c>
      <c r="C119" s="46">
        <v>12000</v>
      </c>
      <c r="D119" s="46">
        <v>12000</v>
      </c>
      <c r="E119" s="46">
        <v>12000</v>
      </c>
      <c r="F119" s="46">
        <v>12000</v>
      </c>
      <c r="G119" s="65">
        <f>F119-E119</f>
        <v>0</v>
      </c>
      <c r="H119" s="219">
        <f>F119/$F$21</f>
        <v>1.6050100878222059E-3</v>
      </c>
      <c r="I119" s="198">
        <f>F119/$F$21</f>
        <v>1.6050100878222059E-3</v>
      </c>
    </row>
    <row r="120" spans="1:11" s="1" customFormat="1" x14ac:dyDescent="0.35">
      <c r="A120" s="69" t="s">
        <v>19</v>
      </c>
      <c r="B120" s="46">
        <v>102000</v>
      </c>
      <c r="C120" s="46">
        <v>102000</v>
      </c>
      <c r="D120" s="46">
        <v>150000</v>
      </c>
      <c r="E120" s="46">
        <v>150000</v>
      </c>
      <c r="F120" s="46">
        <v>150000</v>
      </c>
      <c r="G120" s="65">
        <f>F120-E120</f>
        <v>0</v>
      </c>
      <c r="H120" s="219">
        <f>F120/$F$21</f>
        <v>2.0062626097777574E-2</v>
      </c>
      <c r="I120" s="198">
        <f>F120/$F$21</f>
        <v>2.0062626097777574E-2</v>
      </c>
    </row>
    <row r="121" spans="1:11" s="1" customFormat="1" x14ac:dyDescent="0.35">
      <c r="A121" s="69" t="s">
        <v>20</v>
      </c>
      <c r="B121" s="46">
        <v>418762</v>
      </c>
      <c r="C121" s="46">
        <v>418762</v>
      </c>
      <c r="D121" s="46">
        <v>506000</v>
      </c>
      <c r="E121" s="46">
        <v>506000</v>
      </c>
      <c r="F121" s="46">
        <f>F21*0.075+28000</f>
        <v>588744.13913571427</v>
      </c>
      <c r="G121" s="65">
        <f>F121-E121</f>
        <v>82744.139135714271</v>
      </c>
      <c r="H121" s="219">
        <f>F121/$F$21</f>
        <v>7.8745023538251815E-2</v>
      </c>
      <c r="I121" s="198">
        <f>F121/$F$21</f>
        <v>7.8745023538251815E-2</v>
      </c>
    </row>
    <row r="122" spans="1:11" s="76" customFormat="1" x14ac:dyDescent="0.35">
      <c r="A122" s="73" t="s">
        <v>21</v>
      </c>
      <c r="B122" s="46">
        <v>300000</v>
      </c>
      <c r="C122" s="46">
        <v>300000</v>
      </c>
      <c r="D122" s="47">
        <v>300000</v>
      </c>
      <c r="E122" s="47">
        <v>300000</v>
      </c>
      <c r="F122" s="47">
        <v>300000</v>
      </c>
      <c r="G122" s="65">
        <f>F122-E122</f>
        <v>0</v>
      </c>
      <c r="H122" s="219">
        <f>F122/$F$21</f>
        <v>4.0125252195555149E-2</v>
      </c>
      <c r="I122" t="s">
        <v>296</v>
      </c>
    </row>
    <row r="123" spans="1:11" s="1" customFormat="1" x14ac:dyDescent="0.35">
      <c r="A123" s="69" t="s">
        <v>22</v>
      </c>
      <c r="B123" s="46">
        <v>2500</v>
      </c>
      <c r="C123" s="46">
        <f>SUM(C124:C127)</f>
        <v>2500</v>
      </c>
      <c r="D123" s="46">
        <f>SUM(D124:D127)</f>
        <v>6200</v>
      </c>
      <c r="E123" s="46">
        <f>SUM(E124:E127)</f>
        <v>6200</v>
      </c>
      <c r="F123" s="46">
        <f>SUM(F124:F127)</f>
        <v>4000</v>
      </c>
      <c r="G123" s="65">
        <f>F123-E123</f>
        <v>-2200</v>
      </c>
      <c r="H123" s="219">
        <f>F123/$F$21</f>
        <v>5.3500336260740194E-4</v>
      </c>
      <c r="I123" s="198">
        <f>F123/$F$21</f>
        <v>5.3500336260740194E-4</v>
      </c>
    </row>
    <row r="124" spans="1:11" x14ac:dyDescent="0.35">
      <c r="A124" s="200" t="s">
        <v>138</v>
      </c>
      <c r="B124" s="26">
        <v>2500</v>
      </c>
      <c r="C124" s="26">
        <v>2500</v>
      </c>
      <c r="D124" s="26">
        <v>2500</v>
      </c>
      <c r="E124" s="26">
        <v>2500</v>
      </c>
      <c r="F124" s="127">
        <v>2500</v>
      </c>
      <c r="G124" s="197">
        <f>0-E124</f>
        <v>-2500</v>
      </c>
      <c r="H124" s="213"/>
      <c r="I124"/>
    </row>
    <row r="125" spans="1:11" x14ac:dyDescent="0.35">
      <c r="A125" s="190" t="s">
        <v>313</v>
      </c>
      <c r="B125" s="26"/>
      <c r="C125" s="26"/>
      <c r="D125" s="26"/>
      <c r="E125" s="26"/>
      <c r="F125" s="127">
        <v>1500</v>
      </c>
      <c r="G125" s="197"/>
      <c r="H125" s="213"/>
      <c r="I125"/>
    </row>
    <row r="126" spans="1:11" s="71" customFormat="1" x14ac:dyDescent="0.35">
      <c r="A126" s="106" t="s">
        <v>159</v>
      </c>
      <c r="B126" s="44" t="s">
        <v>143</v>
      </c>
      <c r="C126" s="44" t="s">
        <v>143</v>
      </c>
      <c r="D126" s="26">
        <v>2500</v>
      </c>
      <c r="E126" s="26">
        <v>2500</v>
      </c>
      <c r="F126" s="127" t="s">
        <v>260</v>
      </c>
      <c r="G126" s="197">
        <f t="shared" ref="G126:G127" si="8">0-E126</f>
        <v>-2500</v>
      </c>
      <c r="H126" s="213"/>
      <c r="I126"/>
    </row>
    <row r="127" spans="1:11" s="71" customFormat="1" x14ac:dyDescent="0.35">
      <c r="A127" s="106" t="s">
        <v>161</v>
      </c>
      <c r="B127" s="44" t="s">
        <v>143</v>
      </c>
      <c r="C127" s="44" t="s">
        <v>143</v>
      </c>
      <c r="D127" s="26">
        <v>1200</v>
      </c>
      <c r="E127" s="26">
        <v>1200</v>
      </c>
      <c r="F127" s="127" t="s">
        <v>260</v>
      </c>
      <c r="G127" s="197">
        <f t="shared" si="8"/>
        <v>-1200</v>
      </c>
      <c r="H127" s="213"/>
      <c r="I127"/>
    </row>
    <row r="128" spans="1:11" s="1" customFormat="1" x14ac:dyDescent="0.35">
      <c r="A128" s="73" t="s">
        <v>23</v>
      </c>
      <c r="B128" s="46">
        <v>25000</v>
      </c>
      <c r="C128" s="46">
        <v>25000</v>
      </c>
      <c r="D128" s="46">
        <v>25000</v>
      </c>
      <c r="E128" s="46">
        <v>0</v>
      </c>
      <c r="F128" s="46">
        <v>0</v>
      </c>
      <c r="G128" s="65">
        <f t="shared" ref="G128:G134" si="9">F128-E128</f>
        <v>0</v>
      </c>
      <c r="H128" s="219">
        <f t="shared" ref="H128:H133" si="10">F128/$F$21</f>
        <v>0</v>
      </c>
      <c r="I128" s="198">
        <f>F128/$F$21</f>
        <v>0</v>
      </c>
    </row>
    <row r="129" spans="1:14" s="1" customFormat="1" x14ac:dyDescent="0.35">
      <c r="A129" s="69" t="s">
        <v>36</v>
      </c>
      <c r="B129" s="46">
        <v>27683</v>
      </c>
      <c r="C129" s="46">
        <v>27683</v>
      </c>
      <c r="D129" s="46">
        <v>24955.15</v>
      </c>
      <c r="E129" s="46">
        <v>24955.15</v>
      </c>
      <c r="F129" s="47">
        <v>22138</v>
      </c>
      <c r="G129" s="65">
        <f>F129-E129</f>
        <v>-2817.1500000000015</v>
      </c>
      <c r="H129" s="219">
        <f t="shared" si="10"/>
        <v>2.9609761103506663E-3</v>
      </c>
      <c r="I129" s="198">
        <f>F129/$F$21</f>
        <v>2.9609761103506663E-3</v>
      </c>
    </row>
    <row r="130" spans="1:14" s="1" customFormat="1" x14ac:dyDescent="0.35">
      <c r="A130" s="69" t="s">
        <v>222</v>
      </c>
      <c r="B130" s="46">
        <v>0</v>
      </c>
      <c r="C130" s="46">
        <v>0</v>
      </c>
      <c r="D130" s="46">
        <v>36592.94</v>
      </c>
      <c r="E130" s="46">
        <v>36592.94</v>
      </c>
      <c r="F130" s="47">
        <v>28044</v>
      </c>
      <c r="G130" s="65">
        <f>F130-E130</f>
        <v>-8548.9400000000023</v>
      </c>
      <c r="H130" s="219">
        <f t="shared" si="10"/>
        <v>3.7509085752404948E-3</v>
      </c>
      <c r="I130" s="198">
        <f>F130/$F$21</f>
        <v>3.7509085752404948E-3</v>
      </c>
    </row>
    <row r="131" spans="1:14" s="1" customFormat="1" x14ac:dyDescent="0.35">
      <c r="A131" s="192" t="s">
        <v>283</v>
      </c>
      <c r="B131" s="46"/>
      <c r="C131" s="46"/>
      <c r="D131" s="187" t="s">
        <v>243</v>
      </c>
      <c r="E131" s="187" t="s">
        <v>243</v>
      </c>
      <c r="F131" s="47">
        <v>54893</v>
      </c>
      <c r="G131" s="179">
        <f>F131-0</f>
        <v>54893</v>
      </c>
      <c r="H131" s="219">
        <f t="shared" si="10"/>
        <v>7.341984895902029E-3</v>
      </c>
      <c r="I131" s="198">
        <f>F131/$F$21</f>
        <v>7.341984895902029E-3</v>
      </c>
    </row>
    <row r="132" spans="1:14" s="1" customFormat="1" x14ac:dyDescent="0.35">
      <c r="A132" s="69" t="s">
        <v>24</v>
      </c>
      <c r="B132" s="47">
        <v>150000</v>
      </c>
      <c r="C132" s="47">
        <v>150000</v>
      </c>
      <c r="D132" s="47">
        <v>150000</v>
      </c>
      <c r="E132" s="47">
        <v>307000</v>
      </c>
      <c r="F132" s="47">
        <v>166000</v>
      </c>
      <c r="G132" s="65">
        <f t="shared" si="9"/>
        <v>-141000</v>
      </c>
      <c r="H132" s="219">
        <f t="shared" si="10"/>
        <v>2.2202639548207181E-2</v>
      </c>
      <c r="I132" t="s">
        <v>298</v>
      </c>
      <c r="J132" s="198"/>
      <c r="K132" s="77"/>
    </row>
    <row r="133" spans="1:14" s="1" customFormat="1" x14ac:dyDescent="0.35">
      <c r="A133" s="69" t="s">
        <v>13</v>
      </c>
      <c r="B133" s="46">
        <v>1124898</v>
      </c>
      <c r="C133" s="46">
        <v>1124898</v>
      </c>
      <c r="D133" s="47">
        <v>1442360</v>
      </c>
      <c r="E133" s="47">
        <v>1454409.9042857143</v>
      </c>
      <c r="F133" s="47">
        <f>'Bayview - Capital'!I16</f>
        <v>1528487.104920635</v>
      </c>
      <c r="G133" s="65">
        <f t="shared" si="9"/>
        <v>74077.200634920737</v>
      </c>
      <c r="H133" s="219">
        <f t="shared" si="10"/>
        <v>0.20443643520864813</v>
      </c>
      <c r="I133" s="198">
        <f>F133/$F$21</f>
        <v>0.20443643520864813</v>
      </c>
      <c r="K133" s="77"/>
    </row>
    <row r="134" spans="1:14" s="1" customFormat="1" x14ac:dyDescent="0.35">
      <c r="A134" s="69" t="s">
        <v>9</v>
      </c>
      <c r="B134" s="74">
        <f>B133+B130+B129+B128+B123+B122+B121+B120+B119+B107+B103+B98+B87+B71+B63+B59+B39+B24+B132</f>
        <v>5334145.9102723328</v>
      </c>
      <c r="C134" s="74">
        <f>C133+C130+C129+C128+C123+C122+C121+C120+C119+C107+C103+C98+C87+C71+C63+C59+C39+C24+C132</f>
        <v>5334145.9102723328</v>
      </c>
      <c r="D134" s="74">
        <f>D24+D39+D59+D63+D71+D87+D98+D103+D107+D119+D120+D121+D122+D123+D128+D129+D130+D132+D133</f>
        <v>7180404.79</v>
      </c>
      <c r="E134" s="74">
        <f>E24+E39+E59+E63+E71+E87+E98+E103+E107+E119+E120+E121+E122+E123+E128+E129+E130+E132+E133</f>
        <v>7426454.6942857141</v>
      </c>
      <c r="F134" s="74">
        <f>F24+F39+F59+F63+F71+F87+F91+F98+F103+F107+F119+F120+F121+F123+F122+F128+F129+F130+F131+F132+F133</f>
        <v>7439573.4240563493</v>
      </c>
      <c r="G134" s="65">
        <f t="shared" si="9"/>
        <v>13118.729770635255</v>
      </c>
      <c r="H134" s="219"/>
      <c r="I134" s="198"/>
      <c r="K134" s="5"/>
    </row>
    <row r="135" spans="1:14" x14ac:dyDescent="0.35">
      <c r="A135" s="25"/>
      <c r="B135" s="17"/>
      <c r="C135" s="17"/>
      <c r="D135" s="17"/>
      <c r="E135" s="17"/>
      <c r="F135" s="17"/>
      <c r="G135" s="4"/>
      <c r="I135"/>
    </row>
    <row r="136" spans="1:14" s="1" customFormat="1" ht="15" thickBot="1" x14ac:dyDescent="0.4">
      <c r="A136" s="79" t="s">
        <v>27</v>
      </c>
      <c r="B136" s="21">
        <f>B21-B134</f>
        <v>-123985.91027233284</v>
      </c>
      <c r="C136" s="21">
        <f>C21-C134</f>
        <v>-123985.91027233284</v>
      </c>
      <c r="D136" s="21">
        <f>D21-D134</f>
        <v>-535283.87571428623</v>
      </c>
      <c r="E136" s="21">
        <f>E21-E134</f>
        <v>-1276764.4085714286</v>
      </c>
      <c r="F136" s="21">
        <f>F21-F134</f>
        <v>37015.097753174603</v>
      </c>
      <c r="G136" s="21">
        <f>F136-E136</f>
        <v>1313779.5063246032</v>
      </c>
      <c r="H136" s="217"/>
      <c r="N136" s="49"/>
    </row>
    <row r="137" spans="1:14" x14ac:dyDescent="0.35">
      <c r="A137" s="1"/>
      <c r="B137" s="22"/>
      <c r="C137" s="22"/>
      <c r="D137" s="22"/>
      <c r="E137" s="22"/>
      <c r="F137" s="22"/>
      <c r="G137" s="4"/>
      <c r="I137"/>
      <c r="N137" s="23"/>
    </row>
    <row r="138" spans="1:14" x14ac:dyDescent="0.35">
      <c r="A138" s="76" t="s">
        <v>3</v>
      </c>
      <c r="B138" s="18"/>
      <c r="C138" s="18"/>
      <c r="D138" s="18"/>
      <c r="E138" s="18"/>
      <c r="F138" s="18"/>
      <c r="I138" s="76"/>
      <c r="N138" s="23"/>
    </row>
    <row r="139" spans="1:14" x14ac:dyDescent="0.35">
      <c r="A139" s="24" t="s">
        <v>14</v>
      </c>
      <c r="B139" s="17">
        <v>150000</v>
      </c>
      <c r="C139" s="17">
        <v>150000</v>
      </c>
      <c r="D139" s="17">
        <v>244500</v>
      </c>
      <c r="E139" s="17">
        <v>244500</v>
      </c>
      <c r="F139" s="17">
        <v>244500</v>
      </c>
      <c r="G139" s="54">
        <f t="shared" ref="G139:G151" si="11">F139-E139</f>
        <v>0</v>
      </c>
      <c r="N139" s="23"/>
    </row>
    <row r="140" spans="1:14" x14ac:dyDescent="0.35">
      <c r="A140" s="24" t="s">
        <v>25</v>
      </c>
      <c r="B140" s="20">
        <v>300</v>
      </c>
      <c r="C140" s="20">
        <v>300</v>
      </c>
      <c r="D140" s="26">
        <v>6054</v>
      </c>
      <c r="E140" s="26">
        <v>6054</v>
      </c>
      <c r="F140" s="26">
        <v>6054</v>
      </c>
      <c r="G140" s="11">
        <f t="shared" si="11"/>
        <v>0</v>
      </c>
      <c r="I140"/>
      <c r="N140" s="23"/>
    </row>
    <row r="141" spans="1:14" x14ac:dyDescent="0.35">
      <c r="A141" s="142" t="s">
        <v>232</v>
      </c>
      <c r="B141" s="26">
        <v>0</v>
      </c>
      <c r="C141" s="26">
        <v>0</v>
      </c>
      <c r="D141" s="26">
        <v>130000</v>
      </c>
      <c r="E141" s="26">
        <v>130000</v>
      </c>
      <c r="F141" s="127" t="s">
        <v>260</v>
      </c>
      <c r="G141" s="197">
        <f>0-E141</f>
        <v>-130000</v>
      </c>
      <c r="H141" s="213"/>
      <c r="I141"/>
    </row>
    <row r="142" spans="1:14" x14ac:dyDescent="0.35">
      <c r="A142" s="24" t="s">
        <v>229</v>
      </c>
      <c r="B142" s="20">
        <v>0</v>
      </c>
      <c r="C142" s="20">
        <v>0</v>
      </c>
      <c r="D142" s="50">
        <v>3266</v>
      </c>
      <c r="E142" s="50">
        <v>3266</v>
      </c>
      <c r="F142" s="50">
        <v>3266</v>
      </c>
      <c r="G142" s="11">
        <f t="shared" si="11"/>
        <v>0</v>
      </c>
      <c r="I142"/>
    </row>
    <row r="143" spans="1:14" ht="15" thickBot="1" x14ac:dyDescent="0.4">
      <c r="A143" s="53" t="s">
        <v>4</v>
      </c>
      <c r="B143" s="52">
        <v>150300</v>
      </c>
      <c r="C143" s="52">
        <f>SUM(C139:C142)</f>
        <v>150300</v>
      </c>
      <c r="D143" s="52">
        <f>SUM(D139:D142)</f>
        <v>383820</v>
      </c>
      <c r="E143" s="52">
        <f>SUM(E139:E142)</f>
        <v>383820</v>
      </c>
      <c r="F143" s="52">
        <f>SUM(F139:F142)</f>
        <v>253820</v>
      </c>
      <c r="G143" s="21">
        <f>F143-E143</f>
        <v>-130000</v>
      </c>
      <c r="H143" s="217"/>
      <c r="I143"/>
    </row>
    <row r="144" spans="1:14" x14ac:dyDescent="0.35">
      <c r="A144" s="1"/>
      <c r="B144" s="22"/>
      <c r="C144" s="22"/>
      <c r="D144" s="22"/>
      <c r="E144" s="22"/>
      <c r="F144" s="22"/>
      <c r="G144" s="4"/>
      <c r="I144"/>
    </row>
    <row r="145" spans="1:9" x14ac:dyDescent="0.35">
      <c r="A145" s="1" t="s">
        <v>5</v>
      </c>
      <c r="B145" s="22">
        <v>-20785.91027233284</v>
      </c>
      <c r="C145" s="22">
        <f>+C136+C143</f>
        <v>26314.08972766716</v>
      </c>
      <c r="D145" s="22">
        <f>+D136+D143</f>
        <v>-151463.87571428623</v>
      </c>
      <c r="E145" s="22">
        <f>+E136+E143</f>
        <v>-892944.40857142862</v>
      </c>
      <c r="F145" s="22">
        <f>+F136+F143</f>
        <v>290835.0977531746</v>
      </c>
      <c r="G145" s="5">
        <f t="shared" si="11"/>
        <v>1183779.5063246032</v>
      </c>
      <c r="H145" s="218"/>
      <c r="I145"/>
    </row>
    <row r="146" spans="1:9" x14ac:dyDescent="0.35">
      <c r="B146" s="17"/>
      <c r="C146" s="17"/>
      <c r="D146" s="17"/>
      <c r="E146" s="17"/>
      <c r="F146" s="17"/>
      <c r="G146" s="4"/>
      <c r="I146"/>
    </row>
    <row r="147" spans="1:9" x14ac:dyDescent="0.35">
      <c r="A147" t="s">
        <v>6</v>
      </c>
      <c r="B147" s="4">
        <v>5360460</v>
      </c>
      <c r="C147" s="4">
        <f>C21+C143</f>
        <v>5360460</v>
      </c>
      <c r="D147" s="4">
        <f>D21+D143</f>
        <v>7028940.9142857138</v>
      </c>
      <c r="E147" s="4">
        <f>E21+E143</f>
        <v>6533510.2857142854</v>
      </c>
      <c r="F147" s="4">
        <f>F21+F143</f>
        <v>7730408.5218095239</v>
      </c>
      <c r="G147" s="4">
        <f t="shared" si="11"/>
        <v>1196898.2360952385</v>
      </c>
      <c r="I147"/>
    </row>
    <row r="148" spans="1:9" x14ac:dyDescent="0.35">
      <c r="A148" t="s">
        <v>37</v>
      </c>
      <c r="B148" s="34">
        <f>B152-B147</f>
        <v>-26314.08972766716</v>
      </c>
      <c r="C148" s="34">
        <f>C152-C147</f>
        <v>-26314.08972766716</v>
      </c>
      <c r="D148" s="26">
        <f>D152-D147</f>
        <v>151463.87571428623</v>
      </c>
      <c r="E148" s="26">
        <f>E152-E147</f>
        <v>892944.40857142862</v>
      </c>
      <c r="F148" s="26">
        <f>F152-F147</f>
        <v>-290835.0977531746</v>
      </c>
      <c r="G148" s="4">
        <f t="shared" si="11"/>
        <v>-1183779.5063246032</v>
      </c>
      <c r="I148"/>
    </row>
    <row r="149" spans="1:9" ht="15" thickBot="1" x14ac:dyDescent="0.4">
      <c r="A149" s="53" t="s">
        <v>7</v>
      </c>
      <c r="B149" s="32">
        <v>6546359.9102723338</v>
      </c>
      <c r="C149" s="32">
        <f>C147+C148</f>
        <v>5334145.9102723328</v>
      </c>
      <c r="D149" s="32">
        <f>D147+D148</f>
        <v>7180404.79</v>
      </c>
      <c r="E149" s="32">
        <f>E147+E148</f>
        <v>7426454.6942857141</v>
      </c>
      <c r="F149" s="32">
        <f>F147+F148</f>
        <v>7439573.4240563493</v>
      </c>
      <c r="G149" s="21">
        <f>F149-E149</f>
        <v>13118.729770635255</v>
      </c>
      <c r="H149" s="217"/>
      <c r="I149"/>
    </row>
    <row r="150" spans="1:9" x14ac:dyDescent="0.35">
      <c r="A150" s="39" t="s">
        <v>38</v>
      </c>
      <c r="C150" s="4"/>
      <c r="D150" s="4"/>
      <c r="E150" s="4"/>
      <c r="F150" s="4"/>
      <c r="G150" s="4"/>
      <c r="I150"/>
    </row>
    <row r="151" spans="1:9" x14ac:dyDescent="0.35">
      <c r="A151" s="24" t="s">
        <v>9</v>
      </c>
      <c r="B151" s="54">
        <f>B134</f>
        <v>5334145.9102723328</v>
      </c>
      <c r="C151" s="54">
        <f>C134</f>
        <v>5334145.9102723328</v>
      </c>
      <c r="D151" s="15">
        <f>D134</f>
        <v>7180404.79</v>
      </c>
      <c r="E151" s="15">
        <f>E134</f>
        <v>7426454.6942857141</v>
      </c>
      <c r="F151" s="15">
        <f>F134</f>
        <v>7439573.4240563493</v>
      </c>
      <c r="G151" s="4">
        <f t="shared" si="11"/>
        <v>13118.729770635255</v>
      </c>
      <c r="I151"/>
    </row>
    <row r="152" spans="1:9" ht="15" thickBot="1" x14ac:dyDescent="0.4">
      <c r="A152" s="53" t="s">
        <v>2</v>
      </c>
      <c r="B152" s="32">
        <f>SUM(B151:B151)</f>
        <v>5334145.9102723328</v>
      </c>
      <c r="C152" s="32">
        <f>SUM(C151:C151)</f>
        <v>5334145.9102723328</v>
      </c>
      <c r="D152" s="32">
        <f>SUM(D151:D151)</f>
        <v>7180404.79</v>
      </c>
      <c r="E152" s="32">
        <f>SUM(E151:E151)</f>
        <v>7426454.6942857141</v>
      </c>
      <c r="F152" s="32">
        <f>SUM(F151:F151)</f>
        <v>7439573.4240563493</v>
      </c>
      <c r="G152" s="21">
        <f>F152-E152</f>
        <v>13118.729770635255</v>
      </c>
      <c r="H152" s="217"/>
      <c r="I152"/>
    </row>
    <row r="153" spans="1:9" x14ac:dyDescent="0.35">
      <c r="B153"/>
      <c r="I153"/>
    </row>
    <row r="154" spans="1:9" x14ac:dyDescent="0.35">
      <c r="B154"/>
    </row>
    <row r="155" spans="1:9" x14ac:dyDescent="0.35">
      <c r="B155"/>
    </row>
    <row r="157" spans="1:9" ht="15.5" x14ac:dyDescent="0.35">
      <c r="A157" s="229" t="s">
        <v>320</v>
      </c>
      <c r="B157" s="230"/>
      <c r="C157" s="230"/>
      <c r="D157" s="230"/>
    </row>
    <row r="158" spans="1:9" x14ac:dyDescent="0.35">
      <c r="A158" t="s">
        <v>321</v>
      </c>
      <c r="D158" s="3">
        <f>F145</f>
        <v>290835.0977531746</v>
      </c>
    </row>
    <row r="159" spans="1:9" x14ac:dyDescent="0.35">
      <c r="A159" t="s">
        <v>322</v>
      </c>
      <c r="D159" s="3">
        <f>G162</f>
        <v>1828487.104920635</v>
      </c>
      <c r="F159" t="s">
        <v>323</v>
      </c>
      <c r="G159" s="23">
        <f>F133</f>
        <v>1528487.104920635</v>
      </c>
    </row>
    <row r="160" spans="1:9" x14ac:dyDescent="0.35">
      <c r="A160" t="s">
        <v>324</v>
      </c>
      <c r="D160" s="3">
        <v>-200000</v>
      </c>
      <c r="F160" t="s">
        <v>325</v>
      </c>
      <c r="G160" s="23">
        <f>F122</f>
        <v>300000</v>
      </c>
    </row>
    <row r="161" spans="1:7" x14ac:dyDescent="0.35">
      <c r="A161" t="s">
        <v>326</v>
      </c>
      <c r="D161" s="3">
        <v>-197281.36</v>
      </c>
      <c r="F161" t="s">
        <v>23</v>
      </c>
      <c r="G161" s="23">
        <f>F128</f>
        <v>0</v>
      </c>
    </row>
    <row r="162" spans="1:7" x14ac:dyDescent="0.35">
      <c r="A162" t="s">
        <v>327</v>
      </c>
      <c r="D162" s="3">
        <v>-270335.53999999998</v>
      </c>
      <c r="G162" s="37">
        <f>SUM(G159:G161)</f>
        <v>1828487.104920635</v>
      </c>
    </row>
    <row r="163" spans="1:7" ht="15" thickBot="1" x14ac:dyDescent="0.4">
      <c r="A163" s="100" t="s">
        <v>328</v>
      </c>
      <c r="D163" s="221">
        <f>-'Bayview - Capital'!E12</f>
        <v>-1895000</v>
      </c>
    </row>
    <row r="164" spans="1:7" ht="15" thickTop="1" x14ac:dyDescent="0.35">
      <c r="A164" t="s">
        <v>329</v>
      </c>
      <c r="D164" s="222">
        <f>SUM(D158:D163)</f>
        <v>-443294.6973261903</v>
      </c>
    </row>
  </sheetData>
  <mergeCells count="2">
    <mergeCell ref="A1:I1"/>
    <mergeCell ref="A157:D157"/>
  </mergeCells>
  <printOptions horizontalCentered="1"/>
  <pageMargins left="1" right="1" top="1" bottom="1" header="0.5" footer="0.5"/>
  <pageSetup scale="60" fitToHeight="0" orientation="portrait" r:id="rId1"/>
  <headerFooter>
    <oddHeader>&amp;C&amp;20Northern Utah Environmental Resource Agency
Bayview Budget 2025</oddHeader>
  </headerFooter>
  <rowBreaks count="1" manualBreakCount="1">
    <brk id="8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9DE7-6A59-41AD-8B49-5F23E89058F4}">
  <sheetPr>
    <tabColor rgb="FFFFFF00"/>
    <pageSetUpPr fitToPage="1"/>
  </sheetPr>
  <dimension ref="B2:J126"/>
  <sheetViews>
    <sheetView zoomScaleNormal="100" workbookViewId="0">
      <selection activeCell="W24" sqref="W24"/>
    </sheetView>
  </sheetViews>
  <sheetFormatPr defaultRowHeight="14.5" x14ac:dyDescent="0.35"/>
  <cols>
    <col min="1" max="1" width="1.81640625" customWidth="1"/>
    <col min="2" max="2" width="9.7265625" customWidth="1"/>
    <col min="3" max="3" width="9.7265625" hidden="1" customWidth="1"/>
    <col min="4" max="4" width="49.26953125" bestFit="1" customWidth="1"/>
    <col min="5" max="5" width="19.54296875" customWidth="1"/>
    <col min="6" max="6" width="56.453125" hidden="1" customWidth="1"/>
    <col min="7" max="7" width="0" hidden="1" customWidth="1"/>
    <col min="8" max="8" width="8.7265625" hidden="1" customWidth="1"/>
    <col min="9" max="9" width="13.453125" hidden="1" customWidth="1"/>
    <col min="10" max="10" width="8.7265625" hidden="1" customWidth="1"/>
    <col min="11" max="16" width="0" hidden="1" customWidth="1"/>
  </cols>
  <sheetData>
    <row r="2" spans="2:10" ht="51" customHeight="1" x14ac:dyDescent="0.5">
      <c r="B2" s="231" t="s">
        <v>248</v>
      </c>
      <c r="C2" s="231"/>
      <c r="D2" s="231"/>
      <c r="E2" s="231"/>
    </row>
    <row r="3" spans="2:10" ht="29.25" customHeight="1" x14ac:dyDescent="0.35">
      <c r="B3" s="6" t="s">
        <v>32</v>
      </c>
      <c r="C3" s="6" t="s">
        <v>56</v>
      </c>
      <c r="D3" s="6" t="s">
        <v>34</v>
      </c>
      <c r="E3" s="6" t="s">
        <v>35</v>
      </c>
      <c r="H3" t="s">
        <v>287</v>
      </c>
      <c r="I3" t="s">
        <v>288</v>
      </c>
    </row>
    <row r="4" spans="2:10" x14ac:dyDescent="0.35">
      <c r="B4">
        <v>2026</v>
      </c>
      <c r="C4" s="39" t="s">
        <v>72</v>
      </c>
      <c r="D4" t="s">
        <v>250</v>
      </c>
      <c r="E4" s="172">
        <v>0</v>
      </c>
      <c r="F4" t="s">
        <v>277</v>
      </c>
      <c r="H4" s="194">
        <v>5</v>
      </c>
      <c r="I4" s="23">
        <f>(E4/H4)/6</f>
        <v>0</v>
      </c>
    </row>
    <row r="5" spans="2:10" x14ac:dyDescent="0.35">
      <c r="B5">
        <v>2026</v>
      </c>
      <c r="C5" s="39" t="s">
        <v>72</v>
      </c>
      <c r="D5" t="s">
        <v>251</v>
      </c>
      <c r="E5" s="172">
        <v>800000</v>
      </c>
      <c r="F5" t="s">
        <v>285</v>
      </c>
      <c r="H5">
        <v>6</v>
      </c>
      <c r="I5" s="23">
        <f>(E5/H5)/6</f>
        <v>22222.222222222223</v>
      </c>
    </row>
    <row r="6" spans="2:10" x14ac:dyDescent="0.35">
      <c r="B6">
        <v>2026</v>
      </c>
      <c r="C6" s="39" t="s">
        <v>72</v>
      </c>
      <c r="D6" s="93" t="s">
        <v>252</v>
      </c>
      <c r="E6" s="173">
        <v>500000</v>
      </c>
      <c r="F6" t="s">
        <v>285</v>
      </c>
      <c r="H6">
        <v>6</v>
      </c>
      <c r="I6" s="23">
        <f>(E6/H6)/6</f>
        <v>13888.888888888889</v>
      </c>
    </row>
    <row r="7" spans="2:10" x14ac:dyDescent="0.35">
      <c r="B7">
        <v>2026</v>
      </c>
      <c r="C7" s="39" t="s">
        <v>72</v>
      </c>
      <c r="D7" s="93" t="s">
        <v>254</v>
      </c>
      <c r="E7" s="173">
        <v>415000</v>
      </c>
      <c r="F7" t="s">
        <v>278</v>
      </c>
      <c r="H7">
        <v>8</v>
      </c>
      <c r="I7" s="23">
        <f t="shared" ref="I7:I11" si="0">(E7/H7)/6</f>
        <v>8645.8333333333339</v>
      </c>
    </row>
    <row r="8" spans="2:10" x14ac:dyDescent="0.35">
      <c r="B8">
        <v>2026</v>
      </c>
      <c r="C8" s="39" t="s">
        <v>72</v>
      </c>
      <c r="D8" t="s">
        <v>275</v>
      </c>
      <c r="E8" s="172">
        <v>75000</v>
      </c>
      <c r="F8" t="s">
        <v>279</v>
      </c>
      <c r="H8">
        <v>5</v>
      </c>
      <c r="I8" s="23">
        <f t="shared" si="0"/>
        <v>2500</v>
      </c>
    </row>
    <row r="9" spans="2:10" x14ac:dyDescent="0.35">
      <c r="B9">
        <v>2026</v>
      </c>
      <c r="C9" s="39" t="s">
        <v>72</v>
      </c>
      <c r="D9" t="s">
        <v>253</v>
      </c>
      <c r="E9" s="224">
        <v>45000</v>
      </c>
      <c r="F9" t="s">
        <v>280</v>
      </c>
      <c r="H9">
        <v>7</v>
      </c>
      <c r="I9" s="23">
        <f t="shared" si="0"/>
        <v>1071.4285714285713</v>
      </c>
    </row>
    <row r="10" spans="2:10" x14ac:dyDescent="0.35">
      <c r="B10">
        <v>2026</v>
      </c>
      <c r="C10" s="39" t="s">
        <v>72</v>
      </c>
      <c r="D10" t="s">
        <v>276</v>
      </c>
      <c r="E10" s="224">
        <f>15000*4</f>
        <v>60000</v>
      </c>
      <c r="F10" t="s">
        <v>281</v>
      </c>
      <c r="H10" s="194">
        <v>12</v>
      </c>
      <c r="I10" s="23">
        <f t="shared" si="0"/>
        <v>833.33333333333337</v>
      </c>
    </row>
    <row r="11" spans="2:10" x14ac:dyDescent="0.35">
      <c r="B11" s="6">
        <v>2026</v>
      </c>
      <c r="C11" s="171" t="s">
        <v>284</v>
      </c>
      <c r="D11" s="6" t="s">
        <v>255</v>
      </c>
      <c r="E11" s="174">
        <v>0</v>
      </c>
      <c r="F11" t="s">
        <v>282</v>
      </c>
      <c r="H11">
        <v>20</v>
      </c>
      <c r="I11" s="23">
        <f t="shared" si="0"/>
        <v>0</v>
      </c>
    </row>
    <row r="12" spans="2:10" x14ac:dyDescent="0.35">
      <c r="D12" s="1" t="s">
        <v>249</v>
      </c>
      <c r="E12" s="85">
        <f>SUM(E4:E11)</f>
        <v>1895000</v>
      </c>
      <c r="I12" s="77">
        <f>SUM(I4:I11)</f>
        <v>49161.706349206353</v>
      </c>
      <c r="J12" t="s">
        <v>289</v>
      </c>
    </row>
    <row r="13" spans="2:10" x14ac:dyDescent="0.35">
      <c r="E13" s="23"/>
      <c r="I13" s="14">
        <v>44621.428571428572</v>
      </c>
      <c r="J13" t="s">
        <v>290</v>
      </c>
    </row>
    <row r="14" spans="2:10" hidden="1" x14ac:dyDescent="0.35">
      <c r="E14" s="23">
        <f>SUM(E6:E11)</f>
        <v>1095000</v>
      </c>
    </row>
    <row r="15" spans="2:10" x14ac:dyDescent="0.35">
      <c r="E15" s="23"/>
      <c r="I15" s="23">
        <v>1434703.97</v>
      </c>
      <c r="J15" t="s">
        <v>291</v>
      </c>
    </row>
    <row r="16" spans="2:10" x14ac:dyDescent="0.35">
      <c r="E16" s="23"/>
      <c r="I16" s="193">
        <f>SUM(I12:I15)</f>
        <v>1528487.104920635</v>
      </c>
      <c r="J16" t="s">
        <v>292</v>
      </c>
    </row>
    <row r="17" spans="5:5" x14ac:dyDescent="0.35">
      <c r="E17" s="23"/>
    </row>
    <row r="18" spans="5:5" x14ac:dyDescent="0.35">
      <c r="E18" s="23"/>
    </row>
    <row r="19" spans="5:5" x14ac:dyDescent="0.35">
      <c r="E19" s="23"/>
    </row>
    <row r="20" spans="5:5" x14ac:dyDescent="0.35">
      <c r="E20" s="23"/>
    </row>
    <row r="21" spans="5:5" x14ac:dyDescent="0.35">
      <c r="E21" s="23"/>
    </row>
    <row r="22" spans="5:5" x14ac:dyDescent="0.35">
      <c r="E22" s="23"/>
    </row>
    <row r="23" spans="5:5" x14ac:dyDescent="0.35">
      <c r="E23" s="23"/>
    </row>
    <row r="24" spans="5:5" x14ac:dyDescent="0.35">
      <c r="E24" s="23"/>
    </row>
    <row r="25" spans="5:5" x14ac:dyDescent="0.35">
      <c r="E25" s="23"/>
    </row>
    <row r="26" spans="5:5" x14ac:dyDescent="0.35">
      <c r="E26" s="23"/>
    </row>
    <row r="27" spans="5:5" x14ac:dyDescent="0.35">
      <c r="E27" s="23"/>
    </row>
    <row r="28" spans="5:5" x14ac:dyDescent="0.35">
      <c r="E28" s="23"/>
    </row>
    <row r="29" spans="5:5" x14ac:dyDescent="0.35">
      <c r="E29" s="23"/>
    </row>
    <row r="30" spans="5:5" x14ac:dyDescent="0.35">
      <c r="E30" s="23"/>
    </row>
    <row r="31" spans="5:5" x14ac:dyDescent="0.35">
      <c r="E31" s="23"/>
    </row>
    <row r="32" spans="5:5" x14ac:dyDescent="0.35">
      <c r="E32" s="23"/>
    </row>
    <row r="33" spans="5:5" x14ac:dyDescent="0.35">
      <c r="E33" s="23"/>
    </row>
    <row r="34" spans="5:5" x14ac:dyDescent="0.35">
      <c r="E34" s="23"/>
    </row>
    <row r="35" spans="5:5" x14ac:dyDescent="0.35">
      <c r="E35" s="23"/>
    </row>
    <row r="36" spans="5:5" x14ac:dyDescent="0.35">
      <c r="E36" s="23"/>
    </row>
    <row r="37" spans="5:5" x14ac:dyDescent="0.35">
      <c r="E37" s="23"/>
    </row>
    <row r="38" spans="5:5" x14ac:dyDescent="0.35">
      <c r="E38" s="23"/>
    </row>
    <row r="39" spans="5:5" x14ac:dyDescent="0.35">
      <c r="E39" s="23"/>
    </row>
    <row r="40" spans="5:5" x14ac:dyDescent="0.35">
      <c r="E40" s="23"/>
    </row>
    <row r="41" spans="5:5" x14ac:dyDescent="0.35">
      <c r="E41" s="23"/>
    </row>
    <row r="42" spans="5:5" x14ac:dyDescent="0.35">
      <c r="E42" s="23"/>
    </row>
    <row r="43" spans="5:5" x14ac:dyDescent="0.35">
      <c r="E43" s="23"/>
    </row>
    <row r="44" spans="5:5" x14ac:dyDescent="0.35">
      <c r="E44" s="23"/>
    </row>
    <row r="45" spans="5:5" x14ac:dyDescent="0.35">
      <c r="E45" s="23"/>
    </row>
    <row r="46" spans="5:5" x14ac:dyDescent="0.35">
      <c r="E46" s="23"/>
    </row>
    <row r="47" spans="5:5" x14ac:dyDescent="0.35">
      <c r="E47" s="23"/>
    </row>
    <row r="48" spans="5:5" x14ac:dyDescent="0.35">
      <c r="E48" s="23"/>
    </row>
    <row r="49" spans="5:5" x14ac:dyDescent="0.35">
      <c r="E49" s="23"/>
    </row>
    <row r="50" spans="5:5" x14ac:dyDescent="0.35">
      <c r="E50" s="23"/>
    </row>
    <row r="51" spans="5:5" x14ac:dyDescent="0.35">
      <c r="E51" s="23"/>
    </row>
    <row r="52" spans="5:5" x14ac:dyDescent="0.35">
      <c r="E52" s="23"/>
    </row>
    <row r="53" spans="5:5" x14ac:dyDescent="0.35">
      <c r="E53" s="23"/>
    </row>
    <row r="54" spans="5:5" x14ac:dyDescent="0.35">
      <c r="E54" s="23"/>
    </row>
    <row r="55" spans="5:5" x14ac:dyDescent="0.35">
      <c r="E55" s="23"/>
    </row>
    <row r="56" spans="5:5" x14ac:dyDescent="0.35">
      <c r="E56" s="23"/>
    </row>
    <row r="57" spans="5:5" x14ac:dyDescent="0.35">
      <c r="E57" s="23"/>
    </row>
    <row r="58" spans="5:5" x14ac:dyDescent="0.35">
      <c r="E58" s="23"/>
    </row>
    <row r="59" spans="5:5" x14ac:dyDescent="0.35">
      <c r="E59" s="23"/>
    </row>
    <row r="60" spans="5:5" x14ac:dyDescent="0.35">
      <c r="E60" s="23"/>
    </row>
    <row r="61" spans="5:5" x14ac:dyDescent="0.35">
      <c r="E61" s="23"/>
    </row>
    <row r="62" spans="5:5" x14ac:dyDescent="0.35">
      <c r="E62" s="23"/>
    </row>
    <row r="63" spans="5:5" x14ac:dyDescent="0.35">
      <c r="E63" s="23"/>
    </row>
    <row r="64" spans="5:5" x14ac:dyDescent="0.35">
      <c r="E64" s="23"/>
    </row>
    <row r="65" spans="5:5" x14ac:dyDescent="0.35">
      <c r="E65" s="23"/>
    </row>
    <row r="66" spans="5:5" x14ac:dyDescent="0.35">
      <c r="E66" s="23"/>
    </row>
    <row r="67" spans="5:5" x14ac:dyDescent="0.35">
      <c r="E67" s="23"/>
    </row>
    <row r="68" spans="5:5" x14ac:dyDescent="0.35">
      <c r="E68" s="23"/>
    </row>
    <row r="69" spans="5:5" x14ac:dyDescent="0.35">
      <c r="E69" s="23"/>
    </row>
    <row r="70" spans="5:5" x14ac:dyDescent="0.35">
      <c r="E70" s="23"/>
    </row>
    <row r="71" spans="5:5" x14ac:dyDescent="0.35">
      <c r="E71" s="23"/>
    </row>
    <row r="72" spans="5:5" x14ac:dyDescent="0.35">
      <c r="E72" s="23"/>
    </row>
    <row r="73" spans="5:5" x14ac:dyDescent="0.35">
      <c r="E73" s="23"/>
    </row>
    <row r="74" spans="5:5" x14ac:dyDescent="0.35">
      <c r="E74" s="23"/>
    </row>
    <row r="75" spans="5:5" x14ac:dyDescent="0.35">
      <c r="E75" s="23"/>
    </row>
    <row r="76" spans="5:5" x14ac:dyDescent="0.35">
      <c r="E76" s="23"/>
    </row>
    <row r="77" spans="5:5" x14ac:dyDescent="0.35">
      <c r="E77" s="23"/>
    </row>
    <row r="78" spans="5:5" x14ac:dyDescent="0.35">
      <c r="E78" s="23"/>
    </row>
    <row r="79" spans="5:5" x14ac:dyDescent="0.35">
      <c r="E79" s="23"/>
    </row>
    <row r="80" spans="5:5" x14ac:dyDescent="0.35">
      <c r="E80" s="23"/>
    </row>
    <row r="81" spans="5:5" x14ac:dyDescent="0.35">
      <c r="E81" s="23"/>
    </row>
    <row r="82" spans="5:5" x14ac:dyDescent="0.35">
      <c r="E82" s="23"/>
    </row>
    <row r="83" spans="5:5" x14ac:dyDescent="0.35">
      <c r="E83" s="23"/>
    </row>
    <row r="84" spans="5:5" x14ac:dyDescent="0.35">
      <c r="E84" s="23"/>
    </row>
    <row r="85" spans="5:5" x14ac:dyDescent="0.35">
      <c r="E85" s="23"/>
    </row>
    <row r="86" spans="5:5" x14ac:dyDescent="0.35">
      <c r="E86" s="23"/>
    </row>
    <row r="87" spans="5:5" x14ac:dyDescent="0.35">
      <c r="E87" s="23"/>
    </row>
    <row r="88" spans="5:5" x14ac:dyDescent="0.35">
      <c r="E88" s="23">
        <v>5000</v>
      </c>
    </row>
    <row r="89" spans="5:5" x14ac:dyDescent="0.35">
      <c r="E89" s="23"/>
    </row>
    <row r="90" spans="5:5" x14ac:dyDescent="0.35">
      <c r="E90" s="23"/>
    </row>
    <row r="91" spans="5:5" x14ac:dyDescent="0.35">
      <c r="E91" s="23"/>
    </row>
    <row r="92" spans="5:5" x14ac:dyDescent="0.35">
      <c r="E92" s="23"/>
    </row>
    <row r="93" spans="5:5" x14ac:dyDescent="0.35">
      <c r="E93" s="23"/>
    </row>
    <row r="94" spans="5:5" x14ac:dyDescent="0.35">
      <c r="E94" s="23"/>
    </row>
    <row r="95" spans="5:5" x14ac:dyDescent="0.35">
      <c r="E95" s="23"/>
    </row>
    <row r="96" spans="5:5" x14ac:dyDescent="0.35">
      <c r="E96" s="23"/>
    </row>
    <row r="97" spans="5:5" x14ac:dyDescent="0.35">
      <c r="E97" s="23"/>
    </row>
    <row r="98" spans="5:5" x14ac:dyDescent="0.35">
      <c r="E98" s="23"/>
    </row>
    <row r="99" spans="5:5" x14ac:dyDescent="0.35">
      <c r="E99" s="23"/>
    </row>
    <row r="100" spans="5:5" x14ac:dyDescent="0.35">
      <c r="E100" s="23"/>
    </row>
    <row r="101" spans="5:5" x14ac:dyDescent="0.35">
      <c r="E101" s="23"/>
    </row>
    <row r="102" spans="5:5" x14ac:dyDescent="0.35">
      <c r="E102" s="23"/>
    </row>
    <row r="103" spans="5:5" x14ac:dyDescent="0.35">
      <c r="E103" s="23"/>
    </row>
    <row r="104" spans="5:5" x14ac:dyDescent="0.35">
      <c r="E104" s="23"/>
    </row>
    <row r="105" spans="5:5" x14ac:dyDescent="0.35">
      <c r="E105" s="23"/>
    </row>
    <row r="106" spans="5:5" x14ac:dyDescent="0.35">
      <c r="E106" s="23"/>
    </row>
    <row r="107" spans="5:5" x14ac:dyDescent="0.35">
      <c r="E107" s="23"/>
    </row>
    <row r="108" spans="5:5" x14ac:dyDescent="0.35">
      <c r="E108" s="23"/>
    </row>
    <row r="109" spans="5:5" x14ac:dyDescent="0.35">
      <c r="E109" s="23"/>
    </row>
    <row r="110" spans="5:5" x14ac:dyDescent="0.35">
      <c r="E110" s="23"/>
    </row>
    <row r="111" spans="5:5" x14ac:dyDescent="0.35">
      <c r="E111" s="23"/>
    </row>
    <row r="112" spans="5:5" x14ac:dyDescent="0.35">
      <c r="E112" s="23"/>
    </row>
    <row r="113" spans="5:5" x14ac:dyDescent="0.35">
      <c r="E113" s="23"/>
    </row>
    <row r="114" spans="5:5" x14ac:dyDescent="0.35">
      <c r="E114" s="23"/>
    </row>
    <row r="115" spans="5:5" x14ac:dyDescent="0.35">
      <c r="E115" s="23"/>
    </row>
    <row r="116" spans="5:5" x14ac:dyDescent="0.35">
      <c r="E116" s="23"/>
    </row>
    <row r="117" spans="5:5" x14ac:dyDescent="0.35">
      <c r="E117" s="23"/>
    </row>
    <row r="118" spans="5:5" x14ac:dyDescent="0.35">
      <c r="E118" s="23"/>
    </row>
    <row r="119" spans="5:5" x14ac:dyDescent="0.35">
      <c r="E119" s="23"/>
    </row>
    <row r="120" spans="5:5" x14ac:dyDescent="0.35">
      <c r="E120" s="23"/>
    </row>
    <row r="121" spans="5:5" x14ac:dyDescent="0.35">
      <c r="E121" s="23"/>
    </row>
    <row r="122" spans="5:5" x14ac:dyDescent="0.35">
      <c r="E122" s="23"/>
    </row>
    <row r="123" spans="5:5" x14ac:dyDescent="0.35">
      <c r="E123" s="23"/>
    </row>
    <row r="124" spans="5:5" x14ac:dyDescent="0.35">
      <c r="E124" s="23"/>
    </row>
    <row r="125" spans="5:5" x14ac:dyDescent="0.35">
      <c r="E125" s="23"/>
    </row>
    <row r="126" spans="5:5" x14ac:dyDescent="0.35">
      <c r="E126" s="23"/>
    </row>
  </sheetData>
  <mergeCells count="1">
    <mergeCell ref="B2:E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8395-69B0-42AE-9AB5-DACFC8E65C01}">
  <sheetPr>
    <outlinePr summaryBelow="0"/>
    <pageSetUpPr fitToPage="1"/>
  </sheetPr>
  <dimension ref="A1:L53"/>
  <sheetViews>
    <sheetView workbookViewId="0">
      <selection sqref="A1:F1"/>
    </sheetView>
  </sheetViews>
  <sheetFormatPr defaultRowHeight="14.5" x14ac:dyDescent="0.35"/>
  <cols>
    <col min="1" max="1" width="44.54296875" customWidth="1"/>
    <col min="2" max="4" width="20.54296875" customWidth="1"/>
    <col min="5" max="5" width="2.54296875" customWidth="1"/>
    <col min="6" max="6" width="20.54296875" style="3" customWidth="1"/>
    <col min="7" max="7" width="40.453125" customWidth="1"/>
    <col min="8" max="8" width="13.26953125" bestFit="1" customWidth="1"/>
    <col min="9" max="9" width="12.26953125" bestFit="1" customWidth="1"/>
    <col min="12" max="12" width="12.26953125" bestFit="1" customWidth="1"/>
    <col min="14" max="14" width="12.26953125" bestFit="1" customWidth="1"/>
  </cols>
  <sheetData>
    <row r="1" spans="1:8" ht="29.25" customHeight="1" thickBot="1" x14ac:dyDescent="0.4">
      <c r="A1" s="228"/>
      <c r="B1" s="228"/>
      <c r="C1" s="228"/>
      <c r="D1" s="228"/>
      <c r="E1" s="228"/>
      <c r="F1" s="228"/>
    </row>
    <row r="2" spans="1:8" ht="29.25" customHeight="1" thickBot="1" x14ac:dyDescent="0.4">
      <c r="A2" s="1"/>
      <c r="B2" s="35" t="s">
        <v>214</v>
      </c>
      <c r="C2" s="35" t="s">
        <v>39</v>
      </c>
      <c r="D2" s="35" t="s">
        <v>40</v>
      </c>
      <c r="E2" s="232" t="s">
        <v>113</v>
      </c>
      <c r="F2" s="233"/>
      <c r="G2" s="82"/>
    </row>
    <row r="3" spans="1:8" x14ac:dyDescent="0.35">
      <c r="A3" s="1" t="s">
        <v>0</v>
      </c>
      <c r="B3" s="7"/>
      <c r="C3" s="7"/>
      <c r="D3" s="7"/>
      <c r="E3" s="8"/>
      <c r="F3" s="8"/>
    </row>
    <row r="4" spans="1:8" x14ac:dyDescent="0.35">
      <c r="A4" s="24" t="s">
        <v>48</v>
      </c>
      <c r="B4" s="15">
        <v>3930167</v>
      </c>
      <c r="C4" s="15">
        <v>4640160</v>
      </c>
      <c r="D4" s="38" t="e">
        <f>'2025 Bayview Operations wo-WIWM'!D4</f>
        <v>#REF!</v>
      </c>
      <c r="E4" s="54"/>
      <c r="F4" s="54" t="e">
        <f>D4-C4</f>
        <v>#REF!</v>
      </c>
    </row>
    <row r="5" spans="1:8" x14ac:dyDescent="0.35">
      <c r="A5" s="24" t="s">
        <v>15</v>
      </c>
      <c r="B5" s="16">
        <v>830004</v>
      </c>
      <c r="C5" s="16">
        <v>570000</v>
      </c>
      <c r="D5" s="55" t="e">
        <f>'2025 Bayview Operations wo-WIWM'!D5</f>
        <v>#REF!</v>
      </c>
      <c r="E5" s="11"/>
      <c r="F5" s="11" t="e">
        <f>D5-C5</f>
        <v>#REF!</v>
      </c>
    </row>
    <row r="6" spans="1:8" x14ac:dyDescent="0.35">
      <c r="A6" s="24" t="s">
        <v>53</v>
      </c>
      <c r="B6" s="16">
        <v>0</v>
      </c>
      <c r="C6" s="16">
        <v>0</v>
      </c>
      <c r="D6" s="55" t="e">
        <f>'2025 Bayview Operations wo-WIWM'!D6</f>
        <v>#REF!</v>
      </c>
      <c r="E6" s="11"/>
      <c r="F6" s="11" t="e">
        <f>D6-C6</f>
        <v>#REF!</v>
      </c>
    </row>
    <row r="7" spans="1:8" x14ac:dyDescent="0.35">
      <c r="A7" s="24" t="s">
        <v>41</v>
      </c>
      <c r="B7" s="16">
        <v>0</v>
      </c>
      <c r="C7" s="16">
        <v>0</v>
      </c>
      <c r="D7" s="55">
        <f>'2025 Bayview Operations wo-WIWM'!D7</f>
        <v>121150</v>
      </c>
      <c r="E7" s="11"/>
      <c r="F7" s="31">
        <f>D7-C7</f>
        <v>121150</v>
      </c>
    </row>
    <row r="8" spans="1:8" x14ac:dyDescent="0.35">
      <c r="A8" s="112" t="s">
        <v>1</v>
      </c>
      <c r="B8" s="78">
        <f>SUM(B4:B7)</f>
        <v>4760171</v>
      </c>
      <c r="C8" s="78">
        <f>SUM(C4:C7)</f>
        <v>5210160</v>
      </c>
      <c r="D8" s="78" t="e">
        <f>SUM(D4:D7)</f>
        <v>#REF!</v>
      </c>
      <c r="E8" s="78"/>
      <c r="F8" s="78" t="e">
        <f>SUM(F4:F7)</f>
        <v>#REF!</v>
      </c>
      <c r="G8" s="4"/>
    </row>
    <row r="9" spans="1:8" x14ac:dyDescent="0.35">
      <c r="B9" s="18"/>
      <c r="C9" s="18"/>
      <c r="D9" s="18"/>
      <c r="F9" s="4"/>
    </row>
    <row r="10" spans="1:8" x14ac:dyDescent="0.35">
      <c r="A10" s="2" t="s">
        <v>8</v>
      </c>
      <c r="B10" s="18"/>
      <c r="C10" s="18"/>
      <c r="D10" s="18"/>
      <c r="F10" s="4"/>
    </row>
    <row r="11" spans="1:8" s="1" customFormat="1" x14ac:dyDescent="0.35">
      <c r="A11" s="24" t="s">
        <v>10</v>
      </c>
      <c r="B11" s="19">
        <v>1420955</v>
      </c>
      <c r="C11" s="19">
        <f>'2025 Bayview Operations wo-WIWM'!C11</f>
        <v>1497177.9102723326</v>
      </c>
      <c r="D11" s="19">
        <f>'2025 Bayview Operations wo-WIWM'!D11</f>
        <v>1968096.6999999997</v>
      </c>
      <c r="E11" s="30"/>
      <c r="F11" s="54">
        <f t="shared" ref="F11:F30" si="0">D11-C11</f>
        <v>470918.78972766711</v>
      </c>
      <c r="G11"/>
      <c r="H11"/>
    </row>
    <row r="12" spans="1:8" s="1" customFormat="1" x14ac:dyDescent="0.35">
      <c r="A12" s="24" t="s">
        <v>123</v>
      </c>
      <c r="B12" s="20">
        <v>704838</v>
      </c>
      <c r="C12" s="20">
        <f>'2025 Bayview Operations wo-WIWM'!C25</f>
        <v>154625</v>
      </c>
      <c r="D12" s="20">
        <f>'2025 Bayview Operations wo-WIWM'!D25</f>
        <v>205250</v>
      </c>
      <c r="E12" s="34"/>
      <c r="F12" s="11">
        <f t="shared" si="0"/>
        <v>50625</v>
      </c>
      <c r="G12"/>
      <c r="H12"/>
    </row>
    <row r="13" spans="1:8" s="1" customFormat="1" x14ac:dyDescent="0.35">
      <c r="A13" s="24" t="s">
        <v>12</v>
      </c>
      <c r="B13" s="20">
        <v>0</v>
      </c>
      <c r="C13" s="20">
        <f>'2025 Bayview Operations wo-WIWM'!C47</f>
        <v>520000</v>
      </c>
      <c r="D13" s="20">
        <f>'2025 Bayview Operations wo-WIWM'!D47</f>
        <v>695000</v>
      </c>
      <c r="E13" s="34"/>
      <c r="F13" s="11">
        <f t="shared" si="0"/>
        <v>175000</v>
      </c>
      <c r="G13"/>
      <c r="H13"/>
    </row>
    <row r="14" spans="1:8" s="1" customFormat="1" x14ac:dyDescent="0.35">
      <c r="A14" s="24" t="s">
        <v>16</v>
      </c>
      <c r="B14" s="20">
        <v>23632</v>
      </c>
      <c r="C14" s="20">
        <f>'2025 Bayview Operations wo-WIWM'!C51</f>
        <v>64500</v>
      </c>
      <c r="D14" s="20">
        <f>'2025 Bayview Operations wo-WIWM'!D51</f>
        <v>100700</v>
      </c>
      <c r="E14" s="34"/>
      <c r="F14" s="11">
        <f t="shared" si="0"/>
        <v>36200</v>
      </c>
      <c r="G14"/>
      <c r="H14"/>
    </row>
    <row r="15" spans="1:8" s="1" customFormat="1" x14ac:dyDescent="0.35">
      <c r="A15" s="25" t="s">
        <v>11</v>
      </c>
      <c r="B15" s="26">
        <v>480947</v>
      </c>
      <c r="C15" s="26">
        <f>'2025 Bayview Operations wo-WIWM'!C59</f>
        <v>536400</v>
      </c>
      <c r="D15" s="26">
        <f>'2025 Bayview Operations wo-WIWM'!D59</f>
        <v>533500</v>
      </c>
      <c r="E15" s="34"/>
      <c r="F15" s="11">
        <f t="shared" si="0"/>
        <v>-2900</v>
      </c>
      <c r="G15"/>
      <c r="H15"/>
    </row>
    <row r="16" spans="1:8" s="1" customFormat="1" x14ac:dyDescent="0.35">
      <c r="A16" s="25" t="s">
        <v>30</v>
      </c>
      <c r="B16" s="20">
        <v>0</v>
      </c>
      <c r="C16" s="20">
        <f>'2025 Bayview Operations wo-WIWM'!C72</f>
        <v>30000</v>
      </c>
      <c r="D16" s="20">
        <f>'2025 Bayview Operations wo-WIWM'!D72</f>
        <v>45000</v>
      </c>
      <c r="E16" s="34"/>
      <c r="F16" s="11">
        <f t="shared" si="0"/>
        <v>15000</v>
      </c>
      <c r="G16"/>
      <c r="H16"/>
    </row>
    <row r="17" spans="1:12" s="1" customFormat="1" x14ac:dyDescent="0.35">
      <c r="A17" s="25" t="s">
        <v>17</v>
      </c>
      <c r="B17" s="20">
        <v>2325</v>
      </c>
      <c r="C17" s="20">
        <f>'2025 Bayview Operations wo-WIWM'!C76</f>
        <v>9200</v>
      </c>
      <c r="D17" s="20">
        <f>'2025 Bayview Operations wo-WIWM'!D76</f>
        <v>40000</v>
      </c>
      <c r="E17" s="34"/>
      <c r="F17" s="11">
        <f t="shared" si="0"/>
        <v>30800</v>
      </c>
      <c r="G17"/>
      <c r="H17"/>
    </row>
    <row r="18" spans="1:12" s="1" customFormat="1" x14ac:dyDescent="0.35">
      <c r="A18" s="25" t="s">
        <v>120</v>
      </c>
      <c r="B18" s="20">
        <v>32970</v>
      </c>
      <c r="C18" s="20">
        <f>'2025 Bayview Operations wo-WIWM'!C81</f>
        <v>85000</v>
      </c>
      <c r="D18" s="20">
        <f>'2025 Bayview Operations wo-WIWM'!D81</f>
        <v>40000</v>
      </c>
      <c r="E18" s="34"/>
      <c r="F18" s="11">
        <f t="shared" si="0"/>
        <v>-45000</v>
      </c>
      <c r="G18"/>
      <c r="H18"/>
    </row>
    <row r="19" spans="1:12" s="1" customFormat="1" x14ac:dyDescent="0.35">
      <c r="A19" s="25" t="s">
        <v>31</v>
      </c>
      <c r="B19" s="20">
        <v>195324</v>
      </c>
      <c r="C19" s="20">
        <f>'2025 Bayview Operations wo-WIWM'!C85</f>
        <v>321500</v>
      </c>
      <c r="D19" s="20">
        <f>'2025 Bayview Operations wo-WIWM'!D85</f>
        <v>353750</v>
      </c>
      <c r="E19" s="34"/>
      <c r="F19" s="11">
        <f t="shared" si="0"/>
        <v>32250</v>
      </c>
      <c r="G19" s="19"/>
      <c r="H19"/>
    </row>
    <row r="20" spans="1:12" s="1" customFormat="1" x14ac:dyDescent="0.35">
      <c r="A20" s="25" t="s">
        <v>18</v>
      </c>
      <c r="B20" s="20">
        <v>0</v>
      </c>
      <c r="C20" s="20">
        <f>'2025 Bayview Operations wo-WIWM'!C99</f>
        <v>12000</v>
      </c>
      <c r="D20" s="20">
        <f>'2025 Bayview Operations wo-WIWM'!D99</f>
        <v>12000</v>
      </c>
      <c r="E20" s="34"/>
      <c r="F20" s="11">
        <f t="shared" si="0"/>
        <v>0</v>
      </c>
      <c r="G20"/>
      <c r="H20"/>
    </row>
    <row r="21" spans="1:12" s="1" customFormat="1" x14ac:dyDescent="0.35">
      <c r="A21" s="25" t="s">
        <v>19</v>
      </c>
      <c r="B21" s="20">
        <v>88921</v>
      </c>
      <c r="C21" s="20">
        <f>'2025 Bayview Operations wo-WIWM'!C100</f>
        <v>102000</v>
      </c>
      <c r="D21" s="20">
        <f>'2025 Bayview Operations wo-WIWM'!D100</f>
        <v>150000</v>
      </c>
      <c r="E21" s="34"/>
      <c r="F21" s="11">
        <f t="shared" si="0"/>
        <v>48000</v>
      </c>
      <c r="G21"/>
      <c r="H21"/>
    </row>
    <row r="22" spans="1:12" s="1" customFormat="1" x14ac:dyDescent="0.35">
      <c r="A22" s="25" t="s">
        <v>20</v>
      </c>
      <c r="B22" s="20">
        <v>426832</v>
      </c>
      <c r="C22" s="20">
        <f>'2025 Bayview Operations wo-WIWM'!C101</f>
        <v>418762</v>
      </c>
      <c r="D22" s="20">
        <f>'2025 Bayview Operations wo-WIWM'!D101</f>
        <v>506000</v>
      </c>
      <c r="E22" s="34"/>
      <c r="F22" s="11">
        <f t="shared" si="0"/>
        <v>87238</v>
      </c>
      <c r="G22"/>
      <c r="H22"/>
    </row>
    <row r="23" spans="1:12" s="76" customFormat="1" x14ac:dyDescent="0.35">
      <c r="A23" s="106" t="s">
        <v>21</v>
      </c>
      <c r="B23" s="20">
        <v>281786</v>
      </c>
      <c r="C23" s="20">
        <f>'2025 Bayview Operations wo-WIWM'!C102</f>
        <v>300000</v>
      </c>
      <c r="D23" s="20">
        <f>'2025 Bayview Operations wo-WIWM'!D102</f>
        <v>300000</v>
      </c>
      <c r="E23" s="20"/>
      <c r="F23" s="11">
        <f t="shared" si="0"/>
        <v>0</v>
      </c>
      <c r="G23" s="93"/>
      <c r="H23" s="93"/>
    </row>
    <row r="24" spans="1:12" s="1" customFormat="1" x14ac:dyDescent="0.35">
      <c r="A24" s="25" t="s">
        <v>22</v>
      </c>
      <c r="B24" s="20">
        <v>1891</v>
      </c>
      <c r="C24" s="20">
        <f>'2025 Bayview Operations wo-WIWM'!C103</f>
        <v>2500</v>
      </c>
      <c r="D24" s="20">
        <f>'2025 Bayview Operations wo-WIWM'!D103</f>
        <v>6200</v>
      </c>
      <c r="E24" s="34"/>
      <c r="F24" s="11">
        <f t="shared" si="0"/>
        <v>3700</v>
      </c>
      <c r="G24"/>
      <c r="H24"/>
    </row>
    <row r="25" spans="1:12" s="1" customFormat="1" x14ac:dyDescent="0.35">
      <c r="A25" s="106" t="s">
        <v>23</v>
      </c>
      <c r="B25" s="20">
        <v>29516</v>
      </c>
      <c r="C25" s="20">
        <f>'2025 Bayview Operations wo-WIWM'!C107</f>
        <v>25000</v>
      </c>
      <c r="D25" s="20">
        <f>'2025 Bayview Operations wo-WIWM'!D107</f>
        <v>25000</v>
      </c>
      <c r="E25" s="34"/>
      <c r="F25" s="11">
        <f t="shared" si="0"/>
        <v>0</v>
      </c>
      <c r="G25"/>
      <c r="H25"/>
    </row>
    <row r="26" spans="1:12" s="1" customFormat="1" x14ac:dyDescent="0.35">
      <c r="A26" s="25" t="s">
        <v>36</v>
      </c>
      <c r="B26" s="20">
        <v>0</v>
      </c>
      <c r="C26" s="20">
        <f>'2025 Bayview Operations wo-WIWM'!C108</f>
        <v>27683</v>
      </c>
      <c r="D26" s="20">
        <f>'2025 Bayview Operations wo-WIWM'!D108</f>
        <v>24955.15</v>
      </c>
      <c r="E26" s="92"/>
      <c r="F26" s="11">
        <f t="shared" si="0"/>
        <v>-2727.8499999999985</v>
      </c>
      <c r="G26"/>
      <c r="H26"/>
    </row>
    <row r="27" spans="1:12" s="1" customFormat="1" x14ac:dyDescent="0.35">
      <c r="A27" s="25" t="s">
        <v>165</v>
      </c>
      <c r="B27" s="20">
        <v>0</v>
      </c>
      <c r="C27" s="20">
        <f>'2025 Bayview Operations wo-WIWM'!C109</f>
        <v>0</v>
      </c>
      <c r="D27" s="20">
        <f>'2025 Bayview Operations wo-WIWM'!D109</f>
        <v>36592.94</v>
      </c>
      <c r="E27" s="92"/>
      <c r="F27" s="11">
        <f t="shared" si="0"/>
        <v>36592.94</v>
      </c>
      <c r="G27"/>
      <c r="H27"/>
    </row>
    <row r="28" spans="1:12" s="1" customFormat="1" x14ac:dyDescent="0.35">
      <c r="A28" s="25" t="s">
        <v>24</v>
      </c>
      <c r="B28" s="20">
        <v>186283</v>
      </c>
      <c r="C28" s="20">
        <f>'2025 Bayview Operations wo-WIWM'!C110</f>
        <v>150000</v>
      </c>
      <c r="D28" s="20">
        <f>'2025 Bayview Operations wo-WIWM'!D110</f>
        <v>150000</v>
      </c>
      <c r="E28" s="34"/>
      <c r="F28" s="11">
        <f t="shared" si="0"/>
        <v>0</v>
      </c>
      <c r="G28"/>
      <c r="H28"/>
      <c r="I28" s="77"/>
    </row>
    <row r="29" spans="1:12" s="1" customFormat="1" x14ac:dyDescent="0.35">
      <c r="A29" s="107" t="s">
        <v>13</v>
      </c>
      <c r="B29" s="50">
        <v>805692</v>
      </c>
      <c r="C29" s="50">
        <f>'2025 Bayview Operations wo-WIWM'!C111</f>
        <v>1124898</v>
      </c>
      <c r="D29" s="50">
        <f>'2025 Bayview Operations wo-WIWM'!D111</f>
        <v>1415016.1566666667</v>
      </c>
      <c r="E29" s="12"/>
      <c r="F29" s="51">
        <f t="shared" si="0"/>
        <v>290118.15666666673</v>
      </c>
      <c r="G29"/>
      <c r="H29"/>
      <c r="I29" s="77"/>
    </row>
    <row r="30" spans="1:12" s="1" customFormat="1" x14ac:dyDescent="0.35">
      <c r="A30" s="2" t="s">
        <v>9</v>
      </c>
      <c r="B30" s="111">
        <f>SUM(B11:B29)</f>
        <v>4681912</v>
      </c>
      <c r="C30" s="111">
        <f>SUM(C11:C29)</f>
        <v>5381245.9102723328</v>
      </c>
      <c r="D30" s="111">
        <f>SUM(D11:D29)</f>
        <v>6607060.9466666672</v>
      </c>
      <c r="E30" s="89"/>
      <c r="F30" s="90">
        <f t="shared" si="0"/>
        <v>1225815.0363943344</v>
      </c>
      <c r="G30"/>
      <c r="H30"/>
      <c r="I30" s="5"/>
    </row>
    <row r="31" spans="1:12" x14ac:dyDescent="0.35">
      <c r="A31" s="25"/>
      <c r="B31" s="17"/>
      <c r="C31" s="17"/>
      <c r="D31" s="17"/>
      <c r="E31" s="4"/>
      <c r="F31" s="4"/>
    </row>
    <row r="32" spans="1:12" s="1" customFormat="1" ht="15" thickBot="1" x14ac:dyDescent="0.4">
      <c r="A32" s="79" t="s">
        <v>27</v>
      </c>
      <c r="B32" s="104">
        <f>B8-B30</f>
        <v>78259</v>
      </c>
      <c r="C32" s="104">
        <f>C8-C30</f>
        <v>-171085.91027233284</v>
      </c>
      <c r="D32" s="104" t="e">
        <f>D8-D30</f>
        <v>#REF!</v>
      </c>
      <c r="E32" s="105"/>
      <c r="F32" s="91" t="e">
        <f t="shared" ref="F32:F50" si="1">C32-D32</f>
        <v>#REF!</v>
      </c>
      <c r="L32" s="49"/>
    </row>
    <row r="33" spans="1:12" x14ac:dyDescent="0.35">
      <c r="A33" s="1"/>
      <c r="B33" s="22"/>
      <c r="C33" s="22"/>
      <c r="D33" s="22"/>
      <c r="E33" s="4"/>
      <c r="F33" s="5"/>
      <c r="L33" s="23"/>
    </row>
    <row r="34" spans="1:12" x14ac:dyDescent="0.35">
      <c r="A34" s="1" t="s">
        <v>3</v>
      </c>
      <c r="B34" s="18"/>
      <c r="C34" s="18"/>
      <c r="D34" s="18"/>
      <c r="F34" s="4"/>
      <c r="L34" s="23"/>
    </row>
    <row r="35" spans="1:12" x14ac:dyDescent="0.35">
      <c r="A35" s="24" t="s">
        <v>14</v>
      </c>
      <c r="B35" s="17">
        <v>232645</v>
      </c>
      <c r="C35" s="17">
        <v>150000</v>
      </c>
      <c r="D35" s="17">
        <v>244500</v>
      </c>
      <c r="F35" s="4">
        <f t="shared" si="1"/>
        <v>-94500</v>
      </c>
      <c r="L35" s="23"/>
    </row>
    <row r="36" spans="1:12" x14ac:dyDescent="0.35">
      <c r="A36" s="24" t="s">
        <v>25</v>
      </c>
      <c r="B36" s="20">
        <v>5978</v>
      </c>
      <c r="C36" s="20">
        <v>300</v>
      </c>
      <c r="D36" s="26">
        <v>6054</v>
      </c>
      <c r="E36" s="10"/>
      <c r="F36" s="11">
        <f t="shared" si="1"/>
        <v>-5754</v>
      </c>
      <c r="L36" s="23"/>
    </row>
    <row r="37" spans="1:12" x14ac:dyDescent="0.35">
      <c r="A37" s="24" t="s">
        <v>29</v>
      </c>
      <c r="B37" s="20">
        <v>-27350</v>
      </c>
      <c r="C37" s="20">
        <v>0</v>
      </c>
      <c r="D37" s="26">
        <v>0</v>
      </c>
      <c r="E37" s="10"/>
      <c r="F37" s="11">
        <f t="shared" si="1"/>
        <v>0</v>
      </c>
    </row>
    <row r="38" spans="1:12" x14ac:dyDescent="0.35">
      <c r="A38" s="24" t="s">
        <v>28</v>
      </c>
      <c r="B38" s="20">
        <v>4648</v>
      </c>
      <c r="C38" s="20">
        <v>0</v>
      </c>
      <c r="D38" s="50">
        <v>0</v>
      </c>
      <c r="E38" s="6"/>
      <c r="F38" s="51">
        <f t="shared" si="1"/>
        <v>0</v>
      </c>
    </row>
    <row r="39" spans="1:12" ht="15" thickBot="1" x14ac:dyDescent="0.4">
      <c r="A39" s="53" t="s">
        <v>4</v>
      </c>
      <c r="B39" s="104">
        <f>SUM(B35:B38)</f>
        <v>215921</v>
      </c>
      <c r="C39" s="104">
        <f>SUM(C35:C38)</f>
        <v>150300</v>
      </c>
      <c r="D39" s="104">
        <f>SUM(D35:D38)</f>
        <v>250554</v>
      </c>
      <c r="E39" s="91"/>
      <c r="F39" s="91">
        <f t="shared" si="1"/>
        <v>-100254</v>
      </c>
    </row>
    <row r="40" spans="1:12" x14ac:dyDescent="0.35">
      <c r="A40" s="1"/>
      <c r="B40" s="22"/>
      <c r="C40" s="22"/>
      <c r="D40" s="22"/>
      <c r="E40" s="5"/>
      <c r="F40" s="5"/>
    </row>
    <row r="41" spans="1:12" x14ac:dyDescent="0.35">
      <c r="A41" s="1" t="s">
        <v>5</v>
      </c>
      <c r="B41" s="22">
        <f>+B32+B39</f>
        <v>294180</v>
      </c>
      <c r="C41" s="22">
        <f>+C32+C39</f>
        <v>-20785.91027233284</v>
      </c>
      <c r="D41" s="22" t="e">
        <f>+D32+D39</f>
        <v>#REF!</v>
      </c>
      <c r="E41" s="5"/>
      <c r="F41" s="5" t="e">
        <f t="shared" si="1"/>
        <v>#REF!</v>
      </c>
    </row>
    <row r="42" spans="1:12" x14ac:dyDescent="0.35">
      <c r="B42" s="17"/>
      <c r="C42" s="17"/>
      <c r="D42" s="17"/>
      <c r="E42" s="4"/>
      <c r="F42" s="4"/>
    </row>
    <row r="43" spans="1:12" x14ac:dyDescent="0.35">
      <c r="A43" s="1" t="s">
        <v>26</v>
      </c>
      <c r="B43" s="5">
        <v>1883178</v>
      </c>
      <c r="C43" s="5">
        <f>'2025 Bayview Operations wo-WIWM'!C125</f>
        <v>2508803.27</v>
      </c>
      <c r="D43" s="5">
        <f>'2025 Capital wo_WIWMD'!G13</f>
        <v>1164799.49</v>
      </c>
      <c r="E43" s="5"/>
      <c r="F43" s="5">
        <f t="shared" si="1"/>
        <v>1344003.78</v>
      </c>
    </row>
    <row r="44" spans="1:12" x14ac:dyDescent="0.35">
      <c r="B44" s="4"/>
      <c r="C44" s="4"/>
      <c r="D44" s="4"/>
      <c r="E44" s="4"/>
      <c r="F44" s="4"/>
    </row>
    <row r="45" spans="1:12" x14ac:dyDescent="0.35">
      <c r="A45" t="s">
        <v>6</v>
      </c>
      <c r="B45" s="4">
        <f>B8+B39</f>
        <v>4976092</v>
      </c>
      <c r="C45" s="4">
        <f>C8+C39</f>
        <v>5360460</v>
      </c>
      <c r="D45" s="4" t="e">
        <f>D8+D39</f>
        <v>#REF!</v>
      </c>
      <c r="E45" s="4"/>
      <c r="F45" s="4" t="e">
        <f t="shared" si="1"/>
        <v>#REF!</v>
      </c>
    </row>
    <row r="46" spans="1:12" x14ac:dyDescent="0.35">
      <c r="A46" t="s">
        <v>37</v>
      </c>
      <c r="B46" s="34">
        <f>B50-B45</f>
        <v>-294180</v>
      </c>
      <c r="C46" s="34">
        <f>C50-C45</f>
        <v>20785.91027233284</v>
      </c>
      <c r="D46" s="26" t="e">
        <f>D50-D45</f>
        <v>#REF!</v>
      </c>
      <c r="E46" s="34"/>
      <c r="F46" s="31" t="e">
        <f t="shared" si="1"/>
        <v>#REF!</v>
      </c>
    </row>
    <row r="47" spans="1:12" ht="15" thickBot="1" x14ac:dyDescent="0.4">
      <c r="A47" s="53" t="s">
        <v>7</v>
      </c>
      <c r="B47" s="32">
        <f>B45+B46</f>
        <v>4681912</v>
      </c>
      <c r="C47" s="32">
        <f>C45+C46</f>
        <v>5381245.9102723328</v>
      </c>
      <c r="D47" s="32" t="e">
        <f>D45+D46</f>
        <v>#REF!</v>
      </c>
      <c r="E47" s="32"/>
      <c r="F47" s="32" t="e">
        <f>C47-D47</f>
        <v>#REF!</v>
      </c>
    </row>
    <row r="48" spans="1:12" x14ac:dyDescent="0.35">
      <c r="A48" s="39" t="s">
        <v>38</v>
      </c>
      <c r="B48" s="4"/>
      <c r="C48" s="4"/>
      <c r="D48" s="4"/>
      <c r="E48" s="4"/>
      <c r="F48" s="4"/>
    </row>
    <row r="49" spans="1:6" x14ac:dyDescent="0.35">
      <c r="A49" s="24" t="s">
        <v>9</v>
      </c>
      <c r="B49" s="54">
        <f>B30</f>
        <v>4681912</v>
      </c>
      <c r="C49" s="54">
        <f>C30</f>
        <v>5381245.9102723328</v>
      </c>
      <c r="D49" s="15">
        <f>D30</f>
        <v>6607060.9466666672</v>
      </c>
      <c r="E49" s="4"/>
      <c r="F49" s="4">
        <f t="shared" si="1"/>
        <v>-1225815.0363943344</v>
      </c>
    </row>
    <row r="50" spans="1:6" ht="15" thickBot="1" x14ac:dyDescent="0.4">
      <c r="A50" s="53" t="s">
        <v>2</v>
      </c>
      <c r="B50" s="32">
        <f>SUM(B49:B49)</f>
        <v>4681912</v>
      </c>
      <c r="C50" s="32">
        <f>SUM(C49:C49)</f>
        <v>5381245.9102723328</v>
      </c>
      <c r="D50" s="32">
        <f>SUM(D49:D49)</f>
        <v>6607060.9466666672</v>
      </c>
      <c r="E50" s="32"/>
      <c r="F50" s="32">
        <f t="shared" si="1"/>
        <v>-1225815.0363943344</v>
      </c>
    </row>
    <row r="52" spans="1:6" x14ac:dyDescent="0.35">
      <c r="B52" s="3"/>
      <c r="C52" s="3"/>
      <c r="D52" s="3"/>
    </row>
    <row r="53" spans="1:6" x14ac:dyDescent="0.35">
      <c r="B53" s="3"/>
      <c r="C53" s="3"/>
      <c r="D53" s="3"/>
    </row>
  </sheetData>
  <mergeCells count="2">
    <mergeCell ref="A1:F1"/>
    <mergeCell ref="E2:F2"/>
  </mergeCells>
  <pageMargins left="0.7" right="0.7" top="1.19" bottom="0.75" header="0.57999999999999996" footer="0.3"/>
  <pageSetup scale="70" fitToHeight="0" orientation="portrait" r:id="rId1"/>
  <headerFooter>
    <oddHeader>&amp;C&amp;18Northern Utah Environmental Resource Agency 
 Bayview Tenative Sub-Budget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BDDF-195D-42CB-BDA6-F5342348CC30}">
  <sheetPr>
    <outlinePr summaryBelow="0"/>
    <pageSetUpPr fitToPage="1"/>
  </sheetPr>
  <dimension ref="A1:L135"/>
  <sheetViews>
    <sheetView workbookViewId="0">
      <selection sqref="A1:F1"/>
    </sheetView>
  </sheetViews>
  <sheetFormatPr defaultRowHeight="14.5" x14ac:dyDescent="0.35"/>
  <cols>
    <col min="1" max="1" width="43" bestFit="1" customWidth="1"/>
    <col min="2" max="2" width="23" style="4" customWidth="1"/>
    <col min="3" max="4" width="23" customWidth="1"/>
    <col min="5" max="5" width="2.54296875" customWidth="1"/>
    <col min="6" max="6" width="23" style="3" customWidth="1"/>
    <col min="7" max="7" width="40.453125" customWidth="1"/>
    <col min="8" max="8" width="13.26953125" bestFit="1" customWidth="1"/>
    <col min="9" max="9" width="12.26953125" bestFit="1" customWidth="1"/>
    <col min="12" max="12" width="12.26953125" bestFit="1" customWidth="1"/>
    <col min="14" max="14" width="12.26953125" bestFit="1" customWidth="1"/>
  </cols>
  <sheetData>
    <row r="1" spans="1:8" ht="29.25" customHeight="1" thickBot="1" x14ac:dyDescent="0.4">
      <c r="A1" s="228"/>
      <c r="B1" s="228"/>
      <c r="C1" s="228"/>
      <c r="D1" s="228"/>
      <c r="E1" s="228"/>
      <c r="F1" s="228"/>
    </row>
    <row r="2" spans="1:8" ht="29.25" customHeight="1" thickBot="1" x14ac:dyDescent="0.4">
      <c r="A2" s="1"/>
      <c r="B2" s="35" t="s">
        <v>212</v>
      </c>
      <c r="C2" s="35" t="s">
        <v>39</v>
      </c>
      <c r="D2" s="35" t="s">
        <v>40</v>
      </c>
      <c r="E2" s="234" t="s">
        <v>113</v>
      </c>
      <c r="F2" s="235"/>
      <c r="G2" s="82" t="s">
        <v>191</v>
      </c>
    </row>
    <row r="3" spans="1:8" x14ac:dyDescent="0.35">
      <c r="A3" s="1" t="s">
        <v>0</v>
      </c>
      <c r="B3" s="27"/>
      <c r="C3" s="7"/>
      <c r="D3" s="7"/>
      <c r="E3" s="8"/>
      <c r="F3" s="8"/>
    </row>
    <row r="4" spans="1:8" x14ac:dyDescent="0.35">
      <c r="A4" t="s">
        <v>48</v>
      </c>
      <c r="B4" s="15">
        <v>4640160</v>
      </c>
      <c r="C4" s="15">
        <v>4640160</v>
      </c>
      <c r="D4" s="38" t="e">
        <f>(Tonnage!#REF!/2*Fees!C3)+(Tonnage!#REF!/2*Fees!C3)</f>
        <v>#REF!</v>
      </c>
      <c r="E4" s="4"/>
      <c r="F4" s="4" t="e">
        <f>D4-C4</f>
        <v>#REF!</v>
      </c>
    </row>
    <row r="5" spans="1:8" x14ac:dyDescent="0.35">
      <c r="A5" t="s">
        <v>15</v>
      </c>
      <c r="B5" s="16">
        <v>570000</v>
      </c>
      <c r="C5" s="16">
        <v>570000</v>
      </c>
      <c r="D5" s="55" t="e">
        <f>Tonnage!#REF!*Fees!C4</f>
        <v>#REF!</v>
      </c>
      <c r="E5" s="11"/>
      <c r="F5" s="11" t="e">
        <f>D5-C5</f>
        <v>#REF!</v>
      </c>
    </row>
    <row r="6" spans="1:8" x14ac:dyDescent="0.35">
      <c r="A6" t="s">
        <v>53</v>
      </c>
      <c r="B6" s="16">
        <v>0</v>
      </c>
      <c r="C6" s="16">
        <v>0</v>
      </c>
      <c r="D6" s="55" t="e">
        <f>Tonnage!#REF!*Fees!C5</f>
        <v>#REF!</v>
      </c>
      <c r="E6" s="11"/>
      <c r="F6" s="11" t="e">
        <f>D6-C6</f>
        <v>#REF!</v>
      </c>
    </row>
    <row r="7" spans="1:8" x14ac:dyDescent="0.35">
      <c r="A7" t="s">
        <v>41</v>
      </c>
      <c r="B7" s="16">
        <v>0</v>
      </c>
      <c r="C7" s="16">
        <v>0</v>
      </c>
      <c r="D7" s="55">
        <f>Fees!C15+Fees!C16</f>
        <v>121150</v>
      </c>
      <c r="E7" s="11"/>
      <c r="F7" s="31">
        <f>D7-C7</f>
        <v>121150</v>
      </c>
    </row>
    <row r="8" spans="1:8" x14ac:dyDescent="0.35">
      <c r="A8" s="80" t="s">
        <v>1</v>
      </c>
      <c r="B8" s="78">
        <v>5210160</v>
      </c>
      <c r="C8" s="78">
        <f>SUM(C4:C7)</f>
        <v>5210160</v>
      </c>
      <c r="D8" s="78" t="e">
        <f>SUM(D4:D7)</f>
        <v>#REF!</v>
      </c>
      <c r="E8" s="78"/>
      <c r="F8" s="78" t="e">
        <f>SUM(F4:F7)</f>
        <v>#REF!</v>
      </c>
      <c r="G8" s="4"/>
    </row>
    <row r="9" spans="1:8" x14ac:dyDescent="0.35">
      <c r="B9" s="18"/>
      <c r="C9" s="18"/>
      <c r="D9" s="18"/>
      <c r="F9" s="4"/>
    </row>
    <row r="10" spans="1:8" x14ac:dyDescent="0.35">
      <c r="A10" s="2" t="s">
        <v>8</v>
      </c>
      <c r="B10" s="18"/>
      <c r="C10" s="18"/>
      <c r="D10" s="18"/>
      <c r="F10" s="4"/>
    </row>
    <row r="11" spans="1:8" s="1" customFormat="1" x14ac:dyDescent="0.35">
      <c r="A11" s="64" t="s">
        <v>10</v>
      </c>
      <c r="B11" s="46">
        <v>1497177.9102723326</v>
      </c>
      <c r="C11" s="46">
        <f>SUM(C12:C24)</f>
        <v>1497177.9102723326</v>
      </c>
      <c r="D11" s="120">
        <f>SUM(D12:D24)-300000</f>
        <v>1968096.6999999997</v>
      </c>
      <c r="E11" s="65"/>
      <c r="F11" s="65">
        <f>D11-C11</f>
        <v>470918.78972766711</v>
      </c>
      <c r="G11" s="64"/>
      <c r="H11" s="64" t="s">
        <v>166</v>
      </c>
    </row>
    <row r="12" spans="1:8" x14ac:dyDescent="0.35">
      <c r="A12" s="24" t="s">
        <v>73</v>
      </c>
      <c r="B12" s="20">
        <v>870036.4261880524</v>
      </c>
      <c r="C12" s="20">
        <v>870036.4261880524</v>
      </c>
      <c r="D12" s="121">
        <v>1243401.3999999999</v>
      </c>
      <c r="E12" s="4"/>
      <c r="F12" s="20">
        <f>D12-C12</f>
        <v>373364.97381194751</v>
      </c>
      <c r="G12" t="s">
        <v>170</v>
      </c>
    </row>
    <row r="13" spans="1:8" x14ac:dyDescent="0.35">
      <c r="A13" s="24" t="s">
        <v>74</v>
      </c>
      <c r="B13" s="20">
        <v>68122.077423963696</v>
      </c>
      <c r="C13" s="20">
        <v>68122.077423963696</v>
      </c>
      <c r="D13" s="121">
        <v>97503.38</v>
      </c>
      <c r="E13" s="4"/>
      <c r="F13" s="20">
        <f t="shared" ref="F13:F83" si="0">D13-C13</f>
        <v>29381.302576036309</v>
      </c>
      <c r="G13" t="s">
        <v>168</v>
      </c>
    </row>
    <row r="14" spans="1:8" x14ac:dyDescent="0.35">
      <c r="A14" s="24" t="s">
        <v>75</v>
      </c>
      <c r="B14" s="20">
        <v>187102.11139672401</v>
      </c>
      <c r="C14" s="20">
        <v>187102.11139672401</v>
      </c>
      <c r="D14" s="103">
        <v>265944.64</v>
      </c>
      <c r="E14" s="4"/>
      <c r="F14" s="20">
        <f t="shared" si="0"/>
        <v>78842.528603276005</v>
      </c>
      <c r="G14" t="s">
        <v>171</v>
      </c>
    </row>
    <row r="15" spans="1:8" x14ac:dyDescent="0.35">
      <c r="A15" s="24" t="s">
        <v>76</v>
      </c>
      <c r="B15" s="20">
        <v>60463.909242969079</v>
      </c>
      <c r="C15" s="20">
        <v>60463.909242969079</v>
      </c>
      <c r="D15" s="103">
        <v>86542.21</v>
      </c>
      <c r="E15" s="4"/>
      <c r="F15" s="20">
        <f t="shared" si="0"/>
        <v>26078.300757030927</v>
      </c>
    </row>
    <row r="16" spans="1:8" x14ac:dyDescent="0.35">
      <c r="A16" s="24" t="s">
        <v>77</v>
      </c>
      <c r="B16" s="20">
        <v>228087.24000000011</v>
      </c>
      <c r="C16" s="20">
        <v>228087.24000000011</v>
      </c>
      <c r="D16" s="103">
        <v>408949.56</v>
      </c>
      <c r="E16" s="4"/>
      <c r="F16" s="20">
        <f t="shared" si="0"/>
        <v>180862.31999999989</v>
      </c>
      <c r="G16" t="s">
        <v>169</v>
      </c>
    </row>
    <row r="17" spans="1:8" x14ac:dyDescent="0.35">
      <c r="A17" s="24" t="s">
        <v>78</v>
      </c>
      <c r="B17" s="20">
        <v>16500</v>
      </c>
      <c r="C17" s="20">
        <v>16500</v>
      </c>
      <c r="D17" s="103">
        <v>24750</v>
      </c>
      <c r="E17" s="4"/>
      <c r="F17" s="20">
        <f t="shared" si="0"/>
        <v>8250</v>
      </c>
    </row>
    <row r="18" spans="1:8" x14ac:dyDescent="0.35">
      <c r="A18" s="24" t="s">
        <v>79</v>
      </c>
      <c r="B18" s="20">
        <v>3542.5</v>
      </c>
      <c r="C18" s="20">
        <v>3542.5</v>
      </c>
      <c r="D18" s="103">
        <v>5995</v>
      </c>
      <c r="E18" s="4"/>
      <c r="F18" s="20">
        <f t="shared" si="0"/>
        <v>2452.5</v>
      </c>
    </row>
    <row r="19" spans="1:8" x14ac:dyDescent="0.35">
      <c r="A19" s="24" t="s">
        <v>80</v>
      </c>
      <c r="B19" s="20">
        <v>2400</v>
      </c>
      <c r="C19" s="20">
        <v>2400</v>
      </c>
      <c r="D19" s="103">
        <v>4400</v>
      </c>
      <c r="E19" s="4"/>
      <c r="F19" s="20">
        <f t="shared" si="0"/>
        <v>2000</v>
      </c>
    </row>
    <row r="20" spans="1:8" x14ac:dyDescent="0.35">
      <c r="A20" s="24" t="s">
        <v>81</v>
      </c>
      <c r="B20" s="20">
        <v>7359</v>
      </c>
      <c r="C20" s="20">
        <v>7359</v>
      </c>
      <c r="D20" s="103">
        <v>12812</v>
      </c>
      <c r="E20" s="4"/>
      <c r="F20" s="20">
        <f t="shared" si="0"/>
        <v>5453</v>
      </c>
    </row>
    <row r="21" spans="1:8" x14ac:dyDescent="0.35">
      <c r="A21" s="24" t="s">
        <v>82</v>
      </c>
      <c r="B21" s="20">
        <v>3116.4</v>
      </c>
      <c r="C21" s="20">
        <v>3116.4</v>
      </c>
      <c r="D21" s="103">
        <v>5145.96</v>
      </c>
      <c r="E21" s="4"/>
      <c r="F21" s="20">
        <f t="shared" si="0"/>
        <v>2029.56</v>
      </c>
    </row>
    <row r="22" spans="1:8" x14ac:dyDescent="0.35">
      <c r="A22" s="24" t="s">
        <v>83</v>
      </c>
      <c r="B22" s="20">
        <v>30000</v>
      </c>
      <c r="C22" s="20">
        <v>30000</v>
      </c>
      <c r="D22" s="103">
        <v>71500</v>
      </c>
      <c r="E22" s="4"/>
      <c r="F22" s="20">
        <f t="shared" si="0"/>
        <v>41500</v>
      </c>
    </row>
    <row r="23" spans="1:8" ht="15" customHeight="1" x14ac:dyDescent="0.35">
      <c r="A23" s="24" t="s">
        <v>84</v>
      </c>
      <c r="B23" s="20">
        <v>20448.246020623203</v>
      </c>
      <c r="C23" s="20">
        <v>20448.246020623203</v>
      </c>
      <c r="D23" s="103">
        <v>31152.55</v>
      </c>
      <c r="E23" s="11"/>
      <c r="F23" s="20">
        <f t="shared" si="0"/>
        <v>10704.303979376797</v>
      </c>
    </row>
    <row r="24" spans="1:8" ht="15" customHeight="1" x14ac:dyDescent="0.35">
      <c r="A24" s="56" t="s">
        <v>162</v>
      </c>
      <c r="B24" s="59" t="s">
        <v>143</v>
      </c>
      <c r="C24" s="59" t="s">
        <v>143</v>
      </c>
      <c r="D24" s="122">
        <v>10000</v>
      </c>
      <c r="E24" s="57"/>
      <c r="F24" s="59" t="s">
        <v>143</v>
      </c>
      <c r="G24" t="s">
        <v>172</v>
      </c>
    </row>
    <row r="25" spans="1:8" s="1" customFormat="1" x14ac:dyDescent="0.35">
      <c r="A25" s="64" t="s">
        <v>123</v>
      </c>
      <c r="B25" s="46">
        <v>154625</v>
      </c>
      <c r="C25" s="46">
        <f>SUM(C26:C46)</f>
        <v>154625</v>
      </c>
      <c r="D25" s="46">
        <f>SUM(D26:D44)</f>
        <v>205250</v>
      </c>
      <c r="E25" s="67"/>
      <c r="F25" s="65">
        <f>D25-C25</f>
        <v>50625</v>
      </c>
      <c r="G25" s="64"/>
      <c r="H25" s="64" t="s">
        <v>166</v>
      </c>
    </row>
    <row r="26" spans="1:8" x14ac:dyDescent="0.35">
      <c r="A26" s="24" t="s">
        <v>124</v>
      </c>
      <c r="B26" s="26">
        <v>3600</v>
      </c>
      <c r="C26" s="26">
        <v>3600</v>
      </c>
      <c r="D26" s="26">
        <v>9000</v>
      </c>
      <c r="E26" s="11"/>
      <c r="F26" s="20">
        <f>D26-C26</f>
        <v>5400</v>
      </c>
    </row>
    <row r="27" spans="1:8" s="71" customFormat="1" x14ac:dyDescent="0.35">
      <c r="A27" s="70" t="s">
        <v>153</v>
      </c>
      <c r="B27" s="59" t="s">
        <v>143</v>
      </c>
      <c r="C27" s="59" t="s">
        <v>143</v>
      </c>
      <c r="D27" s="60">
        <v>10000</v>
      </c>
      <c r="E27" s="57"/>
      <c r="F27" s="59" t="s">
        <v>143</v>
      </c>
    </row>
    <row r="28" spans="1:8" x14ac:dyDescent="0.35">
      <c r="A28" s="24" t="s">
        <v>125</v>
      </c>
      <c r="B28" s="26">
        <v>675</v>
      </c>
      <c r="C28" s="26">
        <v>675</v>
      </c>
      <c r="D28" s="26">
        <v>2000</v>
      </c>
      <c r="E28" s="11"/>
      <c r="F28" s="20">
        <f t="shared" si="0"/>
        <v>1325</v>
      </c>
    </row>
    <row r="29" spans="1:8" x14ac:dyDescent="0.35">
      <c r="A29" s="24" t="s">
        <v>126</v>
      </c>
      <c r="B29" s="26">
        <v>2100</v>
      </c>
      <c r="C29" s="26">
        <v>2100</v>
      </c>
      <c r="D29" s="26">
        <v>17000</v>
      </c>
      <c r="E29" s="11"/>
      <c r="F29" s="20">
        <f t="shared" si="0"/>
        <v>14900</v>
      </c>
      <c r="G29" t="s">
        <v>173</v>
      </c>
    </row>
    <row r="30" spans="1:8" x14ac:dyDescent="0.35">
      <c r="A30" s="24" t="s">
        <v>127</v>
      </c>
      <c r="B30" s="26">
        <v>1000</v>
      </c>
      <c r="C30" s="26">
        <v>1000</v>
      </c>
      <c r="D30" s="26">
        <v>1000</v>
      </c>
      <c r="E30" s="11"/>
      <c r="F30" s="20">
        <f t="shared" si="0"/>
        <v>0</v>
      </c>
    </row>
    <row r="31" spans="1:8" x14ac:dyDescent="0.35">
      <c r="A31" s="24" t="s">
        <v>137</v>
      </c>
      <c r="B31" s="26">
        <v>750</v>
      </c>
      <c r="C31" s="26">
        <v>750</v>
      </c>
      <c r="D31" s="26">
        <v>750</v>
      </c>
      <c r="E31" s="11"/>
      <c r="F31" s="20">
        <f t="shared" si="0"/>
        <v>0</v>
      </c>
    </row>
    <row r="32" spans="1:8" x14ac:dyDescent="0.35">
      <c r="A32" s="24" t="s">
        <v>138</v>
      </c>
      <c r="B32" s="26">
        <v>10000</v>
      </c>
      <c r="C32" s="26">
        <v>10000</v>
      </c>
      <c r="D32" s="26">
        <v>10000</v>
      </c>
      <c r="E32" s="11"/>
      <c r="F32" s="20">
        <f t="shared" si="0"/>
        <v>0</v>
      </c>
    </row>
    <row r="33" spans="1:8" x14ac:dyDescent="0.35">
      <c r="A33" s="56" t="s">
        <v>139</v>
      </c>
      <c r="B33" s="60">
        <v>3000</v>
      </c>
      <c r="C33" s="60">
        <v>3000</v>
      </c>
      <c r="D33" s="61" t="s">
        <v>174</v>
      </c>
      <c r="E33" s="62"/>
      <c r="F33" s="63" t="s">
        <v>174</v>
      </c>
    </row>
    <row r="34" spans="1:8" x14ac:dyDescent="0.35">
      <c r="A34" s="56" t="s">
        <v>128</v>
      </c>
      <c r="B34" s="60">
        <v>32000</v>
      </c>
      <c r="C34" s="60">
        <v>32000</v>
      </c>
      <c r="D34" s="61" t="s">
        <v>175</v>
      </c>
      <c r="E34" s="62"/>
      <c r="F34" s="63" t="s">
        <v>175</v>
      </c>
    </row>
    <row r="35" spans="1:8" x14ac:dyDescent="0.35">
      <c r="A35" s="56" t="s">
        <v>12</v>
      </c>
      <c r="B35" s="61">
        <v>6000</v>
      </c>
      <c r="C35" s="61">
        <v>6000</v>
      </c>
      <c r="D35" s="61" t="s">
        <v>175</v>
      </c>
      <c r="E35" s="62"/>
      <c r="F35" s="63" t="s">
        <v>175</v>
      </c>
    </row>
    <row r="36" spans="1:8" x14ac:dyDescent="0.35">
      <c r="A36" s="24" t="s">
        <v>140</v>
      </c>
      <c r="B36" s="26">
        <v>15000</v>
      </c>
      <c r="C36" s="26">
        <v>15000</v>
      </c>
      <c r="D36" s="26">
        <v>15000</v>
      </c>
      <c r="E36" s="11"/>
      <c r="F36" s="20">
        <f t="shared" si="0"/>
        <v>0</v>
      </c>
    </row>
    <row r="37" spans="1:8" x14ac:dyDescent="0.35">
      <c r="A37" s="24" t="s">
        <v>129</v>
      </c>
      <c r="B37" s="26">
        <v>26000</v>
      </c>
      <c r="C37" s="26">
        <v>26000</v>
      </c>
      <c r="D37" s="26">
        <v>26000</v>
      </c>
      <c r="E37" s="11"/>
      <c r="F37" s="20">
        <f t="shared" si="0"/>
        <v>0</v>
      </c>
    </row>
    <row r="38" spans="1:8" x14ac:dyDescent="0.35">
      <c r="A38" s="24" t="s">
        <v>130</v>
      </c>
      <c r="B38" s="26">
        <v>7500</v>
      </c>
      <c r="C38" s="26">
        <v>7500</v>
      </c>
      <c r="D38" s="26">
        <v>10000</v>
      </c>
      <c r="E38" s="11"/>
      <c r="F38" s="20">
        <f t="shared" si="0"/>
        <v>2500</v>
      </c>
    </row>
    <row r="39" spans="1:8" x14ac:dyDescent="0.35">
      <c r="A39" s="24" t="s">
        <v>131</v>
      </c>
      <c r="B39" s="26">
        <v>5200</v>
      </c>
      <c r="C39" s="26">
        <v>5200</v>
      </c>
      <c r="D39" s="26">
        <v>20000</v>
      </c>
      <c r="E39" s="11"/>
      <c r="F39" s="20">
        <f t="shared" si="0"/>
        <v>14800</v>
      </c>
    </row>
    <row r="40" spans="1:8" x14ac:dyDescent="0.35">
      <c r="A40" s="24" t="s">
        <v>132</v>
      </c>
      <c r="B40" s="26">
        <v>3200</v>
      </c>
      <c r="C40" s="26">
        <v>3200</v>
      </c>
      <c r="D40" s="26">
        <v>5000</v>
      </c>
      <c r="E40" s="11"/>
      <c r="F40" s="20">
        <f>D40-C40</f>
        <v>1800</v>
      </c>
    </row>
    <row r="41" spans="1:8" x14ac:dyDescent="0.35">
      <c r="A41" s="24" t="s">
        <v>133</v>
      </c>
      <c r="B41" s="26">
        <v>2000</v>
      </c>
      <c r="C41" s="26">
        <v>2000</v>
      </c>
      <c r="D41" s="26">
        <v>2500</v>
      </c>
      <c r="E41" s="11"/>
      <c r="F41" s="20">
        <f>D41-C41</f>
        <v>500</v>
      </c>
    </row>
    <row r="42" spans="1:8" x14ac:dyDescent="0.35">
      <c r="A42" s="24" t="s">
        <v>134</v>
      </c>
      <c r="B42" s="26">
        <v>500</v>
      </c>
      <c r="C42" s="26">
        <v>500</v>
      </c>
      <c r="D42" s="26">
        <v>7000</v>
      </c>
      <c r="E42" s="11"/>
      <c r="F42" s="20">
        <f t="shared" si="0"/>
        <v>6500</v>
      </c>
    </row>
    <row r="43" spans="1:8" x14ac:dyDescent="0.35">
      <c r="A43" s="24" t="s">
        <v>135</v>
      </c>
      <c r="B43" s="45">
        <v>30000</v>
      </c>
      <c r="C43" s="45">
        <v>30000</v>
      </c>
      <c r="D43" s="26">
        <v>60000</v>
      </c>
      <c r="E43" s="11"/>
      <c r="F43" s="20">
        <f t="shared" si="0"/>
        <v>30000</v>
      </c>
    </row>
    <row r="44" spans="1:8" x14ac:dyDescent="0.35">
      <c r="A44" s="24" t="s">
        <v>136</v>
      </c>
      <c r="B44" s="26">
        <v>2000</v>
      </c>
      <c r="C44" s="26">
        <v>2000</v>
      </c>
      <c r="D44" s="26">
        <v>10000</v>
      </c>
      <c r="E44" s="11"/>
      <c r="F44" s="20">
        <f t="shared" si="0"/>
        <v>8000</v>
      </c>
    </row>
    <row r="45" spans="1:8" x14ac:dyDescent="0.35">
      <c r="A45" s="24" t="s">
        <v>141</v>
      </c>
      <c r="B45" s="26">
        <v>1500</v>
      </c>
      <c r="C45" s="26">
        <v>1500</v>
      </c>
      <c r="D45" s="26">
        <v>1500</v>
      </c>
      <c r="E45" s="11"/>
      <c r="F45" s="20">
        <f t="shared" si="0"/>
        <v>0</v>
      </c>
    </row>
    <row r="46" spans="1:8" x14ac:dyDescent="0.35">
      <c r="A46" s="56" t="s">
        <v>142</v>
      </c>
      <c r="B46" s="60">
        <v>2600</v>
      </c>
      <c r="C46" s="60">
        <v>2600</v>
      </c>
      <c r="D46" s="61" t="s">
        <v>176</v>
      </c>
      <c r="E46" s="57"/>
      <c r="F46" s="63" t="s">
        <v>176</v>
      </c>
    </row>
    <row r="47" spans="1:8" s="1" customFormat="1" x14ac:dyDescent="0.35">
      <c r="A47" s="64" t="s">
        <v>12</v>
      </c>
      <c r="B47" s="46">
        <v>520000</v>
      </c>
      <c r="C47" s="46">
        <f>SUM(C48:C50)</f>
        <v>520000</v>
      </c>
      <c r="D47" s="46">
        <f>SUM(D48:D50)</f>
        <v>695000</v>
      </c>
      <c r="E47" s="67"/>
      <c r="F47" s="65">
        <f>D47-C47</f>
        <v>175000</v>
      </c>
      <c r="G47" s="64"/>
      <c r="H47" s="64" t="s">
        <v>166</v>
      </c>
    </row>
    <row r="48" spans="1:8" x14ac:dyDescent="0.35">
      <c r="A48" s="56" t="s">
        <v>86</v>
      </c>
      <c r="B48" s="58">
        <v>520000</v>
      </c>
      <c r="C48" s="58">
        <v>520000</v>
      </c>
      <c r="D48" s="60">
        <f>750000-100000</f>
        <v>650000</v>
      </c>
      <c r="E48" s="57"/>
      <c r="F48" s="58">
        <f t="shared" si="0"/>
        <v>130000</v>
      </c>
    </row>
    <row r="49" spans="1:8" x14ac:dyDescent="0.35">
      <c r="A49" s="56" t="s">
        <v>87</v>
      </c>
      <c r="B49" s="59" t="s">
        <v>143</v>
      </c>
      <c r="C49" s="59" t="s">
        <v>143</v>
      </c>
      <c r="D49" s="60">
        <v>0</v>
      </c>
      <c r="E49" s="57"/>
      <c r="F49" s="59" t="s">
        <v>143</v>
      </c>
      <c r="H49" s="14"/>
    </row>
    <row r="50" spans="1:8" x14ac:dyDescent="0.35">
      <c r="A50" s="56" t="s">
        <v>85</v>
      </c>
      <c r="B50" s="59">
        <v>0</v>
      </c>
      <c r="C50" s="59">
        <v>0</v>
      </c>
      <c r="D50" s="60">
        <v>45000</v>
      </c>
      <c r="E50" s="57"/>
      <c r="F50" s="59">
        <f>D50-C34</f>
        <v>13000</v>
      </c>
    </row>
    <row r="51" spans="1:8" s="1" customFormat="1" x14ac:dyDescent="0.35">
      <c r="A51" s="64" t="s">
        <v>16</v>
      </c>
      <c r="B51" s="46">
        <v>64500</v>
      </c>
      <c r="C51" s="46">
        <f>SUM(C52:C58)</f>
        <v>64500</v>
      </c>
      <c r="D51" s="46">
        <f>SUM(D53:D58)</f>
        <v>100700</v>
      </c>
      <c r="E51" s="67"/>
      <c r="F51" s="65">
        <f>D51-C51</f>
        <v>36200</v>
      </c>
      <c r="G51" s="64"/>
      <c r="H51" s="64" t="s">
        <v>166</v>
      </c>
    </row>
    <row r="52" spans="1:8" x14ac:dyDescent="0.35">
      <c r="A52" s="24" t="s">
        <v>88</v>
      </c>
      <c r="B52" s="20">
        <v>4200</v>
      </c>
      <c r="C52" s="20">
        <v>4200</v>
      </c>
      <c r="D52" s="26">
        <v>4500</v>
      </c>
      <c r="E52" s="11"/>
      <c r="F52" s="20">
        <f t="shared" si="0"/>
        <v>300</v>
      </c>
    </row>
    <row r="53" spans="1:8" x14ac:dyDescent="0.35">
      <c r="A53" s="24" t="s">
        <v>89</v>
      </c>
      <c r="B53" s="20">
        <v>0</v>
      </c>
      <c r="C53" s="20">
        <v>0</v>
      </c>
      <c r="D53" s="26">
        <v>0</v>
      </c>
      <c r="E53" s="11"/>
      <c r="F53" s="20">
        <f t="shared" si="0"/>
        <v>0</v>
      </c>
    </row>
    <row r="54" spans="1:8" x14ac:dyDescent="0.35">
      <c r="A54" s="24" t="s">
        <v>94</v>
      </c>
      <c r="B54" s="20">
        <v>5200</v>
      </c>
      <c r="C54" s="20">
        <v>5200</v>
      </c>
      <c r="D54" s="26">
        <v>12500</v>
      </c>
      <c r="E54" s="11"/>
      <c r="F54" s="20">
        <f t="shared" si="0"/>
        <v>7300</v>
      </c>
      <c r="G54" t="s">
        <v>177</v>
      </c>
    </row>
    <row r="55" spans="1:8" x14ac:dyDescent="0.35">
      <c r="A55" s="24" t="s">
        <v>90</v>
      </c>
      <c r="B55" s="20">
        <v>1300</v>
      </c>
      <c r="C55" s="20">
        <v>1300</v>
      </c>
      <c r="D55" s="26">
        <v>1500</v>
      </c>
      <c r="E55" s="11"/>
      <c r="F55" s="20">
        <f t="shared" si="0"/>
        <v>200</v>
      </c>
    </row>
    <row r="56" spans="1:8" x14ac:dyDescent="0.35">
      <c r="A56" s="24" t="s">
        <v>91</v>
      </c>
      <c r="B56" s="26">
        <v>33300</v>
      </c>
      <c r="C56" s="26">
        <f>47500-14200</f>
        <v>33300</v>
      </c>
      <c r="D56" s="26">
        <v>25000</v>
      </c>
      <c r="E56" s="11"/>
      <c r="F56" s="20">
        <f t="shared" si="0"/>
        <v>-8300</v>
      </c>
      <c r="G56" t="s">
        <v>178</v>
      </c>
    </row>
    <row r="57" spans="1:8" x14ac:dyDescent="0.35">
      <c r="A57" s="24" t="s">
        <v>92</v>
      </c>
      <c r="B57" s="20">
        <v>500</v>
      </c>
      <c r="C57" s="20">
        <v>500</v>
      </c>
      <c r="D57" s="26">
        <v>500</v>
      </c>
      <c r="E57" s="11"/>
      <c r="F57" s="20">
        <f t="shared" si="0"/>
        <v>0</v>
      </c>
    </row>
    <row r="58" spans="1:8" x14ac:dyDescent="0.35">
      <c r="A58" s="24" t="s">
        <v>93</v>
      </c>
      <c r="B58" s="20">
        <v>20000</v>
      </c>
      <c r="C58" s="20">
        <v>20000</v>
      </c>
      <c r="D58" s="26">
        <f>1700*3*12</f>
        <v>61200</v>
      </c>
      <c r="E58" s="11"/>
      <c r="F58" s="20">
        <f t="shared" si="0"/>
        <v>41200</v>
      </c>
      <c r="G58" t="s">
        <v>179</v>
      </c>
    </row>
    <row r="59" spans="1:8" s="1" customFormat="1" x14ac:dyDescent="0.35">
      <c r="A59" s="69" t="s">
        <v>11</v>
      </c>
      <c r="B59" s="47">
        <v>536400</v>
      </c>
      <c r="C59" s="47">
        <f>SUM(C60:C71)</f>
        <v>536400</v>
      </c>
      <c r="D59" s="46">
        <f>SUM(D61:D71)</f>
        <v>533500</v>
      </c>
      <c r="E59" s="67"/>
      <c r="F59" s="65">
        <f>D59-C59</f>
        <v>-2900</v>
      </c>
      <c r="G59" s="64"/>
      <c r="H59" s="64" t="s">
        <v>166</v>
      </c>
    </row>
    <row r="60" spans="1:8" x14ac:dyDescent="0.35">
      <c r="A60" s="25" t="s">
        <v>95</v>
      </c>
      <c r="B60" s="20">
        <v>92000</v>
      </c>
      <c r="C60" s="20">
        <v>92000</v>
      </c>
      <c r="D60" s="26">
        <v>50000</v>
      </c>
      <c r="E60" s="11"/>
      <c r="F60" s="20">
        <f t="shared" si="0"/>
        <v>-42000</v>
      </c>
    </row>
    <row r="61" spans="1:8" x14ac:dyDescent="0.35">
      <c r="A61" s="25" t="s">
        <v>96</v>
      </c>
      <c r="B61" s="20">
        <v>0</v>
      </c>
      <c r="C61" s="20">
        <v>0</v>
      </c>
      <c r="D61" s="26">
        <v>0</v>
      </c>
      <c r="E61" s="11"/>
      <c r="F61" s="20">
        <f>D61-C61</f>
        <v>0</v>
      </c>
    </row>
    <row r="62" spans="1:8" x14ac:dyDescent="0.35">
      <c r="A62" s="25" t="s">
        <v>97</v>
      </c>
      <c r="B62" s="20">
        <v>43000</v>
      </c>
      <c r="C62" s="20">
        <v>43000</v>
      </c>
      <c r="D62" s="26">
        <v>40000</v>
      </c>
      <c r="E62" s="11"/>
      <c r="F62" s="20">
        <f>D62-C62</f>
        <v>-3000</v>
      </c>
    </row>
    <row r="63" spans="1:8" x14ac:dyDescent="0.35">
      <c r="A63" s="25" t="s">
        <v>98</v>
      </c>
      <c r="B63" s="20">
        <v>6500</v>
      </c>
      <c r="C63" s="20">
        <v>6500</v>
      </c>
      <c r="D63" s="26">
        <v>30000</v>
      </c>
      <c r="E63" s="11"/>
      <c r="F63" s="20">
        <f t="shared" si="0"/>
        <v>23500</v>
      </c>
    </row>
    <row r="64" spans="1:8" x14ac:dyDescent="0.35">
      <c r="A64" s="25" t="s">
        <v>99</v>
      </c>
      <c r="B64" s="20">
        <v>8900</v>
      </c>
      <c r="C64" s="20">
        <v>8900</v>
      </c>
      <c r="D64" s="26">
        <v>30000</v>
      </c>
      <c r="E64" s="11"/>
      <c r="F64" s="20">
        <f t="shared" si="0"/>
        <v>21100</v>
      </c>
    </row>
    <row r="65" spans="1:8" x14ac:dyDescent="0.35">
      <c r="A65" s="25" t="s">
        <v>100</v>
      </c>
      <c r="B65" s="20">
        <v>110000</v>
      </c>
      <c r="C65" s="20">
        <v>110000</v>
      </c>
      <c r="D65" s="26">
        <v>150000</v>
      </c>
      <c r="E65" s="11"/>
      <c r="F65" s="20">
        <f t="shared" si="0"/>
        <v>40000</v>
      </c>
    </row>
    <row r="66" spans="1:8" x14ac:dyDescent="0.35">
      <c r="A66" s="25" t="s">
        <v>101</v>
      </c>
      <c r="B66" s="20">
        <v>26000</v>
      </c>
      <c r="C66" s="20">
        <v>26000</v>
      </c>
      <c r="D66" s="26">
        <v>20000</v>
      </c>
      <c r="E66" s="11"/>
      <c r="F66" s="20">
        <f t="shared" si="0"/>
        <v>-6000</v>
      </c>
    </row>
    <row r="67" spans="1:8" x14ac:dyDescent="0.35">
      <c r="A67" s="25" t="s">
        <v>102</v>
      </c>
      <c r="B67" s="20">
        <v>18500</v>
      </c>
      <c r="C67" s="20">
        <v>18500</v>
      </c>
      <c r="D67" s="26">
        <v>0</v>
      </c>
      <c r="E67" s="11"/>
      <c r="F67" s="20">
        <f t="shared" si="0"/>
        <v>-18500</v>
      </c>
    </row>
    <row r="68" spans="1:8" x14ac:dyDescent="0.35">
      <c r="A68" s="25" t="s">
        <v>103</v>
      </c>
      <c r="B68" s="20">
        <v>2000</v>
      </c>
      <c r="C68" s="20">
        <v>2000</v>
      </c>
      <c r="D68" s="26">
        <v>5000</v>
      </c>
      <c r="E68" s="11"/>
      <c r="F68" s="20">
        <f t="shared" si="0"/>
        <v>3000</v>
      </c>
    </row>
    <row r="69" spans="1:8" x14ac:dyDescent="0.35">
      <c r="A69" s="25" t="s">
        <v>104</v>
      </c>
      <c r="B69" s="20">
        <v>8500</v>
      </c>
      <c r="C69" s="20">
        <v>8500</v>
      </c>
      <c r="D69" s="26">
        <v>8500</v>
      </c>
      <c r="E69" s="11"/>
      <c r="F69" s="20">
        <f t="shared" si="0"/>
        <v>0</v>
      </c>
    </row>
    <row r="70" spans="1:8" x14ac:dyDescent="0.35">
      <c r="A70" s="25" t="s">
        <v>105</v>
      </c>
      <c r="B70" s="20">
        <v>19000</v>
      </c>
      <c r="C70" s="20">
        <v>19000</v>
      </c>
      <c r="D70" s="26">
        <v>30000</v>
      </c>
      <c r="E70" s="11"/>
      <c r="F70" s="20">
        <f t="shared" si="0"/>
        <v>11000</v>
      </c>
    </row>
    <row r="71" spans="1:8" x14ac:dyDescent="0.35">
      <c r="A71" s="25" t="s">
        <v>106</v>
      </c>
      <c r="B71" s="20">
        <v>202000</v>
      </c>
      <c r="C71" s="20">
        <v>202000</v>
      </c>
      <c r="D71" s="26">
        <v>220000</v>
      </c>
      <c r="E71" s="11"/>
      <c r="F71" s="20">
        <f t="shared" si="0"/>
        <v>18000</v>
      </c>
    </row>
    <row r="72" spans="1:8" s="1" customFormat="1" x14ac:dyDescent="0.35">
      <c r="A72" s="69" t="s">
        <v>30</v>
      </c>
      <c r="B72" s="46">
        <v>30000</v>
      </c>
      <c r="C72" s="46">
        <f>SUM(C73:C75)</f>
        <v>30000</v>
      </c>
      <c r="D72" s="46">
        <f>SUM(D73:D75)</f>
        <v>45000</v>
      </c>
      <c r="E72" s="67"/>
      <c r="F72" s="65">
        <f>D72-C72</f>
        <v>15000</v>
      </c>
      <c r="G72" s="64"/>
      <c r="H72" s="64" t="s">
        <v>166</v>
      </c>
    </row>
    <row r="73" spans="1:8" x14ac:dyDescent="0.35">
      <c r="A73" s="25" t="s">
        <v>114</v>
      </c>
      <c r="B73" s="20">
        <v>20000</v>
      </c>
      <c r="C73" s="20">
        <v>20000</v>
      </c>
      <c r="D73" s="26">
        <v>30000</v>
      </c>
      <c r="E73" s="11"/>
      <c r="F73" s="20">
        <f t="shared" si="0"/>
        <v>10000</v>
      </c>
      <c r="G73" t="s">
        <v>180</v>
      </c>
    </row>
    <row r="74" spans="1:8" x14ac:dyDescent="0.35">
      <c r="A74" s="25" t="s">
        <v>115</v>
      </c>
      <c r="B74" s="20">
        <v>5000</v>
      </c>
      <c r="C74" s="20">
        <v>5000</v>
      </c>
      <c r="D74" s="26">
        <v>10000</v>
      </c>
      <c r="E74" s="11"/>
      <c r="F74" s="20">
        <f t="shared" si="0"/>
        <v>5000</v>
      </c>
    </row>
    <row r="75" spans="1:8" x14ac:dyDescent="0.35">
      <c r="A75" s="25" t="s">
        <v>116</v>
      </c>
      <c r="B75" s="20">
        <v>5000</v>
      </c>
      <c r="C75" s="20">
        <v>5000</v>
      </c>
      <c r="D75" s="26">
        <v>5000</v>
      </c>
      <c r="E75" s="11"/>
      <c r="F75" s="20">
        <f t="shared" si="0"/>
        <v>0</v>
      </c>
    </row>
    <row r="76" spans="1:8" s="1" customFormat="1" x14ac:dyDescent="0.35">
      <c r="A76" s="69" t="s">
        <v>17</v>
      </c>
      <c r="B76" s="46">
        <v>9200</v>
      </c>
      <c r="C76" s="46">
        <f>SUM(C77:C80)</f>
        <v>9200</v>
      </c>
      <c r="D76" s="46">
        <f>SUM(D77:D80)</f>
        <v>40000</v>
      </c>
      <c r="E76" s="67"/>
      <c r="F76" s="65">
        <f>D76-C76</f>
        <v>30800</v>
      </c>
      <c r="G76" s="64"/>
      <c r="H76" s="64" t="s">
        <v>166</v>
      </c>
    </row>
    <row r="77" spans="1:8" x14ac:dyDescent="0.35">
      <c r="A77" s="25" t="s">
        <v>117</v>
      </c>
      <c r="B77" s="20">
        <v>9200</v>
      </c>
      <c r="C77" s="20">
        <v>9200</v>
      </c>
      <c r="D77" s="26">
        <v>20000</v>
      </c>
      <c r="E77" s="11"/>
      <c r="F77" s="20">
        <f t="shared" si="0"/>
        <v>10800</v>
      </c>
    </row>
    <row r="78" spans="1:8" x14ac:dyDescent="0.35">
      <c r="A78" s="25" t="s">
        <v>118</v>
      </c>
      <c r="B78" s="20">
        <v>0</v>
      </c>
      <c r="C78" s="20">
        <v>0</v>
      </c>
      <c r="D78" s="26">
        <v>12000</v>
      </c>
      <c r="E78" s="11"/>
      <c r="F78" s="20">
        <f t="shared" si="0"/>
        <v>12000</v>
      </c>
    </row>
    <row r="79" spans="1:8" x14ac:dyDescent="0.35">
      <c r="A79" s="70" t="s">
        <v>119</v>
      </c>
      <c r="B79" s="59" t="s">
        <v>143</v>
      </c>
      <c r="C79" s="59" t="s">
        <v>143</v>
      </c>
      <c r="D79" s="60">
        <v>5000</v>
      </c>
      <c r="E79" s="57"/>
      <c r="F79" s="59" t="s">
        <v>143</v>
      </c>
    </row>
    <row r="80" spans="1:8" x14ac:dyDescent="0.35">
      <c r="A80" s="70" t="s">
        <v>139</v>
      </c>
      <c r="B80" s="59" t="s">
        <v>144</v>
      </c>
      <c r="C80" s="59" t="s">
        <v>144</v>
      </c>
      <c r="D80" s="60">
        <v>3000</v>
      </c>
      <c r="E80" s="57"/>
      <c r="F80" s="59">
        <f>D80-C33</f>
        <v>0</v>
      </c>
    </row>
    <row r="81" spans="1:8" s="1" customFormat="1" x14ac:dyDescent="0.35">
      <c r="A81" s="69" t="s">
        <v>120</v>
      </c>
      <c r="B81" s="46">
        <v>85000</v>
      </c>
      <c r="C81" s="46">
        <v>85000</v>
      </c>
      <c r="D81" s="46">
        <f>SUM(D82:D84)</f>
        <v>40000</v>
      </c>
      <c r="E81" s="67"/>
      <c r="F81" s="65">
        <f>D81-C81</f>
        <v>-45000</v>
      </c>
      <c r="G81" s="64"/>
      <c r="H81" s="64" t="s">
        <v>166</v>
      </c>
    </row>
    <row r="82" spans="1:8" x14ac:dyDescent="0.35">
      <c r="A82" s="25" t="s">
        <v>121</v>
      </c>
      <c r="B82" s="26">
        <v>0</v>
      </c>
      <c r="C82" s="26">
        <v>0</v>
      </c>
      <c r="D82" s="26">
        <v>22000</v>
      </c>
      <c r="E82" s="11"/>
      <c r="F82" s="20">
        <f>D82-C82</f>
        <v>22000</v>
      </c>
    </row>
    <row r="83" spans="1:8" x14ac:dyDescent="0.35">
      <c r="A83" s="25" t="s">
        <v>122</v>
      </c>
      <c r="B83" s="26">
        <v>0</v>
      </c>
      <c r="C83" s="26">
        <v>0</v>
      </c>
      <c r="D83" s="26">
        <v>15000</v>
      </c>
      <c r="E83" s="11"/>
      <c r="F83" s="20">
        <f t="shared" si="0"/>
        <v>15000</v>
      </c>
    </row>
    <row r="84" spans="1:8" s="71" customFormat="1" x14ac:dyDescent="0.35">
      <c r="A84" s="70" t="s">
        <v>167</v>
      </c>
      <c r="B84" s="59" t="s">
        <v>143</v>
      </c>
      <c r="C84" s="59" t="s">
        <v>143</v>
      </c>
      <c r="D84" s="60">
        <v>3000</v>
      </c>
      <c r="E84" s="57"/>
      <c r="F84" s="59" t="s">
        <v>143</v>
      </c>
    </row>
    <row r="85" spans="1:8" s="1" customFormat="1" x14ac:dyDescent="0.35">
      <c r="A85" s="69" t="s">
        <v>31</v>
      </c>
      <c r="B85" s="46">
        <v>321500</v>
      </c>
      <c r="C85" s="46">
        <v>321500</v>
      </c>
      <c r="D85" s="46">
        <f>SUM(D86:D98)</f>
        <v>353750</v>
      </c>
      <c r="E85" s="67"/>
      <c r="F85" s="65">
        <f>D85-C85</f>
        <v>32250</v>
      </c>
      <c r="G85" s="46">
        <v>321500</v>
      </c>
      <c r="H85" s="64" t="s">
        <v>166</v>
      </c>
    </row>
    <row r="86" spans="1:8" x14ac:dyDescent="0.35">
      <c r="A86" s="25" t="s">
        <v>149</v>
      </c>
      <c r="B86" s="20">
        <v>0</v>
      </c>
      <c r="C86" s="20">
        <v>0</v>
      </c>
      <c r="D86" s="26">
        <v>120000</v>
      </c>
      <c r="E86" s="11"/>
      <c r="F86" s="20">
        <v>0</v>
      </c>
    </row>
    <row r="87" spans="1:8" s="71" customFormat="1" x14ac:dyDescent="0.35">
      <c r="A87" s="70" t="s">
        <v>150</v>
      </c>
      <c r="B87" s="59" t="s">
        <v>143</v>
      </c>
      <c r="C87" s="59" t="s">
        <v>143</v>
      </c>
      <c r="D87" s="60">
        <v>15000</v>
      </c>
      <c r="E87" s="57"/>
      <c r="F87" s="59" t="s">
        <v>143</v>
      </c>
    </row>
    <row r="88" spans="1:8" x14ac:dyDescent="0.35">
      <c r="A88" s="25" t="s">
        <v>148</v>
      </c>
      <c r="B88" s="44">
        <v>0</v>
      </c>
      <c r="C88" s="44">
        <v>0</v>
      </c>
      <c r="D88" s="26">
        <v>30000</v>
      </c>
      <c r="E88" s="11"/>
      <c r="F88" s="44">
        <v>0</v>
      </c>
    </row>
    <row r="89" spans="1:8" x14ac:dyDescent="0.35">
      <c r="A89" s="25" t="s">
        <v>151</v>
      </c>
      <c r="B89" s="44">
        <v>0</v>
      </c>
      <c r="C89" s="44">
        <v>0</v>
      </c>
      <c r="D89" s="26">
        <v>45000</v>
      </c>
      <c r="E89" s="11"/>
      <c r="F89" s="44">
        <v>0</v>
      </c>
    </row>
    <row r="90" spans="1:8" x14ac:dyDescent="0.35">
      <c r="A90" s="25" t="s">
        <v>152</v>
      </c>
      <c r="B90" s="44">
        <v>0</v>
      </c>
      <c r="C90" s="44">
        <v>0</v>
      </c>
      <c r="D90" s="26">
        <v>20000</v>
      </c>
      <c r="E90" s="11"/>
      <c r="F90" s="44">
        <v>0</v>
      </c>
    </row>
    <row r="91" spans="1:8" x14ac:dyDescent="0.35">
      <c r="A91" s="25" t="s">
        <v>154</v>
      </c>
      <c r="B91" s="44">
        <v>0</v>
      </c>
      <c r="C91" s="44">
        <v>0</v>
      </c>
      <c r="D91" s="26">
        <v>100000</v>
      </c>
      <c r="E91" s="11"/>
      <c r="F91" s="44">
        <v>0</v>
      </c>
    </row>
    <row r="92" spans="1:8" s="71" customFormat="1" x14ac:dyDescent="0.35">
      <c r="A92" s="70" t="s">
        <v>155</v>
      </c>
      <c r="B92" s="59">
        <v>0</v>
      </c>
      <c r="C92" s="59">
        <v>0</v>
      </c>
      <c r="D92" s="61" t="s">
        <v>144</v>
      </c>
      <c r="E92" s="57"/>
      <c r="F92" s="63" t="s">
        <v>144</v>
      </c>
    </row>
    <row r="93" spans="1:8" s="71" customFormat="1" x14ac:dyDescent="0.35">
      <c r="A93" s="70" t="s">
        <v>156</v>
      </c>
      <c r="B93" s="59">
        <v>0</v>
      </c>
      <c r="C93" s="59">
        <v>0</v>
      </c>
      <c r="D93" s="61" t="s">
        <v>144</v>
      </c>
      <c r="E93" s="57"/>
      <c r="F93" s="63" t="s">
        <v>144</v>
      </c>
    </row>
    <row r="94" spans="1:8" s="71" customFormat="1" x14ac:dyDescent="0.35">
      <c r="A94" s="70" t="s">
        <v>104</v>
      </c>
      <c r="B94" s="59">
        <v>0</v>
      </c>
      <c r="C94" s="59">
        <v>0</v>
      </c>
      <c r="D94" s="72" t="s">
        <v>160</v>
      </c>
      <c r="E94" s="57"/>
      <c r="F94" s="59" t="s">
        <v>160</v>
      </c>
    </row>
    <row r="95" spans="1:8" s="71" customFormat="1" x14ac:dyDescent="0.35">
      <c r="A95" s="70" t="s">
        <v>105</v>
      </c>
      <c r="B95" s="59">
        <v>0</v>
      </c>
      <c r="C95" s="59">
        <v>0</v>
      </c>
      <c r="D95" s="72" t="s">
        <v>160</v>
      </c>
      <c r="E95" s="57"/>
      <c r="F95" s="59" t="s">
        <v>160</v>
      </c>
    </row>
    <row r="96" spans="1:8" x14ac:dyDescent="0.35">
      <c r="A96" s="25" t="s">
        <v>157</v>
      </c>
      <c r="B96" s="44">
        <v>0</v>
      </c>
      <c r="C96" s="44">
        <v>0</v>
      </c>
      <c r="D96" s="26">
        <v>12250</v>
      </c>
      <c r="E96" s="11"/>
      <c r="F96" s="44">
        <v>0</v>
      </c>
    </row>
    <row r="97" spans="1:9" x14ac:dyDescent="0.35">
      <c r="A97" s="25" t="s">
        <v>158</v>
      </c>
      <c r="B97" s="44">
        <v>0</v>
      </c>
      <c r="C97" s="44">
        <v>0</v>
      </c>
      <c r="D97" s="26">
        <v>1500</v>
      </c>
      <c r="E97" s="11"/>
      <c r="F97" s="44">
        <v>0</v>
      </c>
    </row>
    <row r="98" spans="1:9" s="71" customFormat="1" x14ac:dyDescent="0.35">
      <c r="A98" s="70" t="s">
        <v>147</v>
      </c>
      <c r="B98" s="59" t="s">
        <v>143</v>
      </c>
      <c r="C98" s="59" t="s">
        <v>143</v>
      </c>
      <c r="D98" s="60">
        <v>10000</v>
      </c>
      <c r="E98" s="57"/>
      <c r="F98" s="59" t="s">
        <v>143</v>
      </c>
    </row>
    <row r="99" spans="1:9" s="1" customFormat="1" x14ac:dyDescent="0.35">
      <c r="A99" s="69" t="s">
        <v>18</v>
      </c>
      <c r="B99" s="46">
        <v>12000</v>
      </c>
      <c r="C99" s="46">
        <v>12000</v>
      </c>
      <c r="D99" s="46">
        <v>12000</v>
      </c>
      <c r="E99" s="67"/>
      <c r="F99" s="65">
        <f t="shared" ref="F99:F132" si="1">C99-D99</f>
        <v>0</v>
      </c>
    </row>
    <row r="100" spans="1:9" s="1" customFormat="1" x14ac:dyDescent="0.35">
      <c r="A100" s="69" t="s">
        <v>19</v>
      </c>
      <c r="B100" s="46">
        <v>102000</v>
      </c>
      <c r="C100" s="46">
        <v>102000</v>
      </c>
      <c r="D100" s="46">
        <v>150000</v>
      </c>
      <c r="E100" s="67"/>
      <c r="F100" s="65">
        <f>D100-C100</f>
        <v>48000</v>
      </c>
    </row>
    <row r="101" spans="1:9" s="1" customFormat="1" x14ac:dyDescent="0.35">
      <c r="A101" s="69" t="s">
        <v>20</v>
      </c>
      <c r="B101" s="46">
        <v>418762</v>
      </c>
      <c r="C101" s="46">
        <v>418762</v>
      </c>
      <c r="D101" s="46">
        <f>483000+23000</f>
        <v>506000</v>
      </c>
      <c r="E101" s="67"/>
      <c r="F101" s="65">
        <f>D101-C101</f>
        <v>87238</v>
      </c>
    </row>
    <row r="102" spans="1:9" s="76" customFormat="1" x14ac:dyDescent="0.35">
      <c r="A102" s="73" t="s">
        <v>21</v>
      </c>
      <c r="B102" s="46">
        <v>300000</v>
      </c>
      <c r="C102" s="46">
        <v>300000</v>
      </c>
      <c r="D102" s="47">
        <v>300000</v>
      </c>
      <c r="E102" s="68"/>
      <c r="F102" s="74">
        <f>D102-C102</f>
        <v>0</v>
      </c>
      <c r="G102" s="75"/>
      <c r="H102" s="75"/>
    </row>
    <row r="103" spans="1:9" s="1" customFormat="1" x14ac:dyDescent="0.35">
      <c r="A103" s="69" t="s">
        <v>22</v>
      </c>
      <c r="B103" s="46">
        <v>2500</v>
      </c>
      <c r="C103" s="46">
        <f>SUM(C104:C106)</f>
        <v>2500</v>
      </c>
      <c r="D103" s="46">
        <f>SUM(D104:D106)</f>
        <v>6200</v>
      </c>
      <c r="E103" s="67"/>
      <c r="F103" s="65">
        <f>D103-C103</f>
        <v>3700</v>
      </c>
      <c r="G103" s="64"/>
      <c r="H103" s="64" t="s">
        <v>166</v>
      </c>
    </row>
    <row r="104" spans="1:9" x14ac:dyDescent="0.35">
      <c r="A104" s="25" t="s">
        <v>164</v>
      </c>
      <c r="B104" s="26">
        <v>2500</v>
      </c>
      <c r="C104" s="26">
        <v>2500</v>
      </c>
      <c r="D104" s="26">
        <v>2500</v>
      </c>
      <c r="E104" s="11"/>
      <c r="F104" s="11">
        <f>D104-C104</f>
        <v>0</v>
      </c>
    </row>
    <row r="105" spans="1:9" s="71" customFormat="1" x14ac:dyDescent="0.35">
      <c r="A105" s="70" t="s">
        <v>159</v>
      </c>
      <c r="B105" s="59" t="s">
        <v>143</v>
      </c>
      <c r="C105" s="59" t="s">
        <v>143</v>
      </c>
      <c r="D105" s="60">
        <v>2500</v>
      </c>
      <c r="E105" s="57"/>
      <c r="F105" s="59" t="s">
        <v>143</v>
      </c>
    </row>
    <row r="106" spans="1:9" s="71" customFormat="1" x14ac:dyDescent="0.35">
      <c r="A106" s="70" t="s">
        <v>161</v>
      </c>
      <c r="B106" s="59" t="s">
        <v>143</v>
      </c>
      <c r="C106" s="59" t="s">
        <v>143</v>
      </c>
      <c r="D106" s="60">
        <v>1200</v>
      </c>
      <c r="E106" s="57"/>
      <c r="F106" s="59" t="s">
        <v>143</v>
      </c>
    </row>
    <row r="107" spans="1:9" s="1" customFormat="1" x14ac:dyDescent="0.35">
      <c r="A107" s="73" t="s">
        <v>23</v>
      </c>
      <c r="B107" s="46">
        <v>25000</v>
      </c>
      <c r="C107" s="46">
        <v>25000</v>
      </c>
      <c r="D107" s="46">
        <v>25000</v>
      </c>
      <c r="E107" s="67"/>
      <c r="F107" s="65">
        <f t="shared" si="1"/>
        <v>0</v>
      </c>
    </row>
    <row r="108" spans="1:9" s="1" customFormat="1" x14ac:dyDescent="0.35">
      <c r="A108" s="69" t="s">
        <v>36</v>
      </c>
      <c r="B108" s="46">
        <v>27683</v>
      </c>
      <c r="C108" s="46">
        <v>27683</v>
      </c>
      <c r="D108" s="46">
        <f>24955.15</f>
        <v>24955.15</v>
      </c>
      <c r="E108" s="66"/>
      <c r="F108" s="65">
        <f t="shared" si="1"/>
        <v>2727.8499999999985</v>
      </c>
    </row>
    <row r="109" spans="1:9" s="1" customFormat="1" x14ac:dyDescent="0.35">
      <c r="A109" s="69" t="s">
        <v>165</v>
      </c>
      <c r="B109" s="46">
        <v>0</v>
      </c>
      <c r="C109" s="46">
        <v>0</v>
      </c>
      <c r="D109" s="46">
        <v>36592.94</v>
      </c>
      <c r="E109" s="66"/>
      <c r="F109" s="65">
        <v>0</v>
      </c>
    </row>
    <row r="110" spans="1:9" s="1" customFormat="1" x14ac:dyDescent="0.35">
      <c r="A110" s="69" t="s">
        <v>24</v>
      </c>
      <c r="B110" s="46">
        <v>150000</v>
      </c>
      <c r="C110" s="46">
        <v>150000</v>
      </c>
      <c r="D110" s="46">
        <v>150000</v>
      </c>
      <c r="E110" s="67"/>
      <c r="F110" s="65">
        <f t="shared" si="1"/>
        <v>0</v>
      </c>
      <c r="I110" s="77"/>
    </row>
    <row r="111" spans="1:9" s="1" customFormat="1" x14ac:dyDescent="0.35">
      <c r="A111" s="69" t="s">
        <v>13</v>
      </c>
      <c r="B111" s="46">
        <v>1124898</v>
      </c>
      <c r="C111" s="46">
        <v>1124898</v>
      </c>
      <c r="D111" s="47">
        <f>'2025 Capital wo_WIWMD'!G14</f>
        <v>1415016.1566666667</v>
      </c>
      <c r="E111" s="67"/>
      <c r="F111" s="65">
        <f t="shared" si="1"/>
        <v>-290118.15666666673</v>
      </c>
      <c r="I111" s="77"/>
    </row>
    <row r="112" spans="1:9" s="1" customFormat="1" x14ac:dyDescent="0.35">
      <c r="A112" s="69" t="s">
        <v>9</v>
      </c>
      <c r="B112" s="74">
        <f>B111+B109+B108+B107+B103+B102+B101+B100+B99+B85+B81+B76+B72+B59+B51+B47+B25+B11+B110</f>
        <v>5381245.9102723328</v>
      </c>
      <c r="C112" s="74">
        <f>C111+C109+C108+C107+C103+C102+C101+C100+C99+C85+C81+C76+C72+C59+C51+C47+C25+C11+C110</f>
        <v>5381245.9102723328</v>
      </c>
      <c r="D112" s="74">
        <f>D111+D109+D108+D107+D103+D102+D101+D100+D99+D85+D81+D76+D72+D59+D51+D47+D25+D11+D110</f>
        <v>6607060.9466666654</v>
      </c>
      <c r="E112" s="67"/>
      <c r="F112" s="65">
        <f>C112-D112</f>
        <v>-1225815.0363943325</v>
      </c>
      <c r="I112" s="5"/>
    </row>
    <row r="113" spans="1:12" x14ac:dyDescent="0.35">
      <c r="A113" s="25"/>
      <c r="B113" s="17"/>
      <c r="C113" s="17"/>
      <c r="D113" s="17"/>
      <c r="E113" s="4"/>
      <c r="F113" s="4"/>
    </row>
    <row r="114" spans="1:12" s="1" customFormat="1" ht="15" thickBot="1" x14ac:dyDescent="0.4">
      <c r="A114" s="79" t="s">
        <v>27</v>
      </c>
      <c r="B114" s="21">
        <f>B8-B112</f>
        <v>-171085.91027233284</v>
      </c>
      <c r="C114" s="21">
        <f>C8-C112</f>
        <v>-171085.91027233284</v>
      </c>
      <c r="D114" s="21" t="e">
        <f>D8-D112</f>
        <v>#REF!</v>
      </c>
      <c r="E114" s="9"/>
      <c r="F114" s="32" t="e">
        <f t="shared" si="1"/>
        <v>#REF!</v>
      </c>
      <c r="L114" s="49"/>
    </row>
    <row r="115" spans="1:12" x14ac:dyDescent="0.35">
      <c r="A115" s="1"/>
      <c r="B115" s="22"/>
      <c r="C115" s="22"/>
      <c r="D115" s="22"/>
      <c r="E115" s="4"/>
      <c r="F115" s="5"/>
      <c r="L115" s="23"/>
    </row>
    <row r="116" spans="1:12" x14ac:dyDescent="0.35">
      <c r="A116" s="1" t="s">
        <v>3</v>
      </c>
      <c r="B116" s="18"/>
      <c r="C116" s="18"/>
      <c r="D116" s="18"/>
      <c r="F116" s="4"/>
      <c r="L116" s="23"/>
    </row>
    <row r="117" spans="1:12" x14ac:dyDescent="0.35">
      <c r="A117" s="24" t="s">
        <v>14</v>
      </c>
      <c r="B117" s="18">
        <v>150000</v>
      </c>
      <c r="C117" s="18">
        <v>150000</v>
      </c>
      <c r="D117" s="18">
        <v>244500</v>
      </c>
      <c r="F117" s="4">
        <f t="shared" si="1"/>
        <v>-94500</v>
      </c>
      <c r="L117" s="23"/>
    </row>
    <row r="118" spans="1:12" x14ac:dyDescent="0.35">
      <c r="A118" s="24" t="s">
        <v>25</v>
      </c>
      <c r="B118" s="20">
        <v>300</v>
      </c>
      <c r="C118" s="20">
        <v>300</v>
      </c>
      <c r="D118" s="26">
        <v>6054</v>
      </c>
      <c r="E118" s="10"/>
      <c r="F118" s="11">
        <f t="shared" si="1"/>
        <v>-5754</v>
      </c>
      <c r="L118" s="23"/>
    </row>
    <row r="119" spans="1:12" x14ac:dyDescent="0.35">
      <c r="A119" s="24" t="s">
        <v>29</v>
      </c>
      <c r="B119" s="20">
        <v>0</v>
      </c>
      <c r="C119" s="20">
        <v>0</v>
      </c>
      <c r="D119" s="26">
        <v>0</v>
      </c>
      <c r="E119" s="10"/>
      <c r="F119" s="11">
        <f t="shared" si="1"/>
        <v>0</v>
      </c>
    </row>
    <row r="120" spans="1:12" x14ac:dyDescent="0.35">
      <c r="A120" s="24" t="s">
        <v>28</v>
      </c>
      <c r="B120" s="20">
        <v>0</v>
      </c>
      <c r="C120" s="20">
        <v>0</v>
      </c>
      <c r="D120" s="50">
        <v>0</v>
      </c>
      <c r="E120" s="6"/>
      <c r="F120" s="51">
        <f t="shared" si="1"/>
        <v>0</v>
      </c>
    </row>
    <row r="121" spans="1:12" ht="15" thickBot="1" x14ac:dyDescent="0.4">
      <c r="A121" s="53" t="s">
        <v>4</v>
      </c>
      <c r="B121" s="52">
        <v>150300</v>
      </c>
      <c r="C121" s="52">
        <f>SUM(C117:C120)</f>
        <v>150300</v>
      </c>
      <c r="D121" s="52">
        <f>SUM(D117:D120)</f>
        <v>250554</v>
      </c>
      <c r="E121" s="53"/>
      <c r="F121" s="32">
        <f t="shared" si="1"/>
        <v>-100254</v>
      </c>
    </row>
    <row r="122" spans="1:12" x14ac:dyDescent="0.35">
      <c r="A122" s="1"/>
      <c r="B122" s="22"/>
      <c r="C122" s="22"/>
      <c r="D122" s="22"/>
      <c r="E122" s="5"/>
      <c r="F122" s="5"/>
    </row>
    <row r="123" spans="1:12" x14ac:dyDescent="0.35">
      <c r="A123" s="1" t="s">
        <v>5</v>
      </c>
      <c r="B123" s="22">
        <v>-20785.91027233284</v>
      </c>
      <c r="C123" s="22">
        <f>+C114+C121</f>
        <v>-20785.91027233284</v>
      </c>
      <c r="D123" s="22" t="e">
        <f>+D114+D121</f>
        <v>#REF!</v>
      </c>
      <c r="E123" s="5"/>
      <c r="F123" s="5" t="e">
        <f t="shared" si="1"/>
        <v>#REF!</v>
      </c>
    </row>
    <row r="124" spans="1:12" x14ac:dyDescent="0.35">
      <c r="B124" s="17"/>
      <c r="C124" s="17"/>
      <c r="D124" s="17"/>
      <c r="E124" s="4"/>
      <c r="F124" s="4"/>
    </row>
    <row r="125" spans="1:12" x14ac:dyDescent="0.35">
      <c r="A125" s="1" t="s">
        <v>26</v>
      </c>
      <c r="B125" s="5">
        <v>2508803.27</v>
      </c>
      <c r="C125" s="5">
        <v>2508803.27</v>
      </c>
      <c r="D125" s="5">
        <f>'2025 Capital wo_WIWMD'!E11</f>
        <v>866000</v>
      </c>
      <c r="E125" s="5"/>
      <c r="F125" s="5">
        <f t="shared" si="1"/>
        <v>1642803.27</v>
      </c>
    </row>
    <row r="126" spans="1:12" x14ac:dyDescent="0.35">
      <c r="C126" s="4"/>
      <c r="D126" s="4"/>
      <c r="E126" s="4"/>
      <c r="F126" s="4"/>
    </row>
    <row r="127" spans="1:12" x14ac:dyDescent="0.35">
      <c r="A127" t="s">
        <v>6</v>
      </c>
      <c r="B127" s="4">
        <v>5360460</v>
      </c>
      <c r="C127" s="4">
        <f>C8+C121</f>
        <v>5360460</v>
      </c>
      <c r="D127" s="4" t="e">
        <f>D8+D121</f>
        <v>#REF!</v>
      </c>
      <c r="E127" s="4"/>
      <c r="F127" s="4" t="e">
        <f t="shared" si="1"/>
        <v>#REF!</v>
      </c>
    </row>
    <row r="128" spans="1:12" x14ac:dyDescent="0.35">
      <c r="A128" t="s">
        <v>37</v>
      </c>
      <c r="B128" s="34">
        <f>B132-B127</f>
        <v>20785.91027233284</v>
      </c>
      <c r="C128" s="34">
        <f>C132-C127</f>
        <v>20785.91027233284</v>
      </c>
      <c r="D128" s="26" t="e">
        <f>D132-D127</f>
        <v>#REF!</v>
      </c>
      <c r="E128" s="34"/>
      <c r="F128" s="31" t="e">
        <f t="shared" si="1"/>
        <v>#REF!</v>
      </c>
    </row>
    <row r="129" spans="1:6" ht="15" thickBot="1" x14ac:dyDescent="0.4">
      <c r="A129" s="53" t="s">
        <v>7</v>
      </c>
      <c r="B129" s="32">
        <v>6546359.9102723338</v>
      </c>
      <c r="C129" s="32">
        <f>C127+C128</f>
        <v>5381245.9102723328</v>
      </c>
      <c r="D129" s="32" t="e">
        <f>D127+D128</f>
        <v>#REF!</v>
      </c>
      <c r="E129" s="32"/>
      <c r="F129" s="32" t="e">
        <f>C129-D129</f>
        <v>#REF!</v>
      </c>
    </row>
    <row r="130" spans="1:6" x14ac:dyDescent="0.35">
      <c r="A130" s="39" t="s">
        <v>38</v>
      </c>
      <c r="C130" s="4"/>
      <c r="D130" s="4"/>
      <c r="E130" s="4"/>
      <c r="F130" s="4"/>
    </row>
    <row r="131" spans="1:6" x14ac:dyDescent="0.35">
      <c r="A131" s="24" t="s">
        <v>9</v>
      </c>
      <c r="B131" s="54">
        <f>B112</f>
        <v>5381245.9102723328</v>
      </c>
      <c r="C131" s="54">
        <f>C112</f>
        <v>5381245.9102723328</v>
      </c>
      <c r="D131" s="15">
        <f>D112</f>
        <v>6607060.9466666654</v>
      </c>
      <c r="E131" s="4"/>
      <c r="F131" s="4">
        <f t="shared" si="1"/>
        <v>-1225815.0363943325</v>
      </c>
    </row>
    <row r="132" spans="1:6" ht="15" thickBot="1" x14ac:dyDescent="0.4">
      <c r="A132" s="53" t="s">
        <v>2</v>
      </c>
      <c r="B132" s="32">
        <f>SUM(B131:B131)</f>
        <v>5381245.9102723328</v>
      </c>
      <c r="C132" s="32">
        <f>SUM(C131:C131)</f>
        <v>5381245.9102723328</v>
      </c>
      <c r="D132" s="32">
        <f>SUM(D131:D131)</f>
        <v>6607060.9466666654</v>
      </c>
      <c r="E132" s="32"/>
      <c r="F132" s="32">
        <f t="shared" si="1"/>
        <v>-1225815.0363943325</v>
      </c>
    </row>
    <row r="133" spans="1:6" x14ac:dyDescent="0.35">
      <c r="B133"/>
    </row>
    <row r="134" spans="1:6" x14ac:dyDescent="0.35">
      <c r="C134" s="3"/>
      <c r="D134" s="3"/>
    </row>
    <row r="135" spans="1:6" x14ac:dyDescent="0.35">
      <c r="C135" s="3"/>
      <c r="D135" s="3"/>
    </row>
  </sheetData>
  <mergeCells count="2">
    <mergeCell ref="A1:F1"/>
    <mergeCell ref="E2:F2"/>
  </mergeCells>
  <printOptions horizontalCentered="1"/>
  <pageMargins left="1" right="1" top="1" bottom="1" header="0.5" footer="0.5"/>
  <pageSetup scale="60" fitToHeight="0" orientation="portrait" r:id="rId1"/>
  <headerFooter>
    <oddHeader>&amp;C&amp;20Northern Utah Environmental Resource Agency
Bayview Budget 2025</oddHeader>
  </headerFooter>
  <rowBreaks count="1" manualBreakCount="1">
    <brk id="7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E9DF-5CA0-4563-B2CA-33AB3A443F48}">
  <sheetPr>
    <pageSetUpPr fitToPage="1"/>
  </sheetPr>
  <dimension ref="B2:M132"/>
  <sheetViews>
    <sheetView workbookViewId="0"/>
  </sheetViews>
  <sheetFormatPr defaultRowHeight="14.5" x14ac:dyDescent="0.35"/>
  <cols>
    <col min="1" max="1" width="1.81640625" customWidth="1"/>
    <col min="2" max="3" width="9.7265625" customWidth="1"/>
    <col min="4" max="4" width="49.26953125" bestFit="1" customWidth="1"/>
    <col min="5" max="5" width="16.26953125" customWidth="1"/>
    <col min="6" max="6" width="9.7265625" customWidth="1"/>
    <col min="7" max="7" width="14.26953125" customWidth="1"/>
    <col min="8" max="8" width="53.26953125" customWidth="1"/>
    <col min="9" max="9" width="11.7265625" customWidth="1"/>
    <col min="10" max="10" width="47.54296875" customWidth="1"/>
    <col min="11" max="11" width="15.453125" customWidth="1"/>
    <col min="12" max="12" width="7" customWidth="1"/>
    <col min="13" max="13" width="12.26953125" bestFit="1" customWidth="1"/>
  </cols>
  <sheetData>
    <row r="2" spans="2:13" ht="21" x14ac:dyDescent="0.5">
      <c r="B2" s="236" t="s">
        <v>215</v>
      </c>
      <c r="C2" s="236"/>
      <c r="D2" s="236"/>
      <c r="E2" s="236"/>
      <c r="I2" t="s">
        <v>186</v>
      </c>
    </row>
    <row r="3" spans="2:13" x14ac:dyDescent="0.35">
      <c r="B3" s="6" t="s">
        <v>32</v>
      </c>
      <c r="C3" s="6" t="s">
        <v>56</v>
      </c>
      <c r="D3" s="6" t="s">
        <v>34</v>
      </c>
      <c r="E3" s="6" t="s">
        <v>35</v>
      </c>
      <c r="F3" s="6" t="s">
        <v>181</v>
      </c>
      <c r="G3" s="6" t="s">
        <v>182</v>
      </c>
      <c r="I3">
        <v>2024</v>
      </c>
      <c r="J3" t="s">
        <v>187</v>
      </c>
      <c r="K3" s="23">
        <v>160000</v>
      </c>
      <c r="L3" s="11">
        <v>5</v>
      </c>
      <c r="M3" s="23">
        <f>K3/L3</f>
        <v>32000</v>
      </c>
    </row>
    <row r="4" spans="2:13" x14ac:dyDescent="0.35">
      <c r="B4">
        <v>2025</v>
      </c>
      <c r="C4" s="39" t="s">
        <v>57</v>
      </c>
      <c r="D4" t="s">
        <v>221</v>
      </c>
      <c r="E4" s="23">
        <v>700000</v>
      </c>
      <c r="F4" s="11">
        <v>6</v>
      </c>
      <c r="G4" s="23">
        <f>E4/F4</f>
        <v>116666.66666666667</v>
      </c>
      <c r="I4">
        <v>2024</v>
      </c>
      <c r="J4" t="s">
        <v>188</v>
      </c>
      <c r="K4" s="23">
        <v>20000</v>
      </c>
      <c r="L4" s="11">
        <v>3</v>
      </c>
      <c r="M4" s="23">
        <f t="shared" ref="M4:M7" si="0">K4/L4</f>
        <v>6666.666666666667</v>
      </c>
    </row>
    <row r="5" spans="2:13" x14ac:dyDescent="0.35">
      <c r="B5">
        <v>2025</v>
      </c>
      <c r="C5" s="39" t="s">
        <v>57</v>
      </c>
      <c r="D5" t="s">
        <v>33</v>
      </c>
      <c r="E5" s="23">
        <v>50000</v>
      </c>
      <c r="F5" s="11">
        <v>5</v>
      </c>
      <c r="G5" s="23">
        <f t="shared" ref="G5:G10" si="1">E5/F5</f>
        <v>10000</v>
      </c>
      <c r="I5">
        <v>2024</v>
      </c>
      <c r="J5" t="s">
        <v>189</v>
      </c>
      <c r="K5" s="23">
        <v>250000</v>
      </c>
      <c r="L5" s="11">
        <v>5</v>
      </c>
      <c r="M5" s="23">
        <f t="shared" si="0"/>
        <v>50000</v>
      </c>
    </row>
    <row r="6" spans="2:13" x14ac:dyDescent="0.35">
      <c r="B6">
        <v>2025</v>
      </c>
      <c r="C6" s="39" t="s">
        <v>57</v>
      </c>
      <c r="D6" t="s">
        <v>59</v>
      </c>
      <c r="E6" s="97">
        <v>40000</v>
      </c>
      <c r="F6" s="11">
        <v>3</v>
      </c>
      <c r="G6" s="23">
        <f t="shared" si="1"/>
        <v>13333.333333333334</v>
      </c>
      <c r="I6">
        <v>2024</v>
      </c>
      <c r="J6" t="s">
        <v>190</v>
      </c>
      <c r="K6" s="23">
        <v>60000</v>
      </c>
      <c r="L6" s="11">
        <v>20</v>
      </c>
      <c r="M6" s="23">
        <f t="shared" si="0"/>
        <v>3000</v>
      </c>
    </row>
    <row r="7" spans="2:13" x14ac:dyDescent="0.35">
      <c r="B7">
        <v>2025</v>
      </c>
      <c r="C7" s="39" t="s">
        <v>57</v>
      </c>
      <c r="D7" t="s">
        <v>61</v>
      </c>
      <c r="E7" s="23">
        <v>15000</v>
      </c>
      <c r="F7" s="11">
        <v>3</v>
      </c>
      <c r="G7" s="23">
        <f t="shared" si="1"/>
        <v>5000</v>
      </c>
      <c r="I7">
        <v>2024</v>
      </c>
      <c r="J7" t="s">
        <v>33</v>
      </c>
      <c r="K7" s="23">
        <v>50000</v>
      </c>
      <c r="L7" s="11">
        <v>5</v>
      </c>
      <c r="M7" s="48">
        <f t="shared" si="0"/>
        <v>10000</v>
      </c>
    </row>
    <row r="8" spans="2:13" x14ac:dyDescent="0.35">
      <c r="B8">
        <v>2025</v>
      </c>
      <c r="C8" s="39" t="s">
        <v>57</v>
      </c>
      <c r="D8" t="s">
        <v>145</v>
      </c>
      <c r="E8" s="23">
        <v>10000</v>
      </c>
      <c r="F8" s="11">
        <v>10</v>
      </c>
      <c r="G8" s="23">
        <f t="shared" si="1"/>
        <v>1000</v>
      </c>
      <c r="M8">
        <f>SUM(M3:M7)</f>
        <v>101666.66666666666</v>
      </c>
    </row>
    <row r="9" spans="2:13" x14ac:dyDescent="0.35">
      <c r="B9">
        <v>2025</v>
      </c>
      <c r="C9" s="39" t="s">
        <v>58</v>
      </c>
      <c r="D9" t="s">
        <v>163</v>
      </c>
      <c r="E9" s="23">
        <v>16000</v>
      </c>
      <c r="F9" s="11">
        <v>20</v>
      </c>
      <c r="G9" s="23">
        <f t="shared" si="1"/>
        <v>800</v>
      </c>
    </row>
    <row r="10" spans="2:13" ht="15" thickBot="1" x14ac:dyDescent="0.4">
      <c r="B10" s="98">
        <v>2025</v>
      </c>
      <c r="C10" s="100" t="s">
        <v>58</v>
      </c>
      <c r="D10" s="95" t="s">
        <v>146</v>
      </c>
      <c r="E10" s="96">
        <v>35000</v>
      </c>
      <c r="F10" s="101">
        <v>20</v>
      </c>
      <c r="G10" s="96">
        <f t="shared" si="1"/>
        <v>1750</v>
      </c>
    </row>
    <row r="11" spans="2:13" ht="15" thickTop="1" x14ac:dyDescent="0.35">
      <c r="D11" t="s">
        <v>55</v>
      </c>
      <c r="E11" s="37">
        <f>SUM(E4:E10)</f>
        <v>866000</v>
      </c>
      <c r="G11" s="14">
        <f>SUM(G4:G10)</f>
        <v>148550</v>
      </c>
    </row>
    <row r="12" spans="2:13" x14ac:dyDescent="0.35">
      <c r="E12" s="23"/>
      <c r="G12" s="14">
        <f>M8</f>
        <v>101666.66666666666</v>
      </c>
    </row>
    <row r="13" spans="2:13" x14ac:dyDescent="0.35">
      <c r="E13" s="23"/>
      <c r="G13" s="48">
        <v>1164799.49</v>
      </c>
    </row>
    <row r="14" spans="2:13" x14ac:dyDescent="0.35">
      <c r="E14" s="23"/>
      <c r="G14" s="14">
        <f>G11+G12+G13</f>
        <v>1415016.1566666667</v>
      </c>
      <c r="H14" t="s">
        <v>183</v>
      </c>
    </row>
    <row r="15" spans="2:13" x14ac:dyDescent="0.35">
      <c r="E15" s="23"/>
      <c r="H15" t="s">
        <v>184</v>
      </c>
    </row>
    <row r="16" spans="2:13" x14ac:dyDescent="0.35">
      <c r="E16" s="23"/>
      <c r="H16" t="s">
        <v>185</v>
      </c>
    </row>
    <row r="17" spans="5:5" x14ac:dyDescent="0.35">
      <c r="E17" s="23"/>
    </row>
    <row r="18" spans="5:5" x14ac:dyDescent="0.35">
      <c r="E18" s="23"/>
    </row>
    <row r="19" spans="5:5" x14ac:dyDescent="0.35">
      <c r="E19" s="23"/>
    </row>
    <row r="20" spans="5:5" x14ac:dyDescent="0.35">
      <c r="E20" s="23"/>
    </row>
    <row r="21" spans="5:5" x14ac:dyDescent="0.35">
      <c r="E21" s="23"/>
    </row>
    <row r="22" spans="5:5" x14ac:dyDescent="0.35">
      <c r="E22" s="23"/>
    </row>
    <row r="23" spans="5:5" x14ac:dyDescent="0.35">
      <c r="E23" s="23"/>
    </row>
    <row r="24" spans="5:5" x14ac:dyDescent="0.35">
      <c r="E24" s="23"/>
    </row>
    <row r="25" spans="5:5" x14ac:dyDescent="0.35">
      <c r="E25" s="23"/>
    </row>
    <row r="26" spans="5:5" x14ac:dyDescent="0.35">
      <c r="E26" s="23"/>
    </row>
    <row r="27" spans="5:5" x14ac:dyDescent="0.35">
      <c r="E27" s="23"/>
    </row>
    <row r="28" spans="5:5" x14ac:dyDescent="0.35">
      <c r="E28" s="23"/>
    </row>
    <row r="29" spans="5:5" x14ac:dyDescent="0.35">
      <c r="E29" s="23"/>
    </row>
    <row r="30" spans="5:5" x14ac:dyDescent="0.35">
      <c r="E30" s="23"/>
    </row>
    <row r="31" spans="5:5" x14ac:dyDescent="0.35">
      <c r="E31" s="23"/>
    </row>
    <row r="32" spans="5:5" x14ac:dyDescent="0.35">
      <c r="E32" s="23"/>
    </row>
    <row r="33" spans="5:5" x14ac:dyDescent="0.35">
      <c r="E33" s="23"/>
    </row>
    <row r="34" spans="5:5" x14ac:dyDescent="0.35">
      <c r="E34" s="23"/>
    </row>
    <row r="35" spans="5:5" x14ac:dyDescent="0.35">
      <c r="E35" s="23"/>
    </row>
    <row r="36" spans="5:5" x14ac:dyDescent="0.35">
      <c r="E36" s="23"/>
    </row>
    <row r="37" spans="5:5" x14ac:dyDescent="0.35">
      <c r="E37" s="23"/>
    </row>
    <row r="38" spans="5:5" x14ac:dyDescent="0.35">
      <c r="E38" s="23"/>
    </row>
    <row r="39" spans="5:5" x14ac:dyDescent="0.35">
      <c r="E39" s="23"/>
    </row>
    <row r="40" spans="5:5" x14ac:dyDescent="0.35">
      <c r="E40" s="23"/>
    </row>
    <row r="41" spans="5:5" x14ac:dyDescent="0.35">
      <c r="E41" s="23"/>
    </row>
    <row r="42" spans="5:5" x14ac:dyDescent="0.35">
      <c r="E42" s="23"/>
    </row>
    <row r="43" spans="5:5" x14ac:dyDescent="0.35">
      <c r="E43" s="23"/>
    </row>
    <row r="44" spans="5:5" x14ac:dyDescent="0.35">
      <c r="E44" s="23"/>
    </row>
    <row r="45" spans="5:5" x14ac:dyDescent="0.35">
      <c r="E45" s="23"/>
    </row>
    <row r="46" spans="5:5" x14ac:dyDescent="0.35">
      <c r="E46" s="23"/>
    </row>
    <row r="47" spans="5:5" x14ac:dyDescent="0.35">
      <c r="E47" s="23"/>
    </row>
    <row r="48" spans="5:5" x14ac:dyDescent="0.35">
      <c r="E48" s="23"/>
    </row>
    <row r="49" spans="5:5" x14ac:dyDescent="0.35">
      <c r="E49" s="23"/>
    </row>
    <row r="50" spans="5:5" x14ac:dyDescent="0.35">
      <c r="E50" s="23"/>
    </row>
    <row r="51" spans="5:5" x14ac:dyDescent="0.35">
      <c r="E51" s="23"/>
    </row>
    <row r="52" spans="5:5" x14ac:dyDescent="0.35">
      <c r="E52" s="23"/>
    </row>
    <row r="53" spans="5:5" x14ac:dyDescent="0.35">
      <c r="E53" s="23"/>
    </row>
    <row r="54" spans="5:5" x14ac:dyDescent="0.35">
      <c r="E54" s="23"/>
    </row>
    <row r="55" spans="5:5" x14ac:dyDescent="0.35">
      <c r="E55" s="23"/>
    </row>
    <row r="56" spans="5:5" x14ac:dyDescent="0.35">
      <c r="E56" s="23"/>
    </row>
    <row r="57" spans="5:5" x14ac:dyDescent="0.35">
      <c r="E57" s="23"/>
    </row>
    <row r="58" spans="5:5" x14ac:dyDescent="0.35">
      <c r="E58" s="23"/>
    </row>
    <row r="59" spans="5:5" x14ac:dyDescent="0.35">
      <c r="E59" s="23"/>
    </row>
    <row r="60" spans="5:5" x14ac:dyDescent="0.35">
      <c r="E60" s="23"/>
    </row>
    <row r="61" spans="5:5" x14ac:dyDescent="0.35">
      <c r="E61" s="23"/>
    </row>
    <row r="62" spans="5:5" x14ac:dyDescent="0.35">
      <c r="E62" s="23"/>
    </row>
    <row r="63" spans="5:5" x14ac:dyDescent="0.35">
      <c r="E63" s="23"/>
    </row>
    <row r="64" spans="5:5" x14ac:dyDescent="0.35">
      <c r="E64" s="23"/>
    </row>
    <row r="65" spans="5:5" x14ac:dyDescent="0.35">
      <c r="E65" s="23"/>
    </row>
    <row r="66" spans="5:5" x14ac:dyDescent="0.35">
      <c r="E66" s="23"/>
    </row>
    <row r="67" spans="5:5" x14ac:dyDescent="0.35">
      <c r="E67" s="23"/>
    </row>
    <row r="68" spans="5:5" x14ac:dyDescent="0.35">
      <c r="E68" s="23"/>
    </row>
    <row r="69" spans="5:5" x14ac:dyDescent="0.35">
      <c r="E69" s="23"/>
    </row>
    <row r="70" spans="5:5" x14ac:dyDescent="0.35">
      <c r="E70" s="23"/>
    </row>
    <row r="71" spans="5:5" x14ac:dyDescent="0.35">
      <c r="E71" s="23"/>
    </row>
    <row r="72" spans="5:5" x14ac:dyDescent="0.35">
      <c r="E72" s="23"/>
    </row>
    <row r="73" spans="5:5" x14ac:dyDescent="0.35">
      <c r="E73" s="23"/>
    </row>
    <row r="74" spans="5:5" x14ac:dyDescent="0.35">
      <c r="E74" s="23"/>
    </row>
    <row r="75" spans="5:5" x14ac:dyDescent="0.35">
      <c r="E75" s="23"/>
    </row>
    <row r="76" spans="5:5" x14ac:dyDescent="0.35">
      <c r="E76" s="23"/>
    </row>
    <row r="77" spans="5:5" x14ac:dyDescent="0.35">
      <c r="E77" s="23"/>
    </row>
    <row r="78" spans="5:5" x14ac:dyDescent="0.35">
      <c r="E78" s="23"/>
    </row>
    <row r="79" spans="5:5" x14ac:dyDescent="0.35">
      <c r="E79" s="23"/>
    </row>
    <row r="80" spans="5:5" x14ac:dyDescent="0.35">
      <c r="E80" s="23"/>
    </row>
    <row r="81" spans="5:5" x14ac:dyDescent="0.35">
      <c r="E81" s="23"/>
    </row>
    <row r="82" spans="5:5" x14ac:dyDescent="0.35">
      <c r="E82" s="23"/>
    </row>
    <row r="83" spans="5:5" x14ac:dyDescent="0.35">
      <c r="E83" s="23"/>
    </row>
    <row r="84" spans="5:5" x14ac:dyDescent="0.35">
      <c r="E84" s="23"/>
    </row>
    <row r="85" spans="5:5" x14ac:dyDescent="0.35">
      <c r="E85" s="23"/>
    </row>
    <row r="86" spans="5:5" x14ac:dyDescent="0.35">
      <c r="E86" s="23"/>
    </row>
    <row r="87" spans="5:5" x14ac:dyDescent="0.35">
      <c r="E87" s="23"/>
    </row>
    <row r="88" spans="5:5" x14ac:dyDescent="0.35">
      <c r="E88" s="23"/>
    </row>
    <row r="89" spans="5:5" x14ac:dyDescent="0.35">
      <c r="E89" s="23"/>
    </row>
    <row r="90" spans="5:5" x14ac:dyDescent="0.35">
      <c r="E90" s="23"/>
    </row>
    <row r="91" spans="5:5" x14ac:dyDescent="0.35">
      <c r="E91" s="23"/>
    </row>
    <row r="92" spans="5:5" x14ac:dyDescent="0.35">
      <c r="E92" s="23"/>
    </row>
    <row r="93" spans="5:5" x14ac:dyDescent="0.35">
      <c r="E93" s="23"/>
    </row>
    <row r="94" spans="5:5" x14ac:dyDescent="0.35">
      <c r="E94" s="23"/>
    </row>
    <row r="95" spans="5:5" x14ac:dyDescent="0.35">
      <c r="E95" s="23"/>
    </row>
    <row r="96" spans="5:5" x14ac:dyDescent="0.35">
      <c r="E96" s="23"/>
    </row>
    <row r="97" spans="5:5" x14ac:dyDescent="0.35">
      <c r="E97" s="23"/>
    </row>
    <row r="98" spans="5:5" x14ac:dyDescent="0.35">
      <c r="E98" s="23"/>
    </row>
    <row r="99" spans="5:5" x14ac:dyDescent="0.35">
      <c r="E99" s="23"/>
    </row>
    <row r="100" spans="5:5" x14ac:dyDescent="0.35">
      <c r="E100" s="23"/>
    </row>
    <row r="101" spans="5:5" x14ac:dyDescent="0.35">
      <c r="E101" s="23"/>
    </row>
    <row r="102" spans="5:5" x14ac:dyDescent="0.35">
      <c r="E102" s="23"/>
    </row>
    <row r="103" spans="5:5" x14ac:dyDescent="0.35">
      <c r="E103" s="23"/>
    </row>
    <row r="104" spans="5:5" x14ac:dyDescent="0.35">
      <c r="E104" s="23"/>
    </row>
    <row r="105" spans="5:5" x14ac:dyDescent="0.35">
      <c r="E105" s="23"/>
    </row>
    <row r="106" spans="5:5" x14ac:dyDescent="0.35">
      <c r="E106" s="23"/>
    </row>
    <row r="107" spans="5:5" x14ac:dyDescent="0.35">
      <c r="E107" s="23"/>
    </row>
    <row r="108" spans="5:5" x14ac:dyDescent="0.35">
      <c r="E108" s="23"/>
    </row>
    <row r="109" spans="5:5" x14ac:dyDescent="0.35">
      <c r="E109" s="23"/>
    </row>
    <row r="110" spans="5:5" x14ac:dyDescent="0.35">
      <c r="E110" s="23"/>
    </row>
    <row r="111" spans="5:5" x14ac:dyDescent="0.35">
      <c r="E111" s="23"/>
    </row>
    <row r="112" spans="5:5" x14ac:dyDescent="0.35">
      <c r="E112" s="23"/>
    </row>
    <row r="113" spans="5:5" x14ac:dyDescent="0.35">
      <c r="E113" s="23"/>
    </row>
    <row r="114" spans="5:5" x14ac:dyDescent="0.35">
      <c r="E114" s="23"/>
    </row>
    <row r="115" spans="5:5" x14ac:dyDescent="0.35">
      <c r="E115" s="23"/>
    </row>
    <row r="116" spans="5:5" x14ac:dyDescent="0.35">
      <c r="E116" s="23"/>
    </row>
    <row r="117" spans="5:5" x14ac:dyDescent="0.35">
      <c r="E117" s="23"/>
    </row>
    <row r="118" spans="5:5" x14ac:dyDescent="0.35">
      <c r="E118" s="23"/>
    </row>
    <row r="119" spans="5:5" x14ac:dyDescent="0.35">
      <c r="E119" s="23"/>
    </row>
    <row r="120" spans="5:5" x14ac:dyDescent="0.35">
      <c r="E120" s="23"/>
    </row>
    <row r="121" spans="5:5" x14ac:dyDescent="0.35">
      <c r="E121" s="23"/>
    </row>
    <row r="122" spans="5:5" x14ac:dyDescent="0.35">
      <c r="E122" s="23"/>
    </row>
    <row r="123" spans="5:5" x14ac:dyDescent="0.35">
      <c r="E123" s="23"/>
    </row>
    <row r="124" spans="5:5" x14ac:dyDescent="0.35">
      <c r="E124" s="23"/>
    </row>
    <row r="125" spans="5:5" x14ac:dyDescent="0.35">
      <c r="E125" s="23"/>
    </row>
    <row r="126" spans="5:5" x14ac:dyDescent="0.35">
      <c r="E126" s="23"/>
    </row>
    <row r="127" spans="5:5" x14ac:dyDescent="0.35">
      <c r="E127" s="23"/>
    </row>
    <row r="128" spans="5:5" x14ac:dyDescent="0.35">
      <c r="E128" s="23"/>
    </row>
    <row r="129" spans="5:5" x14ac:dyDescent="0.35">
      <c r="E129" s="23"/>
    </row>
    <row r="130" spans="5:5" x14ac:dyDescent="0.35">
      <c r="E130" s="23"/>
    </row>
    <row r="131" spans="5:5" x14ac:dyDescent="0.35">
      <c r="E131" s="23"/>
    </row>
    <row r="132" spans="5:5" x14ac:dyDescent="0.35">
      <c r="E132" s="23"/>
    </row>
  </sheetData>
  <mergeCells count="1">
    <mergeCell ref="B2:E2"/>
  </mergeCell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8377A9932B15408D642789DCB6F31F" ma:contentTypeVersion="14" ma:contentTypeDescription="Create a new document." ma:contentTypeScope="" ma:versionID="c276557e93460acaddc1b3de47c36d6f">
  <xsd:schema xmlns:xsd="http://www.w3.org/2001/XMLSchema" xmlns:xs="http://www.w3.org/2001/XMLSchema" xmlns:p="http://schemas.microsoft.com/office/2006/metadata/properties" xmlns:ns2="c4dc8db1-3e07-46b1-bbda-a2244e820882" xmlns:ns3="a9dff0da-1710-4317-a950-9b6a9eb308f4" targetNamespace="http://schemas.microsoft.com/office/2006/metadata/properties" ma:root="true" ma:fieldsID="f9ac45e9576a5bcf56eb526e855a7543" ns2:_="" ns3:_="">
    <xsd:import namespace="c4dc8db1-3e07-46b1-bbda-a2244e820882"/>
    <xsd:import namespace="a9dff0da-1710-4317-a950-9b6a9eb308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c8db1-3e07-46b1-bbda-a2244e820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dd1fdb-e918-4c7d-93a5-b8b45b952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ff0da-1710-4317-a950-9b6a9eb308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ad945e-4a18-4d95-bb46-6ec82ef3b15a}" ma:internalName="TaxCatchAll" ma:showField="CatchAllData" ma:web="a9dff0da-1710-4317-a950-9b6a9eb308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dc8db1-3e07-46b1-bbda-a2244e820882">
      <Terms xmlns="http://schemas.microsoft.com/office/infopath/2007/PartnerControls"/>
    </lcf76f155ced4ddcb4097134ff3c332f>
    <TaxCatchAll xmlns="a9dff0da-1710-4317-a950-9b6a9eb308f4" xsi:nil="true"/>
  </documentManagement>
</p:properties>
</file>

<file path=customXml/itemProps1.xml><?xml version="1.0" encoding="utf-8"?>
<ds:datastoreItem xmlns:ds="http://schemas.openxmlformats.org/officeDocument/2006/customXml" ds:itemID="{C1EBF540-0C2D-4A6C-8CD0-DCFBCCA8D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c8db1-3e07-46b1-bbda-a2244e820882"/>
    <ds:schemaRef ds:uri="a9dff0da-1710-4317-a950-9b6a9eb308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6BE51-DB41-4087-A16C-3711E296A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354E6C-0662-47AF-83A5-903EFA893CA5}">
  <ds:schemaRefs>
    <ds:schemaRef ds:uri="http://schemas.microsoft.com/office/2006/metadata/properties"/>
    <ds:schemaRef ds:uri="http://schemas.microsoft.com/office/infopath/2007/PartnerControls"/>
    <ds:schemaRef ds:uri="c4dc8db1-3e07-46b1-bbda-a2244e820882"/>
    <ds:schemaRef ds:uri="a9dff0da-1710-4317-a950-9b6a9eb308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Administration</vt:lpstr>
      <vt:lpstr>Safety</vt:lpstr>
      <vt:lpstr>Bayview - Consolidated</vt:lpstr>
      <vt:lpstr>2026 Bayview Operations</vt:lpstr>
      <vt:lpstr>Bayview - Detailed</vt:lpstr>
      <vt:lpstr>Bayview - Capital</vt:lpstr>
      <vt:lpstr>Bayview - Condensed wo-WIWMD</vt:lpstr>
      <vt:lpstr>2025 Bayview Operations wo-WIWM</vt:lpstr>
      <vt:lpstr>2025 Capital wo_WIWMD</vt:lpstr>
      <vt:lpstr>Tonnage</vt:lpstr>
      <vt:lpstr>Fees</vt:lpstr>
      <vt:lpstr>WIWMD</vt:lpstr>
      <vt:lpstr>'2025 Bayview Operations wo-WIWM'!Print_Area</vt:lpstr>
      <vt:lpstr>'2025 Capital wo_WIWMD'!Print_Area</vt:lpstr>
      <vt:lpstr>'2026 Bayview Operations'!Print_Area</vt:lpstr>
      <vt:lpstr>Administration!Print_Area</vt:lpstr>
      <vt:lpstr>'Bayview - Capital'!Print_Area</vt:lpstr>
      <vt:lpstr>'Bayview - Condensed wo-WIWMD'!Print_Area</vt:lpstr>
      <vt:lpstr>'Bayview - Consolidated'!Print_Area</vt:lpstr>
      <vt:lpstr>'Bayview - Detailed'!Print_Area</vt:lpstr>
      <vt:lpstr>Safety!Print_Area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Lamoreaux</dc:creator>
  <cp:lastModifiedBy>Landfill Manager</cp:lastModifiedBy>
  <cp:lastPrinted>2025-10-08T21:46:33Z</cp:lastPrinted>
  <dcterms:created xsi:type="dcterms:W3CDTF">2023-10-06T11:50:51Z</dcterms:created>
  <dcterms:modified xsi:type="dcterms:W3CDTF">2025-11-14T19:08:33Z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0x0101001A8377A9932B15408D642789DCB6F31F</vt:lpwstr>
  </property>
  <property fmtid="{D5CDD505-2E9C-101B-9397-08002B2CF9AE}" pid="3" name="MediaServiceImageTags">
    <vt:lpwstr/>
  </property>
</Properties>
</file>