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74e276b7b853c8/Budget/7- Budget 2025/"/>
    </mc:Choice>
  </mc:AlternateContent>
  <xr:revisionPtr revIDLastSave="0" documentId="8_{0A3B03D2-3EF3-4034-B208-CF85DE5F49AB}" xr6:coauthVersionLast="47" xr6:coauthVersionMax="47" xr10:uidLastSave="{00000000-0000-0000-0000-000000000000}"/>
  <bookViews>
    <workbookView xWindow="768" yWindow="768" windowWidth="20904" windowHeight="1233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1" l="1"/>
  <c r="C132" i="1" s="1"/>
  <c r="B131" i="1"/>
  <c r="C130" i="1"/>
  <c r="C128" i="1"/>
  <c r="B127" i="1"/>
  <c r="B128" i="1" s="1"/>
  <c r="B123" i="1"/>
  <c r="D123" i="1" s="1"/>
  <c r="C122" i="1"/>
  <c r="D122" i="1" s="1"/>
  <c r="C121" i="1"/>
  <c r="C120" i="1"/>
  <c r="B120" i="1"/>
  <c r="C119" i="1"/>
  <c r="B119" i="1"/>
  <c r="C118" i="1"/>
  <c r="D118" i="1" s="1"/>
  <c r="B118" i="1"/>
  <c r="C117" i="1"/>
  <c r="C116" i="1"/>
  <c r="D116" i="1" s="1"/>
  <c r="C115" i="1"/>
  <c r="D115" i="1" s="1"/>
  <c r="C114" i="1"/>
  <c r="C112" i="1"/>
  <c r="C113" i="1" s="1"/>
  <c r="B112" i="1"/>
  <c r="B111" i="1"/>
  <c r="D111" i="1" s="1"/>
  <c r="C110" i="1"/>
  <c r="B110" i="1"/>
  <c r="C109" i="1"/>
  <c r="B109" i="1"/>
  <c r="C107" i="1"/>
  <c r="D107" i="1" s="1"/>
  <c r="C106" i="1"/>
  <c r="C108" i="1" s="1"/>
  <c r="B105" i="1"/>
  <c r="D105" i="1" s="1"/>
  <c r="B104" i="1"/>
  <c r="D104" i="1" s="1"/>
  <c r="D103" i="1"/>
  <c r="C102" i="1"/>
  <c r="B102" i="1"/>
  <c r="C101" i="1"/>
  <c r="D101" i="1" s="1"/>
  <c r="C100" i="1"/>
  <c r="D100" i="1" s="1"/>
  <c r="C99" i="1"/>
  <c r="B99" i="1"/>
  <c r="C97" i="1"/>
  <c r="C98" i="1" s="1"/>
  <c r="B97" i="1"/>
  <c r="B96" i="1"/>
  <c r="D96" i="1" s="1"/>
  <c r="B95" i="1"/>
  <c r="D95" i="1" s="1"/>
  <c r="D94" i="1"/>
  <c r="C94" i="1"/>
  <c r="B94" i="1"/>
  <c r="C93" i="1"/>
  <c r="B93" i="1"/>
  <c r="C92" i="1"/>
  <c r="B91" i="1"/>
  <c r="D91" i="1" s="1"/>
  <c r="B90" i="1"/>
  <c r="D90" i="1" s="1"/>
  <c r="B89" i="1"/>
  <c r="D89" i="1" s="1"/>
  <c r="B88" i="1"/>
  <c r="B92" i="1" s="1"/>
  <c r="C87" i="1"/>
  <c r="D87" i="1" s="1"/>
  <c r="B85" i="1"/>
  <c r="D85" i="1" s="1"/>
  <c r="C84" i="1"/>
  <c r="C86" i="1" s="1"/>
  <c r="B84" i="1"/>
  <c r="B86" i="1" s="1"/>
  <c r="C83" i="1"/>
  <c r="D83" i="1" s="1"/>
  <c r="B83" i="1"/>
  <c r="C82" i="1"/>
  <c r="D82" i="1" s="1"/>
  <c r="B82" i="1"/>
  <c r="C81" i="1"/>
  <c r="B81" i="1"/>
  <c r="B80" i="1"/>
  <c r="D80" i="1" s="1"/>
  <c r="B79" i="1"/>
  <c r="D79" i="1" s="1"/>
  <c r="B77" i="1"/>
  <c r="D77" i="1" s="1"/>
  <c r="C76" i="1"/>
  <c r="B76" i="1"/>
  <c r="B78" i="1" s="1"/>
  <c r="C75" i="1"/>
  <c r="B74" i="1"/>
  <c r="B75" i="1" s="1"/>
  <c r="D73" i="1"/>
  <c r="C73" i="1"/>
  <c r="B73" i="1"/>
  <c r="C72" i="1"/>
  <c r="D72" i="1" s="1"/>
  <c r="B72" i="1"/>
  <c r="C70" i="1"/>
  <c r="D70" i="1" s="1"/>
  <c r="B70" i="1"/>
  <c r="B71" i="1" s="1"/>
  <c r="C69" i="1"/>
  <c r="C71" i="1" s="1"/>
  <c r="B69" i="1"/>
  <c r="C68" i="1"/>
  <c r="B66" i="1"/>
  <c r="D66" i="1" s="1"/>
  <c r="C65" i="1"/>
  <c r="B65" i="1"/>
  <c r="B67" i="1" s="1"/>
  <c r="C64" i="1"/>
  <c r="D64" i="1" s="1"/>
  <c r="B64" i="1"/>
  <c r="C62" i="1"/>
  <c r="B61" i="1"/>
  <c r="D61" i="1" s="1"/>
  <c r="B60" i="1"/>
  <c r="D60" i="1" s="1"/>
  <c r="C59" i="1"/>
  <c r="B58" i="1"/>
  <c r="D58" i="1" s="1"/>
  <c r="B57" i="1"/>
  <c r="B59" i="1" s="1"/>
  <c r="C56" i="1"/>
  <c r="B55" i="1"/>
  <c r="D55" i="1" s="1"/>
  <c r="B54" i="1"/>
  <c r="D54" i="1" s="1"/>
  <c r="C53" i="1"/>
  <c r="B53" i="1"/>
  <c r="C50" i="1"/>
  <c r="B50" i="1"/>
  <c r="B51" i="1" s="1"/>
  <c r="C49" i="1"/>
  <c r="B49" i="1"/>
  <c r="B47" i="1"/>
  <c r="D47" i="1" s="1"/>
  <c r="C46" i="1"/>
  <c r="C48" i="1" s="1"/>
  <c r="B46" i="1"/>
  <c r="B48" i="1" s="1"/>
  <c r="C45" i="1"/>
  <c r="B45" i="1"/>
  <c r="C44" i="1"/>
  <c r="B44" i="1"/>
  <c r="C43" i="1"/>
  <c r="B43" i="1"/>
  <c r="B42" i="1"/>
  <c r="D42" i="1" s="1"/>
  <c r="C41" i="1"/>
  <c r="D41" i="1" s="1"/>
  <c r="B41" i="1"/>
  <c r="C40" i="1"/>
  <c r="B38" i="1"/>
  <c r="D38" i="1" s="1"/>
  <c r="C37" i="1"/>
  <c r="C39" i="1" s="1"/>
  <c r="B37" i="1"/>
  <c r="B39" i="1" s="1"/>
  <c r="C35" i="1"/>
  <c r="C36" i="1" s="1"/>
  <c r="B35" i="1"/>
  <c r="C34" i="1"/>
  <c r="B34" i="1"/>
  <c r="C33" i="1"/>
  <c r="B33" i="1"/>
  <c r="C29" i="1"/>
  <c r="D29" i="1" s="1"/>
  <c r="B27" i="1"/>
  <c r="D27" i="1" s="1"/>
  <c r="C26" i="1"/>
  <c r="B26" i="1"/>
  <c r="B28" i="1" s="1"/>
  <c r="C25" i="1"/>
  <c r="B25" i="1"/>
  <c r="C24" i="1"/>
  <c r="D24" i="1" s="1"/>
  <c r="B24" i="1"/>
  <c r="C22" i="1"/>
  <c r="B22" i="1"/>
  <c r="B23" i="1" s="1"/>
  <c r="C21" i="1"/>
  <c r="C23" i="1" s="1"/>
  <c r="C20" i="1"/>
  <c r="B20" i="1"/>
  <c r="C18" i="1"/>
  <c r="B18" i="1"/>
  <c r="C17" i="1"/>
  <c r="D17" i="1" s="1"/>
  <c r="B17" i="1"/>
  <c r="C16" i="1"/>
  <c r="D16" i="1" s="1"/>
  <c r="B16" i="1"/>
  <c r="C15" i="1"/>
  <c r="C14" i="1"/>
  <c r="D14" i="1" s="1"/>
  <c r="B13" i="1"/>
  <c r="D13" i="1" s="1"/>
  <c r="C12" i="1"/>
  <c r="D12" i="1" s="1"/>
  <c r="C11" i="1"/>
  <c r="C10" i="1"/>
  <c r="D10" i="1" s="1"/>
  <c r="C9" i="1"/>
  <c r="B9" i="1"/>
  <c r="C8" i="1"/>
  <c r="B8" i="1"/>
  <c r="D43" i="1" l="1"/>
  <c r="D69" i="1"/>
  <c r="D88" i="1"/>
  <c r="D110" i="1"/>
  <c r="D131" i="1"/>
  <c r="D25" i="1"/>
  <c r="D44" i="1"/>
  <c r="D20" i="1"/>
  <c r="B52" i="1"/>
  <c r="D76" i="1"/>
  <c r="B113" i="1"/>
  <c r="D113" i="1" s="1"/>
  <c r="D21" i="1"/>
  <c r="D97" i="1"/>
  <c r="C19" i="1"/>
  <c r="D19" i="1" s="1"/>
  <c r="B56" i="1"/>
  <c r="D56" i="1" s="1"/>
  <c r="C78" i="1"/>
  <c r="B98" i="1"/>
  <c r="D98" i="1" s="1"/>
  <c r="B19" i="1"/>
  <c r="B30" i="1" s="1"/>
  <c r="B31" i="1" s="1"/>
  <c r="D22" i="1"/>
  <c r="B132" i="1"/>
  <c r="D132" i="1" s="1"/>
  <c r="B36" i="1"/>
  <c r="D99" i="1"/>
  <c r="D9" i="1"/>
  <c r="C51" i="1"/>
  <c r="C52" i="1" s="1"/>
  <c r="D51" i="1"/>
  <c r="D86" i="1"/>
  <c r="D48" i="1"/>
  <c r="D75" i="1"/>
  <c r="D59" i="1"/>
  <c r="D39" i="1"/>
  <c r="D36" i="1"/>
  <c r="D49" i="1"/>
  <c r="D26" i="1"/>
  <c r="D40" i="1"/>
  <c r="D34" i="1"/>
  <c r="D37" i="1"/>
  <c r="D50" i="1"/>
  <c r="D53" i="1"/>
  <c r="C67" i="1"/>
  <c r="D46" i="1"/>
  <c r="C63" i="1"/>
  <c r="D57" i="1"/>
  <c r="D112" i="1"/>
  <c r="D119" i="1"/>
  <c r="D127" i="1"/>
  <c r="D33" i="1"/>
  <c r="D11" i="1"/>
  <c r="D74" i="1"/>
  <c r="C28" i="1"/>
  <c r="D35" i="1"/>
  <c r="B62" i="1"/>
  <c r="D68" i="1"/>
  <c r="D71" i="1"/>
  <c r="D81" i="1"/>
  <c r="D84" i="1"/>
  <c r="D109" i="1"/>
  <c r="D8" i="1"/>
  <c r="D106" i="1"/>
  <c r="D15" i="1"/>
  <c r="D18" i="1"/>
  <c r="D45" i="1"/>
  <c r="D62" i="1"/>
  <c r="D65" i="1"/>
  <c r="D78" i="1"/>
  <c r="D92" i="1"/>
  <c r="D102" i="1"/>
  <c r="D117" i="1"/>
  <c r="D120" i="1"/>
  <c r="D128" i="1"/>
  <c r="D93" i="1"/>
  <c r="B108" i="1"/>
  <c r="D108" i="1" s="1"/>
  <c r="D114" i="1"/>
  <c r="D121" i="1"/>
  <c r="D130" i="1"/>
  <c r="D23" i="1"/>
  <c r="B63" i="1" l="1"/>
  <c r="B124" i="1" s="1"/>
  <c r="D67" i="1"/>
  <c r="D28" i="1"/>
  <c r="D52" i="1"/>
  <c r="C124" i="1"/>
  <c r="C30" i="1"/>
  <c r="B125" i="1"/>
  <c r="B133" i="1" s="1"/>
  <c r="D63" i="1"/>
  <c r="D124" i="1" l="1"/>
  <c r="C31" i="1"/>
  <c r="D30" i="1"/>
  <c r="C125" i="1" l="1"/>
  <c r="D31" i="1"/>
  <c r="C133" i="1" l="1"/>
  <c r="D125" i="1"/>
  <c r="D133" i="1" l="1"/>
</calcChain>
</file>

<file path=xl/sharedStrings.xml><?xml version="1.0" encoding="utf-8"?>
<sst xmlns="http://schemas.openxmlformats.org/spreadsheetml/2006/main" count="135" uniqueCount="135">
  <si>
    <t>Total</t>
  </si>
  <si>
    <t>Actual</t>
  </si>
  <si>
    <t>Budget</t>
  </si>
  <si>
    <t>Remaining</t>
  </si>
  <si>
    <t>Income</t>
  </si>
  <si>
    <t xml:space="preserve">   4015 Current Taxes</t>
  </si>
  <si>
    <t xml:space="preserve">   4025 General Interest</t>
  </si>
  <si>
    <t xml:space="preserve">   4030- MTR CARRIER</t>
  </si>
  <si>
    <t xml:space="preserve">   4035 Circuit Breaker</t>
  </si>
  <si>
    <t xml:space="preserve">   4045 Wild Lands</t>
  </si>
  <si>
    <t xml:space="preserve">   4075 Donations Income</t>
  </si>
  <si>
    <t xml:space="preserve">   4080 Prior Year</t>
  </si>
  <si>
    <t xml:space="preserve">   4110 Grants</t>
  </si>
  <si>
    <t xml:space="preserve">      4110A EMS Mental Health Grant Revenue</t>
  </si>
  <si>
    <t xml:space="preserve">      4110B Rural Competitive Grant Revenue</t>
  </si>
  <si>
    <t xml:space="preserve">      4110C Per Capita Grant Revenue</t>
  </si>
  <si>
    <t xml:space="preserve">   Total 4110 Grants</t>
  </si>
  <si>
    <t xml:space="preserve">   4130 Impact Fee Residential Revenue</t>
  </si>
  <si>
    <t xml:space="preserve">   4150 Miscellaneous Income</t>
  </si>
  <si>
    <t xml:space="preserve">      4151 Department Income</t>
  </si>
  <si>
    <t xml:space="preserve">   Total 4150 Miscellaneous Income</t>
  </si>
  <si>
    <t xml:space="preserve">   4152 Inspection Fees</t>
  </si>
  <si>
    <t xml:space="preserve">   4170 Impact Fee Commercial Revenue</t>
  </si>
  <si>
    <t xml:space="preserve">   4180 Billable Expense Income</t>
  </si>
  <si>
    <t xml:space="preserve">      4180A Standby Time Income</t>
  </si>
  <si>
    <t xml:space="preserve">   Total 4180 Billable Expense Income</t>
  </si>
  <si>
    <t xml:space="preserve">   Uncategorized Income</t>
  </si>
  <si>
    <t>Total Income</t>
  </si>
  <si>
    <t>Gross Profit</t>
  </si>
  <si>
    <t>Expenses</t>
  </si>
  <si>
    <t xml:space="preserve">   6000 Awards and Recognition</t>
  </si>
  <si>
    <t xml:space="preserve">   6015 Conventions and Seminars</t>
  </si>
  <si>
    <t xml:space="preserve">      6015A EMS Conventions and Seminars</t>
  </si>
  <si>
    <t xml:space="preserve">   Total 6015 Conventions and Seminars</t>
  </si>
  <si>
    <t xml:space="preserve">   6016 Uniforms</t>
  </si>
  <si>
    <t xml:space="preserve">      6016A Uniforms-EMS</t>
  </si>
  <si>
    <t xml:space="preserve">   Total 6016 Uniforms</t>
  </si>
  <si>
    <t xml:space="preserve">   6020 Elections</t>
  </si>
  <si>
    <t xml:space="preserve">   6025 Equipment Maintenance / Repairs</t>
  </si>
  <si>
    <t xml:space="preserve">      6025A EMS Equipment Maintenance/Repairs</t>
  </si>
  <si>
    <t xml:space="preserve">   Total 6025 Equipment Maintenance / Repairs</t>
  </si>
  <si>
    <t xml:space="preserve">   6026 EMS Expenses</t>
  </si>
  <si>
    <t xml:space="preserve">   6030 Fire Trucks</t>
  </si>
  <si>
    <t xml:space="preserve">      6031 Fuel</t>
  </si>
  <si>
    <t xml:space="preserve">         6031A EMS Fuel</t>
  </si>
  <si>
    <t xml:space="preserve">      Total 6031 Fuel</t>
  </si>
  <si>
    <t xml:space="preserve">      6032 Vehicle Maintenance / Repairs</t>
  </si>
  <si>
    <t xml:space="preserve">         6032A EMS Vehicle Maintenance</t>
  </si>
  <si>
    <t xml:space="preserve">      Total 6032 Vehicle Maintenance / Repairs</t>
  </si>
  <si>
    <t xml:space="preserve">   Total 6030 Fire Trucks</t>
  </si>
  <si>
    <t xml:space="preserve">   6050 Professional Services</t>
  </si>
  <si>
    <t xml:space="preserve">      6052 Consultant and Auditor</t>
  </si>
  <si>
    <t xml:space="preserve">         6052A Consultant and Auditor Fee-EMS</t>
  </si>
  <si>
    <t xml:space="preserve">      Total 6052 Consultant and Auditor</t>
  </si>
  <si>
    <t xml:space="preserve">      6053 Attorney</t>
  </si>
  <si>
    <t xml:space="preserve">         6053A Attorney-EMS</t>
  </si>
  <si>
    <t xml:space="preserve">      Total 6053 Attorney</t>
  </si>
  <si>
    <t xml:space="preserve">      6054 Cloud and web services</t>
  </si>
  <si>
    <t xml:space="preserve">         6054A Cloud and Web Services</t>
  </si>
  <si>
    <t xml:space="preserve">      Total 6054 Cloud and web services</t>
  </si>
  <si>
    <t xml:space="preserve">   Total 6050 Professional Services</t>
  </si>
  <si>
    <t xml:space="preserve">   6065 Training</t>
  </si>
  <si>
    <t xml:space="preserve">   6070 Firefighting Expenses / Certifications</t>
  </si>
  <si>
    <t xml:space="preserve">      6070A EMS Expenses-Certifications</t>
  </si>
  <si>
    <t xml:space="preserve">   Total 6070 Firefighting Expenses / Certifications</t>
  </si>
  <si>
    <t xml:space="preserve">   6075 Workers Compensation</t>
  </si>
  <si>
    <t xml:space="preserve">   6080 Station Maintenance / Repairs</t>
  </si>
  <si>
    <t xml:space="preserve">      6080A Station Maintenance/Repairs-EMS</t>
  </si>
  <si>
    <t xml:space="preserve">   Total 6080 Station Maintenance / Repairs</t>
  </si>
  <si>
    <t xml:space="preserve">   6120 Bank Service Charges</t>
  </si>
  <si>
    <t xml:space="preserve">   6160 Dues and Subscriptions Monthly Expense</t>
  </si>
  <si>
    <t xml:space="preserve">      6161 Office subscriptions</t>
  </si>
  <si>
    <t xml:space="preserve">   Total 6160 Dues and Subscriptions Monthly Expense</t>
  </si>
  <si>
    <t xml:space="preserve">   6180 Insurance</t>
  </si>
  <si>
    <t xml:space="preserve">      6185 Liability Insurance</t>
  </si>
  <si>
    <t xml:space="preserve">   Total 6180 Insurance</t>
  </si>
  <si>
    <t xml:space="preserve">   6230 Impact Fee Expense</t>
  </si>
  <si>
    <t xml:space="preserve">   6240 Miscellaneous</t>
  </si>
  <si>
    <t xml:space="preserve">   6245 Inspection Fee</t>
  </si>
  <si>
    <t xml:space="preserve">   6250 Wild Lands Expense</t>
  </si>
  <si>
    <t xml:space="preserve">   6260 Fire Prevention Expense</t>
  </si>
  <si>
    <t xml:space="preserve">   6350 Travel &amp; Ent</t>
  </si>
  <si>
    <t xml:space="preserve">      6354 Meals</t>
  </si>
  <si>
    <t xml:space="preserve">   Total 6350 Travel &amp; Ent</t>
  </si>
  <si>
    <t xml:space="preserve">   6390 Utilities</t>
  </si>
  <si>
    <t xml:space="preserve">      6341 6340 Telephone/Internet</t>
  </si>
  <si>
    <t xml:space="preserve">      6392 Gas and Electric</t>
  </si>
  <si>
    <t xml:space="preserve">      6395 Garbage</t>
  </si>
  <si>
    <t xml:space="preserve">      6396 Utilities</t>
  </si>
  <si>
    <t xml:space="preserve">   Total 6390 Utilities</t>
  </si>
  <si>
    <t xml:space="preserve">   6550 Office Supplies</t>
  </si>
  <si>
    <t xml:space="preserve">   6550A EMS Office Supplies</t>
  </si>
  <si>
    <t xml:space="preserve">   6560 Payroll Expenses</t>
  </si>
  <si>
    <t xml:space="preserve">      6560 Payroll Expenses/1005</t>
  </si>
  <si>
    <t xml:space="preserve">      6561 Payroll Employee Benefits</t>
  </si>
  <si>
    <t xml:space="preserve">   Total 6560 Payroll Expenses</t>
  </si>
  <si>
    <t xml:space="preserve">   6670 Program Expense</t>
  </si>
  <si>
    <t xml:space="preserve">   6999 DRUG TESTING</t>
  </si>
  <si>
    <t xml:space="preserve">   7000 Capital Equipment - Capital</t>
  </si>
  <si>
    <t xml:space="preserve">   7010 Communications - Capital</t>
  </si>
  <si>
    <t xml:space="preserve">   7015 Grants Expense</t>
  </si>
  <si>
    <t xml:space="preserve">      7015A Grant Exp - EMS Mental Health Grant</t>
  </si>
  <si>
    <t xml:space="preserve">      7015B Grant Exp - Rural Competitive</t>
  </si>
  <si>
    <t xml:space="preserve">      7015C Grant Exp - Per Capita Grant</t>
  </si>
  <si>
    <t xml:space="preserve">      7015D Grant Exp</t>
  </si>
  <si>
    <t xml:space="preserve">   Total 7015 Grants Expense</t>
  </si>
  <si>
    <t xml:space="preserve">   7020 Small Tools - Capital</t>
  </si>
  <si>
    <t xml:space="preserve">   7030 Station Construction - Capital</t>
  </si>
  <si>
    <t xml:space="preserve">   7040 Turn out Gear - Capital</t>
  </si>
  <si>
    <t xml:space="preserve">      7041 Uniforms - Capital</t>
  </si>
  <si>
    <t xml:space="preserve">   Total 7040 Turn out Gear - Capital</t>
  </si>
  <si>
    <t xml:space="preserve">   7045 Hazmat - Capital</t>
  </si>
  <si>
    <t xml:space="preserve">   7050 Office Equipment - Capital</t>
  </si>
  <si>
    <t xml:space="preserve">   7075 Apparatus Lease PurchaseCapital</t>
  </si>
  <si>
    <t xml:space="preserve">   7090 Light Fleet - Capital</t>
  </si>
  <si>
    <t xml:space="preserve">   8010 Interest Expense/Debt</t>
  </si>
  <si>
    <t xml:space="preserve">   8015 New Station Loan Payment</t>
  </si>
  <si>
    <t xml:space="preserve">   8040 Medical Equipment Lease</t>
  </si>
  <si>
    <t xml:space="preserve">   9065 Ambulance - Capital</t>
  </si>
  <si>
    <t xml:space="preserve">   Purchases</t>
  </si>
  <si>
    <t xml:space="preserve">   Uncategorized Expense</t>
  </si>
  <si>
    <t>Total Expenses</t>
  </si>
  <si>
    <t>Net Operating Income</t>
  </si>
  <si>
    <t>Other Income</t>
  </si>
  <si>
    <t xml:space="preserve">   6900 MISC</t>
  </si>
  <si>
    <t>Total Other Income</t>
  </si>
  <si>
    <t>Other Expenses</t>
  </si>
  <si>
    <t xml:space="preserve">   Ask Accountant</t>
  </si>
  <si>
    <t>Total Other Expenses</t>
  </si>
  <si>
    <t>Net Other Income</t>
  </si>
  <si>
    <t>Net Income</t>
  </si>
  <si>
    <t>Tuesday, Nov 11, 2025 04:05:44 PM GMT-8 - Accrual Basis</t>
  </si>
  <si>
    <t>South Summit Fire Protection District</t>
  </si>
  <si>
    <t xml:space="preserve">Budget vs. Actuals: Budget_FY25_P&amp;L - FY25 P&amp;L </t>
  </si>
  <si>
    <t>January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</si>
</sst>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9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165" fontId="8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7"/>
  <sheetViews>
    <sheetView tabSelected="1" workbookViewId="0">
      <selection activeCell="H26" sqref="H26"/>
    </sheetView>
  </sheetViews>
  <sheetFormatPr defaultRowHeight="14.4" x14ac:dyDescent="0.3"/>
  <cols>
    <col min="1" max="1" width="41.21875" customWidth="1"/>
    <col min="2" max="4" width="16.33203125" customWidth="1"/>
  </cols>
  <sheetData>
    <row r="1" spans="1:4" ht="17.399999999999999" x14ac:dyDescent="0.3">
      <c r="A1" s="12" t="s">
        <v>132</v>
      </c>
      <c r="B1" s="11"/>
      <c r="C1" s="11"/>
      <c r="D1" s="11"/>
    </row>
    <row r="2" spans="1:4" ht="17.399999999999999" x14ac:dyDescent="0.3">
      <c r="A2" s="12" t="s">
        <v>133</v>
      </c>
      <c r="B2" s="11"/>
      <c r="C2" s="11"/>
      <c r="D2" s="11"/>
    </row>
    <row r="3" spans="1:4" x14ac:dyDescent="0.3">
      <c r="A3" s="13" t="s">
        <v>134</v>
      </c>
      <c r="B3" s="11"/>
      <c r="C3" s="11"/>
      <c r="D3" s="11"/>
    </row>
    <row r="5" spans="1:4" x14ac:dyDescent="0.3">
      <c r="A5" s="1"/>
      <c r="B5" s="8" t="s">
        <v>0</v>
      </c>
      <c r="C5" s="9"/>
      <c r="D5" s="9"/>
    </row>
    <row r="6" spans="1:4" x14ac:dyDescent="0.3">
      <c r="A6" s="1"/>
      <c r="B6" s="2" t="s">
        <v>1</v>
      </c>
      <c r="C6" s="2" t="s">
        <v>2</v>
      </c>
      <c r="D6" s="2" t="s">
        <v>3</v>
      </c>
    </row>
    <row r="7" spans="1:4" x14ac:dyDescent="0.3">
      <c r="A7" s="3" t="s">
        <v>4</v>
      </c>
      <c r="B7" s="4"/>
      <c r="C7" s="4"/>
      <c r="D7" s="4"/>
    </row>
    <row r="8" spans="1:4" x14ac:dyDescent="0.3">
      <c r="A8" s="3" t="s">
        <v>5</v>
      </c>
      <c r="B8" s="5">
        <f>211904.08</f>
        <v>211904.08</v>
      </c>
      <c r="C8" s="5">
        <f>1555521</f>
        <v>1555521</v>
      </c>
      <c r="D8" s="5">
        <f t="shared" ref="D8:D31" si="0">(C8)-(B8)</f>
        <v>1343616.92</v>
      </c>
    </row>
    <row r="9" spans="1:4" x14ac:dyDescent="0.3">
      <c r="A9" s="3" t="s">
        <v>6</v>
      </c>
      <c r="B9" s="5">
        <f>24387.22</f>
        <v>24387.22</v>
      </c>
      <c r="C9" s="5">
        <f>15000</f>
        <v>15000</v>
      </c>
      <c r="D9" s="5">
        <f t="shared" si="0"/>
        <v>-9387.2200000000012</v>
      </c>
    </row>
    <row r="10" spans="1:4" x14ac:dyDescent="0.3">
      <c r="A10" s="3" t="s">
        <v>7</v>
      </c>
      <c r="B10" s="4"/>
      <c r="C10" s="5">
        <f>150</f>
        <v>150</v>
      </c>
      <c r="D10" s="5">
        <f t="shared" si="0"/>
        <v>150</v>
      </c>
    </row>
    <row r="11" spans="1:4" x14ac:dyDescent="0.3">
      <c r="A11" s="3" t="s">
        <v>8</v>
      </c>
      <c r="B11" s="4"/>
      <c r="C11" s="5">
        <f>800</f>
        <v>800</v>
      </c>
      <c r="D11" s="5">
        <f t="shared" si="0"/>
        <v>800</v>
      </c>
    </row>
    <row r="12" spans="1:4" x14ac:dyDescent="0.3">
      <c r="A12" s="3" t="s">
        <v>9</v>
      </c>
      <c r="B12" s="4"/>
      <c r="C12" s="5">
        <f>22176</f>
        <v>22176</v>
      </c>
      <c r="D12" s="5">
        <f t="shared" si="0"/>
        <v>22176</v>
      </c>
    </row>
    <row r="13" spans="1:4" x14ac:dyDescent="0.3">
      <c r="A13" s="3" t="s">
        <v>10</v>
      </c>
      <c r="B13" s="5">
        <f>15000</f>
        <v>15000</v>
      </c>
      <c r="C13" s="4"/>
      <c r="D13" s="5">
        <f t="shared" si="0"/>
        <v>-15000</v>
      </c>
    </row>
    <row r="14" spans="1:4" x14ac:dyDescent="0.3">
      <c r="A14" s="3" t="s">
        <v>11</v>
      </c>
      <c r="B14" s="4"/>
      <c r="C14" s="5">
        <f>10000</f>
        <v>10000</v>
      </c>
      <c r="D14" s="5">
        <f t="shared" si="0"/>
        <v>10000</v>
      </c>
    </row>
    <row r="15" spans="1:4" x14ac:dyDescent="0.3">
      <c r="A15" s="3" t="s">
        <v>12</v>
      </c>
      <c r="B15" s="4"/>
      <c r="C15" s="5">
        <f>10000</f>
        <v>10000</v>
      </c>
      <c r="D15" s="5">
        <f t="shared" si="0"/>
        <v>10000</v>
      </c>
    </row>
    <row r="16" spans="1:4" x14ac:dyDescent="0.3">
      <c r="A16" s="3" t="s">
        <v>13</v>
      </c>
      <c r="B16" s="5">
        <f>18169.38</f>
        <v>18169.38</v>
      </c>
      <c r="C16" s="5">
        <f>118000</f>
        <v>118000</v>
      </c>
      <c r="D16" s="5">
        <f t="shared" si="0"/>
        <v>99830.62</v>
      </c>
    </row>
    <row r="17" spans="1:4" x14ac:dyDescent="0.3">
      <c r="A17" s="3" t="s">
        <v>14</v>
      </c>
      <c r="B17" s="5">
        <f>58101.17</f>
        <v>58101.17</v>
      </c>
      <c r="C17" s="5">
        <f>48814</f>
        <v>48814</v>
      </c>
      <c r="D17" s="5">
        <f t="shared" si="0"/>
        <v>-9287.1699999999983</v>
      </c>
    </row>
    <row r="18" spans="1:4" x14ac:dyDescent="0.3">
      <c r="A18" s="3" t="s">
        <v>15</v>
      </c>
      <c r="B18" s="5">
        <f>4788</f>
        <v>4788</v>
      </c>
      <c r="C18" s="5">
        <f>4788</f>
        <v>4788</v>
      </c>
      <c r="D18" s="5">
        <f t="shared" si="0"/>
        <v>0</v>
      </c>
    </row>
    <row r="19" spans="1:4" x14ac:dyDescent="0.3">
      <c r="A19" s="3" t="s">
        <v>16</v>
      </c>
      <c r="B19" s="6">
        <f>(((B15)+(B16))+(B17))+(B18)</f>
        <v>81058.55</v>
      </c>
      <c r="C19" s="6">
        <f>(((C15)+(C16))+(C17))+(C18)</f>
        <v>181602</v>
      </c>
      <c r="D19" s="6">
        <f t="shared" si="0"/>
        <v>100543.45</v>
      </c>
    </row>
    <row r="20" spans="1:4" x14ac:dyDescent="0.3">
      <c r="A20" s="3" t="s">
        <v>17</v>
      </c>
      <c r="B20" s="5">
        <f>9404.03</f>
        <v>9404.0300000000007</v>
      </c>
      <c r="C20" s="5">
        <f>75000</f>
        <v>75000</v>
      </c>
      <c r="D20" s="5">
        <f t="shared" si="0"/>
        <v>65595.97</v>
      </c>
    </row>
    <row r="21" spans="1:4" x14ac:dyDescent="0.3">
      <c r="A21" s="3" t="s">
        <v>18</v>
      </c>
      <c r="B21" s="4"/>
      <c r="C21" s="5">
        <f>37522.05</f>
        <v>37522.050000000003</v>
      </c>
      <c r="D21" s="5">
        <f t="shared" si="0"/>
        <v>37522.050000000003</v>
      </c>
    </row>
    <row r="22" spans="1:4" x14ac:dyDescent="0.3">
      <c r="A22" s="3" t="s">
        <v>19</v>
      </c>
      <c r="B22" s="5">
        <f>1000000</f>
        <v>1000000</v>
      </c>
      <c r="C22" s="5">
        <f>1000000</f>
        <v>1000000</v>
      </c>
      <c r="D22" s="5">
        <f t="shared" si="0"/>
        <v>0</v>
      </c>
    </row>
    <row r="23" spans="1:4" x14ac:dyDescent="0.3">
      <c r="A23" s="3" t="s">
        <v>20</v>
      </c>
      <c r="B23" s="6">
        <f>(B21)+(B22)</f>
        <v>1000000</v>
      </c>
      <c r="C23" s="6">
        <f>(C21)+(C22)</f>
        <v>1037522.05</v>
      </c>
      <c r="D23" s="6">
        <f t="shared" si="0"/>
        <v>37522.050000000047</v>
      </c>
    </row>
    <row r="24" spans="1:4" x14ac:dyDescent="0.3">
      <c r="A24" s="3" t="s">
        <v>21</v>
      </c>
      <c r="B24" s="5">
        <f>2626.15</f>
        <v>2626.15</v>
      </c>
      <c r="C24" s="5">
        <f>5700</f>
        <v>5700</v>
      </c>
      <c r="D24" s="5">
        <f t="shared" si="0"/>
        <v>3073.85</v>
      </c>
    </row>
    <row r="25" spans="1:4" x14ac:dyDescent="0.3">
      <c r="A25" s="3" t="s">
        <v>22</v>
      </c>
      <c r="B25" s="5">
        <f>3360.58</f>
        <v>3360.58</v>
      </c>
      <c r="C25" s="5">
        <f>28000</f>
        <v>28000</v>
      </c>
      <c r="D25" s="5">
        <f t="shared" si="0"/>
        <v>24639.42</v>
      </c>
    </row>
    <row r="26" spans="1:4" x14ac:dyDescent="0.3">
      <c r="A26" s="3" t="s">
        <v>23</v>
      </c>
      <c r="B26" s="5">
        <f>308360.36</f>
        <v>308360.36</v>
      </c>
      <c r="C26" s="5">
        <f>265000</f>
        <v>265000</v>
      </c>
      <c r="D26" s="5">
        <f t="shared" si="0"/>
        <v>-43360.359999999986</v>
      </c>
    </row>
    <row r="27" spans="1:4" x14ac:dyDescent="0.3">
      <c r="A27" s="3" t="s">
        <v>24</v>
      </c>
      <c r="B27" s="5">
        <f>28110</f>
        <v>28110</v>
      </c>
      <c r="C27" s="4"/>
      <c r="D27" s="5">
        <f t="shared" si="0"/>
        <v>-28110</v>
      </c>
    </row>
    <row r="28" spans="1:4" x14ac:dyDescent="0.3">
      <c r="A28" s="3" t="s">
        <v>25</v>
      </c>
      <c r="B28" s="6">
        <f>(B26)+(B27)</f>
        <v>336470.36</v>
      </c>
      <c r="C28" s="6">
        <f>(C26)+(C27)</f>
        <v>265000</v>
      </c>
      <c r="D28" s="6">
        <f t="shared" si="0"/>
        <v>-71470.359999999986</v>
      </c>
    </row>
    <row r="29" spans="1:4" x14ac:dyDescent="0.3">
      <c r="A29" s="3" t="s">
        <v>26</v>
      </c>
      <c r="B29" s="4"/>
      <c r="C29" s="14">
        <f>50000</f>
        <v>50000</v>
      </c>
      <c r="D29" s="5">
        <f t="shared" si="0"/>
        <v>50000</v>
      </c>
    </row>
    <row r="30" spans="1:4" x14ac:dyDescent="0.3">
      <c r="A30" s="3" t="s">
        <v>27</v>
      </c>
      <c r="B30" s="6">
        <f>(((((((((((((B8)+(B9))+(B10))+(B11))+(B12))+(B13))+(B14))+(B19))+(B20))+(B23))+(B24))+(B25))+(B28))+(B29)</f>
        <v>1684210.9699999997</v>
      </c>
      <c r="C30" s="6">
        <f>(((((((((((((C8)+(C9))+(C10))+(C11))+(C12))+(C13))+(C14))+(C19))+(C20))+(C23))+(C24))+(C25))+(C28))+(C29)</f>
        <v>3246471.05</v>
      </c>
      <c r="D30" s="6">
        <f t="shared" si="0"/>
        <v>1562260.08</v>
      </c>
    </row>
    <row r="31" spans="1:4" x14ac:dyDescent="0.3">
      <c r="A31" s="3" t="s">
        <v>28</v>
      </c>
      <c r="B31" s="6">
        <f>(B30)-(0)</f>
        <v>1684210.9699999997</v>
      </c>
      <c r="C31" s="17">
        <f>(C30)-(0)</f>
        <v>3246471.05</v>
      </c>
      <c r="D31" s="6">
        <f t="shared" si="0"/>
        <v>1562260.08</v>
      </c>
    </row>
    <row r="32" spans="1:4" x14ac:dyDescent="0.3">
      <c r="A32" s="3" t="s">
        <v>29</v>
      </c>
      <c r="B32" s="4"/>
      <c r="C32" s="4"/>
      <c r="D32" s="4"/>
    </row>
    <row r="33" spans="1:4" x14ac:dyDescent="0.3">
      <c r="A33" s="3" t="s">
        <v>30</v>
      </c>
      <c r="B33" s="5">
        <f>419.24</f>
        <v>419.24</v>
      </c>
      <c r="C33" s="14">
        <f>5000</f>
        <v>5000</v>
      </c>
      <c r="D33" s="5">
        <f t="shared" ref="D33:D64" si="1">(C33)-(B33)</f>
        <v>4580.76</v>
      </c>
    </row>
    <row r="34" spans="1:4" x14ac:dyDescent="0.3">
      <c r="A34" s="3" t="s">
        <v>31</v>
      </c>
      <c r="B34" s="5">
        <f>75</f>
        <v>75</v>
      </c>
      <c r="C34" s="15">
        <f>3000</f>
        <v>3000</v>
      </c>
      <c r="D34" s="5">
        <f t="shared" si="1"/>
        <v>2925</v>
      </c>
    </row>
    <row r="35" spans="1:4" x14ac:dyDescent="0.3">
      <c r="A35" s="3" t="s">
        <v>32</v>
      </c>
      <c r="B35" s="5">
        <f>204.33</f>
        <v>204.33</v>
      </c>
      <c r="C35" s="5">
        <f>0</f>
        <v>0</v>
      </c>
      <c r="D35" s="5">
        <f t="shared" si="1"/>
        <v>-204.33</v>
      </c>
    </row>
    <row r="36" spans="1:4" x14ac:dyDescent="0.3">
      <c r="A36" s="3" t="s">
        <v>33</v>
      </c>
      <c r="B36" s="6">
        <f>(B34)+(B35)</f>
        <v>279.33000000000004</v>
      </c>
      <c r="C36" s="6">
        <f>(C34)+(C35)</f>
        <v>3000</v>
      </c>
      <c r="D36" s="6">
        <f t="shared" si="1"/>
        <v>2720.67</v>
      </c>
    </row>
    <row r="37" spans="1:4" x14ac:dyDescent="0.3">
      <c r="A37" s="3" t="s">
        <v>34</v>
      </c>
      <c r="B37" s="5">
        <f>13140.31</f>
        <v>13140.31</v>
      </c>
      <c r="C37" s="5">
        <f>24000</f>
        <v>24000</v>
      </c>
      <c r="D37" s="5">
        <f t="shared" si="1"/>
        <v>10859.69</v>
      </c>
    </row>
    <row r="38" spans="1:4" x14ac:dyDescent="0.3">
      <c r="A38" s="3" t="s">
        <v>35</v>
      </c>
      <c r="B38" s="5">
        <f>4184.82</f>
        <v>4184.82</v>
      </c>
      <c r="C38" s="4"/>
      <c r="D38" s="5">
        <f t="shared" si="1"/>
        <v>-4184.82</v>
      </c>
    </row>
    <row r="39" spans="1:4" x14ac:dyDescent="0.3">
      <c r="A39" s="3" t="s">
        <v>36</v>
      </c>
      <c r="B39" s="6">
        <f>(B37)+(B38)</f>
        <v>17325.129999999997</v>
      </c>
      <c r="C39" s="6">
        <f>(C37)+(C38)</f>
        <v>24000</v>
      </c>
      <c r="D39" s="6">
        <f t="shared" si="1"/>
        <v>6674.8700000000026</v>
      </c>
    </row>
    <row r="40" spans="1:4" x14ac:dyDescent="0.3">
      <c r="A40" s="3" t="s">
        <v>37</v>
      </c>
      <c r="B40" s="4"/>
      <c r="C40" s="5">
        <f>0</f>
        <v>0</v>
      </c>
      <c r="D40" s="5">
        <f t="shared" si="1"/>
        <v>0</v>
      </c>
    </row>
    <row r="41" spans="1:4" x14ac:dyDescent="0.3">
      <c r="A41" s="3" t="s">
        <v>38</v>
      </c>
      <c r="B41" s="5">
        <f>6608.32</f>
        <v>6608.32</v>
      </c>
      <c r="C41" s="5">
        <f>20000</f>
        <v>20000</v>
      </c>
      <c r="D41" s="5">
        <f t="shared" si="1"/>
        <v>13391.68</v>
      </c>
    </row>
    <row r="42" spans="1:4" x14ac:dyDescent="0.3">
      <c r="A42" s="3" t="s">
        <v>39</v>
      </c>
      <c r="B42" s="5">
        <f>5172.8</f>
        <v>5172.8</v>
      </c>
      <c r="C42" s="4"/>
      <c r="D42" s="5">
        <f t="shared" si="1"/>
        <v>-5172.8</v>
      </c>
    </row>
    <row r="43" spans="1:4" x14ac:dyDescent="0.3">
      <c r="A43" s="3" t="s">
        <v>40</v>
      </c>
      <c r="B43" s="6">
        <f>(B41)+(B42)</f>
        <v>11781.119999999999</v>
      </c>
      <c r="C43" s="6">
        <f>(C41)+(C42)</f>
        <v>20000</v>
      </c>
      <c r="D43" s="6">
        <f t="shared" si="1"/>
        <v>8218.880000000001</v>
      </c>
    </row>
    <row r="44" spans="1:4" x14ac:dyDescent="0.3">
      <c r="A44" s="3" t="s">
        <v>41</v>
      </c>
      <c r="B44" s="5">
        <f>42889.31</f>
        <v>42889.31</v>
      </c>
      <c r="C44" s="14">
        <f>43522.05</f>
        <v>43522.05</v>
      </c>
      <c r="D44" s="5">
        <f t="shared" si="1"/>
        <v>632.74000000000524</v>
      </c>
    </row>
    <row r="45" spans="1:4" x14ac:dyDescent="0.3">
      <c r="A45" s="3" t="s">
        <v>42</v>
      </c>
      <c r="B45" s="5">
        <f>5061.59</f>
        <v>5061.59</v>
      </c>
      <c r="C45" s="5">
        <f>0</f>
        <v>0</v>
      </c>
      <c r="D45" s="5">
        <f t="shared" si="1"/>
        <v>-5061.59</v>
      </c>
    </row>
    <row r="46" spans="1:4" x14ac:dyDescent="0.3">
      <c r="A46" s="3" t="s">
        <v>43</v>
      </c>
      <c r="B46" s="5">
        <f>10742.47</f>
        <v>10742.47</v>
      </c>
      <c r="C46" s="5">
        <f>25000</f>
        <v>25000</v>
      </c>
      <c r="D46" s="5">
        <f t="shared" si="1"/>
        <v>14257.53</v>
      </c>
    </row>
    <row r="47" spans="1:4" x14ac:dyDescent="0.3">
      <c r="A47" s="3" t="s">
        <v>44</v>
      </c>
      <c r="B47" s="5">
        <f>7359.97</f>
        <v>7359.97</v>
      </c>
      <c r="C47" s="4"/>
      <c r="D47" s="5">
        <f t="shared" si="1"/>
        <v>-7359.97</v>
      </c>
    </row>
    <row r="48" spans="1:4" x14ac:dyDescent="0.3">
      <c r="A48" s="3" t="s">
        <v>45</v>
      </c>
      <c r="B48" s="6">
        <f>(B46)+(B47)</f>
        <v>18102.439999999999</v>
      </c>
      <c r="C48" s="6">
        <f>(C46)+(C47)</f>
        <v>25000</v>
      </c>
      <c r="D48" s="6">
        <f t="shared" si="1"/>
        <v>6897.5600000000013</v>
      </c>
    </row>
    <row r="49" spans="1:4" x14ac:dyDescent="0.3">
      <c r="A49" s="3" t="s">
        <v>46</v>
      </c>
      <c r="B49" s="5">
        <f>17054.16</f>
        <v>17054.16</v>
      </c>
      <c r="C49" s="5">
        <f>0</f>
        <v>0</v>
      </c>
      <c r="D49" s="5">
        <f t="shared" si="1"/>
        <v>-17054.16</v>
      </c>
    </row>
    <row r="50" spans="1:4" x14ac:dyDescent="0.3">
      <c r="A50" s="3" t="s">
        <v>47</v>
      </c>
      <c r="B50" s="5">
        <f>2734.4</f>
        <v>2734.4</v>
      </c>
      <c r="C50" s="5">
        <f>44292</f>
        <v>44292</v>
      </c>
      <c r="D50" s="5">
        <f t="shared" si="1"/>
        <v>41557.599999999999</v>
      </c>
    </row>
    <row r="51" spans="1:4" x14ac:dyDescent="0.3">
      <c r="A51" s="3" t="s">
        <v>48</v>
      </c>
      <c r="B51" s="6">
        <f>(B49)+(B50)</f>
        <v>19788.560000000001</v>
      </c>
      <c r="C51" s="16">
        <f>(C49)+(C50)</f>
        <v>44292</v>
      </c>
      <c r="D51" s="6">
        <f t="shared" si="1"/>
        <v>24503.439999999999</v>
      </c>
    </row>
    <row r="52" spans="1:4" x14ac:dyDescent="0.3">
      <c r="A52" s="3" t="s">
        <v>49</v>
      </c>
      <c r="B52" s="6">
        <f>((B45)+(B48))+(B51)</f>
        <v>42952.59</v>
      </c>
      <c r="C52" s="6">
        <f>((C45)+(C48))+(C51)</f>
        <v>69292</v>
      </c>
      <c r="D52" s="6">
        <f t="shared" si="1"/>
        <v>26339.410000000003</v>
      </c>
    </row>
    <row r="53" spans="1:4" x14ac:dyDescent="0.3">
      <c r="A53" s="3" t="s">
        <v>50</v>
      </c>
      <c r="B53" s="5">
        <f>54431.46</f>
        <v>54431.46</v>
      </c>
      <c r="C53" s="14">
        <f>65000</f>
        <v>65000</v>
      </c>
      <c r="D53" s="5">
        <f t="shared" si="1"/>
        <v>10568.54</v>
      </c>
    </row>
    <row r="54" spans="1:4" x14ac:dyDescent="0.3">
      <c r="A54" s="3" t="s">
        <v>51</v>
      </c>
      <c r="B54" s="5">
        <f>7800</f>
        <v>7800</v>
      </c>
      <c r="C54" s="4"/>
      <c r="D54" s="5">
        <f t="shared" si="1"/>
        <v>-7800</v>
      </c>
    </row>
    <row r="55" spans="1:4" x14ac:dyDescent="0.3">
      <c r="A55" s="3" t="s">
        <v>52</v>
      </c>
      <c r="B55" s="5">
        <f>700</f>
        <v>700</v>
      </c>
      <c r="C55" s="4"/>
      <c r="D55" s="5">
        <f t="shared" si="1"/>
        <v>-700</v>
      </c>
    </row>
    <row r="56" spans="1:4" x14ac:dyDescent="0.3">
      <c r="A56" s="3" t="s">
        <v>53</v>
      </c>
      <c r="B56" s="6">
        <f>(B54)+(B55)</f>
        <v>8500</v>
      </c>
      <c r="C56" s="6">
        <f>(C54)+(C55)</f>
        <v>0</v>
      </c>
      <c r="D56" s="6">
        <f t="shared" si="1"/>
        <v>-8500</v>
      </c>
    </row>
    <row r="57" spans="1:4" x14ac:dyDescent="0.3">
      <c r="A57" s="3" t="s">
        <v>54</v>
      </c>
      <c r="B57" s="5">
        <f>808.25</f>
        <v>808.25</v>
      </c>
      <c r="C57" s="4"/>
      <c r="D57" s="5">
        <f t="shared" si="1"/>
        <v>-808.25</v>
      </c>
    </row>
    <row r="58" spans="1:4" x14ac:dyDescent="0.3">
      <c r="A58" s="3" t="s">
        <v>55</v>
      </c>
      <c r="B58" s="5">
        <f>569.75</f>
        <v>569.75</v>
      </c>
      <c r="C58" s="4"/>
      <c r="D58" s="5">
        <f t="shared" si="1"/>
        <v>-569.75</v>
      </c>
    </row>
    <row r="59" spans="1:4" x14ac:dyDescent="0.3">
      <c r="A59" s="3" t="s">
        <v>56</v>
      </c>
      <c r="B59" s="6">
        <f>(B57)+(B58)</f>
        <v>1378</v>
      </c>
      <c r="C59" s="6">
        <f>(C57)+(C58)</f>
        <v>0</v>
      </c>
      <c r="D59" s="6">
        <f t="shared" si="1"/>
        <v>-1378</v>
      </c>
    </row>
    <row r="60" spans="1:4" x14ac:dyDescent="0.3">
      <c r="A60" s="3" t="s">
        <v>57</v>
      </c>
      <c r="B60" s="5">
        <f>339.99</f>
        <v>339.99</v>
      </c>
      <c r="C60" s="4"/>
      <c r="D60" s="5">
        <f t="shared" si="1"/>
        <v>-339.99</v>
      </c>
    </row>
    <row r="61" spans="1:4" x14ac:dyDescent="0.3">
      <c r="A61" s="3" t="s">
        <v>58</v>
      </c>
      <c r="B61" s="5">
        <f>340</f>
        <v>340</v>
      </c>
      <c r="C61" s="4"/>
      <c r="D61" s="5">
        <f t="shared" si="1"/>
        <v>-340</v>
      </c>
    </row>
    <row r="62" spans="1:4" x14ac:dyDescent="0.3">
      <c r="A62" s="3" t="s">
        <v>59</v>
      </c>
      <c r="B62" s="6">
        <f>(B60)+(B61)</f>
        <v>679.99</v>
      </c>
      <c r="C62" s="6">
        <f>(C60)+(C61)</f>
        <v>0</v>
      </c>
      <c r="D62" s="6">
        <f t="shared" si="1"/>
        <v>-679.99</v>
      </c>
    </row>
    <row r="63" spans="1:4" x14ac:dyDescent="0.3">
      <c r="A63" s="3" t="s">
        <v>60</v>
      </c>
      <c r="B63" s="6">
        <f>(((B53)+(B56))+(B59))+(B62)</f>
        <v>64989.45</v>
      </c>
      <c r="C63" s="6">
        <f>(((C53)+(C56))+(C59))+(C62)</f>
        <v>65000</v>
      </c>
      <c r="D63" s="6">
        <f t="shared" si="1"/>
        <v>10.55000000000291</v>
      </c>
    </row>
    <row r="64" spans="1:4" x14ac:dyDescent="0.3">
      <c r="A64" s="3" t="s">
        <v>61</v>
      </c>
      <c r="B64" s="5">
        <f>3294.12</f>
        <v>3294.12</v>
      </c>
      <c r="C64" s="14">
        <f>6000</f>
        <v>6000</v>
      </c>
      <c r="D64" s="5">
        <f t="shared" si="1"/>
        <v>2705.88</v>
      </c>
    </row>
    <row r="65" spans="1:4" x14ac:dyDescent="0.3">
      <c r="A65" s="3" t="s">
        <v>62</v>
      </c>
      <c r="B65" s="5">
        <f>2169.67</f>
        <v>2169.67</v>
      </c>
      <c r="C65" s="5">
        <f>5500</f>
        <v>5500</v>
      </c>
      <c r="D65" s="5">
        <f t="shared" ref="D65:D96" si="2">(C65)-(B65)</f>
        <v>3330.33</v>
      </c>
    </row>
    <row r="66" spans="1:4" x14ac:dyDescent="0.3">
      <c r="A66" s="3" t="s">
        <v>63</v>
      </c>
      <c r="B66" s="5">
        <f>2416.93</f>
        <v>2416.9299999999998</v>
      </c>
      <c r="C66" s="4"/>
      <c r="D66" s="5">
        <f t="shared" si="2"/>
        <v>-2416.9299999999998</v>
      </c>
    </row>
    <row r="67" spans="1:4" x14ac:dyDescent="0.3">
      <c r="A67" s="3" t="s">
        <v>64</v>
      </c>
      <c r="B67" s="6">
        <f>(B65)+(B66)</f>
        <v>4586.6000000000004</v>
      </c>
      <c r="C67" s="6">
        <f>(C65)+(C66)</f>
        <v>5500</v>
      </c>
      <c r="D67" s="6">
        <f t="shared" si="2"/>
        <v>913.39999999999964</v>
      </c>
    </row>
    <row r="68" spans="1:4" x14ac:dyDescent="0.3">
      <c r="A68" s="3" t="s">
        <v>65</v>
      </c>
      <c r="B68" s="4"/>
      <c r="C68" s="5">
        <f>0</f>
        <v>0</v>
      </c>
      <c r="D68" s="5">
        <f t="shared" si="2"/>
        <v>0</v>
      </c>
    </row>
    <row r="69" spans="1:4" x14ac:dyDescent="0.3">
      <c r="A69" s="3" t="s">
        <v>66</v>
      </c>
      <c r="B69" s="5">
        <f>5412.33</f>
        <v>5412.33</v>
      </c>
      <c r="C69" s="5">
        <f>4000</f>
        <v>4000</v>
      </c>
      <c r="D69" s="5">
        <f t="shared" si="2"/>
        <v>-1412.33</v>
      </c>
    </row>
    <row r="70" spans="1:4" x14ac:dyDescent="0.3">
      <c r="A70" s="3" t="s">
        <v>67</v>
      </c>
      <c r="B70" s="5">
        <f>1976.75</f>
        <v>1976.75</v>
      </c>
      <c r="C70" s="5">
        <f>27000</f>
        <v>27000</v>
      </c>
      <c r="D70" s="5">
        <f t="shared" si="2"/>
        <v>25023.25</v>
      </c>
    </row>
    <row r="71" spans="1:4" x14ac:dyDescent="0.3">
      <c r="A71" s="3" t="s">
        <v>68</v>
      </c>
      <c r="B71" s="6">
        <f>(B69)+(B70)</f>
        <v>7389.08</v>
      </c>
      <c r="C71" s="6">
        <f>(C69)+(C70)</f>
        <v>31000</v>
      </c>
      <c r="D71" s="6">
        <f t="shared" si="2"/>
        <v>23610.92</v>
      </c>
    </row>
    <row r="72" spans="1:4" x14ac:dyDescent="0.3">
      <c r="A72" s="3" t="s">
        <v>69</v>
      </c>
      <c r="B72" s="5">
        <f>90</f>
        <v>90</v>
      </c>
      <c r="C72" s="5">
        <f>100</f>
        <v>100</v>
      </c>
      <c r="D72" s="5">
        <f t="shared" si="2"/>
        <v>10</v>
      </c>
    </row>
    <row r="73" spans="1:4" x14ac:dyDescent="0.3">
      <c r="A73" s="3" t="s">
        <v>70</v>
      </c>
      <c r="B73" s="5">
        <f>8333.53</f>
        <v>8333.5300000000007</v>
      </c>
      <c r="C73" s="5">
        <f>15000</f>
        <v>15000</v>
      </c>
      <c r="D73" s="5">
        <f t="shared" si="2"/>
        <v>6666.4699999999993</v>
      </c>
    </row>
    <row r="74" spans="1:4" x14ac:dyDescent="0.3">
      <c r="A74" s="3" t="s">
        <v>71</v>
      </c>
      <c r="B74" s="5">
        <f>8258.05</f>
        <v>8258.0499999999993</v>
      </c>
      <c r="C74" s="4"/>
      <c r="D74" s="5">
        <f t="shared" si="2"/>
        <v>-8258.0499999999993</v>
      </c>
    </row>
    <row r="75" spans="1:4" x14ac:dyDescent="0.3">
      <c r="A75" s="3" t="s">
        <v>72</v>
      </c>
      <c r="B75" s="6">
        <f>(B73)+(B74)</f>
        <v>16591.580000000002</v>
      </c>
      <c r="C75" s="6">
        <f>(C73)+(C74)</f>
        <v>15000</v>
      </c>
      <c r="D75" s="6">
        <f t="shared" si="2"/>
        <v>-1591.5800000000017</v>
      </c>
    </row>
    <row r="76" spans="1:4" x14ac:dyDescent="0.3">
      <c r="A76" s="3" t="s">
        <v>73</v>
      </c>
      <c r="B76" s="5">
        <f>41814.06</f>
        <v>41814.06</v>
      </c>
      <c r="C76" s="5">
        <f>55000</f>
        <v>55000</v>
      </c>
      <c r="D76" s="5">
        <f t="shared" si="2"/>
        <v>13185.940000000002</v>
      </c>
    </row>
    <row r="77" spans="1:4" x14ac:dyDescent="0.3">
      <c r="A77" s="3" t="s">
        <v>74</v>
      </c>
      <c r="B77" s="5">
        <f>12724.1</f>
        <v>12724.1</v>
      </c>
      <c r="C77" s="4"/>
      <c r="D77" s="5">
        <f t="shared" si="2"/>
        <v>-12724.1</v>
      </c>
    </row>
    <row r="78" spans="1:4" x14ac:dyDescent="0.3">
      <c r="A78" s="3" t="s">
        <v>75</v>
      </c>
      <c r="B78" s="6">
        <f>(B76)+(B77)</f>
        <v>54538.159999999996</v>
      </c>
      <c r="C78" s="6">
        <f>(C76)+(C77)</f>
        <v>55000</v>
      </c>
      <c r="D78" s="6">
        <f t="shared" si="2"/>
        <v>461.84000000000378</v>
      </c>
    </row>
    <row r="79" spans="1:4" x14ac:dyDescent="0.3">
      <c r="A79" s="3" t="s">
        <v>76</v>
      </c>
      <c r="B79" s="5">
        <f>295</f>
        <v>295</v>
      </c>
      <c r="C79" s="4"/>
      <c r="D79" s="5">
        <f t="shared" si="2"/>
        <v>-295</v>
      </c>
    </row>
    <row r="80" spans="1:4" x14ac:dyDescent="0.3">
      <c r="A80" s="3" t="s">
        <v>77</v>
      </c>
      <c r="B80" s="5">
        <f>-35</f>
        <v>-35</v>
      </c>
      <c r="C80" s="4"/>
      <c r="D80" s="5">
        <f t="shared" si="2"/>
        <v>35</v>
      </c>
    </row>
    <row r="81" spans="1:4" x14ac:dyDescent="0.3">
      <c r="A81" s="3" t="s">
        <v>78</v>
      </c>
      <c r="B81" s="5">
        <f>375</f>
        <v>375</v>
      </c>
      <c r="C81" s="14">
        <f>500</f>
        <v>500</v>
      </c>
      <c r="D81" s="5">
        <f t="shared" si="2"/>
        <v>125</v>
      </c>
    </row>
    <row r="82" spans="1:4" x14ac:dyDescent="0.3">
      <c r="A82" s="3" t="s">
        <v>79</v>
      </c>
      <c r="B82" s="5">
        <f>577.99</f>
        <v>577.99</v>
      </c>
      <c r="C82" s="14">
        <f>23000</f>
        <v>23000</v>
      </c>
      <c r="D82" s="5">
        <f t="shared" si="2"/>
        <v>22422.01</v>
      </c>
    </row>
    <row r="83" spans="1:4" x14ac:dyDescent="0.3">
      <c r="A83" s="3" t="s">
        <v>80</v>
      </c>
      <c r="B83" s="5">
        <f>1003.58</f>
        <v>1003.58</v>
      </c>
      <c r="C83" s="14">
        <f>2000</f>
        <v>2000</v>
      </c>
      <c r="D83" s="5">
        <f t="shared" si="2"/>
        <v>996.42</v>
      </c>
    </row>
    <row r="84" spans="1:4" x14ac:dyDescent="0.3">
      <c r="A84" s="3" t="s">
        <v>81</v>
      </c>
      <c r="B84" s="5">
        <f>162.32</f>
        <v>162.32</v>
      </c>
      <c r="C84" s="15">
        <f>500</f>
        <v>500</v>
      </c>
      <c r="D84" s="5">
        <f t="shared" si="2"/>
        <v>337.68</v>
      </c>
    </row>
    <row r="85" spans="1:4" x14ac:dyDescent="0.3">
      <c r="A85" s="3" t="s">
        <v>82</v>
      </c>
      <c r="B85" s="5">
        <f>83.15</f>
        <v>83.15</v>
      </c>
      <c r="C85" s="4"/>
      <c r="D85" s="5">
        <f t="shared" si="2"/>
        <v>-83.15</v>
      </c>
    </row>
    <row r="86" spans="1:4" x14ac:dyDescent="0.3">
      <c r="A86" s="3" t="s">
        <v>83</v>
      </c>
      <c r="B86" s="6">
        <f>(B84)+(B85)</f>
        <v>245.47</v>
      </c>
      <c r="C86" s="6">
        <f>(C84)+(C85)</f>
        <v>500</v>
      </c>
      <c r="D86" s="6">
        <f t="shared" si="2"/>
        <v>254.53</v>
      </c>
    </row>
    <row r="87" spans="1:4" x14ac:dyDescent="0.3">
      <c r="A87" s="3" t="s">
        <v>84</v>
      </c>
      <c r="B87" s="4"/>
      <c r="C87" s="5">
        <f>40000</f>
        <v>40000</v>
      </c>
      <c r="D87" s="5">
        <f t="shared" si="2"/>
        <v>40000</v>
      </c>
    </row>
    <row r="88" spans="1:4" x14ac:dyDescent="0.3">
      <c r="A88" s="3" t="s">
        <v>85</v>
      </c>
      <c r="B88" s="5">
        <f>9292.36</f>
        <v>9292.36</v>
      </c>
      <c r="C88" s="4"/>
      <c r="D88" s="5">
        <f t="shared" si="2"/>
        <v>-9292.36</v>
      </c>
    </row>
    <row r="89" spans="1:4" x14ac:dyDescent="0.3">
      <c r="A89" s="3" t="s">
        <v>86</v>
      </c>
      <c r="B89" s="5">
        <f>12923.45</f>
        <v>12923.45</v>
      </c>
      <c r="C89" s="4"/>
      <c r="D89" s="5">
        <f t="shared" si="2"/>
        <v>-12923.45</v>
      </c>
    </row>
    <row r="90" spans="1:4" x14ac:dyDescent="0.3">
      <c r="A90" s="3" t="s">
        <v>87</v>
      </c>
      <c r="B90" s="5">
        <f>1748.38</f>
        <v>1748.38</v>
      </c>
      <c r="C90" s="4"/>
      <c r="D90" s="5">
        <f t="shared" si="2"/>
        <v>-1748.38</v>
      </c>
    </row>
    <row r="91" spans="1:4" x14ac:dyDescent="0.3">
      <c r="A91" s="3" t="s">
        <v>88</v>
      </c>
      <c r="B91" s="5">
        <f>2169.46</f>
        <v>2169.46</v>
      </c>
      <c r="C91" s="4"/>
      <c r="D91" s="5">
        <f t="shared" si="2"/>
        <v>-2169.46</v>
      </c>
    </row>
    <row r="92" spans="1:4" x14ac:dyDescent="0.3">
      <c r="A92" s="3" t="s">
        <v>89</v>
      </c>
      <c r="B92" s="6">
        <f>((((B87)+(B88))+(B89))+(B90))+(B91)</f>
        <v>26133.65</v>
      </c>
      <c r="C92" s="6">
        <f>((((C87)+(C88))+(C89))+(C90))+(C91)</f>
        <v>40000</v>
      </c>
      <c r="D92" s="6">
        <f t="shared" si="2"/>
        <v>13866.349999999999</v>
      </c>
    </row>
    <row r="93" spans="1:4" x14ac:dyDescent="0.3">
      <c r="A93" s="3" t="s">
        <v>90</v>
      </c>
      <c r="B93" s="5">
        <f>4835.33</f>
        <v>4835.33</v>
      </c>
      <c r="C93" s="14">
        <f>8500</f>
        <v>8500</v>
      </c>
      <c r="D93" s="5">
        <f t="shared" si="2"/>
        <v>3664.67</v>
      </c>
    </row>
    <row r="94" spans="1:4" x14ac:dyDescent="0.3">
      <c r="A94" s="3" t="s">
        <v>91</v>
      </c>
      <c r="B94" s="5">
        <f>468</f>
        <v>468</v>
      </c>
      <c r="C94" s="14">
        <f>4070.62</f>
        <v>4070.62</v>
      </c>
      <c r="D94" s="5">
        <f t="shared" si="2"/>
        <v>3602.62</v>
      </c>
    </row>
    <row r="95" spans="1:4" x14ac:dyDescent="0.3">
      <c r="A95" s="3" t="s">
        <v>92</v>
      </c>
      <c r="B95" s="5">
        <f>1143314.2</f>
        <v>1143314.2</v>
      </c>
      <c r="C95" s="4"/>
      <c r="D95" s="5">
        <f t="shared" si="2"/>
        <v>-1143314.2</v>
      </c>
    </row>
    <row r="96" spans="1:4" x14ac:dyDescent="0.3">
      <c r="A96" s="3" t="s">
        <v>93</v>
      </c>
      <c r="B96" s="5">
        <f>64882.61</f>
        <v>64882.61</v>
      </c>
      <c r="C96" s="4"/>
      <c r="D96" s="5">
        <f t="shared" si="2"/>
        <v>-64882.61</v>
      </c>
    </row>
    <row r="97" spans="1:4" x14ac:dyDescent="0.3">
      <c r="A97" s="3" t="s">
        <v>94</v>
      </c>
      <c r="B97" s="5">
        <f>303751.7</f>
        <v>303751.7</v>
      </c>
      <c r="C97" s="5">
        <f>1947164</f>
        <v>1947164</v>
      </c>
      <c r="D97" s="5">
        <f t="shared" ref="D97:D128" si="3">(C97)-(B97)</f>
        <v>1643412.3</v>
      </c>
    </row>
    <row r="98" spans="1:4" x14ac:dyDescent="0.3">
      <c r="A98" s="3" t="s">
        <v>95</v>
      </c>
      <c r="B98" s="6">
        <f>((B95)+(B96))+(B97)</f>
        <v>1511948.51</v>
      </c>
      <c r="C98" s="6">
        <f>((C95)+(C96))+(C97)</f>
        <v>1947164</v>
      </c>
      <c r="D98" s="6">
        <f t="shared" si="3"/>
        <v>435215.49</v>
      </c>
    </row>
    <row r="99" spans="1:4" x14ac:dyDescent="0.3">
      <c r="A99" s="3" t="s">
        <v>96</v>
      </c>
      <c r="B99" s="5">
        <f>-3.18</f>
        <v>-3.18</v>
      </c>
      <c r="C99" s="14">
        <f>1000</f>
        <v>1000</v>
      </c>
      <c r="D99" s="5">
        <f t="shared" si="3"/>
        <v>1003.18</v>
      </c>
    </row>
    <row r="100" spans="1:4" x14ac:dyDescent="0.3">
      <c r="A100" s="3" t="s">
        <v>97</v>
      </c>
      <c r="B100" s="4"/>
      <c r="C100" s="14">
        <f>1000</f>
        <v>1000</v>
      </c>
      <c r="D100" s="5">
        <f t="shared" si="3"/>
        <v>1000</v>
      </c>
    </row>
    <row r="101" spans="1:4" x14ac:dyDescent="0.3">
      <c r="A101" s="3" t="s">
        <v>98</v>
      </c>
      <c r="B101" s="4"/>
      <c r="C101" s="14">
        <f>3000</f>
        <v>3000</v>
      </c>
      <c r="D101" s="5">
        <f t="shared" si="3"/>
        <v>3000</v>
      </c>
    </row>
    <row r="102" spans="1:4" x14ac:dyDescent="0.3">
      <c r="A102" s="3" t="s">
        <v>99</v>
      </c>
      <c r="B102" s="5">
        <f>1281</f>
        <v>1281</v>
      </c>
      <c r="C102" s="14">
        <f>25000</f>
        <v>25000</v>
      </c>
      <c r="D102" s="5">
        <f t="shared" si="3"/>
        <v>23719</v>
      </c>
    </row>
    <row r="103" spans="1:4" x14ac:dyDescent="0.3">
      <c r="A103" s="3" t="s">
        <v>100</v>
      </c>
      <c r="B103" s="4"/>
      <c r="C103" s="4"/>
      <c r="D103" s="5">
        <f t="shared" si="3"/>
        <v>0</v>
      </c>
    </row>
    <row r="104" spans="1:4" x14ac:dyDescent="0.3">
      <c r="A104" s="3" t="s">
        <v>101</v>
      </c>
      <c r="B104" s="5">
        <f>25669.18</f>
        <v>25669.18</v>
      </c>
      <c r="C104" s="4"/>
      <c r="D104" s="5">
        <f t="shared" si="3"/>
        <v>-25669.18</v>
      </c>
    </row>
    <row r="105" spans="1:4" x14ac:dyDescent="0.3">
      <c r="A105" s="3" t="s">
        <v>102</v>
      </c>
      <c r="B105" s="5">
        <f>47699.51</f>
        <v>47699.51</v>
      </c>
      <c r="C105" s="4"/>
      <c r="D105" s="5">
        <f t="shared" si="3"/>
        <v>-47699.51</v>
      </c>
    </row>
    <row r="106" spans="1:4" x14ac:dyDescent="0.3">
      <c r="A106" s="3" t="s">
        <v>103</v>
      </c>
      <c r="B106" s="4"/>
      <c r="C106" s="5">
        <f>45802</f>
        <v>45802</v>
      </c>
      <c r="D106" s="5">
        <f t="shared" si="3"/>
        <v>45802</v>
      </c>
    </row>
    <row r="107" spans="1:4" x14ac:dyDescent="0.3">
      <c r="A107" s="3" t="s">
        <v>104</v>
      </c>
      <c r="B107" s="4"/>
      <c r="C107" s="5">
        <f>125800</f>
        <v>125800</v>
      </c>
      <c r="D107" s="5">
        <f t="shared" si="3"/>
        <v>125800</v>
      </c>
    </row>
    <row r="108" spans="1:4" x14ac:dyDescent="0.3">
      <c r="A108" s="3" t="s">
        <v>105</v>
      </c>
      <c r="B108" s="6">
        <f>((((B103)+(B104))+(B105))+(B106))+(B107)</f>
        <v>73368.69</v>
      </c>
      <c r="C108" s="6">
        <f>((((C103)+(C104))+(C105))+(C106))+(C107)</f>
        <v>171602</v>
      </c>
      <c r="D108" s="6">
        <f t="shared" si="3"/>
        <v>98233.31</v>
      </c>
    </row>
    <row r="109" spans="1:4" x14ac:dyDescent="0.3">
      <c r="A109" s="3" t="s">
        <v>106</v>
      </c>
      <c r="B109" s="5">
        <f>18000</f>
        <v>18000</v>
      </c>
      <c r="C109" s="14">
        <f>32291</f>
        <v>32291</v>
      </c>
      <c r="D109" s="5">
        <f t="shared" si="3"/>
        <v>14291</v>
      </c>
    </row>
    <row r="110" spans="1:4" x14ac:dyDescent="0.3">
      <c r="A110" s="3" t="s">
        <v>107</v>
      </c>
      <c r="B110" s="5">
        <f>26355.72</f>
        <v>26355.72</v>
      </c>
      <c r="C110" s="14">
        <f>35000</f>
        <v>35000</v>
      </c>
      <c r="D110" s="5">
        <f t="shared" si="3"/>
        <v>8644.2799999999988</v>
      </c>
    </row>
    <row r="111" spans="1:4" x14ac:dyDescent="0.3">
      <c r="A111" s="3" t="s">
        <v>108</v>
      </c>
      <c r="B111" s="5">
        <f>28383.78</f>
        <v>28383.78</v>
      </c>
      <c r="C111" s="4"/>
      <c r="D111" s="5">
        <f t="shared" si="3"/>
        <v>-28383.78</v>
      </c>
    </row>
    <row r="112" spans="1:4" x14ac:dyDescent="0.3">
      <c r="A112" s="3" t="s">
        <v>109</v>
      </c>
      <c r="B112" s="5">
        <f>568.8</f>
        <v>568.79999999999995</v>
      </c>
      <c r="C112" s="5">
        <f>30000</f>
        <v>30000</v>
      </c>
      <c r="D112" s="5">
        <f t="shared" si="3"/>
        <v>29431.200000000001</v>
      </c>
    </row>
    <row r="113" spans="1:4" x14ac:dyDescent="0.3">
      <c r="A113" s="3" t="s">
        <v>110</v>
      </c>
      <c r="B113" s="6">
        <f>(B111)+(B112)</f>
        <v>28952.579999999998</v>
      </c>
      <c r="C113" s="6">
        <f>(C111)+(C112)</f>
        <v>30000</v>
      </c>
      <c r="D113" s="6">
        <f t="shared" si="3"/>
        <v>1047.4200000000019</v>
      </c>
    </row>
    <row r="114" spans="1:4" x14ac:dyDescent="0.3">
      <c r="A114" s="3" t="s">
        <v>111</v>
      </c>
      <c r="B114" s="4"/>
      <c r="C114" s="14">
        <f>5000</f>
        <v>5000</v>
      </c>
      <c r="D114" s="5">
        <f t="shared" si="3"/>
        <v>5000</v>
      </c>
    </row>
    <row r="115" spans="1:4" x14ac:dyDescent="0.3">
      <c r="A115" s="3" t="s">
        <v>112</v>
      </c>
      <c r="B115" s="4"/>
      <c r="C115" s="14">
        <f>5000</f>
        <v>5000</v>
      </c>
      <c r="D115" s="5">
        <f t="shared" si="3"/>
        <v>5000</v>
      </c>
    </row>
    <row r="116" spans="1:4" x14ac:dyDescent="0.3">
      <c r="A116" s="3" t="s">
        <v>113</v>
      </c>
      <c r="B116" s="4"/>
      <c r="C116" s="14">
        <f>38000</f>
        <v>38000</v>
      </c>
      <c r="D116" s="5">
        <f t="shared" si="3"/>
        <v>38000</v>
      </c>
    </row>
    <row r="117" spans="1:4" x14ac:dyDescent="0.3">
      <c r="A117" s="3" t="s">
        <v>114</v>
      </c>
      <c r="B117" s="4"/>
      <c r="C117" s="14">
        <f>80000</f>
        <v>80000</v>
      </c>
      <c r="D117" s="5">
        <f t="shared" si="3"/>
        <v>80000</v>
      </c>
    </row>
    <row r="118" spans="1:4" x14ac:dyDescent="0.3">
      <c r="A118" s="3" t="s">
        <v>115</v>
      </c>
      <c r="B118" s="5">
        <f>22829.15</f>
        <v>22829.15</v>
      </c>
      <c r="C118" s="14">
        <f>81000</f>
        <v>81000</v>
      </c>
      <c r="D118" s="5">
        <f t="shared" si="3"/>
        <v>58170.85</v>
      </c>
    </row>
    <row r="119" spans="1:4" x14ac:dyDescent="0.3">
      <c r="A119" s="3" t="s">
        <v>116</v>
      </c>
      <c r="B119" s="5">
        <f>124220.28</f>
        <v>124220.28</v>
      </c>
      <c r="C119" s="14">
        <f>250000</f>
        <v>250000</v>
      </c>
      <c r="D119" s="5">
        <f t="shared" si="3"/>
        <v>125779.72</v>
      </c>
    </row>
    <row r="120" spans="1:4" x14ac:dyDescent="0.3">
      <c r="A120" s="3" t="s">
        <v>117</v>
      </c>
      <c r="B120" s="5">
        <f>40429.38</f>
        <v>40429.379999999997</v>
      </c>
      <c r="C120" s="14">
        <f>40429.38</f>
        <v>40429.379999999997</v>
      </c>
      <c r="D120" s="5">
        <f t="shared" si="3"/>
        <v>0</v>
      </c>
    </row>
    <row r="121" spans="1:4" x14ac:dyDescent="0.3">
      <c r="A121" s="3" t="s">
        <v>118</v>
      </c>
      <c r="B121" s="4"/>
      <c r="C121" s="14">
        <f>80000</f>
        <v>80000</v>
      </c>
      <c r="D121" s="5">
        <f t="shared" si="3"/>
        <v>80000</v>
      </c>
    </row>
    <row r="122" spans="1:4" x14ac:dyDescent="0.3">
      <c r="A122" s="3" t="s">
        <v>119</v>
      </c>
      <c r="B122" s="4"/>
      <c r="C122" s="5">
        <f>0</f>
        <v>0</v>
      </c>
      <c r="D122" s="5">
        <f t="shared" si="3"/>
        <v>0</v>
      </c>
    </row>
    <row r="123" spans="1:4" x14ac:dyDescent="0.3">
      <c r="A123" s="3" t="s">
        <v>120</v>
      </c>
      <c r="B123" s="5">
        <f>0</f>
        <v>0</v>
      </c>
      <c r="C123" s="4"/>
      <c r="D123" s="5">
        <f t="shared" si="3"/>
        <v>0</v>
      </c>
    </row>
    <row r="124" spans="1:4" x14ac:dyDescent="0.3">
      <c r="A124" s="3" t="s">
        <v>121</v>
      </c>
      <c r="B124" s="6">
        <f>((((((((((((((((((((((((((((((((((((((((((B33)+(B36))+(B39))+(B40))+(B43))+(B44))+(B52))+(B63))+(B64))+(B67))+(B68))+(B71))+(B72))+(B75))+(B78))+(B79))+(B80))+(B81))+(B82))+(B83))+(B86))+(B92))+(B93))+(B94))+(B98))+(B99))+(B100))+(B101))+(B102))+(B108))+(B109))+(B110))+(B113))+(B114))+(B115))+(B116))+(B117))+(B118))+(B119))+(B120))+(B121))+(B122))+(B123)</f>
        <v>2148406.86</v>
      </c>
      <c r="C124" s="17">
        <f>((((((((((((((((((((((((((((((((((((((((((C33)+(C36))+(C39))+(C40))+(C43))+(C44))+(C52))+(C63))+(C64))+(C67))+(C68))+(C71))+(C72))+(C75))+(C78))+(C79))+(C80))+(C81))+(C82))+(C83))+(C86))+(C92))+(C93))+(C94))+(C98))+(C99))+(C100))+(C101))+(C102))+(C108))+(C109))+(C110))+(C113))+(C114))+(C115))+(C116))+(C117))+(C118))+(C119))+(C120))+(C121))+(C122))+(C123)</f>
        <v>3246471.05</v>
      </c>
      <c r="D124" s="6">
        <f t="shared" si="3"/>
        <v>1098064.19</v>
      </c>
    </row>
    <row r="125" spans="1:4" x14ac:dyDescent="0.3">
      <c r="A125" s="3" t="s">
        <v>122</v>
      </c>
      <c r="B125" s="6">
        <f>(B31)-(B124)</f>
        <v>-464195.89000000013</v>
      </c>
      <c r="C125" s="6">
        <f>(C31)-(C124)</f>
        <v>0</v>
      </c>
      <c r="D125" s="6">
        <f t="shared" si="3"/>
        <v>464195.89000000013</v>
      </c>
    </row>
    <row r="126" spans="1:4" x14ac:dyDescent="0.3">
      <c r="A126" s="3" t="s">
        <v>123</v>
      </c>
      <c r="B126" s="4"/>
      <c r="C126" s="4"/>
      <c r="D126" s="4"/>
    </row>
    <row r="127" spans="1:4" x14ac:dyDescent="0.3">
      <c r="A127" s="3" t="s">
        <v>124</v>
      </c>
      <c r="B127" s="5">
        <f>-1608.23</f>
        <v>-1608.23</v>
      </c>
      <c r="C127" s="4"/>
      <c r="D127" s="5">
        <f>(C127)-(B127)</f>
        <v>1608.23</v>
      </c>
    </row>
    <row r="128" spans="1:4" x14ac:dyDescent="0.3">
      <c r="A128" s="3" t="s">
        <v>125</v>
      </c>
      <c r="B128" s="6">
        <f>B127</f>
        <v>-1608.23</v>
      </c>
      <c r="C128" s="6">
        <f>C127</f>
        <v>0</v>
      </c>
      <c r="D128" s="6">
        <f>(C128)-(B128)</f>
        <v>1608.23</v>
      </c>
    </row>
    <row r="129" spans="1:4" x14ac:dyDescent="0.3">
      <c r="A129" s="3" t="s">
        <v>126</v>
      </c>
      <c r="B129" s="4"/>
      <c r="C129" s="4"/>
      <c r="D129" s="4"/>
    </row>
    <row r="130" spans="1:4" x14ac:dyDescent="0.3">
      <c r="A130" s="3" t="s">
        <v>127</v>
      </c>
      <c r="B130" s="4"/>
      <c r="C130" s="5">
        <f>0</f>
        <v>0</v>
      </c>
      <c r="D130" s="5">
        <f>(C130)-(B130)</f>
        <v>0</v>
      </c>
    </row>
    <row r="131" spans="1:4" x14ac:dyDescent="0.3">
      <c r="A131" s="3" t="s">
        <v>128</v>
      </c>
      <c r="B131" s="6">
        <f>B130</f>
        <v>0</v>
      </c>
      <c r="C131" s="6">
        <f>C130</f>
        <v>0</v>
      </c>
      <c r="D131" s="6">
        <f>(C131)-(B131)</f>
        <v>0</v>
      </c>
    </row>
    <row r="132" spans="1:4" x14ac:dyDescent="0.3">
      <c r="A132" s="3" t="s">
        <v>129</v>
      </c>
      <c r="B132" s="6">
        <f>(B128)-(B131)</f>
        <v>-1608.23</v>
      </c>
      <c r="C132" s="6">
        <f>(C128)-(C131)</f>
        <v>0</v>
      </c>
      <c r="D132" s="6">
        <f>(C132)-(B132)</f>
        <v>1608.23</v>
      </c>
    </row>
    <row r="133" spans="1:4" x14ac:dyDescent="0.3">
      <c r="A133" s="3" t="s">
        <v>130</v>
      </c>
      <c r="B133" s="7">
        <f>(B125)+(B132)</f>
        <v>-465804.12000000011</v>
      </c>
      <c r="C133" s="7">
        <f>(C125)+(C132)</f>
        <v>0</v>
      </c>
      <c r="D133" s="7">
        <f>(C133)-(B133)</f>
        <v>465804.12000000011</v>
      </c>
    </row>
    <row r="134" spans="1:4" x14ac:dyDescent="0.3">
      <c r="A134" s="3"/>
      <c r="B134" s="4"/>
      <c r="C134" s="4"/>
      <c r="D134" s="4"/>
    </row>
    <row r="137" spans="1:4" x14ac:dyDescent="0.3">
      <c r="A137" s="10" t="s">
        <v>131</v>
      </c>
      <c r="B137" s="11"/>
      <c r="C137" s="11"/>
      <c r="D137" s="11"/>
    </row>
  </sheetData>
  <mergeCells count="5">
    <mergeCell ref="B5:D5"/>
    <mergeCell ref="A137:D13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Mitchell</cp:lastModifiedBy>
  <cp:lastPrinted>2025-11-12T00:08:33Z</cp:lastPrinted>
  <dcterms:created xsi:type="dcterms:W3CDTF">2025-11-12T00:05:44Z</dcterms:created>
  <dcterms:modified xsi:type="dcterms:W3CDTF">2025-11-12T00:21:18Z</dcterms:modified>
</cp:coreProperties>
</file>